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5"/>
  <workbookPr defaultThemeVersion="202300"/>
  <mc:AlternateContent xmlns:mc="http://schemas.openxmlformats.org/markup-compatibility/2006">
    <mc:Choice Requires="x15">
      <x15ac:absPath xmlns:x15ac="http://schemas.microsoft.com/office/spreadsheetml/2010/11/ac" url="C:\Users\wkaco\Desktop\Portfolio\"/>
    </mc:Choice>
  </mc:AlternateContent>
  <xr:revisionPtr revIDLastSave="0" documentId="13_ncr:1_{144912A9-4EEF-40DB-A109-7956DAA22367}" xr6:coauthVersionLast="47" xr6:coauthVersionMax="47" xr10:uidLastSave="{00000000-0000-0000-0000-000000000000}"/>
  <bookViews>
    <workbookView xWindow="-96" yWindow="-96" windowWidth="30912" windowHeight="17016" activeTab="2" xr2:uid="{1D8C4DE5-514E-434D-AC21-03F765DF3A97}"/>
  </bookViews>
  <sheets>
    <sheet name="Main" sheetId="9" r:id="rId1"/>
    <sheet name="MSFT" sheetId="5" r:id="rId2"/>
    <sheet name="AAPL"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K19" i="1" l="1"/>
  <c r="BV20" i="1"/>
  <c r="CC3" i="1"/>
  <c r="CB3" i="1"/>
  <c r="BZ3" i="1"/>
  <c r="BV3" i="1"/>
  <c r="X23" i="5"/>
  <c r="X19" i="5"/>
  <c r="X18" i="5"/>
  <c r="AT21" i="5"/>
  <c r="AW20" i="5"/>
  <c r="AW19" i="5"/>
  <c r="AS18" i="5"/>
  <c r="BB25" i="5"/>
  <c r="BB23" i="5"/>
  <c r="BB22" i="5"/>
  <c r="BB21" i="5"/>
  <c r="BB20" i="5"/>
  <c r="BB19" i="5"/>
  <c r="BB18" i="5"/>
  <c r="BA25" i="5"/>
  <c r="BA23" i="5"/>
  <c r="BA22" i="5"/>
  <c r="BA21" i="5"/>
  <c r="BA20" i="5"/>
  <c r="BA19" i="5"/>
  <c r="BA18" i="5"/>
  <c r="BR15" i="5"/>
  <c r="BQ15" i="5"/>
  <c r="H2" i="9" a="1"/>
  <c r="H2" i="9" s="1"/>
  <c r="H3" i="9" a="1"/>
  <c r="H3" i="9" s="1"/>
  <c r="H4" i="9" a="1"/>
  <c r="H4" i="9" s="1"/>
  <c r="H5" i="9" a="1"/>
  <c r="H5" i="9" s="1"/>
  <c r="H6" i="9" a="1"/>
  <c r="H6" i="9" s="1"/>
  <c r="H7" i="9" a="1"/>
  <c r="H7" i="9" s="1"/>
  <c r="H8" i="9" a="1"/>
  <c r="H8" i="9" s="1"/>
  <c r="H9" i="9" a="1"/>
  <c r="H9" i="9" s="1"/>
  <c r="H10" i="9" a="1"/>
  <c r="H10" i="9" s="1"/>
  <c r="H11" i="9" a="1"/>
  <c r="H11" i="9" s="1"/>
  <c r="H12" i="9" a="1"/>
  <c r="H12" i="9" s="1"/>
  <c r="H13" i="9" a="1"/>
  <c r="H13" i="9" s="1"/>
  <c r="H14" i="9" a="1"/>
  <c r="H14" i="9" s="1"/>
  <c r="H15" i="9" a="1"/>
  <c r="H15" i="9" s="1"/>
  <c r="H16" i="9" a="1"/>
  <c r="H16" i="9" s="1"/>
  <c r="H17" i="9" a="1"/>
  <c r="H17" i="9" s="1"/>
  <c r="H18" i="9" a="1"/>
  <c r="H18" i="9" s="1"/>
  <c r="H19" i="9" a="1"/>
  <c r="H19" i="9" s="1"/>
  <c r="H20" i="9" a="1"/>
  <c r="H20" i="9" s="1"/>
  <c r="H21" i="9" a="1"/>
  <c r="H21" i="9" s="1"/>
  <c r="H22" i="9" a="1"/>
  <c r="H22" i="9" s="1"/>
  <c r="H23" i="9" a="1"/>
  <c r="H23" i="9" s="1"/>
  <c r="H24" i="9" a="1"/>
  <c r="H24" i="9" s="1"/>
  <c r="H25" i="9" a="1"/>
  <c r="H25" i="9" s="1"/>
  <c r="H26" i="9" a="1"/>
  <c r="H26" i="9" s="1"/>
  <c r="H27" i="9" a="1"/>
  <c r="H27" i="9" s="1"/>
  <c r="H28" i="9" a="1"/>
  <c r="H28" i="9" s="1"/>
  <c r="H29" i="9" a="1"/>
  <c r="H29" i="9" s="1"/>
  <c r="H30" i="9" a="1"/>
  <c r="H30" i="9" s="1"/>
  <c r="H31" i="9" a="1"/>
  <c r="H31" i="9" s="1"/>
  <c r="H32" i="9" a="1"/>
  <c r="H32" i="9" s="1"/>
  <c r="H33" i="9" a="1"/>
  <c r="H33" i="9" s="1"/>
  <c r="H34" i="9" a="1"/>
  <c r="H34" i="9" s="1"/>
  <c r="H35" i="9" a="1"/>
  <c r="H35" i="9" s="1"/>
  <c r="H36" i="9" a="1"/>
  <c r="H36" i="9" s="1"/>
  <c r="H37" i="9" a="1"/>
  <c r="H37" i="9" s="1"/>
  <c r="H38" i="9" a="1"/>
  <c r="H38" i="9" s="1"/>
  <c r="H39" i="9" a="1"/>
  <c r="H39" i="9" s="1"/>
  <c r="H40" i="9" a="1"/>
  <c r="H40" i="9" s="1"/>
  <c r="H41" i="9" a="1"/>
  <c r="H41" i="9" s="1"/>
  <c r="H42" i="9" a="1"/>
  <c r="H42" i="9" s="1"/>
  <c r="H43" i="9" a="1"/>
  <c r="H43" i="9" s="1"/>
  <c r="H44" i="9" a="1"/>
  <c r="H44" i="9" s="1"/>
  <c r="H45" i="9" a="1"/>
  <c r="H45" i="9" s="1"/>
  <c r="H46" i="9" a="1"/>
  <c r="H46" i="9" s="1"/>
  <c r="H47" i="9" a="1"/>
  <c r="H47" i="9" s="1"/>
  <c r="H48" i="9" a="1"/>
  <c r="H48" i="9" s="1"/>
  <c r="H49" i="9" a="1"/>
  <c r="H49" i="9" s="1"/>
  <c r="H50" i="9" a="1"/>
  <c r="H50" i="9" s="1"/>
  <c r="H51" i="9" a="1"/>
  <c r="H51" i="9" s="1"/>
  <c r="H52" i="9" a="1"/>
  <c r="H52" i="9" s="1"/>
  <c r="H53" i="9" a="1"/>
  <c r="H53" i="9" s="1"/>
  <c r="H54" i="9" a="1"/>
  <c r="H54" i="9" s="1"/>
  <c r="H55" i="9" a="1"/>
  <c r="H55" i="9" s="1"/>
  <c r="H56" i="9" a="1"/>
  <c r="H56" i="9" s="1"/>
  <c r="H57" i="9" a="1"/>
  <c r="H57" i="9" s="1"/>
  <c r="H58" i="9" a="1"/>
  <c r="H58" i="9" s="1"/>
  <c r="H59" i="9" a="1"/>
  <c r="H59" i="9" s="1"/>
  <c r="H60" i="9" a="1"/>
  <c r="H60" i="9" s="1"/>
  <c r="H61" i="9" a="1"/>
  <c r="H61" i="9" s="1"/>
  <c r="H62" i="9" a="1"/>
  <c r="H62" i="9" s="1"/>
  <c r="H63" i="9" a="1"/>
  <c r="H63" i="9" s="1"/>
  <c r="H64" i="9" a="1"/>
  <c r="H64" i="9" s="1"/>
  <c r="H65" i="9" a="1"/>
  <c r="H65" i="9" s="1"/>
  <c r="H66" i="9" a="1"/>
  <c r="H66" i="9" s="1"/>
  <c r="H67" i="9" a="1"/>
  <c r="H67" i="9" s="1"/>
  <c r="H68" i="9" a="1"/>
  <c r="H68" i="9" s="1"/>
  <c r="H69" i="9" a="1"/>
  <c r="H69" i="9" s="1"/>
  <c r="H70" i="9" a="1"/>
  <c r="H70" i="9" s="1"/>
  <c r="H71" i="9" a="1"/>
  <c r="H71" i="9" s="1"/>
  <c r="H72" i="9" a="1"/>
  <c r="H72" i="9" s="1"/>
  <c r="H73" i="9" a="1"/>
  <c r="H73" i="9" s="1"/>
  <c r="H74" i="9" a="1"/>
  <c r="H74" i="9" s="1"/>
  <c r="H75" i="9" a="1"/>
  <c r="H75" i="9" s="1"/>
  <c r="H76" i="9" a="1"/>
  <c r="H76" i="9" s="1"/>
  <c r="H77" i="9" a="1"/>
  <c r="H77" i="9" s="1"/>
  <c r="H78" i="9" a="1"/>
  <c r="H78" i="9" s="1"/>
  <c r="H79" i="9" a="1"/>
  <c r="H79" i="9" s="1"/>
  <c r="H80" i="9" a="1"/>
  <c r="H80" i="9" s="1"/>
  <c r="H81" i="9" a="1"/>
  <c r="H81" i="9" s="1"/>
  <c r="H82" i="9" a="1"/>
  <c r="H82" i="9" s="1"/>
  <c r="H83" i="9" a="1"/>
  <c r="H83" i="9" s="1"/>
  <c r="H84" i="9" a="1"/>
  <c r="H84" i="9" s="1"/>
  <c r="H85" i="9" a="1"/>
  <c r="H85" i="9" s="1"/>
  <c r="H86" i="9" a="1"/>
  <c r="H86" i="9" s="1"/>
  <c r="H87" i="9" a="1"/>
  <c r="H87" i="9" s="1"/>
  <c r="H88" i="9" a="1"/>
  <c r="H88" i="9" s="1"/>
  <c r="H89" i="9" a="1"/>
  <c r="H89" i="9" s="1"/>
  <c r="H90" i="9" a="1"/>
  <c r="H90" i="9" s="1"/>
  <c r="H91" i="9" a="1"/>
  <c r="H91" i="9" s="1"/>
  <c r="H92" i="9" a="1"/>
  <c r="H92" i="9" s="1"/>
  <c r="H93" i="9" a="1"/>
  <c r="H93" i="9" s="1"/>
  <c r="H94" i="9" a="1"/>
  <c r="H94" i="9" s="1"/>
  <c r="H95" i="9" a="1"/>
  <c r="H95" i="9" s="1"/>
  <c r="H96" i="9" a="1"/>
  <c r="H96" i="9" s="1"/>
  <c r="H97" i="9" a="1"/>
  <c r="H97" i="9" s="1"/>
  <c r="H98" i="9" a="1"/>
  <c r="H98" i="9" s="1"/>
  <c r="H99" i="9" a="1"/>
  <c r="H99" i="9" s="1"/>
  <c r="H100" i="9" a="1"/>
  <c r="H100" i="9" s="1"/>
  <c r="H101" i="9" a="1"/>
  <c r="H101" i="9" s="1"/>
  <c r="H102" i="9" a="1"/>
  <c r="H102" i="9" s="1"/>
  <c r="H103" i="9" a="1"/>
  <c r="H103" i="9" s="1"/>
  <c r="H104" i="9" a="1"/>
  <c r="H104" i="9" s="1"/>
  <c r="H105" i="9" a="1"/>
  <c r="H105" i="9" s="1"/>
  <c r="H106" i="9" a="1"/>
  <c r="H106" i="9" s="1"/>
  <c r="H107" i="9" a="1"/>
  <c r="H107" i="9" s="1"/>
  <c r="H108" i="9" a="1"/>
  <c r="H108" i="9" s="1"/>
  <c r="H109" i="9" a="1"/>
  <c r="H109" i="9" s="1"/>
  <c r="H110" i="9" a="1"/>
  <c r="H110" i="9" s="1"/>
  <c r="H111" i="9" a="1"/>
  <c r="H111" i="9" s="1"/>
  <c r="H112" i="9" a="1"/>
  <c r="H112" i="9" s="1"/>
  <c r="H113" i="9" a="1"/>
  <c r="H113" i="9" s="1"/>
  <c r="H114" i="9" a="1"/>
  <c r="H114" i="9" s="1"/>
  <c r="H115" i="9" a="1"/>
  <c r="H115" i="9" s="1"/>
  <c r="H116" i="9" a="1"/>
  <c r="H116" i="9" s="1"/>
  <c r="H117" i="9" a="1"/>
  <c r="H117" i="9" s="1"/>
  <c r="H118" i="9" a="1"/>
  <c r="H118" i="9" s="1"/>
  <c r="H119" i="9" a="1"/>
  <c r="H119" i="9" s="1"/>
  <c r="H120" i="9" a="1"/>
  <c r="H120" i="9" s="1"/>
  <c r="H121" i="9" a="1"/>
  <c r="H121" i="9" s="1"/>
  <c r="H122" i="9" a="1"/>
  <c r="H122" i="9" s="1"/>
  <c r="H123" i="9" a="1"/>
  <c r="H123" i="9" s="1"/>
  <c r="H124" i="9" a="1"/>
  <c r="H124" i="9" s="1"/>
  <c r="H125" i="9" a="1"/>
  <c r="H125" i="9" s="1"/>
  <c r="H126" i="9" a="1"/>
  <c r="H126" i="9" s="1"/>
  <c r="H127" i="9" a="1"/>
  <c r="H127" i="9" s="1"/>
  <c r="H128" i="9" a="1"/>
  <c r="H128" i="9" s="1"/>
  <c r="H129" i="9" a="1"/>
  <c r="H129" i="9" s="1"/>
  <c r="H130" i="9" a="1"/>
  <c r="H130" i="9" s="1"/>
  <c r="H131" i="9" a="1"/>
  <c r="H131" i="9" s="1"/>
  <c r="H132" i="9" a="1"/>
  <c r="H132" i="9" s="1"/>
  <c r="H133" i="9" a="1"/>
  <c r="H133" i="9" s="1"/>
  <c r="H134" i="9" a="1"/>
  <c r="H134" i="9" s="1"/>
  <c r="H135" i="9" a="1"/>
  <c r="H135" i="9" s="1"/>
  <c r="H136" i="9" a="1"/>
  <c r="H136" i="9" s="1"/>
  <c r="H137" i="9" a="1"/>
  <c r="H137" i="9" s="1"/>
  <c r="H138" i="9" a="1"/>
  <c r="H138" i="9" s="1"/>
  <c r="H139" i="9" a="1"/>
  <c r="H139" i="9" s="1"/>
  <c r="H140" i="9" a="1"/>
  <c r="H140" i="9" s="1"/>
  <c r="H141" i="9" a="1"/>
  <c r="H141" i="9" s="1"/>
  <c r="H142" i="9" a="1"/>
  <c r="H142" i="9" s="1"/>
  <c r="H143" i="9" a="1"/>
  <c r="H143" i="9" s="1"/>
  <c r="H144" i="9" a="1"/>
  <c r="H144" i="9" s="1"/>
  <c r="H145" i="9" a="1"/>
  <c r="H145" i="9" s="1"/>
  <c r="H146" i="9" a="1"/>
  <c r="H146" i="9" s="1"/>
  <c r="H147" i="9" a="1"/>
  <c r="H147" i="9" s="1"/>
  <c r="H148" i="9" a="1"/>
  <c r="H148" i="9" s="1"/>
  <c r="H149" i="9" a="1"/>
  <c r="H149" i="9" s="1"/>
  <c r="H150" i="9" a="1"/>
  <c r="H150" i="9" s="1"/>
  <c r="H151" i="9" a="1"/>
  <c r="H151" i="9" s="1"/>
  <c r="H152" i="9" a="1"/>
  <c r="H152" i="9" s="1"/>
  <c r="H153" i="9" a="1"/>
  <c r="H153" i="9" s="1"/>
  <c r="H154" i="9" a="1"/>
  <c r="H154" i="9" s="1"/>
  <c r="H155" i="9" a="1"/>
  <c r="H155" i="9" s="1"/>
  <c r="H156" i="9" a="1"/>
  <c r="H156" i="9" s="1"/>
  <c r="H157" i="9" a="1"/>
  <c r="H157" i="9" s="1"/>
  <c r="H158" i="9" a="1"/>
  <c r="H158" i="9" s="1"/>
  <c r="H159" i="9" a="1"/>
  <c r="H159" i="9" s="1"/>
  <c r="H160" i="9" a="1"/>
  <c r="H160" i="9" s="1"/>
  <c r="H161" i="9" a="1"/>
  <c r="H161" i="9" s="1"/>
  <c r="H162" i="9" a="1"/>
  <c r="H162" i="9" s="1"/>
  <c r="H163" i="9" a="1"/>
  <c r="H163" i="9" s="1"/>
  <c r="H164" i="9" a="1"/>
  <c r="H164" i="9" s="1"/>
  <c r="H165" i="9" a="1"/>
  <c r="H165" i="9" s="1"/>
  <c r="H166" i="9" a="1"/>
  <c r="H166" i="9" s="1"/>
  <c r="H167" i="9" a="1"/>
  <c r="H167" i="9" s="1"/>
  <c r="H168" i="9" a="1"/>
  <c r="H168" i="9" s="1"/>
  <c r="H169" i="9" a="1"/>
  <c r="H169" i="9" s="1"/>
  <c r="H170" i="9" a="1"/>
  <c r="H170" i="9" s="1"/>
  <c r="H171" i="9" a="1"/>
  <c r="H171" i="9" s="1"/>
  <c r="H172" i="9" a="1"/>
  <c r="H172" i="9" s="1"/>
  <c r="H173" i="9" a="1"/>
  <c r="H173" i="9" s="1"/>
  <c r="H174" i="9" a="1"/>
  <c r="H174" i="9" s="1"/>
  <c r="H175" i="9" a="1"/>
  <c r="H175" i="9" s="1"/>
  <c r="H176" i="9" a="1"/>
  <c r="H176" i="9" s="1"/>
  <c r="H177" i="9" a="1"/>
  <c r="H177" i="9" s="1"/>
  <c r="H178" i="9" a="1"/>
  <c r="H178" i="9" s="1"/>
  <c r="H179" i="9" a="1"/>
  <c r="H179" i="9" s="1"/>
  <c r="H180" i="9" a="1"/>
  <c r="H180" i="9" s="1"/>
  <c r="H181" i="9" a="1"/>
  <c r="H181" i="9" s="1"/>
  <c r="H182" i="9" a="1"/>
  <c r="H182" i="9" s="1"/>
  <c r="H183" i="9" a="1"/>
  <c r="H183" i="9" s="1"/>
  <c r="H184" i="9" a="1"/>
  <c r="H184" i="9" s="1"/>
  <c r="H185" i="9" a="1"/>
  <c r="H185" i="9" s="1"/>
  <c r="H186" i="9" a="1"/>
  <c r="H186" i="9" s="1"/>
  <c r="H187" i="9" a="1"/>
  <c r="H187" i="9" s="1"/>
  <c r="H188" i="9" a="1"/>
  <c r="H188" i="9" s="1"/>
  <c r="H189" i="9" a="1"/>
  <c r="H189" i="9" s="1"/>
  <c r="H190" i="9" a="1"/>
  <c r="H190" i="9" s="1"/>
  <c r="H191" i="9" a="1"/>
  <c r="H191" i="9" s="1"/>
  <c r="H192" i="9" a="1"/>
  <c r="H192" i="9" s="1"/>
  <c r="H193" i="9" a="1"/>
  <c r="H193" i="9" s="1"/>
  <c r="H194" i="9" a="1"/>
  <c r="H194" i="9" s="1"/>
  <c r="H195" i="9" a="1"/>
  <c r="H195" i="9" s="1"/>
  <c r="H196" i="9" a="1"/>
  <c r="H196" i="9" s="1"/>
  <c r="H197" i="9" a="1"/>
  <c r="H197" i="9" s="1"/>
  <c r="H198" i="9" a="1"/>
  <c r="H198" i="9" s="1"/>
  <c r="H199" i="9" a="1"/>
  <c r="H199" i="9" s="1"/>
  <c r="H200" i="9" a="1"/>
  <c r="H200" i="9" s="1"/>
  <c r="H201" i="9" a="1"/>
  <c r="H201" i="9" s="1"/>
  <c r="H202" i="9" a="1"/>
  <c r="H202" i="9" s="1"/>
  <c r="H203" i="9" a="1"/>
  <c r="H203" i="9" s="1"/>
  <c r="H204" i="9" a="1"/>
  <c r="H204" i="9" s="1"/>
  <c r="H205" i="9" a="1"/>
  <c r="H205" i="9" s="1"/>
  <c r="H206" i="9" a="1"/>
  <c r="H206" i="9" s="1"/>
  <c r="H207" i="9" a="1"/>
  <c r="H207" i="9" s="1"/>
  <c r="H208" i="9" a="1"/>
  <c r="H208" i="9" s="1"/>
  <c r="H209" i="9" a="1"/>
  <c r="H209" i="9" s="1"/>
  <c r="H210" i="9" a="1"/>
  <c r="H210" i="9" s="1"/>
  <c r="H211" i="9" a="1"/>
  <c r="H211" i="9" s="1"/>
  <c r="H212" i="9" a="1"/>
  <c r="H212" i="9" s="1"/>
  <c r="H213" i="9" a="1"/>
  <c r="H213" i="9" s="1"/>
  <c r="H214" i="9" a="1"/>
  <c r="H214" i="9" s="1"/>
  <c r="H215" i="9" a="1"/>
  <c r="H215" i="9" s="1"/>
  <c r="H216" i="9" a="1"/>
  <c r="H216" i="9" s="1"/>
  <c r="H217" i="9" a="1"/>
  <c r="H217" i="9" s="1"/>
  <c r="H218" i="9" a="1"/>
  <c r="H218" i="9" s="1"/>
  <c r="H219" i="9" a="1"/>
  <c r="H219" i="9" s="1"/>
  <c r="H220" i="9" a="1"/>
  <c r="H220" i="9" s="1"/>
  <c r="H221" i="9" a="1"/>
  <c r="H221" i="9" s="1"/>
  <c r="H222" i="9" a="1"/>
  <c r="H222" i="9" s="1"/>
  <c r="H223" i="9" a="1"/>
  <c r="H223" i="9" s="1"/>
  <c r="H224" i="9" a="1"/>
  <c r="H224" i="9" s="1"/>
  <c r="H225" i="9" a="1"/>
  <c r="H225" i="9" s="1"/>
  <c r="H226" i="9" a="1"/>
  <c r="H226" i="9" s="1"/>
  <c r="H227" i="9" a="1"/>
  <c r="H227" i="9" s="1"/>
  <c r="H228" i="9" a="1"/>
  <c r="H228" i="9" s="1"/>
  <c r="H229" i="9" a="1"/>
  <c r="H229" i="9" s="1"/>
  <c r="H230" i="9" a="1"/>
  <c r="H230" i="9" s="1"/>
  <c r="H231" i="9" a="1"/>
  <c r="H231" i="9" s="1"/>
  <c r="H232" i="9" a="1"/>
  <c r="H232" i="9" s="1"/>
  <c r="H233" i="9" a="1"/>
  <c r="H233" i="9" s="1"/>
  <c r="H234" i="9" a="1"/>
  <c r="H234" i="9" s="1"/>
  <c r="H235" i="9" a="1"/>
  <c r="H235" i="9" s="1"/>
  <c r="H236" i="9" a="1"/>
  <c r="H236" i="9" s="1"/>
  <c r="H237" i="9" a="1"/>
  <c r="H237" i="9" s="1"/>
  <c r="H238" i="9" a="1"/>
  <c r="H238" i="9" s="1"/>
  <c r="H239" i="9" a="1"/>
  <c r="H239" i="9" s="1"/>
  <c r="H240" i="9" a="1"/>
  <c r="H240" i="9" s="1"/>
  <c r="H241" i="9" a="1"/>
  <c r="H241" i="9" s="1"/>
  <c r="H242" i="9" a="1"/>
  <c r="H242" i="9" s="1"/>
  <c r="H243" i="9" a="1"/>
  <c r="H243" i="9" s="1"/>
  <c r="H244" i="9" a="1"/>
  <c r="H244" i="9" s="1"/>
  <c r="H245" i="9" a="1"/>
  <c r="H245" i="9" s="1"/>
  <c r="H246" i="9" a="1"/>
  <c r="H246" i="9" s="1"/>
  <c r="H247" i="9" a="1"/>
  <c r="H247" i="9" s="1"/>
  <c r="H248" i="9" a="1"/>
  <c r="H248" i="9" s="1"/>
  <c r="H249" i="9" a="1"/>
  <c r="H249" i="9" s="1"/>
  <c r="H250" i="9" a="1"/>
  <c r="H250" i="9" s="1"/>
  <c r="H251" i="9" a="1"/>
  <c r="H251" i="9" s="1"/>
  <c r="H252" i="9" a="1"/>
  <c r="H252" i="9" s="1"/>
  <c r="H253" i="9" a="1"/>
  <c r="H253" i="9" s="1"/>
  <c r="H254" i="9" a="1"/>
  <c r="H254" i="9" s="1"/>
  <c r="H255" i="9" a="1"/>
  <c r="H255" i="9" s="1"/>
  <c r="H256" i="9" a="1"/>
  <c r="H256" i="9" s="1"/>
  <c r="H257" i="9" a="1"/>
  <c r="H257" i="9" s="1"/>
  <c r="H258" i="9" a="1"/>
  <c r="H258" i="9" s="1"/>
  <c r="H259" i="9" a="1"/>
  <c r="H259" i="9" s="1"/>
  <c r="H260" i="9" a="1"/>
  <c r="H260" i="9" s="1"/>
  <c r="H261" i="9" a="1"/>
  <c r="H261" i="9" s="1"/>
  <c r="H262" i="9" a="1"/>
  <c r="H262" i="9" s="1"/>
  <c r="H263" i="9" a="1"/>
  <c r="H263" i="9" s="1"/>
  <c r="H264" i="9" a="1"/>
  <c r="H264" i="9" s="1"/>
  <c r="H265" i="9" a="1"/>
  <c r="H265" i="9" s="1"/>
  <c r="H266" i="9" a="1"/>
  <c r="H266" i="9" s="1"/>
  <c r="H267" i="9" a="1"/>
  <c r="H267" i="9" s="1"/>
  <c r="H268" i="9" a="1"/>
  <c r="H268" i="9" s="1"/>
  <c r="H269" i="9" a="1"/>
  <c r="H269" i="9" s="1"/>
  <c r="H270" i="9" a="1"/>
  <c r="H270" i="9" s="1"/>
  <c r="H271" i="9" a="1"/>
  <c r="H271" i="9" s="1"/>
  <c r="H272" i="9" a="1"/>
  <c r="H272" i="9" s="1"/>
  <c r="H273" i="9" a="1"/>
  <c r="H273" i="9" s="1"/>
  <c r="H274" i="9" a="1"/>
  <c r="H274" i="9" s="1"/>
  <c r="H275" i="9" a="1"/>
  <c r="H275" i="9" s="1"/>
  <c r="H276" i="9" a="1"/>
  <c r="H276" i="9" s="1"/>
  <c r="H277" i="9" a="1"/>
  <c r="H277" i="9" s="1"/>
  <c r="H278" i="9" a="1"/>
  <c r="H278" i="9" s="1"/>
  <c r="H279" i="9" a="1"/>
  <c r="H279" i="9" s="1"/>
  <c r="H280" i="9" a="1"/>
  <c r="H280" i="9" s="1"/>
  <c r="H281" i="9" a="1"/>
  <c r="H281" i="9" s="1"/>
  <c r="H282" i="9" a="1"/>
  <c r="H282" i="9" s="1"/>
  <c r="H283" i="9" a="1"/>
  <c r="H283" i="9" s="1"/>
  <c r="H284" i="9" a="1"/>
  <c r="H284" i="9" s="1"/>
  <c r="H285" i="9" a="1"/>
  <c r="H285" i="9" s="1"/>
  <c r="H286" i="9" a="1"/>
  <c r="H286" i="9" s="1"/>
  <c r="H287" i="9" a="1"/>
  <c r="H287" i="9" s="1"/>
  <c r="H288" i="9" a="1"/>
  <c r="H288" i="9" s="1"/>
  <c r="H289" i="9" a="1"/>
  <c r="H289" i="9" s="1"/>
  <c r="H290" i="9" a="1"/>
  <c r="H290" i="9" s="1"/>
  <c r="H291" i="9" a="1"/>
  <c r="H291" i="9" s="1"/>
  <c r="H292" i="9" a="1"/>
  <c r="H292" i="9" s="1"/>
  <c r="H293" i="9" a="1"/>
  <c r="H293" i="9" s="1"/>
  <c r="H294" i="9" a="1"/>
  <c r="H294" i="9" s="1"/>
  <c r="H295" i="9" a="1"/>
  <c r="H295" i="9" s="1"/>
  <c r="H296" i="9" a="1"/>
  <c r="H296" i="9" s="1"/>
  <c r="H297" i="9" a="1"/>
  <c r="H297" i="9" s="1"/>
  <c r="H298" i="9" a="1"/>
  <c r="H298" i="9" s="1"/>
  <c r="H299" i="9" a="1"/>
  <c r="H299" i="9" s="1"/>
  <c r="H300" i="9" a="1"/>
  <c r="H300" i="9" s="1"/>
  <c r="H301" i="9" a="1"/>
  <c r="H301" i="9" s="1"/>
  <c r="H302" i="9" a="1"/>
  <c r="H302" i="9" s="1"/>
  <c r="H303" i="9" a="1"/>
  <c r="H303" i="9" s="1"/>
  <c r="H304" i="9" a="1"/>
  <c r="H304" i="9" s="1"/>
  <c r="H305" i="9" a="1"/>
  <c r="H305" i="9" s="1"/>
  <c r="H306" i="9" a="1"/>
  <c r="H306" i="9" s="1"/>
  <c r="H307" i="9" a="1"/>
  <c r="H307" i="9" s="1"/>
  <c r="H308" i="9" a="1"/>
  <c r="H308" i="9" s="1"/>
  <c r="H309" i="9" a="1"/>
  <c r="H309" i="9" s="1"/>
  <c r="H310" i="9" a="1"/>
  <c r="H310" i="9" s="1"/>
  <c r="H311" i="9" a="1"/>
  <c r="H311" i="9" s="1"/>
  <c r="H312" i="9" a="1"/>
  <c r="H312" i="9" s="1"/>
  <c r="H313" i="9" a="1"/>
  <c r="H313" i="9" s="1"/>
  <c r="H314" i="9" a="1"/>
  <c r="H314" i="9" s="1"/>
  <c r="H315" i="9" a="1"/>
  <c r="H315" i="9" s="1"/>
  <c r="H316" i="9" a="1"/>
  <c r="H316" i="9" s="1"/>
  <c r="H317" i="9" a="1"/>
  <c r="H317" i="9" s="1"/>
  <c r="H318" i="9" a="1"/>
  <c r="H318" i="9" s="1"/>
  <c r="H319" i="9" a="1"/>
  <c r="H319" i="9" s="1"/>
  <c r="H320" i="9" a="1"/>
  <c r="H320" i="9" s="1"/>
  <c r="H321" i="9" a="1"/>
  <c r="H321" i="9" s="1"/>
  <c r="H322" i="9" a="1"/>
  <c r="H322" i="9" s="1"/>
  <c r="H323" i="9" a="1"/>
  <c r="H323" i="9" s="1"/>
  <c r="H324" i="9" a="1"/>
  <c r="H324" i="9" s="1"/>
  <c r="H325" i="9" a="1"/>
  <c r="H325" i="9" s="1"/>
  <c r="H326" i="9" a="1"/>
  <c r="H326" i="9" s="1"/>
  <c r="H327" i="9" a="1"/>
  <c r="H327" i="9" s="1"/>
  <c r="H328" i="9" a="1"/>
  <c r="H328" i="9" s="1"/>
  <c r="H329" i="9" a="1"/>
  <c r="H329" i="9" s="1"/>
  <c r="H330" i="9" a="1"/>
  <c r="H330" i="9" s="1"/>
  <c r="H331" i="9" a="1"/>
  <c r="H331" i="9" s="1"/>
  <c r="H332" i="9" a="1"/>
  <c r="H332" i="9" s="1"/>
  <c r="H333" i="9" a="1"/>
  <c r="H333" i="9" s="1"/>
  <c r="H334" i="9" a="1"/>
  <c r="H334" i="9" s="1"/>
  <c r="H335" i="9" a="1"/>
  <c r="H335" i="9" s="1"/>
  <c r="H336" i="9" a="1"/>
  <c r="H336" i="9" s="1"/>
  <c r="H337" i="9" a="1"/>
  <c r="H337" i="9" s="1"/>
  <c r="H338" i="9" a="1"/>
  <c r="H338" i="9" s="1"/>
  <c r="H339" i="9" a="1"/>
  <c r="H339" i="9" s="1"/>
  <c r="H340" i="9" a="1"/>
  <c r="H340" i="9" s="1"/>
  <c r="H341" i="9" a="1"/>
  <c r="H341" i="9" s="1"/>
  <c r="H342" i="9" a="1"/>
  <c r="H342" i="9" s="1"/>
  <c r="H343" i="9" a="1"/>
  <c r="H343" i="9" s="1"/>
  <c r="H344" i="9" a="1"/>
  <c r="H344" i="9" s="1"/>
  <c r="H345" i="9" a="1"/>
  <c r="H345" i="9" s="1"/>
  <c r="H346" i="9" a="1"/>
  <c r="H346" i="9" s="1"/>
  <c r="H347" i="9" a="1"/>
  <c r="H347" i="9" s="1"/>
  <c r="H348" i="9" a="1"/>
  <c r="H348" i="9" s="1"/>
  <c r="H349" i="9" a="1"/>
  <c r="H349" i="9" s="1"/>
  <c r="H350" i="9" a="1"/>
  <c r="H350" i="9" s="1"/>
  <c r="H351" i="9" a="1"/>
  <c r="H351" i="9" s="1"/>
  <c r="H352" i="9" a="1"/>
  <c r="H352" i="9" s="1"/>
  <c r="H353" i="9" a="1"/>
  <c r="H353" i="9" s="1"/>
  <c r="H354" i="9" a="1"/>
  <c r="H354" i="9" s="1"/>
  <c r="H355" i="9" a="1"/>
  <c r="H355" i="9" s="1"/>
  <c r="H356" i="9" a="1"/>
  <c r="H356" i="9" s="1"/>
  <c r="H357" i="9" a="1"/>
  <c r="H357" i="9" s="1"/>
  <c r="H358" i="9" a="1"/>
  <c r="H358" i="9" s="1"/>
  <c r="H359" i="9" a="1"/>
  <c r="H359" i="9" s="1"/>
  <c r="H360" i="9" a="1"/>
  <c r="H360" i="9" s="1"/>
  <c r="H361" i="9" a="1"/>
  <c r="H361" i="9" s="1"/>
  <c r="H362" i="9" a="1"/>
  <c r="H362" i="9" s="1"/>
  <c r="H363" i="9" a="1"/>
  <c r="H363" i="9" s="1"/>
  <c r="H364" i="9" a="1"/>
  <c r="H364" i="9" s="1"/>
  <c r="H365" i="9" a="1"/>
  <c r="H365" i="9" s="1"/>
  <c r="H366" i="9" a="1"/>
  <c r="H366" i="9" s="1"/>
  <c r="H367" i="9" a="1"/>
  <c r="H367" i="9" s="1"/>
  <c r="H368" i="9" a="1"/>
  <c r="H368" i="9" s="1"/>
  <c r="H369" i="9" a="1"/>
  <c r="H369" i="9" s="1"/>
  <c r="H370" i="9" a="1"/>
  <c r="H370" i="9" s="1"/>
  <c r="H371" i="9" a="1"/>
  <c r="H371" i="9" s="1"/>
  <c r="H372" i="9" a="1"/>
  <c r="H372" i="9" s="1"/>
  <c r="H373" i="9" a="1"/>
  <c r="H373" i="9" s="1"/>
  <c r="H374" i="9" a="1"/>
  <c r="H374" i="9" s="1"/>
  <c r="H375" i="9" a="1"/>
  <c r="H375" i="9" s="1"/>
  <c r="H376" i="9" a="1"/>
  <c r="H376" i="9" s="1"/>
  <c r="H377" i="9" a="1"/>
  <c r="H377" i="9" s="1"/>
  <c r="H378" i="9" a="1"/>
  <c r="H378" i="9" s="1"/>
  <c r="H379" i="9" a="1"/>
  <c r="H379" i="9" s="1"/>
  <c r="H380" i="9" a="1"/>
  <c r="H380" i="9" s="1"/>
  <c r="H381" i="9" a="1"/>
  <c r="H381" i="9" s="1"/>
  <c r="H382" i="9" a="1"/>
  <c r="H382" i="9" s="1"/>
  <c r="H383" i="9" a="1"/>
  <c r="H383" i="9" s="1"/>
  <c r="H384" i="9" a="1"/>
  <c r="H384" i="9" s="1"/>
  <c r="H385" i="9" a="1"/>
  <c r="H385" i="9" s="1"/>
  <c r="H386" i="9" a="1"/>
  <c r="H386" i="9" s="1"/>
  <c r="H387" i="9" a="1"/>
  <c r="H387" i="9" s="1"/>
  <c r="H388" i="9" a="1"/>
  <c r="H388" i="9" s="1"/>
  <c r="H389" i="9" a="1"/>
  <c r="H389" i="9" s="1"/>
  <c r="H390" i="9" a="1"/>
  <c r="H390" i="9" s="1"/>
  <c r="H391" i="9" a="1"/>
  <c r="H391" i="9" s="1"/>
  <c r="H392" i="9" a="1"/>
  <c r="H392" i="9" s="1"/>
  <c r="H393" i="9" a="1"/>
  <c r="H393" i="9" s="1"/>
  <c r="H394" i="9" a="1"/>
  <c r="H394" i="9" s="1"/>
  <c r="H395" i="9" a="1"/>
  <c r="H395" i="9" s="1"/>
  <c r="H396" i="9" a="1"/>
  <c r="H396" i="9" s="1"/>
  <c r="H397" i="9" a="1"/>
  <c r="H397" i="9" s="1"/>
  <c r="H398" i="9" a="1"/>
  <c r="H398" i="9" s="1"/>
  <c r="H399" i="9" a="1"/>
  <c r="H399" i="9" s="1"/>
  <c r="H400" i="9" a="1"/>
  <c r="H400" i="9" s="1"/>
  <c r="H401" i="9" a="1"/>
  <c r="H401" i="9" s="1"/>
  <c r="H402" i="9" a="1"/>
  <c r="H402" i="9" s="1"/>
  <c r="H403" i="9" a="1"/>
  <c r="H403" i="9" s="1"/>
  <c r="H404" i="9" a="1"/>
  <c r="H404" i="9" s="1"/>
  <c r="H405" i="9" a="1"/>
  <c r="H405" i="9" s="1"/>
  <c r="H406" i="9" a="1"/>
  <c r="H406" i="9" s="1"/>
  <c r="H407" i="9" a="1"/>
  <c r="H407" i="9" s="1"/>
  <c r="H408" i="9" a="1"/>
  <c r="H408" i="9" s="1"/>
  <c r="H409" i="9" a="1"/>
  <c r="H409" i="9" s="1"/>
  <c r="H410" i="9" a="1"/>
  <c r="H410" i="9" s="1"/>
  <c r="H411" i="9" a="1"/>
  <c r="H411" i="9" s="1"/>
  <c r="H412" i="9" a="1"/>
  <c r="H412" i="9" s="1"/>
  <c r="H413" i="9" a="1"/>
  <c r="H413" i="9" s="1"/>
  <c r="H414" i="9" a="1"/>
  <c r="H414" i="9" s="1"/>
  <c r="H415" i="9" a="1"/>
  <c r="H415" i="9" s="1"/>
  <c r="H416" i="9" a="1"/>
  <c r="H416" i="9" s="1"/>
  <c r="H417" i="9" a="1"/>
  <c r="H417" i="9" s="1"/>
  <c r="H418" i="9" a="1"/>
  <c r="H418" i="9" s="1"/>
  <c r="H419" i="9" a="1"/>
  <c r="H419" i="9" s="1"/>
  <c r="H420" i="9" a="1"/>
  <c r="H420" i="9" s="1"/>
  <c r="H421" i="9" a="1"/>
  <c r="H421" i="9" s="1"/>
  <c r="H422" i="9" a="1"/>
  <c r="H422" i="9" s="1"/>
  <c r="H423" i="9" a="1"/>
  <c r="H423" i="9" s="1"/>
  <c r="H424" i="9" a="1"/>
  <c r="H424" i="9" s="1"/>
  <c r="H425" i="9" a="1"/>
  <c r="H425" i="9" s="1"/>
  <c r="H426" i="9" a="1"/>
  <c r="H426" i="9" s="1"/>
  <c r="H427" i="9" a="1"/>
  <c r="H427" i="9" s="1"/>
  <c r="H428" i="9" a="1"/>
  <c r="H428" i="9" s="1"/>
  <c r="H429" i="9" a="1"/>
  <c r="H429" i="9" s="1"/>
  <c r="H430" i="9" a="1"/>
  <c r="H430" i="9" s="1"/>
  <c r="H431" i="9" a="1"/>
  <c r="H431" i="9" s="1"/>
  <c r="H432" i="9" a="1"/>
  <c r="H432" i="9" s="1"/>
  <c r="H433" i="9" a="1"/>
  <c r="H433" i="9" s="1"/>
  <c r="H434" i="9" a="1"/>
  <c r="H434" i="9" s="1"/>
  <c r="H435" i="9" a="1"/>
  <c r="H435" i="9" s="1"/>
  <c r="H436" i="9" a="1"/>
  <c r="H436" i="9" s="1"/>
  <c r="H437" i="9" a="1"/>
  <c r="H437" i="9" s="1"/>
  <c r="H438" i="9" a="1"/>
  <c r="H438" i="9" s="1"/>
  <c r="H439" i="9" a="1"/>
  <c r="H439" i="9" s="1"/>
  <c r="H440" i="9" a="1"/>
  <c r="H440" i="9" s="1"/>
  <c r="H441" i="9" a="1"/>
  <c r="H441" i="9" s="1"/>
  <c r="H442" i="9" a="1"/>
  <c r="H442" i="9" s="1"/>
  <c r="H443" i="9" a="1"/>
  <c r="H443" i="9" s="1"/>
  <c r="H444" i="9" a="1"/>
  <c r="H444" i="9" s="1"/>
  <c r="H445" i="9" a="1"/>
  <c r="H445" i="9" s="1"/>
  <c r="H446" i="9" a="1"/>
  <c r="H446" i="9" s="1"/>
  <c r="H447" i="9" a="1"/>
  <c r="H447" i="9" s="1"/>
  <c r="H448" i="9" a="1"/>
  <c r="H448" i="9" s="1"/>
  <c r="H449" i="9" a="1"/>
  <c r="H449" i="9" s="1"/>
  <c r="H450" i="9" a="1"/>
  <c r="H450" i="9" s="1"/>
  <c r="H451" i="9" a="1"/>
  <c r="H451" i="9" s="1"/>
  <c r="H452" i="9" a="1"/>
  <c r="H452" i="9" s="1"/>
  <c r="H453" i="9" a="1"/>
  <c r="H453" i="9" s="1"/>
  <c r="H454" i="9" a="1"/>
  <c r="H454" i="9" s="1"/>
  <c r="H455" i="9" a="1"/>
  <c r="H455" i="9" s="1"/>
  <c r="H456" i="9" a="1"/>
  <c r="H456" i="9" s="1"/>
  <c r="H457" i="9" a="1"/>
  <c r="H457" i="9" s="1"/>
  <c r="H458" i="9" a="1"/>
  <c r="H458" i="9" s="1"/>
  <c r="H459" i="9" a="1"/>
  <c r="H459" i="9" s="1"/>
  <c r="H460" i="9" a="1"/>
  <c r="H460" i="9" s="1"/>
  <c r="H461" i="9" a="1"/>
  <c r="H461" i="9" s="1"/>
  <c r="H462" i="9" a="1"/>
  <c r="H462" i="9" s="1"/>
  <c r="H463" i="9" a="1"/>
  <c r="H463" i="9" s="1"/>
  <c r="H464" i="9" a="1"/>
  <c r="H464" i="9" s="1"/>
  <c r="H465" i="9" a="1"/>
  <c r="H465" i="9" s="1"/>
  <c r="H466" i="9" a="1"/>
  <c r="H466" i="9" s="1"/>
  <c r="H467" i="9" a="1"/>
  <c r="H467" i="9" s="1"/>
  <c r="H468" i="9" a="1"/>
  <c r="H468" i="9" s="1"/>
  <c r="H469" i="9" a="1"/>
  <c r="H469" i="9" s="1"/>
  <c r="H470" i="9" a="1"/>
  <c r="H470" i="9" s="1"/>
  <c r="H471" i="9" a="1"/>
  <c r="H471" i="9" s="1"/>
  <c r="H472" i="9" a="1"/>
  <c r="H472" i="9" s="1"/>
  <c r="H473" i="9" a="1"/>
  <c r="H473" i="9" s="1"/>
  <c r="H474" i="9" a="1"/>
  <c r="H474" i="9" s="1"/>
  <c r="H475" i="9" a="1"/>
  <c r="H475" i="9" s="1"/>
  <c r="H476" i="9" a="1"/>
  <c r="H476" i="9" s="1"/>
  <c r="H477" i="9" a="1"/>
  <c r="H477" i="9" s="1"/>
  <c r="H478" i="9" a="1"/>
  <c r="H478" i="9" s="1"/>
  <c r="H479" i="9" a="1"/>
  <c r="H479" i="9" s="1"/>
  <c r="H480" i="9" a="1"/>
  <c r="H480" i="9" s="1"/>
  <c r="H481" i="9" a="1"/>
  <c r="H481" i="9" s="1"/>
  <c r="H482" i="9" a="1"/>
  <c r="H482" i="9" s="1"/>
  <c r="H483" i="9" a="1"/>
  <c r="H483" i="9" s="1"/>
  <c r="H484" i="9" a="1"/>
  <c r="H484" i="9" s="1"/>
  <c r="H485" i="9" a="1"/>
  <c r="H485" i="9" s="1"/>
  <c r="H486" i="9" a="1"/>
  <c r="H486" i="9" s="1"/>
  <c r="H487" i="9" a="1"/>
  <c r="H487" i="9" s="1"/>
  <c r="H488" i="9" a="1"/>
  <c r="H488" i="9" s="1"/>
  <c r="H489" i="9" a="1"/>
  <c r="H489" i="9" s="1"/>
  <c r="H490" i="9" a="1"/>
  <c r="H490" i="9" s="1"/>
  <c r="H491" i="9" a="1"/>
  <c r="H491" i="9" s="1"/>
  <c r="H492" i="9" a="1"/>
  <c r="H492" i="9" s="1"/>
  <c r="H493" i="9" a="1"/>
  <c r="H493" i="9" s="1"/>
  <c r="H494" i="9" a="1"/>
  <c r="H494" i="9" s="1"/>
  <c r="H495" i="9" a="1"/>
  <c r="H495" i="9" s="1"/>
  <c r="H496" i="9" a="1"/>
  <c r="H496" i="9" s="1"/>
  <c r="H497" i="9" a="1"/>
  <c r="H497" i="9" s="1"/>
  <c r="H498" i="9" a="1"/>
  <c r="H498" i="9" s="1"/>
  <c r="H499" i="9" a="1"/>
  <c r="H499" i="9" s="1"/>
  <c r="H500" i="9" a="1"/>
  <c r="H500" i="9" s="1"/>
  <c r="H501" i="9" a="1"/>
  <c r="H501" i="9" s="1"/>
  <c r="H502" i="9" a="1"/>
  <c r="H502" i="9" s="1"/>
  <c r="H503" i="9" a="1"/>
  <c r="H503" i="9" s="1"/>
  <c r="G2" i="9" a="1"/>
  <c r="G2" i="9" s="1"/>
  <c r="G3" i="9" a="1"/>
  <c r="G3" i="9" s="1"/>
  <c r="G4" i="9" a="1"/>
  <c r="G4" i="9" s="1"/>
  <c r="G5" i="9" a="1"/>
  <c r="G5" i="9" s="1"/>
  <c r="G6" i="9" a="1"/>
  <c r="G6" i="9" s="1"/>
  <c r="G7" i="9" a="1"/>
  <c r="G7" i="9" s="1"/>
  <c r="G8" i="9" a="1"/>
  <c r="G8" i="9" s="1"/>
  <c r="G9" i="9" a="1"/>
  <c r="G9" i="9" s="1"/>
  <c r="G10" i="9" a="1"/>
  <c r="G10" i="9" s="1"/>
  <c r="G11" i="9" a="1"/>
  <c r="G11" i="9" s="1"/>
  <c r="G12" i="9" a="1"/>
  <c r="G12" i="9" s="1"/>
  <c r="G13" i="9" a="1"/>
  <c r="G13" i="9" s="1"/>
  <c r="G14" i="9" a="1"/>
  <c r="G14" i="9" s="1"/>
  <c r="G15" i="9" a="1"/>
  <c r="G15" i="9" s="1"/>
  <c r="G16" i="9" a="1"/>
  <c r="G16" i="9" s="1"/>
  <c r="G17" i="9" a="1"/>
  <c r="G17" i="9" s="1"/>
  <c r="G18" i="9" a="1"/>
  <c r="G18" i="9" s="1"/>
  <c r="G19" i="9" a="1"/>
  <c r="G19" i="9" s="1"/>
  <c r="G20" i="9" a="1"/>
  <c r="G20" i="9" s="1"/>
  <c r="G21" i="9" a="1"/>
  <c r="G21" i="9" s="1"/>
  <c r="G22" i="9" a="1"/>
  <c r="G22" i="9" s="1"/>
  <c r="G23" i="9" a="1"/>
  <c r="G23" i="9" s="1"/>
  <c r="G24" i="9" a="1"/>
  <c r="G24" i="9" s="1"/>
  <c r="G25" i="9" a="1"/>
  <c r="G25" i="9" s="1"/>
  <c r="G26" i="9" a="1"/>
  <c r="G26" i="9" s="1"/>
  <c r="G27" i="9" a="1"/>
  <c r="G27" i="9" s="1"/>
  <c r="G28" i="9" a="1"/>
  <c r="G28" i="9" s="1"/>
  <c r="G29" i="9" a="1"/>
  <c r="G29" i="9" s="1"/>
  <c r="G30" i="9" a="1"/>
  <c r="G30" i="9" s="1"/>
  <c r="G31" i="9" a="1"/>
  <c r="G31" i="9" s="1"/>
  <c r="G32" i="9" a="1"/>
  <c r="G32" i="9" s="1"/>
  <c r="G33" i="9" a="1"/>
  <c r="G33" i="9" s="1"/>
  <c r="G34" i="9" a="1"/>
  <c r="G34" i="9" s="1"/>
  <c r="G35" i="9" a="1"/>
  <c r="G35" i="9" s="1"/>
  <c r="G36" i="9" a="1"/>
  <c r="G36" i="9" s="1"/>
  <c r="G37" i="9" a="1"/>
  <c r="G37" i="9" s="1"/>
  <c r="G38" i="9" a="1"/>
  <c r="G38" i="9" s="1"/>
  <c r="G39" i="9" a="1"/>
  <c r="G39" i="9" s="1"/>
  <c r="G40" i="9" a="1"/>
  <c r="G40" i="9" s="1"/>
  <c r="G41" i="9" a="1"/>
  <c r="G41" i="9" s="1"/>
  <c r="G42" i="9" a="1"/>
  <c r="G42" i="9" s="1"/>
  <c r="G43" i="9" a="1"/>
  <c r="G43" i="9" s="1"/>
  <c r="G44" i="9" a="1"/>
  <c r="G44" i="9" s="1"/>
  <c r="G45" i="9" a="1"/>
  <c r="G45" i="9" s="1"/>
  <c r="G46" i="9" a="1"/>
  <c r="G46" i="9" s="1"/>
  <c r="G47" i="9" a="1"/>
  <c r="G47" i="9" s="1"/>
  <c r="G48" i="9" a="1"/>
  <c r="G48" i="9" s="1"/>
  <c r="G49" i="9" a="1"/>
  <c r="G49" i="9" s="1"/>
  <c r="G50" i="9" a="1"/>
  <c r="G50" i="9" s="1"/>
  <c r="G51" i="9" a="1"/>
  <c r="G51" i="9" s="1"/>
  <c r="G52" i="9" a="1"/>
  <c r="G52" i="9" s="1"/>
  <c r="G53" i="9" a="1"/>
  <c r="G53" i="9" s="1"/>
  <c r="G54" i="9" a="1"/>
  <c r="G54" i="9" s="1"/>
  <c r="G55" i="9" a="1"/>
  <c r="G55" i="9" s="1"/>
  <c r="G56" i="9" a="1"/>
  <c r="G56" i="9" s="1"/>
  <c r="G57" i="9" a="1"/>
  <c r="G57" i="9" s="1"/>
  <c r="G58" i="9" a="1"/>
  <c r="G58" i="9" s="1"/>
  <c r="G59" i="9" a="1"/>
  <c r="G59" i="9" s="1"/>
  <c r="G60" i="9" a="1"/>
  <c r="G60" i="9" s="1"/>
  <c r="G61" i="9" a="1"/>
  <c r="G61" i="9" s="1"/>
  <c r="G62" i="9" a="1"/>
  <c r="G62" i="9" s="1"/>
  <c r="G63" i="9" a="1"/>
  <c r="G63" i="9" s="1"/>
  <c r="G64" i="9" a="1"/>
  <c r="G64" i="9" s="1"/>
  <c r="G65" i="9" a="1"/>
  <c r="G65" i="9" s="1"/>
  <c r="G66" i="9" a="1"/>
  <c r="G66" i="9" s="1"/>
  <c r="G67" i="9" a="1"/>
  <c r="G67" i="9" s="1"/>
  <c r="G68" i="9" a="1"/>
  <c r="G68" i="9" s="1"/>
  <c r="G69" i="9" a="1"/>
  <c r="G69" i="9" s="1"/>
  <c r="G70" i="9" a="1"/>
  <c r="G70" i="9" s="1"/>
  <c r="G71" i="9" a="1"/>
  <c r="G71" i="9" s="1"/>
  <c r="G72" i="9" a="1"/>
  <c r="G72" i="9" s="1"/>
  <c r="G73" i="9" a="1"/>
  <c r="G73" i="9" s="1"/>
  <c r="G74" i="9" a="1"/>
  <c r="G74" i="9" s="1"/>
  <c r="G75" i="9" a="1"/>
  <c r="G75" i="9" s="1"/>
  <c r="G76" i="9" a="1"/>
  <c r="G76" i="9" s="1"/>
  <c r="G77" i="9" a="1"/>
  <c r="G77" i="9" s="1"/>
  <c r="G78" i="9" a="1"/>
  <c r="G78" i="9" s="1"/>
  <c r="G79" i="9" a="1"/>
  <c r="G79" i="9" s="1"/>
  <c r="G80" i="9" a="1"/>
  <c r="G80" i="9" s="1"/>
  <c r="G81" i="9" a="1"/>
  <c r="G81" i="9" s="1"/>
  <c r="G82" i="9" a="1"/>
  <c r="G82" i="9" s="1"/>
  <c r="G83" i="9" a="1"/>
  <c r="G83" i="9" s="1"/>
  <c r="G84" i="9" a="1"/>
  <c r="G84" i="9" s="1"/>
  <c r="G85" i="9" a="1"/>
  <c r="G85" i="9" s="1"/>
  <c r="G86" i="9" a="1"/>
  <c r="G86" i="9" s="1"/>
  <c r="G87" i="9" a="1"/>
  <c r="G87" i="9" s="1"/>
  <c r="G88" i="9" a="1"/>
  <c r="G88" i="9" s="1"/>
  <c r="G89" i="9" a="1"/>
  <c r="G89" i="9" s="1"/>
  <c r="G90" i="9" a="1"/>
  <c r="G90" i="9" s="1"/>
  <c r="G91" i="9" a="1"/>
  <c r="G91" i="9" s="1"/>
  <c r="G92" i="9" a="1"/>
  <c r="G92" i="9" s="1"/>
  <c r="G93" i="9" a="1"/>
  <c r="G93" i="9" s="1"/>
  <c r="G94" i="9" a="1"/>
  <c r="G94" i="9" s="1"/>
  <c r="G95" i="9" a="1"/>
  <c r="G95" i="9" s="1"/>
  <c r="G96" i="9" a="1"/>
  <c r="G96" i="9" s="1"/>
  <c r="G97" i="9" a="1"/>
  <c r="G97" i="9" s="1"/>
  <c r="G98" i="9" a="1"/>
  <c r="G98" i="9" s="1"/>
  <c r="G99" i="9" a="1"/>
  <c r="G99" i="9" s="1"/>
  <c r="G100" i="9" a="1"/>
  <c r="G100" i="9" s="1"/>
  <c r="G101" i="9" a="1"/>
  <c r="G101" i="9" s="1"/>
  <c r="G102" i="9" a="1"/>
  <c r="G102" i="9" s="1"/>
  <c r="G103" i="9" a="1"/>
  <c r="G103" i="9" s="1"/>
  <c r="G104" i="9" a="1"/>
  <c r="G104" i="9" s="1"/>
  <c r="G105" i="9" a="1"/>
  <c r="G105" i="9" s="1"/>
  <c r="G106" i="9" a="1"/>
  <c r="G106" i="9" s="1"/>
  <c r="G107" i="9" a="1"/>
  <c r="G107" i="9" s="1"/>
  <c r="G108" i="9" a="1"/>
  <c r="G108" i="9" s="1"/>
  <c r="G109" i="9" a="1"/>
  <c r="G109" i="9" s="1"/>
  <c r="G110" i="9" a="1"/>
  <c r="G110" i="9" s="1"/>
  <c r="G111" i="9" a="1"/>
  <c r="G111" i="9" s="1"/>
  <c r="G112" i="9" a="1"/>
  <c r="G112" i="9" s="1"/>
  <c r="G113" i="9" a="1"/>
  <c r="G113" i="9" s="1"/>
  <c r="G114" i="9" a="1"/>
  <c r="G114" i="9" s="1"/>
  <c r="G115" i="9" a="1"/>
  <c r="G115" i="9" s="1"/>
  <c r="G116" i="9" a="1"/>
  <c r="G116" i="9" s="1"/>
  <c r="G117" i="9" a="1"/>
  <c r="G117" i="9" s="1"/>
  <c r="G118" i="9" a="1"/>
  <c r="G118" i="9" s="1"/>
  <c r="G119" i="9" a="1"/>
  <c r="G119" i="9" s="1"/>
  <c r="G120" i="9" a="1"/>
  <c r="G120" i="9" s="1"/>
  <c r="G121" i="9" a="1"/>
  <c r="G121" i="9" s="1"/>
  <c r="G122" i="9" a="1"/>
  <c r="G122" i="9" s="1"/>
  <c r="G123" i="9" a="1"/>
  <c r="G123" i="9" s="1"/>
  <c r="G124" i="9" a="1"/>
  <c r="G124" i="9" s="1"/>
  <c r="G125" i="9" a="1"/>
  <c r="G125" i="9" s="1"/>
  <c r="G126" i="9" a="1"/>
  <c r="G126" i="9" s="1"/>
  <c r="G127" i="9" a="1"/>
  <c r="G127" i="9" s="1"/>
  <c r="G128" i="9" a="1"/>
  <c r="G128" i="9" s="1"/>
  <c r="G129" i="9" a="1"/>
  <c r="G129" i="9" s="1"/>
  <c r="G130" i="9" a="1"/>
  <c r="G130" i="9" s="1"/>
  <c r="G131" i="9" a="1"/>
  <c r="G131" i="9" s="1"/>
  <c r="G132" i="9" a="1"/>
  <c r="G132" i="9" s="1"/>
  <c r="G133" i="9" a="1"/>
  <c r="G133" i="9" s="1"/>
  <c r="G134" i="9" a="1"/>
  <c r="G134" i="9" s="1"/>
  <c r="G135" i="9" a="1"/>
  <c r="G135" i="9" s="1"/>
  <c r="G136" i="9" a="1"/>
  <c r="G136" i="9" s="1"/>
  <c r="G137" i="9" a="1"/>
  <c r="G137" i="9" s="1"/>
  <c r="G138" i="9" a="1"/>
  <c r="G138" i="9" s="1"/>
  <c r="G139" i="9" a="1"/>
  <c r="G139" i="9" s="1"/>
  <c r="G140" i="9" a="1"/>
  <c r="G140" i="9" s="1"/>
  <c r="G141" i="9" a="1"/>
  <c r="G141" i="9" s="1"/>
  <c r="G142" i="9" a="1"/>
  <c r="G142" i="9" s="1"/>
  <c r="G143" i="9" a="1"/>
  <c r="G143" i="9" s="1"/>
  <c r="G144" i="9" a="1"/>
  <c r="G144" i="9" s="1"/>
  <c r="G145" i="9" a="1"/>
  <c r="G145" i="9" s="1"/>
  <c r="G146" i="9" a="1"/>
  <c r="G146" i="9" s="1"/>
  <c r="G147" i="9" a="1"/>
  <c r="G147" i="9" s="1"/>
  <c r="G148" i="9" a="1"/>
  <c r="G148" i="9" s="1"/>
  <c r="G149" i="9" a="1"/>
  <c r="G149" i="9" s="1"/>
  <c r="G150" i="9" a="1"/>
  <c r="G150" i="9" s="1"/>
  <c r="G151" i="9" a="1"/>
  <c r="G151" i="9" s="1"/>
  <c r="G152" i="9" a="1"/>
  <c r="G152" i="9" s="1"/>
  <c r="G153" i="9" a="1"/>
  <c r="G153" i="9" s="1"/>
  <c r="G154" i="9" a="1"/>
  <c r="G154" i="9" s="1"/>
  <c r="G155" i="9" a="1"/>
  <c r="G155" i="9" s="1"/>
  <c r="G156" i="9" a="1"/>
  <c r="G156" i="9" s="1"/>
  <c r="G157" i="9" a="1"/>
  <c r="G157" i="9" s="1"/>
  <c r="G158" i="9" a="1"/>
  <c r="G158" i="9" s="1"/>
  <c r="G159" i="9" a="1"/>
  <c r="G159" i="9" s="1"/>
  <c r="G160" i="9" a="1"/>
  <c r="G160" i="9" s="1"/>
  <c r="G161" i="9" a="1"/>
  <c r="G161" i="9" s="1"/>
  <c r="G162" i="9" a="1"/>
  <c r="G162" i="9" s="1"/>
  <c r="G163" i="9" a="1"/>
  <c r="G163" i="9" s="1"/>
  <c r="G164" i="9" a="1"/>
  <c r="G164" i="9" s="1"/>
  <c r="G165" i="9" a="1"/>
  <c r="G165" i="9" s="1"/>
  <c r="G166" i="9" a="1"/>
  <c r="G166" i="9" s="1"/>
  <c r="G167" i="9" a="1"/>
  <c r="G167" i="9" s="1"/>
  <c r="G168" i="9" a="1"/>
  <c r="G168" i="9" s="1"/>
  <c r="G169" i="9" a="1"/>
  <c r="G169" i="9" s="1"/>
  <c r="G170" i="9" a="1"/>
  <c r="G170" i="9" s="1"/>
  <c r="G171" i="9" a="1"/>
  <c r="G171" i="9" s="1"/>
  <c r="G172" i="9" a="1"/>
  <c r="G172" i="9" s="1"/>
  <c r="G173" i="9" a="1"/>
  <c r="G173" i="9" s="1"/>
  <c r="G174" i="9" a="1"/>
  <c r="G174" i="9" s="1"/>
  <c r="G175" i="9" a="1"/>
  <c r="G175" i="9" s="1"/>
  <c r="G176" i="9" a="1"/>
  <c r="G176" i="9" s="1"/>
  <c r="G177" i="9" a="1"/>
  <c r="G177" i="9" s="1"/>
  <c r="G178" i="9" a="1"/>
  <c r="G178" i="9" s="1"/>
  <c r="G179" i="9" a="1"/>
  <c r="G179" i="9" s="1"/>
  <c r="G180" i="9" a="1"/>
  <c r="G180" i="9" s="1"/>
  <c r="G181" i="9" a="1"/>
  <c r="G181" i="9" s="1"/>
  <c r="G182" i="9" a="1"/>
  <c r="G182" i="9" s="1"/>
  <c r="G183" i="9" a="1"/>
  <c r="G183" i="9" s="1"/>
  <c r="G184" i="9" a="1"/>
  <c r="G184" i="9" s="1"/>
  <c r="G185" i="9" a="1"/>
  <c r="G185" i="9" s="1"/>
  <c r="G186" i="9" a="1"/>
  <c r="G186" i="9" s="1"/>
  <c r="G187" i="9" a="1"/>
  <c r="G187" i="9" s="1"/>
  <c r="G188" i="9" a="1"/>
  <c r="G188" i="9" s="1"/>
  <c r="G189" i="9" a="1"/>
  <c r="G189" i="9" s="1"/>
  <c r="G190" i="9" a="1"/>
  <c r="G190" i="9" s="1"/>
  <c r="G191" i="9" a="1"/>
  <c r="G191" i="9" s="1"/>
  <c r="G192" i="9" a="1"/>
  <c r="G192" i="9" s="1"/>
  <c r="G193" i="9" a="1"/>
  <c r="G193" i="9" s="1"/>
  <c r="G194" i="9" a="1"/>
  <c r="G194" i="9" s="1"/>
  <c r="G195" i="9" a="1"/>
  <c r="G195" i="9" s="1"/>
  <c r="G196" i="9" a="1"/>
  <c r="G196" i="9" s="1"/>
  <c r="G197" i="9" a="1"/>
  <c r="G197" i="9" s="1"/>
  <c r="G198" i="9" a="1"/>
  <c r="G198" i="9" s="1"/>
  <c r="G199" i="9" a="1"/>
  <c r="G199" i="9" s="1"/>
  <c r="G200" i="9" a="1"/>
  <c r="G200" i="9" s="1"/>
  <c r="G201" i="9" a="1"/>
  <c r="G201" i="9" s="1"/>
  <c r="G202" i="9" a="1"/>
  <c r="G202" i="9" s="1"/>
  <c r="G203" i="9" a="1"/>
  <c r="G203" i="9" s="1"/>
  <c r="G204" i="9" a="1"/>
  <c r="G204" i="9" s="1"/>
  <c r="G205" i="9" a="1"/>
  <c r="G205" i="9" s="1"/>
  <c r="G206" i="9" a="1"/>
  <c r="G206" i="9" s="1"/>
  <c r="G207" i="9" a="1"/>
  <c r="G207" i="9" s="1"/>
  <c r="G208" i="9" a="1"/>
  <c r="G208" i="9" s="1"/>
  <c r="G209" i="9" a="1"/>
  <c r="G209" i="9" s="1"/>
  <c r="G210" i="9" a="1"/>
  <c r="G210" i="9" s="1"/>
  <c r="G211" i="9" a="1"/>
  <c r="G211" i="9" s="1"/>
  <c r="G212" i="9" a="1"/>
  <c r="G212" i="9" s="1"/>
  <c r="G213" i="9" a="1"/>
  <c r="G213" i="9" s="1"/>
  <c r="G214" i="9" a="1"/>
  <c r="G214" i="9" s="1"/>
  <c r="G215" i="9" a="1"/>
  <c r="G215" i="9" s="1"/>
  <c r="G216" i="9" a="1"/>
  <c r="G216" i="9" s="1"/>
  <c r="G217" i="9" a="1"/>
  <c r="G217" i="9" s="1"/>
  <c r="G218" i="9" a="1"/>
  <c r="G218" i="9" s="1"/>
  <c r="G219" i="9" a="1"/>
  <c r="G219" i="9" s="1"/>
  <c r="G220" i="9" a="1"/>
  <c r="G220" i="9" s="1"/>
  <c r="G221" i="9" a="1"/>
  <c r="G221" i="9" s="1"/>
  <c r="G222" i="9" a="1"/>
  <c r="G222" i="9" s="1"/>
  <c r="G223" i="9" a="1"/>
  <c r="G223" i="9" s="1"/>
  <c r="G224" i="9" a="1"/>
  <c r="G224" i="9" s="1"/>
  <c r="G225" i="9" a="1"/>
  <c r="G225" i="9" s="1"/>
  <c r="G226" i="9" a="1"/>
  <c r="G226" i="9" s="1"/>
  <c r="G227" i="9" a="1"/>
  <c r="G227" i="9" s="1"/>
  <c r="G228" i="9" a="1"/>
  <c r="G228" i="9" s="1"/>
  <c r="G229" i="9" a="1"/>
  <c r="G229" i="9" s="1"/>
  <c r="G230" i="9" a="1"/>
  <c r="G230" i="9" s="1"/>
  <c r="G231" i="9" a="1"/>
  <c r="G231" i="9" s="1"/>
  <c r="G232" i="9" a="1"/>
  <c r="G232" i="9" s="1"/>
  <c r="G233" i="9" a="1"/>
  <c r="G233" i="9" s="1"/>
  <c r="G234" i="9" a="1"/>
  <c r="G234" i="9" s="1"/>
  <c r="G235" i="9" a="1"/>
  <c r="G235" i="9" s="1"/>
  <c r="G236" i="9" a="1"/>
  <c r="G236" i="9" s="1"/>
  <c r="G237" i="9" a="1"/>
  <c r="G237" i="9" s="1"/>
  <c r="G238" i="9" a="1"/>
  <c r="G238" i="9" s="1"/>
  <c r="G239" i="9" a="1"/>
  <c r="G239" i="9" s="1"/>
  <c r="G240" i="9" a="1"/>
  <c r="G240" i="9" s="1"/>
  <c r="G241" i="9" a="1"/>
  <c r="G241" i="9" s="1"/>
  <c r="G242" i="9" a="1"/>
  <c r="G242" i="9" s="1"/>
  <c r="G243" i="9" a="1"/>
  <c r="G243" i="9" s="1"/>
  <c r="G244" i="9" a="1"/>
  <c r="G244" i="9" s="1"/>
  <c r="G245" i="9" a="1"/>
  <c r="G245" i="9" s="1"/>
  <c r="G246" i="9" a="1"/>
  <c r="G246" i="9" s="1"/>
  <c r="G247" i="9" a="1"/>
  <c r="G247" i="9" s="1"/>
  <c r="G248" i="9" a="1"/>
  <c r="G248" i="9" s="1"/>
  <c r="G249" i="9" a="1"/>
  <c r="G249" i="9" s="1"/>
  <c r="G250" i="9" a="1"/>
  <c r="G250" i="9" s="1"/>
  <c r="G251" i="9" a="1"/>
  <c r="G251" i="9" s="1"/>
  <c r="G252" i="9" a="1"/>
  <c r="G252" i="9" s="1"/>
  <c r="G253" i="9" a="1"/>
  <c r="G253" i="9" s="1"/>
  <c r="G254" i="9" a="1"/>
  <c r="G254" i="9" s="1"/>
  <c r="G255" i="9" a="1"/>
  <c r="G255" i="9" s="1"/>
  <c r="G256" i="9" a="1"/>
  <c r="G256" i="9" s="1"/>
  <c r="G257" i="9" a="1"/>
  <c r="G257" i="9" s="1"/>
  <c r="G258" i="9" a="1"/>
  <c r="G258" i="9" s="1"/>
  <c r="G259" i="9" a="1"/>
  <c r="G259" i="9" s="1"/>
  <c r="G260" i="9" a="1"/>
  <c r="G260" i="9" s="1"/>
  <c r="G261" i="9" a="1"/>
  <c r="G261" i="9" s="1"/>
  <c r="G262" i="9" a="1"/>
  <c r="G262" i="9" s="1"/>
  <c r="G263" i="9" a="1"/>
  <c r="G263" i="9" s="1"/>
  <c r="G264" i="9" a="1"/>
  <c r="G264" i="9" s="1"/>
  <c r="G265" i="9" a="1"/>
  <c r="G265" i="9" s="1"/>
  <c r="G266" i="9" a="1"/>
  <c r="G266" i="9" s="1"/>
  <c r="G267" i="9" a="1"/>
  <c r="G267" i="9" s="1"/>
  <c r="G268" i="9" a="1"/>
  <c r="G268" i="9" s="1"/>
  <c r="G269" i="9" a="1"/>
  <c r="G269" i="9" s="1"/>
  <c r="G270" i="9" a="1"/>
  <c r="G270" i="9" s="1"/>
  <c r="G271" i="9" a="1"/>
  <c r="G271" i="9" s="1"/>
  <c r="G272" i="9" a="1"/>
  <c r="G272" i="9" s="1"/>
  <c r="G273" i="9" a="1"/>
  <c r="G273" i="9" s="1"/>
  <c r="G274" i="9" a="1"/>
  <c r="G274" i="9" s="1"/>
  <c r="G275" i="9" a="1"/>
  <c r="G275" i="9" s="1"/>
  <c r="G276" i="9" a="1"/>
  <c r="G276" i="9" s="1"/>
  <c r="G277" i="9" a="1"/>
  <c r="G277" i="9" s="1"/>
  <c r="G278" i="9" a="1"/>
  <c r="G278" i="9" s="1"/>
  <c r="G279" i="9" a="1"/>
  <c r="G279" i="9" s="1"/>
  <c r="G280" i="9" a="1"/>
  <c r="G280" i="9" s="1"/>
  <c r="G281" i="9" a="1"/>
  <c r="G281" i="9" s="1"/>
  <c r="G282" i="9" a="1"/>
  <c r="G282" i="9" s="1"/>
  <c r="G283" i="9" a="1"/>
  <c r="G283" i="9" s="1"/>
  <c r="G284" i="9" a="1"/>
  <c r="G284" i="9" s="1"/>
  <c r="G285" i="9" a="1"/>
  <c r="G285" i="9" s="1"/>
  <c r="G286" i="9" a="1"/>
  <c r="G286" i="9" s="1"/>
  <c r="G287" i="9" a="1"/>
  <c r="G287" i="9" s="1"/>
  <c r="G288" i="9" a="1"/>
  <c r="G288" i="9" s="1"/>
  <c r="G289" i="9" a="1"/>
  <c r="G289" i="9" s="1"/>
  <c r="G290" i="9" a="1"/>
  <c r="G290" i="9" s="1"/>
  <c r="G291" i="9" a="1"/>
  <c r="G291" i="9" s="1"/>
  <c r="G292" i="9" a="1"/>
  <c r="G292" i="9" s="1"/>
  <c r="G293" i="9" a="1"/>
  <c r="G293" i="9" s="1"/>
  <c r="G294" i="9" a="1"/>
  <c r="G294" i="9" s="1"/>
  <c r="G295" i="9" a="1"/>
  <c r="G295" i="9" s="1"/>
  <c r="G296" i="9" a="1"/>
  <c r="G296" i="9" s="1"/>
  <c r="G297" i="9" a="1"/>
  <c r="G297" i="9" s="1"/>
  <c r="G298" i="9" a="1"/>
  <c r="G298" i="9" s="1"/>
  <c r="G299" i="9" a="1"/>
  <c r="G299" i="9" s="1"/>
  <c r="G300" i="9" a="1"/>
  <c r="G300" i="9" s="1"/>
  <c r="G301" i="9" a="1"/>
  <c r="G301" i="9" s="1"/>
  <c r="G302" i="9" a="1"/>
  <c r="G302" i="9" s="1"/>
  <c r="G303" i="9" a="1"/>
  <c r="G303" i="9" s="1"/>
  <c r="G304" i="9" a="1"/>
  <c r="G304" i="9" s="1"/>
  <c r="G305" i="9" a="1"/>
  <c r="G305" i="9" s="1"/>
  <c r="G306" i="9" a="1"/>
  <c r="G306" i="9" s="1"/>
  <c r="G307" i="9" a="1"/>
  <c r="G307" i="9" s="1"/>
  <c r="G308" i="9" a="1"/>
  <c r="G308" i="9" s="1"/>
  <c r="G309" i="9" a="1"/>
  <c r="G309" i="9" s="1"/>
  <c r="G310" i="9" a="1"/>
  <c r="G310" i="9" s="1"/>
  <c r="G311" i="9" a="1"/>
  <c r="G311" i="9" s="1"/>
  <c r="G312" i="9" a="1"/>
  <c r="G312" i="9" s="1"/>
  <c r="G313" i="9" a="1"/>
  <c r="G313" i="9" s="1"/>
  <c r="G314" i="9" a="1"/>
  <c r="G314" i="9" s="1"/>
  <c r="G315" i="9" a="1"/>
  <c r="G315" i="9" s="1"/>
  <c r="G316" i="9" a="1"/>
  <c r="G316" i="9" s="1"/>
  <c r="G317" i="9" a="1"/>
  <c r="G317" i="9" s="1"/>
  <c r="G318" i="9" a="1"/>
  <c r="G318" i="9" s="1"/>
  <c r="G319" i="9" a="1"/>
  <c r="G319" i="9" s="1"/>
  <c r="G320" i="9" a="1"/>
  <c r="G320" i="9" s="1"/>
  <c r="G321" i="9" a="1"/>
  <c r="G321" i="9" s="1"/>
  <c r="G322" i="9" a="1"/>
  <c r="G322" i="9" s="1"/>
  <c r="G323" i="9" a="1"/>
  <c r="G323" i="9" s="1"/>
  <c r="G324" i="9" a="1"/>
  <c r="G324" i="9" s="1"/>
  <c r="G325" i="9" a="1"/>
  <c r="G325" i="9" s="1"/>
  <c r="G326" i="9" a="1"/>
  <c r="G326" i="9" s="1"/>
  <c r="G327" i="9" a="1"/>
  <c r="G327" i="9" s="1"/>
  <c r="G328" i="9" a="1"/>
  <c r="G328" i="9" s="1"/>
  <c r="G329" i="9" a="1"/>
  <c r="G329" i="9" s="1"/>
  <c r="G330" i="9" a="1"/>
  <c r="G330" i="9" s="1"/>
  <c r="G331" i="9" a="1"/>
  <c r="G331" i="9" s="1"/>
  <c r="G332" i="9" a="1"/>
  <c r="G332" i="9" s="1"/>
  <c r="G333" i="9" a="1"/>
  <c r="G333" i="9" s="1"/>
  <c r="G334" i="9" a="1"/>
  <c r="G334" i="9" s="1"/>
  <c r="G335" i="9" a="1"/>
  <c r="G335" i="9" s="1"/>
  <c r="G336" i="9" a="1"/>
  <c r="G336" i="9" s="1"/>
  <c r="G337" i="9" a="1"/>
  <c r="G337" i="9" s="1"/>
  <c r="G338" i="9" a="1"/>
  <c r="G338" i="9" s="1"/>
  <c r="G339" i="9" a="1"/>
  <c r="G339" i="9" s="1"/>
  <c r="G340" i="9" a="1"/>
  <c r="G340" i="9" s="1"/>
  <c r="G341" i="9" a="1"/>
  <c r="G341" i="9" s="1"/>
  <c r="G342" i="9" a="1"/>
  <c r="G342" i="9" s="1"/>
  <c r="G343" i="9" a="1"/>
  <c r="G343" i="9" s="1"/>
  <c r="G344" i="9" a="1"/>
  <c r="G344" i="9" s="1"/>
  <c r="G345" i="9" a="1"/>
  <c r="G345" i="9" s="1"/>
  <c r="G346" i="9" a="1"/>
  <c r="G346" i="9" s="1"/>
  <c r="G347" i="9" a="1"/>
  <c r="G347" i="9" s="1"/>
  <c r="G348" i="9" a="1"/>
  <c r="G348" i="9" s="1"/>
  <c r="G349" i="9" a="1"/>
  <c r="G349" i="9" s="1"/>
  <c r="G350" i="9" a="1"/>
  <c r="G350" i="9" s="1"/>
  <c r="G351" i="9" a="1"/>
  <c r="G351" i="9" s="1"/>
  <c r="G352" i="9" a="1"/>
  <c r="G352" i="9" s="1"/>
  <c r="G353" i="9" a="1"/>
  <c r="G353" i="9" s="1"/>
  <c r="G354" i="9" a="1"/>
  <c r="G354" i="9" s="1"/>
  <c r="G355" i="9" a="1"/>
  <c r="G355" i="9" s="1"/>
  <c r="G356" i="9" a="1"/>
  <c r="G356" i="9" s="1"/>
  <c r="G357" i="9" a="1"/>
  <c r="G357" i="9" s="1"/>
  <c r="G358" i="9" a="1"/>
  <c r="G358" i="9" s="1"/>
  <c r="G359" i="9" a="1"/>
  <c r="G359" i="9" s="1"/>
  <c r="G360" i="9" a="1"/>
  <c r="G360" i="9" s="1"/>
  <c r="G361" i="9" a="1"/>
  <c r="G361" i="9" s="1"/>
  <c r="G362" i="9" a="1"/>
  <c r="G362" i="9" s="1"/>
  <c r="G363" i="9" a="1"/>
  <c r="G363" i="9" s="1"/>
  <c r="G364" i="9" a="1"/>
  <c r="G364" i="9" s="1"/>
  <c r="G365" i="9" a="1"/>
  <c r="G365" i="9" s="1"/>
  <c r="G366" i="9" a="1"/>
  <c r="G366" i="9" s="1"/>
  <c r="G367" i="9" a="1"/>
  <c r="G367" i="9" s="1"/>
  <c r="G368" i="9" a="1"/>
  <c r="G368" i="9" s="1"/>
  <c r="G369" i="9" a="1"/>
  <c r="G369" i="9" s="1"/>
  <c r="G370" i="9" a="1"/>
  <c r="G370" i="9" s="1"/>
  <c r="G371" i="9" a="1"/>
  <c r="G371" i="9" s="1"/>
  <c r="G372" i="9" a="1"/>
  <c r="G372" i="9" s="1"/>
  <c r="G373" i="9" a="1"/>
  <c r="G373" i="9" s="1"/>
  <c r="G374" i="9" a="1"/>
  <c r="G374" i="9" s="1"/>
  <c r="G375" i="9" a="1"/>
  <c r="G375" i="9" s="1"/>
  <c r="G376" i="9" a="1"/>
  <c r="G376" i="9" s="1"/>
  <c r="G377" i="9" a="1"/>
  <c r="G377" i="9" s="1"/>
  <c r="G378" i="9" a="1"/>
  <c r="G378" i="9" s="1"/>
  <c r="G379" i="9" a="1"/>
  <c r="G379" i="9" s="1"/>
  <c r="G380" i="9" a="1"/>
  <c r="G380" i="9" s="1"/>
  <c r="G381" i="9" a="1"/>
  <c r="G381" i="9" s="1"/>
  <c r="G382" i="9" a="1"/>
  <c r="G382" i="9" s="1"/>
  <c r="G383" i="9" a="1"/>
  <c r="G383" i="9" s="1"/>
  <c r="G384" i="9" a="1"/>
  <c r="G384" i="9" s="1"/>
  <c r="G385" i="9" a="1"/>
  <c r="G385" i="9" s="1"/>
  <c r="G386" i="9" a="1"/>
  <c r="G386" i="9" s="1"/>
  <c r="G387" i="9" a="1"/>
  <c r="G387" i="9" s="1"/>
  <c r="G388" i="9" a="1"/>
  <c r="G388" i="9" s="1"/>
  <c r="G389" i="9" a="1"/>
  <c r="G389" i="9" s="1"/>
  <c r="G390" i="9" a="1"/>
  <c r="G390" i="9" s="1"/>
  <c r="G391" i="9" a="1"/>
  <c r="G391" i="9" s="1"/>
  <c r="G392" i="9" a="1"/>
  <c r="G392" i="9" s="1"/>
  <c r="G393" i="9" a="1"/>
  <c r="G393" i="9" s="1"/>
  <c r="G394" i="9" a="1"/>
  <c r="G394" i="9" s="1"/>
  <c r="G395" i="9" a="1"/>
  <c r="G395" i="9" s="1"/>
  <c r="G396" i="9" a="1"/>
  <c r="G396" i="9" s="1"/>
  <c r="G397" i="9" a="1"/>
  <c r="G397" i="9" s="1"/>
  <c r="G398" i="9" a="1"/>
  <c r="G398" i="9" s="1"/>
  <c r="G399" i="9" a="1"/>
  <c r="G399" i="9" s="1"/>
  <c r="G400" i="9" a="1"/>
  <c r="G400" i="9" s="1"/>
  <c r="G401" i="9" a="1"/>
  <c r="G401" i="9" s="1"/>
  <c r="G402" i="9" a="1"/>
  <c r="G402" i="9" s="1"/>
  <c r="G403" i="9" a="1"/>
  <c r="G403" i="9" s="1"/>
  <c r="G404" i="9" a="1"/>
  <c r="G404" i="9" s="1"/>
  <c r="G405" i="9" a="1"/>
  <c r="G405" i="9" s="1"/>
  <c r="G406" i="9" a="1"/>
  <c r="G406" i="9" s="1"/>
  <c r="G407" i="9" a="1"/>
  <c r="G407" i="9" s="1"/>
  <c r="G408" i="9" a="1"/>
  <c r="G408" i="9" s="1"/>
  <c r="G409" i="9" a="1"/>
  <c r="G409" i="9" s="1"/>
  <c r="G410" i="9" a="1"/>
  <c r="G410" i="9" s="1"/>
  <c r="G411" i="9" a="1"/>
  <c r="G411" i="9" s="1"/>
  <c r="G412" i="9" a="1"/>
  <c r="G412" i="9" s="1"/>
  <c r="G413" i="9" a="1"/>
  <c r="G413" i="9" s="1"/>
  <c r="G414" i="9" a="1"/>
  <c r="G414" i="9" s="1"/>
  <c r="G415" i="9" a="1"/>
  <c r="G415" i="9" s="1"/>
  <c r="G416" i="9" a="1"/>
  <c r="G416" i="9" s="1"/>
  <c r="G417" i="9" a="1"/>
  <c r="G417" i="9" s="1"/>
  <c r="G418" i="9" a="1"/>
  <c r="G418" i="9" s="1"/>
  <c r="G419" i="9" a="1"/>
  <c r="G419" i="9" s="1"/>
  <c r="G420" i="9" a="1"/>
  <c r="G420" i="9" s="1"/>
  <c r="G421" i="9" a="1"/>
  <c r="G421" i="9" s="1"/>
  <c r="G422" i="9" a="1"/>
  <c r="G422" i="9" s="1"/>
  <c r="G423" i="9" a="1"/>
  <c r="G423" i="9" s="1"/>
  <c r="G424" i="9" a="1"/>
  <c r="G424" i="9" s="1"/>
  <c r="G425" i="9" a="1"/>
  <c r="G425" i="9" s="1"/>
  <c r="G426" i="9" a="1"/>
  <c r="G426" i="9" s="1"/>
  <c r="G427" i="9" a="1"/>
  <c r="G427" i="9" s="1"/>
  <c r="G428" i="9" a="1"/>
  <c r="G428" i="9" s="1"/>
  <c r="G429" i="9" a="1"/>
  <c r="G429" i="9" s="1"/>
  <c r="G430" i="9" a="1"/>
  <c r="G430" i="9" s="1"/>
  <c r="G431" i="9" a="1"/>
  <c r="G431" i="9" s="1"/>
  <c r="G432" i="9" a="1"/>
  <c r="G432" i="9" s="1"/>
  <c r="G433" i="9" a="1"/>
  <c r="G433" i="9" s="1"/>
  <c r="G434" i="9" a="1"/>
  <c r="G434" i="9" s="1"/>
  <c r="G435" i="9" a="1"/>
  <c r="G435" i="9" s="1"/>
  <c r="G436" i="9" a="1"/>
  <c r="G436" i="9" s="1"/>
  <c r="G437" i="9" a="1"/>
  <c r="G437" i="9" s="1"/>
  <c r="G438" i="9" a="1"/>
  <c r="G438" i="9" s="1"/>
  <c r="G439" i="9" a="1"/>
  <c r="G439" i="9" s="1"/>
  <c r="G440" i="9" a="1"/>
  <c r="G440" i="9" s="1"/>
  <c r="G441" i="9" a="1"/>
  <c r="G441" i="9" s="1"/>
  <c r="G442" i="9" a="1"/>
  <c r="G442" i="9" s="1"/>
  <c r="G443" i="9" a="1"/>
  <c r="G443" i="9" s="1"/>
  <c r="G444" i="9" a="1"/>
  <c r="G444" i="9" s="1"/>
  <c r="G445" i="9" a="1"/>
  <c r="G445" i="9" s="1"/>
  <c r="G446" i="9" a="1"/>
  <c r="G446" i="9" s="1"/>
  <c r="G447" i="9" a="1"/>
  <c r="G447" i="9" s="1"/>
  <c r="G448" i="9" a="1"/>
  <c r="G448" i="9" s="1"/>
  <c r="G449" i="9" a="1"/>
  <c r="G449" i="9" s="1"/>
  <c r="G450" i="9" a="1"/>
  <c r="G450" i="9" s="1"/>
  <c r="G451" i="9" a="1"/>
  <c r="G451" i="9" s="1"/>
  <c r="G452" i="9" a="1"/>
  <c r="G452" i="9" s="1"/>
  <c r="G453" i="9" a="1"/>
  <c r="G453" i="9" s="1"/>
  <c r="G454" i="9" a="1"/>
  <c r="G454" i="9" s="1"/>
  <c r="G455" i="9" a="1"/>
  <c r="G455" i="9" s="1"/>
  <c r="G456" i="9" a="1"/>
  <c r="G456" i="9" s="1"/>
  <c r="G457" i="9" a="1"/>
  <c r="G457" i="9" s="1"/>
  <c r="G458" i="9" a="1"/>
  <c r="G458" i="9" s="1"/>
  <c r="G459" i="9" a="1"/>
  <c r="G459" i="9" s="1"/>
  <c r="G460" i="9" a="1"/>
  <c r="G460" i="9" s="1"/>
  <c r="G461" i="9" a="1"/>
  <c r="G461" i="9" s="1"/>
  <c r="G462" i="9" a="1"/>
  <c r="G462" i="9" s="1"/>
  <c r="G463" i="9" a="1"/>
  <c r="G463" i="9" s="1"/>
  <c r="G464" i="9" a="1"/>
  <c r="G464" i="9" s="1"/>
  <c r="G465" i="9" a="1"/>
  <c r="G465" i="9" s="1"/>
  <c r="G466" i="9" a="1"/>
  <c r="G466" i="9" s="1"/>
  <c r="G467" i="9" a="1"/>
  <c r="G467" i="9" s="1"/>
  <c r="G468" i="9" a="1"/>
  <c r="G468" i="9" s="1"/>
  <c r="G469" i="9" a="1"/>
  <c r="G469" i="9" s="1"/>
  <c r="G470" i="9" a="1"/>
  <c r="G470" i="9" s="1"/>
  <c r="G471" i="9" a="1"/>
  <c r="G471" i="9" s="1"/>
  <c r="G472" i="9" a="1"/>
  <c r="G472" i="9" s="1"/>
  <c r="G473" i="9" a="1"/>
  <c r="G473" i="9" s="1"/>
  <c r="G474" i="9" a="1"/>
  <c r="G474" i="9" s="1"/>
  <c r="G475" i="9" a="1"/>
  <c r="G475" i="9" s="1"/>
  <c r="G476" i="9" a="1"/>
  <c r="G476" i="9" s="1"/>
  <c r="G477" i="9" a="1"/>
  <c r="G477" i="9" s="1"/>
  <c r="G478" i="9" a="1"/>
  <c r="G478" i="9" s="1"/>
  <c r="G479" i="9" a="1"/>
  <c r="G479" i="9" s="1"/>
  <c r="G480" i="9" a="1"/>
  <c r="G480" i="9" s="1"/>
  <c r="G481" i="9" a="1"/>
  <c r="G481" i="9" s="1"/>
  <c r="G482" i="9" a="1"/>
  <c r="G482" i="9" s="1"/>
  <c r="G483" i="9" a="1"/>
  <c r="G483" i="9" s="1"/>
  <c r="G484" i="9" a="1"/>
  <c r="G484" i="9" s="1"/>
  <c r="G485" i="9" a="1"/>
  <c r="G485" i="9" s="1"/>
  <c r="G486" i="9" a="1"/>
  <c r="G486" i="9" s="1"/>
  <c r="G487" i="9" a="1"/>
  <c r="G487" i="9" s="1"/>
  <c r="G488" i="9" a="1"/>
  <c r="G488" i="9" s="1"/>
  <c r="G489" i="9" a="1"/>
  <c r="G489" i="9" s="1"/>
  <c r="G490" i="9" a="1"/>
  <c r="G490" i="9" s="1"/>
  <c r="G491" i="9" a="1"/>
  <c r="G491" i="9" s="1"/>
  <c r="G492" i="9" a="1"/>
  <c r="G492" i="9" s="1"/>
  <c r="G493" i="9" a="1"/>
  <c r="G493" i="9" s="1"/>
  <c r="G494" i="9" a="1"/>
  <c r="G494" i="9" s="1"/>
  <c r="G495" i="9" a="1"/>
  <c r="G495" i="9" s="1"/>
  <c r="G496" i="9" a="1"/>
  <c r="G496" i="9" s="1"/>
  <c r="G497" i="9" a="1"/>
  <c r="G497" i="9" s="1"/>
  <c r="G498" i="9" a="1"/>
  <c r="G498" i="9" s="1"/>
  <c r="G499" i="9" a="1"/>
  <c r="G499" i="9" s="1"/>
  <c r="G500" i="9" a="1"/>
  <c r="G500" i="9" s="1"/>
  <c r="G501" i="9" a="1"/>
  <c r="G501" i="9" s="1"/>
  <c r="G502" i="9" a="1"/>
  <c r="G502" i="9" s="1"/>
  <c r="G503" i="9" a="1"/>
  <c r="G503" i="9" s="1"/>
  <c r="F2" i="9" a="1"/>
  <c r="F2" i="9" s="1"/>
  <c r="F3" i="9" a="1"/>
  <c r="F3" i="9" s="1"/>
  <c r="F4" i="9" a="1"/>
  <c r="F4" i="9" s="1"/>
  <c r="F5" i="9" a="1"/>
  <c r="F5" i="9" s="1"/>
  <c r="F6" i="9" a="1"/>
  <c r="F6" i="9" s="1"/>
  <c r="F7" i="9" a="1"/>
  <c r="F7" i="9" s="1"/>
  <c r="F8" i="9" a="1"/>
  <c r="F8" i="9" s="1"/>
  <c r="F9" i="9" a="1"/>
  <c r="F9" i="9" s="1"/>
  <c r="F10" i="9" a="1"/>
  <c r="F10" i="9" s="1"/>
  <c r="F11" i="9" a="1"/>
  <c r="F11" i="9" s="1"/>
  <c r="F12" i="9" a="1"/>
  <c r="F12" i="9" s="1"/>
  <c r="F13" i="9" a="1"/>
  <c r="F13" i="9" s="1"/>
  <c r="F14" i="9" a="1"/>
  <c r="F14" i="9" s="1"/>
  <c r="F15" i="9" a="1"/>
  <c r="F15" i="9" s="1"/>
  <c r="F16" i="9" a="1"/>
  <c r="F16" i="9" s="1"/>
  <c r="F17" i="9" a="1"/>
  <c r="F17" i="9" s="1"/>
  <c r="F18" i="9" a="1"/>
  <c r="F18" i="9" s="1"/>
  <c r="F19" i="9" a="1"/>
  <c r="F19" i="9" s="1"/>
  <c r="F20" i="9" a="1"/>
  <c r="F20" i="9" s="1"/>
  <c r="F21" i="9" a="1"/>
  <c r="F21" i="9" s="1"/>
  <c r="F22" i="9" a="1"/>
  <c r="F22" i="9" s="1"/>
  <c r="F23" i="9" a="1"/>
  <c r="F23" i="9" s="1"/>
  <c r="F24" i="9" a="1"/>
  <c r="F24" i="9" s="1"/>
  <c r="F25" i="9" a="1"/>
  <c r="F25" i="9" s="1"/>
  <c r="F26" i="9" a="1"/>
  <c r="F26" i="9" s="1"/>
  <c r="F27" i="9" a="1"/>
  <c r="F27" i="9" s="1"/>
  <c r="F28" i="9" a="1"/>
  <c r="F28" i="9" s="1"/>
  <c r="F29" i="9" a="1"/>
  <c r="F29" i="9" s="1"/>
  <c r="F30" i="9" a="1"/>
  <c r="F30" i="9" s="1"/>
  <c r="F31" i="9" a="1"/>
  <c r="F31" i="9" s="1"/>
  <c r="F32" i="9" a="1"/>
  <c r="F32" i="9" s="1"/>
  <c r="F33" i="9" a="1"/>
  <c r="F33" i="9" s="1"/>
  <c r="F34" i="9" a="1"/>
  <c r="F34" i="9" s="1"/>
  <c r="F35" i="9" a="1"/>
  <c r="F35" i="9" s="1"/>
  <c r="F36" i="9" a="1"/>
  <c r="F36" i="9" s="1"/>
  <c r="F37" i="9" a="1"/>
  <c r="F37" i="9" s="1"/>
  <c r="F38" i="9" a="1"/>
  <c r="F38" i="9" s="1"/>
  <c r="F39" i="9" a="1"/>
  <c r="F39" i="9" s="1"/>
  <c r="F40" i="9" a="1"/>
  <c r="F40" i="9" s="1"/>
  <c r="F41" i="9" a="1"/>
  <c r="F41" i="9" s="1"/>
  <c r="F42" i="9" a="1"/>
  <c r="F42" i="9" s="1"/>
  <c r="F43" i="9" a="1"/>
  <c r="F43" i="9" s="1"/>
  <c r="F44" i="9" a="1"/>
  <c r="F44" i="9" s="1"/>
  <c r="F45" i="9" a="1"/>
  <c r="F45" i="9" s="1"/>
  <c r="F46" i="9" a="1"/>
  <c r="F46" i="9" s="1"/>
  <c r="F47" i="9" a="1"/>
  <c r="F47" i="9" s="1"/>
  <c r="F48" i="9" a="1"/>
  <c r="F48" i="9" s="1"/>
  <c r="F49" i="9" a="1"/>
  <c r="F49" i="9" s="1"/>
  <c r="F50" i="9" a="1"/>
  <c r="F50" i="9" s="1"/>
  <c r="F51" i="9" a="1"/>
  <c r="F51" i="9" s="1"/>
  <c r="F52" i="9" a="1"/>
  <c r="F52" i="9" s="1"/>
  <c r="F53" i="9" a="1"/>
  <c r="F53" i="9" s="1"/>
  <c r="F54" i="9" a="1"/>
  <c r="F54" i="9" s="1"/>
  <c r="F55" i="9" a="1"/>
  <c r="F55" i="9" s="1"/>
  <c r="F56" i="9" a="1"/>
  <c r="F56" i="9" s="1"/>
  <c r="F57" i="9" a="1"/>
  <c r="F57" i="9" s="1"/>
  <c r="F58" i="9" a="1"/>
  <c r="F58" i="9" s="1"/>
  <c r="F59" i="9" a="1"/>
  <c r="F59" i="9" s="1"/>
  <c r="F60" i="9" a="1"/>
  <c r="F60" i="9" s="1"/>
  <c r="F61" i="9" a="1"/>
  <c r="F61" i="9" s="1"/>
  <c r="F62" i="9" a="1"/>
  <c r="F62" i="9" s="1"/>
  <c r="F63" i="9" a="1"/>
  <c r="F63" i="9" s="1"/>
  <c r="F64" i="9" a="1"/>
  <c r="F64" i="9" s="1"/>
  <c r="F65" i="9" a="1"/>
  <c r="F65" i="9" s="1"/>
  <c r="F66" i="9" a="1"/>
  <c r="F66" i="9" s="1"/>
  <c r="F67" i="9" a="1"/>
  <c r="F67" i="9" s="1"/>
  <c r="F68" i="9" a="1"/>
  <c r="F68" i="9" s="1"/>
  <c r="F69" i="9" a="1"/>
  <c r="F69" i="9" s="1"/>
  <c r="F70" i="9" a="1"/>
  <c r="F70" i="9" s="1"/>
  <c r="F71" i="9" a="1"/>
  <c r="F71" i="9" s="1"/>
  <c r="F72" i="9" a="1"/>
  <c r="F72" i="9" s="1"/>
  <c r="F73" i="9" a="1"/>
  <c r="F73" i="9" s="1"/>
  <c r="F74" i="9" a="1"/>
  <c r="F74" i="9" s="1"/>
  <c r="F75" i="9" a="1"/>
  <c r="F75" i="9" s="1"/>
  <c r="F76" i="9" a="1"/>
  <c r="F76" i="9" s="1"/>
  <c r="F77" i="9" a="1"/>
  <c r="F77" i="9" s="1"/>
  <c r="F78" i="9" a="1"/>
  <c r="F78" i="9" s="1"/>
  <c r="F79" i="9" a="1"/>
  <c r="F79" i="9" s="1"/>
  <c r="F80" i="9" a="1"/>
  <c r="F80" i="9" s="1"/>
  <c r="F81" i="9" a="1"/>
  <c r="F81" i="9" s="1"/>
  <c r="F82" i="9" a="1"/>
  <c r="F82" i="9" s="1"/>
  <c r="F83" i="9" a="1"/>
  <c r="F83" i="9" s="1"/>
  <c r="F84" i="9" a="1"/>
  <c r="F84" i="9" s="1"/>
  <c r="F85" i="9" a="1"/>
  <c r="F85" i="9" s="1"/>
  <c r="F86" i="9" a="1"/>
  <c r="F86" i="9" s="1"/>
  <c r="F87" i="9" a="1"/>
  <c r="F87" i="9" s="1"/>
  <c r="F88" i="9" a="1"/>
  <c r="F88" i="9" s="1"/>
  <c r="F89" i="9" a="1"/>
  <c r="F89" i="9" s="1"/>
  <c r="F90" i="9" a="1"/>
  <c r="F90" i="9" s="1"/>
  <c r="F91" i="9" a="1"/>
  <c r="F91" i="9" s="1"/>
  <c r="F92" i="9" a="1"/>
  <c r="F92" i="9" s="1"/>
  <c r="F93" i="9" a="1"/>
  <c r="F93" i="9" s="1"/>
  <c r="F94" i="9" a="1"/>
  <c r="F94" i="9" s="1"/>
  <c r="F95" i="9" a="1"/>
  <c r="F95" i="9" s="1"/>
  <c r="F96" i="9" a="1"/>
  <c r="F96" i="9" s="1"/>
  <c r="F97" i="9" a="1"/>
  <c r="F97" i="9" s="1"/>
  <c r="F98" i="9" a="1"/>
  <c r="F98" i="9" s="1"/>
  <c r="F99" i="9" a="1"/>
  <c r="F99" i="9" s="1"/>
  <c r="F100" i="9" a="1"/>
  <c r="F100" i="9" s="1"/>
  <c r="F101" i="9" a="1"/>
  <c r="F101" i="9" s="1"/>
  <c r="F102" i="9" a="1"/>
  <c r="F102" i="9" s="1"/>
  <c r="F103" i="9" a="1"/>
  <c r="F103" i="9" s="1"/>
  <c r="F104" i="9" a="1"/>
  <c r="F104" i="9" s="1"/>
  <c r="F105" i="9" a="1"/>
  <c r="F105" i="9" s="1"/>
  <c r="F106" i="9" a="1"/>
  <c r="F106" i="9" s="1"/>
  <c r="F107" i="9" a="1"/>
  <c r="F107" i="9" s="1"/>
  <c r="F108" i="9" a="1"/>
  <c r="F108" i="9" s="1"/>
  <c r="F109" i="9" a="1"/>
  <c r="F109" i="9" s="1"/>
  <c r="F110" i="9" a="1"/>
  <c r="F110" i="9" s="1"/>
  <c r="F111" i="9" a="1"/>
  <c r="F111" i="9" s="1"/>
  <c r="F112" i="9" a="1"/>
  <c r="F112" i="9" s="1"/>
  <c r="F113" i="9" a="1"/>
  <c r="F113" i="9" s="1"/>
  <c r="F114" i="9" a="1"/>
  <c r="F114" i="9" s="1"/>
  <c r="F115" i="9" a="1"/>
  <c r="F115" i="9" s="1"/>
  <c r="F116" i="9" a="1"/>
  <c r="F116" i="9" s="1"/>
  <c r="F117" i="9" a="1"/>
  <c r="F117" i="9" s="1"/>
  <c r="F118" i="9" a="1"/>
  <c r="F118" i="9" s="1"/>
  <c r="F119" i="9" a="1"/>
  <c r="F119" i="9" s="1"/>
  <c r="F120" i="9" a="1"/>
  <c r="F120" i="9" s="1"/>
  <c r="F121" i="9" a="1"/>
  <c r="F121" i="9" s="1"/>
  <c r="F122" i="9" a="1"/>
  <c r="F122" i="9" s="1"/>
  <c r="F123" i="9" a="1"/>
  <c r="F123" i="9" s="1"/>
  <c r="F124" i="9" a="1"/>
  <c r="F124" i="9" s="1"/>
  <c r="F125" i="9" a="1"/>
  <c r="F125" i="9" s="1"/>
  <c r="F126" i="9" a="1"/>
  <c r="F126" i="9" s="1"/>
  <c r="F127" i="9" a="1"/>
  <c r="F127" i="9" s="1"/>
  <c r="F128" i="9" a="1"/>
  <c r="F128" i="9" s="1"/>
  <c r="F129" i="9" a="1"/>
  <c r="F129" i="9" s="1"/>
  <c r="F130" i="9" a="1"/>
  <c r="F130" i="9" s="1"/>
  <c r="F131" i="9" a="1"/>
  <c r="F131" i="9" s="1"/>
  <c r="F132" i="9" a="1"/>
  <c r="F132" i="9" s="1"/>
  <c r="F133" i="9" a="1"/>
  <c r="F133" i="9" s="1"/>
  <c r="F134" i="9" a="1"/>
  <c r="F134" i="9" s="1"/>
  <c r="F135" i="9" a="1"/>
  <c r="F135" i="9" s="1"/>
  <c r="F136" i="9" a="1"/>
  <c r="F136" i="9" s="1"/>
  <c r="F137" i="9" a="1"/>
  <c r="F137" i="9" s="1"/>
  <c r="F138" i="9" a="1"/>
  <c r="F138" i="9" s="1"/>
  <c r="F139" i="9" a="1"/>
  <c r="F139" i="9" s="1"/>
  <c r="F140" i="9" a="1"/>
  <c r="F140" i="9" s="1"/>
  <c r="F141" i="9" a="1"/>
  <c r="F141" i="9" s="1"/>
  <c r="F142" i="9" a="1"/>
  <c r="F142" i="9" s="1"/>
  <c r="F143" i="9" a="1"/>
  <c r="F143" i="9" s="1"/>
  <c r="F144" i="9" a="1"/>
  <c r="F144" i="9" s="1"/>
  <c r="F145" i="9" a="1"/>
  <c r="F145" i="9" s="1"/>
  <c r="F146" i="9" a="1"/>
  <c r="F146" i="9" s="1"/>
  <c r="F147" i="9" a="1"/>
  <c r="F147" i="9" s="1"/>
  <c r="F148" i="9" a="1"/>
  <c r="F148" i="9" s="1"/>
  <c r="F149" i="9" a="1"/>
  <c r="F149" i="9" s="1"/>
  <c r="F150" i="9" a="1"/>
  <c r="F150" i="9" s="1"/>
  <c r="F151" i="9" a="1"/>
  <c r="F151" i="9" s="1"/>
  <c r="F152" i="9" a="1"/>
  <c r="F152" i="9" s="1"/>
  <c r="F153" i="9" a="1"/>
  <c r="F153" i="9" s="1"/>
  <c r="F154" i="9" a="1"/>
  <c r="F154" i="9" s="1"/>
  <c r="F155" i="9" a="1"/>
  <c r="F155" i="9" s="1"/>
  <c r="F156" i="9" a="1"/>
  <c r="F156" i="9" s="1"/>
  <c r="F157" i="9" a="1"/>
  <c r="F157" i="9" s="1"/>
  <c r="F158" i="9" a="1"/>
  <c r="F158" i="9" s="1"/>
  <c r="F159" i="9" a="1"/>
  <c r="F159" i="9" s="1"/>
  <c r="F160" i="9" a="1"/>
  <c r="F160" i="9" s="1"/>
  <c r="F161" i="9" a="1"/>
  <c r="F161" i="9" s="1"/>
  <c r="F162" i="9" a="1"/>
  <c r="F162" i="9" s="1"/>
  <c r="F163" i="9" a="1"/>
  <c r="F163" i="9" s="1"/>
  <c r="F164" i="9" a="1"/>
  <c r="F164" i="9" s="1"/>
  <c r="F165" i="9" a="1"/>
  <c r="F165" i="9" s="1"/>
  <c r="F166" i="9" a="1"/>
  <c r="F166" i="9" s="1"/>
  <c r="F167" i="9" a="1"/>
  <c r="F167" i="9" s="1"/>
  <c r="F168" i="9" a="1"/>
  <c r="F168" i="9" s="1"/>
  <c r="F169" i="9" a="1"/>
  <c r="F169" i="9" s="1"/>
  <c r="F170" i="9" a="1"/>
  <c r="F170" i="9" s="1"/>
  <c r="F171" i="9" a="1"/>
  <c r="F171" i="9" s="1"/>
  <c r="F172" i="9" a="1"/>
  <c r="F172" i="9" s="1"/>
  <c r="F173" i="9" a="1"/>
  <c r="F173" i="9" s="1"/>
  <c r="F174" i="9" a="1"/>
  <c r="F174" i="9" s="1"/>
  <c r="F175" i="9" a="1"/>
  <c r="F175" i="9" s="1"/>
  <c r="F176" i="9" a="1"/>
  <c r="F176" i="9" s="1"/>
  <c r="F177" i="9" a="1"/>
  <c r="F177" i="9" s="1"/>
  <c r="F178" i="9" a="1"/>
  <c r="F178" i="9" s="1"/>
  <c r="F179" i="9" a="1"/>
  <c r="F179" i="9" s="1"/>
  <c r="F180" i="9" a="1"/>
  <c r="F180" i="9" s="1"/>
  <c r="F181" i="9" a="1"/>
  <c r="F181" i="9" s="1"/>
  <c r="F182" i="9" a="1"/>
  <c r="F182" i="9" s="1"/>
  <c r="F183" i="9" a="1"/>
  <c r="F183" i="9" s="1"/>
  <c r="F184" i="9" a="1"/>
  <c r="F184" i="9" s="1"/>
  <c r="F185" i="9" a="1"/>
  <c r="F185" i="9" s="1"/>
  <c r="F186" i="9" a="1"/>
  <c r="F186" i="9" s="1"/>
  <c r="F187" i="9" a="1"/>
  <c r="F187" i="9" s="1"/>
  <c r="F188" i="9" a="1"/>
  <c r="F188" i="9" s="1"/>
  <c r="F189" i="9" a="1"/>
  <c r="F189" i="9" s="1"/>
  <c r="F190" i="9" a="1"/>
  <c r="F190" i="9" s="1"/>
  <c r="F191" i="9" a="1"/>
  <c r="F191" i="9" s="1"/>
  <c r="F192" i="9" a="1"/>
  <c r="F192" i="9" s="1"/>
  <c r="F193" i="9" a="1"/>
  <c r="F193" i="9" s="1"/>
  <c r="F194" i="9" a="1"/>
  <c r="F194" i="9" s="1"/>
  <c r="F195" i="9" a="1"/>
  <c r="F195" i="9" s="1"/>
  <c r="F196" i="9" a="1"/>
  <c r="F196" i="9" s="1"/>
  <c r="F197" i="9" a="1"/>
  <c r="F197" i="9" s="1"/>
  <c r="F198" i="9" a="1"/>
  <c r="F198" i="9" s="1"/>
  <c r="F199" i="9" a="1"/>
  <c r="F199" i="9" s="1"/>
  <c r="F200" i="9" a="1"/>
  <c r="F200" i="9" s="1"/>
  <c r="F201" i="9" a="1"/>
  <c r="F201" i="9" s="1"/>
  <c r="F202" i="9" a="1"/>
  <c r="F202" i="9" s="1"/>
  <c r="F203" i="9" a="1"/>
  <c r="F203" i="9" s="1"/>
  <c r="F204" i="9" a="1"/>
  <c r="F204" i="9" s="1"/>
  <c r="F205" i="9" a="1"/>
  <c r="F205" i="9" s="1"/>
  <c r="F206" i="9" a="1"/>
  <c r="F206" i="9" s="1"/>
  <c r="F207" i="9" a="1"/>
  <c r="F207" i="9" s="1"/>
  <c r="F208" i="9" a="1"/>
  <c r="F208" i="9" s="1"/>
  <c r="F209" i="9" a="1"/>
  <c r="F209" i="9" s="1"/>
  <c r="F210" i="9" a="1"/>
  <c r="F210" i="9" s="1"/>
  <c r="F211" i="9" a="1"/>
  <c r="F211" i="9" s="1"/>
  <c r="F212" i="9" a="1"/>
  <c r="F212" i="9" s="1"/>
  <c r="F213" i="9" a="1"/>
  <c r="F213" i="9" s="1"/>
  <c r="F214" i="9" a="1"/>
  <c r="F214" i="9" s="1"/>
  <c r="F215" i="9" a="1"/>
  <c r="F215" i="9" s="1"/>
  <c r="F216" i="9" a="1"/>
  <c r="F216" i="9" s="1"/>
  <c r="F217" i="9" a="1"/>
  <c r="F217" i="9" s="1"/>
  <c r="F218" i="9" a="1"/>
  <c r="F218" i="9" s="1"/>
  <c r="F219" i="9" a="1"/>
  <c r="F219" i="9" s="1"/>
  <c r="F220" i="9" a="1"/>
  <c r="F220" i="9" s="1"/>
  <c r="F221" i="9" a="1"/>
  <c r="F221" i="9" s="1"/>
  <c r="F222" i="9" a="1"/>
  <c r="F222" i="9" s="1"/>
  <c r="F223" i="9" a="1"/>
  <c r="F223" i="9" s="1"/>
  <c r="F224" i="9" a="1"/>
  <c r="F224" i="9" s="1"/>
  <c r="F225" i="9" a="1"/>
  <c r="F225" i="9" s="1"/>
  <c r="F226" i="9" a="1"/>
  <c r="F226" i="9" s="1"/>
  <c r="F227" i="9" a="1"/>
  <c r="F227" i="9" s="1"/>
  <c r="F228" i="9" a="1"/>
  <c r="F228" i="9" s="1"/>
  <c r="F229" i="9" a="1"/>
  <c r="F229" i="9" s="1"/>
  <c r="F230" i="9" a="1"/>
  <c r="F230" i="9" s="1"/>
  <c r="F231" i="9" a="1"/>
  <c r="F231" i="9" s="1"/>
  <c r="F232" i="9" a="1"/>
  <c r="F232" i="9" s="1"/>
  <c r="F233" i="9" a="1"/>
  <c r="F233" i="9" s="1"/>
  <c r="F234" i="9" a="1"/>
  <c r="F234" i="9" s="1"/>
  <c r="F235" i="9" a="1"/>
  <c r="F235" i="9" s="1"/>
  <c r="F236" i="9" a="1"/>
  <c r="F236" i="9" s="1"/>
  <c r="F237" i="9" a="1"/>
  <c r="F237" i="9" s="1"/>
  <c r="F238" i="9" a="1"/>
  <c r="F238" i="9" s="1"/>
  <c r="F239" i="9" a="1"/>
  <c r="F239" i="9" s="1"/>
  <c r="F240" i="9" a="1"/>
  <c r="F240" i="9" s="1"/>
  <c r="F241" i="9" a="1"/>
  <c r="F241" i="9" s="1"/>
  <c r="F242" i="9" a="1"/>
  <c r="F242" i="9" s="1"/>
  <c r="F243" i="9" a="1"/>
  <c r="F243" i="9" s="1"/>
  <c r="F244" i="9" a="1"/>
  <c r="F244" i="9" s="1"/>
  <c r="F245" i="9" a="1"/>
  <c r="F245" i="9" s="1"/>
  <c r="F246" i="9" a="1"/>
  <c r="F246" i="9" s="1"/>
  <c r="F247" i="9" a="1"/>
  <c r="F247" i="9" s="1"/>
  <c r="F248" i="9" a="1"/>
  <c r="F248" i="9" s="1"/>
  <c r="F249" i="9" a="1"/>
  <c r="F249" i="9" s="1"/>
  <c r="F250" i="9" a="1"/>
  <c r="F250" i="9" s="1"/>
  <c r="F251" i="9" a="1"/>
  <c r="F251" i="9" s="1"/>
  <c r="F252" i="9" a="1"/>
  <c r="F252" i="9" s="1"/>
  <c r="F253" i="9" a="1"/>
  <c r="F253" i="9" s="1"/>
  <c r="F254" i="9" a="1"/>
  <c r="F254" i="9" s="1"/>
  <c r="F255" i="9" a="1"/>
  <c r="F255" i="9" s="1"/>
  <c r="F256" i="9" a="1"/>
  <c r="F256" i="9" s="1"/>
  <c r="F257" i="9" a="1"/>
  <c r="F257" i="9" s="1"/>
  <c r="F258" i="9" a="1"/>
  <c r="F258" i="9" s="1"/>
  <c r="F259" i="9" a="1"/>
  <c r="F259" i="9" s="1"/>
  <c r="F260" i="9" a="1"/>
  <c r="F260" i="9" s="1"/>
  <c r="F261" i="9" a="1"/>
  <c r="F261" i="9" s="1"/>
  <c r="F262" i="9" a="1"/>
  <c r="F262" i="9" s="1"/>
  <c r="F263" i="9" a="1"/>
  <c r="F263" i="9" s="1"/>
  <c r="F264" i="9" a="1"/>
  <c r="F264" i="9" s="1"/>
  <c r="F265" i="9" a="1"/>
  <c r="F265" i="9" s="1"/>
  <c r="F266" i="9" a="1"/>
  <c r="F266" i="9" s="1"/>
  <c r="F267" i="9" a="1"/>
  <c r="F267" i="9" s="1"/>
  <c r="F268" i="9" a="1"/>
  <c r="F268" i="9" s="1"/>
  <c r="F269" i="9" a="1"/>
  <c r="F269" i="9" s="1"/>
  <c r="F270" i="9" a="1"/>
  <c r="F270" i="9" s="1"/>
  <c r="F271" i="9" a="1"/>
  <c r="F271" i="9" s="1"/>
  <c r="F272" i="9" a="1"/>
  <c r="F272" i="9" s="1"/>
  <c r="F273" i="9" a="1"/>
  <c r="F273" i="9" s="1"/>
  <c r="F274" i="9" a="1"/>
  <c r="F274" i="9" s="1"/>
  <c r="F275" i="9" a="1"/>
  <c r="F275" i="9" s="1"/>
  <c r="F276" i="9" a="1"/>
  <c r="F276" i="9" s="1"/>
  <c r="F277" i="9" a="1"/>
  <c r="F277" i="9" s="1"/>
  <c r="F278" i="9" a="1"/>
  <c r="F278" i="9" s="1"/>
  <c r="F279" i="9" a="1"/>
  <c r="F279" i="9" s="1"/>
  <c r="F280" i="9" a="1"/>
  <c r="F280" i="9" s="1"/>
  <c r="F281" i="9" a="1"/>
  <c r="F281" i="9" s="1"/>
  <c r="F282" i="9" a="1"/>
  <c r="F282" i="9" s="1"/>
  <c r="F283" i="9" a="1"/>
  <c r="F283" i="9" s="1"/>
  <c r="F284" i="9" a="1"/>
  <c r="F284" i="9" s="1"/>
  <c r="F285" i="9" a="1"/>
  <c r="F285" i="9" s="1"/>
  <c r="F286" i="9" a="1"/>
  <c r="F286" i="9" s="1"/>
  <c r="F287" i="9" a="1"/>
  <c r="F287" i="9" s="1"/>
  <c r="F288" i="9" a="1"/>
  <c r="F288" i="9" s="1"/>
  <c r="F289" i="9" a="1"/>
  <c r="F289" i="9" s="1"/>
  <c r="F290" i="9" a="1"/>
  <c r="F290" i="9" s="1"/>
  <c r="F291" i="9" a="1"/>
  <c r="F291" i="9" s="1"/>
  <c r="F292" i="9" a="1"/>
  <c r="F292" i="9" s="1"/>
  <c r="F293" i="9" a="1"/>
  <c r="F293" i="9" s="1"/>
  <c r="F294" i="9" a="1"/>
  <c r="F294" i="9" s="1"/>
  <c r="F295" i="9" a="1"/>
  <c r="F295" i="9" s="1"/>
  <c r="F296" i="9" a="1"/>
  <c r="F296" i="9" s="1"/>
  <c r="F297" i="9" a="1"/>
  <c r="F297" i="9" s="1"/>
  <c r="F298" i="9" a="1"/>
  <c r="F298" i="9" s="1"/>
  <c r="F299" i="9" a="1"/>
  <c r="F299" i="9" s="1"/>
  <c r="F300" i="9" a="1"/>
  <c r="F300" i="9" s="1"/>
  <c r="F301" i="9" a="1"/>
  <c r="F301" i="9" s="1"/>
  <c r="F302" i="9" a="1"/>
  <c r="F302" i="9" s="1"/>
  <c r="F303" i="9" a="1"/>
  <c r="F303" i="9" s="1"/>
  <c r="F304" i="9" a="1"/>
  <c r="F304" i="9" s="1"/>
  <c r="F305" i="9" a="1"/>
  <c r="F305" i="9" s="1"/>
  <c r="F306" i="9" a="1"/>
  <c r="F306" i="9" s="1"/>
  <c r="F307" i="9" a="1"/>
  <c r="F307" i="9" s="1"/>
  <c r="F308" i="9" a="1"/>
  <c r="F308" i="9" s="1"/>
  <c r="F309" i="9" a="1"/>
  <c r="F309" i="9" s="1"/>
  <c r="F310" i="9" a="1"/>
  <c r="F310" i="9" s="1"/>
  <c r="F311" i="9" a="1"/>
  <c r="F311" i="9" s="1"/>
  <c r="F312" i="9" a="1"/>
  <c r="F312" i="9" s="1"/>
  <c r="F313" i="9" a="1"/>
  <c r="F313" i="9" s="1"/>
  <c r="F314" i="9" a="1"/>
  <c r="F314" i="9" s="1"/>
  <c r="F315" i="9" a="1"/>
  <c r="F315" i="9" s="1"/>
  <c r="F316" i="9" a="1"/>
  <c r="F316" i="9" s="1"/>
  <c r="F317" i="9" a="1"/>
  <c r="F317" i="9" s="1"/>
  <c r="F318" i="9" a="1"/>
  <c r="F318" i="9" s="1"/>
  <c r="F319" i="9" a="1"/>
  <c r="F319" i="9" s="1"/>
  <c r="F320" i="9" a="1"/>
  <c r="F320" i="9" s="1"/>
  <c r="F321" i="9" a="1"/>
  <c r="F321" i="9" s="1"/>
  <c r="F322" i="9" a="1"/>
  <c r="F322" i="9" s="1"/>
  <c r="F323" i="9" a="1"/>
  <c r="F323" i="9" s="1"/>
  <c r="F324" i="9" a="1"/>
  <c r="F324" i="9" s="1"/>
  <c r="F325" i="9" a="1"/>
  <c r="F325" i="9" s="1"/>
  <c r="F326" i="9" a="1"/>
  <c r="F326" i="9" s="1"/>
  <c r="F327" i="9" a="1"/>
  <c r="F327" i="9" s="1"/>
  <c r="F328" i="9" a="1"/>
  <c r="F328" i="9" s="1"/>
  <c r="F329" i="9" a="1"/>
  <c r="F329" i="9" s="1"/>
  <c r="F330" i="9" a="1"/>
  <c r="F330" i="9" s="1"/>
  <c r="F331" i="9" a="1"/>
  <c r="F331" i="9" s="1"/>
  <c r="F332" i="9" a="1"/>
  <c r="F332" i="9" s="1"/>
  <c r="F333" i="9" a="1"/>
  <c r="F333" i="9" s="1"/>
  <c r="F334" i="9" a="1"/>
  <c r="F334" i="9" s="1"/>
  <c r="F335" i="9" a="1"/>
  <c r="F335" i="9" s="1"/>
  <c r="F336" i="9" a="1"/>
  <c r="F336" i="9" s="1"/>
  <c r="F337" i="9" a="1"/>
  <c r="F337" i="9" s="1"/>
  <c r="F338" i="9" a="1"/>
  <c r="F338" i="9" s="1"/>
  <c r="F339" i="9" a="1"/>
  <c r="F339" i="9" s="1"/>
  <c r="F340" i="9" a="1"/>
  <c r="F340" i="9" s="1"/>
  <c r="F341" i="9" a="1"/>
  <c r="F341" i="9" s="1"/>
  <c r="F342" i="9" a="1"/>
  <c r="F342" i="9" s="1"/>
  <c r="F343" i="9" a="1"/>
  <c r="F343" i="9" s="1"/>
  <c r="F344" i="9" a="1"/>
  <c r="F344" i="9" s="1"/>
  <c r="F345" i="9" a="1"/>
  <c r="F345" i="9" s="1"/>
  <c r="F346" i="9" a="1"/>
  <c r="F346" i="9" s="1"/>
  <c r="F347" i="9" a="1"/>
  <c r="F347" i="9" s="1"/>
  <c r="F348" i="9" a="1"/>
  <c r="F348" i="9" s="1"/>
  <c r="F349" i="9" a="1"/>
  <c r="F349" i="9" s="1"/>
  <c r="F350" i="9" a="1"/>
  <c r="F350" i="9" s="1"/>
  <c r="F351" i="9" a="1"/>
  <c r="F351" i="9" s="1"/>
  <c r="F352" i="9" a="1"/>
  <c r="F352" i="9" s="1"/>
  <c r="F353" i="9" a="1"/>
  <c r="F353" i="9" s="1"/>
  <c r="F354" i="9" a="1"/>
  <c r="F354" i="9" s="1"/>
  <c r="F355" i="9" a="1"/>
  <c r="F355" i="9" s="1"/>
  <c r="F356" i="9" a="1"/>
  <c r="F356" i="9" s="1"/>
  <c r="F357" i="9" a="1"/>
  <c r="F357" i="9" s="1"/>
  <c r="F358" i="9" a="1"/>
  <c r="F358" i="9" s="1"/>
  <c r="F359" i="9" a="1"/>
  <c r="F359" i="9" s="1"/>
  <c r="F360" i="9" a="1"/>
  <c r="F360" i="9" s="1"/>
  <c r="F361" i="9" a="1"/>
  <c r="F361" i="9" s="1"/>
  <c r="F362" i="9" a="1"/>
  <c r="F362" i="9" s="1"/>
  <c r="F363" i="9" a="1"/>
  <c r="F363" i="9" s="1"/>
  <c r="F364" i="9" a="1"/>
  <c r="F364" i="9" s="1"/>
  <c r="F365" i="9" a="1"/>
  <c r="F365" i="9" s="1"/>
  <c r="F366" i="9" a="1"/>
  <c r="F366" i="9" s="1"/>
  <c r="F367" i="9" a="1"/>
  <c r="F367" i="9" s="1"/>
  <c r="F368" i="9" a="1"/>
  <c r="F368" i="9" s="1"/>
  <c r="F369" i="9" a="1"/>
  <c r="F369" i="9" s="1"/>
  <c r="F370" i="9" a="1"/>
  <c r="F370" i="9" s="1"/>
  <c r="F371" i="9" a="1"/>
  <c r="F371" i="9" s="1"/>
  <c r="F372" i="9" a="1"/>
  <c r="F372" i="9" s="1"/>
  <c r="F373" i="9" a="1"/>
  <c r="F373" i="9" s="1"/>
  <c r="F374" i="9" a="1"/>
  <c r="F374" i="9" s="1"/>
  <c r="F375" i="9" a="1"/>
  <c r="F375" i="9" s="1"/>
  <c r="F376" i="9" a="1"/>
  <c r="F376" i="9" s="1"/>
  <c r="F377" i="9" a="1"/>
  <c r="F377" i="9" s="1"/>
  <c r="F378" i="9" a="1"/>
  <c r="F378" i="9" s="1"/>
  <c r="F379" i="9" a="1"/>
  <c r="F379" i="9" s="1"/>
  <c r="F380" i="9" a="1"/>
  <c r="F380" i="9" s="1"/>
  <c r="F381" i="9" a="1"/>
  <c r="F381" i="9" s="1"/>
  <c r="F382" i="9" a="1"/>
  <c r="F382" i="9" s="1"/>
  <c r="F383" i="9" a="1"/>
  <c r="F383" i="9" s="1"/>
  <c r="F384" i="9" a="1"/>
  <c r="F384" i="9" s="1"/>
  <c r="F385" i="9" a="1"/>
  <c r="F385" i="9" s="1"/>
  <c r="F386" i="9" a="1"/>
  <c r="F386" i="9" s="1"/>
  <c r="F387" i="9" a="1"/>
  <c r="F387" i="9" s="1"/>
  <c r="F388" i="9" a="1"/>
  <c r="F388" i="9" s="1"/>
  <c r="F389" i="9" a="1"/>
  <c r="F389" i="9" s="1"/>
  <c r="F390" i="9" a="1"/>
  <c r="F390" i="9" s="1"/>
  <c r="F391" i="9" a="1"/>
  <c r="F391" i="9" s="1"/>
  <c r="F392" i="9" a="1"/>
  <c r="F392" i="9" s="1"/>
  <c r="F393" i="9" a="1"/>
  <c r="F393" i="9" s="1"/>
  <c r="F394" i="9" a="1"/>
  <c r="F394" i="9" s="1"/>
  <c r="F395" i="9" a="1"/>
  <c r="F395" i="9" s="1"/>
  <c r="F396" i="9" a="1"/>
  <c r="F396" i="9" s="1"/>
  <c r="F397" i="9" a="1"/>
  <c r="F397" i="9" s="1"/>
  <c r="F398" i="9" a="1"/>
  <c r="F398" i="9" s="1"/>
  <c r="F399" i="9" a="1"/>
  <c r="F399" i="9" s="1"/>
  <c r="F400" i="9" a="1"/>
  <c r="F400" i="9" s="1"/>
  <c r="F401" i="9" a="1"/>
  <c r="F401" i="9" s="1"/>
  <c r="F402" i="9" a="1"/>
  <c r="F402" i="9" s="1"/>
  <c r="F403" i="9" a="1"/>
  <c r="F403" i="9" s="1"/>
  <c r="F404" i="9" a="1"/>
  <c r="F404" i="9" s="1"/>
  <c r="F405" i="9" a="1"/>
  <c r="F405" i="9" s="1"/>
  <c r="F406" i="9" a="1"/>
  <c r="F406" i="9" s="1"/>
  <c r="F407" i="9" a="1"/>
  <c r="F407" i="9" s="1"/>
  <c r="F408" i="9" a="1"/>
  <c r="F408" i="9" s="1"/>
  <c r="F409" i="9" a="1"/>
  <c r="F409" i="9" s="1"/>
  <c r="F410" i="9" a="1"/>
  <c r="F410" i="9" s="1"/>
  <c r="F411" i="9" a="1"/>
  <c r="F411" i="9" s="1"/>
  <c r="F412" i="9" a="1"/>
  <c r="F412" i="9" s="1"/>
  <c r="F413" i="9" a="1"/>
  <c r="F413" i="9" s="1"/>
  <c r="F414" i="9" a="1"/>
  <c r="F414" i="9" s="1"/>
  <c r="F415" i="9" a="1"/>
  <c r="F415" i="9" s="1"/>
  <c r="F416" i="9" a="1"/>
  <c r="F416" i="9" s="1"/>
  <c r="F417" i="9" a="1"/>
  <c r="F417" i="9" s="1"/>
  <c r="F418" i="9" a="1"/>
  <c r="F418" i="9" s="1"/>
  <c r="F419" i="9" a="1"/>
  <c r="F419" i="9" s="1"/>
  <c r="F420" i="9" a="1"/>
  <c r="F420" i="9" s="1"/>
  <c r="F421" i="9" a="1"/>
  <c r="F421" i="9" s="1"/>
  <c r="F422" i="9" a="1"/>
  <c r="F422" i="9" s="1"/>
  <c r="F423" i="9" a="1"/>
  <c r="F423" i="9" s="1"/>
  <c r="F424" i="9" a="1"/>
  <c r="F424" i="9" s="1"/>
  <c r="F425" i="9" a="1"/>
  <c r="F425" i="9" s="1"/>
  <c r="F426" i="9" a="1"/>
  <c r="F426" i="9" s="1"/>
  <c r="F427" i="9" a="1"/>
  <c r="F427" i="9" s="1"/>
  <c r="F428" i="9" a="1"/>
  <c r="F428" i="9" s="1"/>
  <c r="F429" i="9" a="1"/>
  <c r="F429" i="9" s="1"/>
  <c r="F430" i="9" a="1"/>
  <c r="F430" i="9" s="1"/>
  <c r="F431" i="9" a="1"/>
  <c r="F431" i="9" s="1"/>
  <c r="F432" i="9" a="1"/>
  <c r="F432" i="9" s="1"/>
  <c r="F433" i="9" a="1"/>
  <c r="F433" i="9" s="1"/>
  <c r="F434" i="9" a="1"/>
  <c r="F434" i="9" s="1"/>
  <c r="F435" i="9" a="1"/>
  <c r="F435" i="9" s="1"/>
  <c r="F436" i="9" a="1"/>
  <c r="F436" i="9" s="1"/>
  <c r="F437" i="9" a="1"/>
  <c r="F437" i="9" s="1"/>
  <c r="F438" i="9" a="1"/>
  <c r="F438" i="9" s="1"/>
  <c r="F439" i="9" a="1"/>
  <c r="F439" i="9" s="1"/>
  <c r="F440" i="9" a="1"/>
  <c r="F440" i="9" s="1"/>
  <c r="F441" i="9" a="1"/>
  <c r="F441" i="9" s="1"/>
  <c r="F442" i="9" a="1"/>
  <c r="F442" i="9" s="1"/>
  <c r="F443" i="9" a="1"/>
  <c r="F443" i="9" s="1"/>
  <c r="F444" i="9" a="1"/>
  <c r="F444" i="9" s="1"/>
  <c r="F445" i="9" a="1"/>
  <c r="F445" i="9" s="1"/>
  <c r="F446" i="9" a="1"/>
  <c r="F446" i="9" s="1"/>
  <c r="F447" i="9" a="1"/>
  <c r="F447" i="9" s="1"/>
  <c r="F448" i="9" a="1"/>
  <c r="F448" i="9" s="1"/>
  <c r="F449" i="9" a="1"/>
  <c r="F449" i="9" s="1"/>
  <c r="F450" i="9" a="1"/>
  <c r="F450" i="9" s="1"/>
  <c r="F451" i="9" a="1"/>
  <c r="F451" i="9" s="1"/>
  <c r="F452" i="9" a="1"/>
  <c r="F452" i="9" s="1"/>
  <c r="F453" i="9" a="1"/>
  <c r="F453" i="9" s="1"/>
  <c r="F454" i="9" a="1"/>
  <c r="F454" i="9" s="1"/>
  <c r="F455" i="9" a="1"/>
  <c r="F455" i="9" s="1"/>
  <c r="F456" i="9" a="1"/>
  <c r="F456" i="9" s="1"/>
  <c r="F457" i="9" a="1"/>
  <c r="F457" i="9" s="1"/>
  <c r="F458" i="9" a="1"/>
  <c r="F458" i="9" s="1"/>
  <c r="F459" i="9" a="1"/>
  <c r="F459" i="9" s="1"/>
  <c r="F460" i="9" a="1"/>
  <c r="F460" i="9" s="1"/>
  <c r="F461" i="9" a="1"/>
  <c r="F461" i="9" s="1"/>
  <c r="F462" i="9" a="1"/>
  <c r="F462" i="9" s="1"/>
  <c r="F463" i="9" a="1"/>
  <c r="F463" i="9" s="1"/>
  <c r="F464" i="9" a="1"/>
  <c r="F464" i="9" s="1"/>
  <c r="F465" i="9" a="1"/>
  <c r="F465" i="9" s="1"/>
  <c r="F466" i="9" a="1"/>
  <c r="F466" i="9" s="1"/>
  <c r="F467" i="9" a="1"/>
  <c r="F467" i="9" s="1"/>
  <c r="F468" i="9" a="1"/>
  <c r="F468" i="9" s="1"/>
  <c r="F469" i="9" a="1"/>
  <c r="F469" i="9" s="1"/>
  <c r="F470" i="9" a="1"/>
  <c r="F470" i="9" s="1"/>
  <c r="F471" i="9" a="1"/>
  <c r="F471" i="9" s="1"/>
  <c r="F472" i="9" a="1"/>
  <c r="F472" i="9" s="1"/>
  <c r="F473" i="9" a="1"/>
  <c r="F473" i="9" s="1"/>
  <c r="F474" i="9" a="1"/>
  <c r="F474" i="9" s="1"/>
  <c r="F475" i="9" a="1"/>
  <c r="F475" i="9" s="1"/>
  <c r="F476" i="9" a="1"/>
  <c r="F476" i="9" s="1"/>
  <c r="F477" i="9" a="1"/>
  <c r="F477" i="9" s="1"/>
  <c r="F478" i="9" a="1"/>
  <c r="F478" i="9" s="1"/>
  <c r="F479" i="9" a="1"/>
  <c r="F479" i="9" s="1"/>
  <c r="F480" i="9" a="1"/>
  <c r="F480" i="9" s="1"/>
  <c r="F481" i="9" a="1"/>
  <c r="F481" i="9" s="1"/>
  <c r="F482" i="9" a="1"/>
  <c r="F482" i="9" s="1"/>
  <c r="F483" i="9" a="1"/>
  <c r="F483" i="9" s="1"/>
  <c r="F484" i="9" a="1"/>
  <c r="F484" i="9" s="1"/>
  <c r="F485" i="9" a="1"/>
  <c r="F485" i="9" s="1"/>
  <c r="F486" i="9" a="1"/>
  <c r="F486" i="9" s="1"/>
  <c r="F487" i="9" a="1"/>
  <c r="F487" i="9" s="1"/>
  <c r="F488" i="9" a="1"/>
  <c r="F488" i="9" s="1"/>
  <c r="F489" i="9" a="1"/>
  <c r="F489" i="9" s="1"/>
  <c r="F490" i="9" a="1"/>
  <c r="F490" i="9" s="1"/>
  <c r="F491" i="9" a="1"/>
  <c r="F491" i="9" s="1"/>
  <c r="F492" i="9" a="1"/>
  <c r="F492" i="9" s="1"/>
  <c r="F493" i="9" a="1"/>
  <c r="F493" i="9" s="1"/>
  <c r="F494" i="9" a="1"/>
  <c r="F494" i="9" s="1"/>
  <c r="F495" i="9" a="1"/>
  <c r="F495" i="9" s="1"/>
  <c r="F496" i="9" a="1"/>
  <c r="F496" i="9" s="1"/>
  <c r="F497" i="9" a="1"/>
  <c r="F497" i="9" s="1"/>
  <c r="F498" i="9" a="1"/>
  <c r="F498" i="9" s="1"/>
  <c r="F499" i="9" a="1"/>
  <c r="F499" i="9" s="1"/>
  <c r="F500" i="9" a="1"/>
  <c r="F500" i="9" s="1"/>
  <c r="F501" i="9" a="1"/>
  <c r="F501" i="9" s="1"/>
  <c r="F502" i="9" a="1"/>
  <c r="F502" i="9" s="1"/>
  <c r="F503" i="9" a="1"/>
  <c r="F503" i="9" s="1"/>
  <c r="E2" i="9" a="1"/>
  <c r="E2" i="9" s="1"/>
  <c r="E3" i="9" a="1"/>
  <c r="E3" i="9" s="1"/>
  <c r="E4" i="9" a="1"/>
  <c r="E4" i="9" s="1"/>
  <c r="E5" i="9" a="1"/>
  <c r="E5" i="9" s="1"/>
  <c r="E6" i="9" a="1"/>
  <c r="E6" i="9" s="1"/>
  <c r="E7" i="9" a="1"/>
  <c r="E7" i="9" s="1"/>
  <c r="E8" i="9" a="1"/>
  <c r="E8" i="9" s="1"/>
  <c r="E9" i="9" a="1"/>
  <c r="E9" i="9" s="1"/>
  <c r="E10" i="9" a="1"/>
  <c r="E10" i="9" s="1"/>
  <c r="E11" i="9" a="1"/>
  <c r="E11" i="9" s="1"/>
  <c r="E12" i="9" a="1"/>
  <c r="E12" i="9" s="1"/>
  <c r="E13" i="9" a="1"/>
  <c r="E13" i="9" s="1"/>
  <c r="E14" i="9" a="1"/>
  <c r="E14" i="9" s="1"/>
  <c r="E15" i="9" a="1"/>
  <c r="E15" i="9" s="1"/>
  <c r="E16" i="9" a="1"/>
  <c r="E16" i="9" s="1"/>
  <c r="E17" i="9" a="1"/>
  <c r="E17" i="9" s="1"/>
  <c r="E18" i="9" a="1"/>
  <c r="E18" i="9" s="1"/>
  <c r="E19" i="9" a="1"/>
  <c r="E19" i="9" s="1"/>
  <c r="E20" i="9" a="1"/>
  <c r="E20" i="9" s="1"/>
  <c r="E21" i="9" a="1"/>
  <c r="E21" i="9" s="1"/>
  <c r="E22" i="9" a="1"/>
  <c r="E22" i="9" s="1"/>
  <c r="E23" i="9" a="1"/>
  <c r="E23" i="9" s="1"/>
  <c r="E24" i="9" a="1"/>
  <c r="E24" i="9" s="1"/>
  <c r="E25" i="9" a="1"/>
  <c r="E25" i="9" s="1"/>
  <c r="E26" i="9" a="1"/>
  <c r="E26" i="9" s="1"/>
  <c r="E27" i="9" a="1"/>
  <c r="E27" i="9" s="1"/>
  <c r="E28" i="9" a="1"/>
  <c r="E28" i="9" s="1"/>
  <c r="E29" i="9" a="1"/>
  <c r="E29" i="9" s="1"/>
  <c r="E30" i="9" a="1"/>
  <c r="E30" i="9" s="1"/>
  <c r="E31" i="9" a="1"/>
  <c r="E31" i="9" s="1"/>
  <c r="E32" i="9" a="1"/>
  <c r="E32" i="9" s="1"/>
  <c r="E33" i="9" a="1"/>
  <c r="E33" i="9" s="1"/>
  <c r="E34" i="9" a="1"/>
  <c r="E34" i="9" s="1"/>
  <c r="E35" i="9" a="1"/>
  <c r="E35" i="9" s="1"/>
  <c r="E36" i="9" a="1"/>
  <c r="E36" i="9" s="1"/>
  <c r="E37" i="9" a="1"/>
  <c r="E37" i="9" s="1"/>
  <c r="E38" i="9" a="1"/>
  <c r="E38" i="9" s="1"/>
  <c r="E39" i="9" a="1"/>
  <c r="E39" i="9" s="1"/>
  <c r="E40" i="9" a="1"/>
  <c r="E40" i="9" s="1"/>
  <c r="E41" i="9" a="1"/>
  <c r="E41" i="9" s="1"/>
  <c r="E42" i="9" a="1"/>
  <c r="E42" i="9" s="1"/>
  <c r="E43" i="9" a="1"/>
  <c r="E43" i="9" s="1"/>
  <c r="E44" i="9" a="1"/>
  <c r="E44" i="9" s="1"/>
  <c r="E45" i="9" a="1"/>
  <c r="E45" i="9" s="1"/>
  <c r="E46" i="9" a="1"/>
  <c r="E46" i="9" s="1"/>
  <c r="E47" i="9" a="1"/>
  <c r="E47" i="9" s="1"/>
  <c r="E48" i="9" a="1"/>
  <c r="E48" i="9" s="1"/>
  <c r="E49" i="9" a="1"/>
  <c r="E49" i="9" s="1"/>
  <c r="E50" i="9" a="1"/>
  <c r="E50" i="9" s="1"/>
  <c r="E51" i="9" a="1"/>
  <c r="E51" i="9" s="1"/>
  <c r="E52" i="9" a="1"/>
  <c r="E52" i="9" s="1"/>
  <c r="E53" i="9" a="1"/>
  <c r="E53" i="9" s="1"/>
  <c r="E54" i="9" a="1"/>
  <c r="E54" i="9" s="1"/>
  <c r="E55" i="9" a="1"/>
  <c r="E55" i="9" s="1"/>
  <c r="E56" i="9" a="1"/>
  <c r="E56" i="9" s="1"/>
  <c r="E57" i="9" a="1"/>
  <c r="E57" i="9" s="1"/>
  <c r="E58" i="9" a="1"/>
  <c r="E58" i="9" s="1"/>
  <c r="E59" i="9" a="1"/>
  <c r="E59" i="9" s="1"/>
  <c r="E60" i="9" a="1"/>
  <c r="E60" i="9" s="1"/>
  <c r="E61" i="9" a="1"/>
  <c r="E61" i="9" s="1"/>
  <c r="E62" i="9" a="1"/>
  <c r="E62" i="9" s="1"/>
  <c r="E63" i="9" a="1"/>
  <c r="E63" i="9" s="1"/>
  <c r="E64" i="9" a="1"/>
  <c r="E64" i="9" s="1"/>
  <c r="E65" i="9" a="1"/>
  <c r="E65" i="9" s="1"/>
  <c r="E66" i="9" a="1"/>
  <c r="E66" i="9" s="1"/>
  <c r="E67" i="9" a="1"/>
  <c r="E67" i="9" s="1"/>
  <c r="E68" i="9" a="1"/>
  <c r="E68" i="9" s="1"/>
  <c r="E69" i="9" a="1"/>
  <c r="E69" i="9" s="1"/>
  <c r="E70" i="9" a="1"/>
  <c r="E70" i="9" s="1"/>
  <c r="E71" i="9" a="1"/>
  <c r="E71" i="9" s="1"/>
  <c r="E72" i="9" a="1"/>
  <c r="E72" i="9" s="1"/>
  <c r="E73" i="9" a="1"/>
  <c r="E73" i="9" s="1"/>
  <c r="E74" i="9" a="1"/>
  <c r="E74" i="9" s="1"/>
  <c r="E75" i="9" a="1"/>
  <c r="E75" i="9" s="1"/>
  <c r="E76" i="9" a="1"/>
  <c r="E76" i="9" s="1"/>
  <c r="E77" i="9" a="1"/>
  <c r="E77" i="9" s="1"/>
  <c r="E78" i="9" a="1"/>
  <c r="E78" i="9" s="1"/>
  <c r="E79" i="9" a="1"/>
  <c r="E79" i="9" s="1"/>
  <c r="E80" i="9" a="1"/>
  <c r="E80" i="9" s="1"/>
  <c r="E81" i="9" a="1"/>
  <c r="E81" i="9" s="1"/>
  <c r="E82" i="9" a="1"/>
  <c r="E82" i="9" s="1"/>
  <c r="E83" i="9" a="1"/>
  <c r="E83" i="9" s="1"/>
  <c r="E84" i="9" a="1"/>
  <c r="E84" i="9" s="1"/>
  <c r="E85" i="9" a="1"/>
  <c r="E85" i="9" s="1"/>
  <c r="E86" i="9" a="1"/>
  <c r="E86" i="9" s="1"/>
  <c r="E87" i="9" a="1"/>
  <c r="E87" i="9" s="1"/>
  <c r="E88" i="9" a="1"/>
  <c r="E88" i="9" s="1"/>
  <c r="E89" i="9" a="1"/>
  <c r="E89" i="9" s="1"/>
  <c r="E90" i="9" a="1"/>
  <c r="E90" i="9" s="1"/>
  <c r="E91" i="9" a="1"/>
  <c r="E91" i="9" s="1"/>
  <c r="E92" i="9" a="1"/>
  <c r="E92" i="9" s="1"/>
  <c r="E93" i="9" a="1"/>
  <c r="E93" i="9" s="1"/>
  <c r="E94" i="9" a="1"/>
  <c r="E94" i="9" s="1"/>
  <c r="E95" i="9" a="1"/>
  <c r="E95" i="9" s="1"/>
  <c r="E96" i="9" a="1"/>
  <c r="E96" i="9" s="1"/>
  <c r="E97" i="9" a="1"/>
  <c r="E97" i="9" s="1"/>
  <c r="E98" i="9" a="1"/>
  <c r="E98" i="9" s="1"/>
  <c r="E99" i="9" a="1"/>
  <c r="E99" i="9" s="1"/>
  <c r="E100" i="9" a="1"/>
  <c r="E100" i="9" s="1"/>
  <c r="E101" i="9" a="1"/>
  <c r="E101" i="9" s="1"/>
  <c r="E102" i="9" a="1"/>
  <c r="E102" i="9" s="1"/>
  <c r="E103" i="9" a="1"/>
  <c r="E103" i="9" s="1"/>
  <c r="E104" i="9" a="1"/>
  <c r="E104" i="9" s="1"/>
  <c r="E105" i="9" a="1"/>
  <c r="E105" i="9" s="1"/>
  <c r="E106" i="9" a="1"/>
  <c r="E106" i="9" s="1"/>
  <c r="E107" i="9" a="1"/>
  <c r="E107" i="9" s="1"/>
  <c r="E108" i="9" a="1"/>
  <c r="E108" i="9" s="1"/>
  <c r="E109" i="9" a="1"/>
  <c r="E109" i="9" s="1"/>
  <c r="E110" i="9" a="1"/>
  <c r="E110" i="9" s="1"/>
  <c r="E111" i="9" a="1"/>
  <c r="E111" i="9" s="1"/>
  <c r="E112" i="9" a="1"/>
  <c r="E112" i="9" s="1"/>
  <c r="E113" i="9" a="1"/>
  <c r="E113" i="9" s="1"/>
  <c r="E114" i="9" a="1"/>
  <c r="E114" i="9" s="1"/>
  <c r="E115" i="9" a="1"/>
  <c r="E115" i="9" s="1"/>
  <c r="E116" i="9" a="1"/>
  <c r="E116" i="9" s="1"/>
  <c r="E117" i="9" a="1"/>
  <c r="E117" i="9" s="1"/>
  <c r="E118" i="9" a="1"/>
  <c r="E118" i="9" s="1"/>
  <c r="E119" i="9" a="1"/>
  <c r="E119" i="9" s="1"/>
  <c r="E120" i="9" a="1"/>
  <c r="E120" i="9" s="1"/>
  <c r="E121" i="9" a="1"/>
  <c r="E121" i="9" s="1"/>
  <c r="E122" i="9" a="1"/>
  <c r="E122" i="9" s="1"/>
  <c r="E123" i="9" a="1"/>
  <c r="E123" i="9" s="1"/>
  <c r="E124" i="9" a="1"/>
  <c r="E124" i="9" s="1"/>
  <c r="E125" i="9" a="1"/>
  <c r="E125" i="9" s="1"/>
  <c r="E126" i="9" a="1"/>
  <c r="E126" i="9" s="1"/>
  <c r="E127" i="9" a="1"/>
  <c r="E127" i="9" s="1"/>
  <c r="E128" i="9" a="1"/>
  <c r="E128" i="9" s="1"/>
  <c r="E129" i="9" a="1"/>
  <c r="E129" i="9" s="1"/>
  <c r="E130" i="9" a="1"/>
  <c r="E130" i="9" s="1"/>
  <c r="E131" i="9" a="1"/>
  <c r="E131" i="9" s="1"/>
  <c r="E132" i="9" a="1"/>
  <c r="E132" i="9" s="1"/>
  <c r="E133" i="9" a="1"/>
  <c r="E133" i="9" s="1"/>
  <c r="E134" i="9" a="1"/>
  <c r="E134" i="9" s="1"/>
  <c r="E135" i="9" a="1"/>
  <c r="E135" i="9" s="1"/>
  <c r="E136" i="9" a="1"/>
  <c r="E136" i="9" s="1"/>
  <c r="E137" i="9" a="1"/>
  <c r="E137" i="9" s="1"/>
  <c r="E138" i="9" a="1"/>
  <c r="E138" i="9" s="1"/>
  <c r="E139" i="9" a="1"/>
  <c r="E139" i="9" s="1"/>
  <c r="E140" i="9" a="1"/>
  <c r="E140" i="9" s="1"/>
  <c r="E141" i="9" a="1"/>
  <c r="E141" i="9" s="1"/>
  <c r="E142" i="9" a="1"/>
  <c r="E142" i="9" s="1"/>
  <c r="E143" i="9" a="1"/>
  <c r="E143" i="9" s="1"/>
  <c r="E144" i="9" a="1"/>
  <c r="E144" i="9" s="1"/>
  <c r="E145" i="9" a="1"/>
  <c r="E145" i="9" s="1"/>
  <c r="E146" i="9" a="1"/>
  <c r="E146" i="9" s="1"/>
  <c r="E147" i="9" a="1"/>
  <c r="E147" i="9" s="1"/>
  <c r="E148" i="9" a="1"/>
  <c r="E148" i="9" s="1"/>
  <c r="E149" i="9" a="1"/>
  <c r="E149" i="9" s="1"/>
  <c r="E150" i="9" a="1"/>
  <c r="E150" i="9" s="1"/>
  <c r="E151" i="9" a="1"/>
  <c r="E151" i="9" s="1"/>
  <c r="E152" i="9" a="1"/>
  <c r="E152" i="9" s="1"/>
  <c r="E153" i="9" a="1"/>
  <c r="E153" i="9" s="1"/>
  <c r="E154" i="9" a="1"/>
  <c r="E154" i="9" s="1"/>
  <c r="E155" i="9" a="1"/>
  <c r="E155" i="9" s="1"/>
  <c r="E156" i="9" a="1"/>
  <c r="E156" i="9" s="1"/>
  <c r="E157" i="9" a="1"/>
  <c r="E157" i="9" s="1"/>
  <c r="E158" i="9" a="1"/>
  <c r="E158" i="9" s="1"/>
  <c r="E159" i="9" a="1"/>
  <c r="E159" i="9" s="1"/>
  <c r="E160" i="9" a="1"/>
  <c r="E160" i="9" s="1"/>
  <c r="E161" i="9" a="1"/>
  <c r="E161" i="9" s="1"/>
  <c r="E162" i="9" a="1"/>
  <c r="E162" i="9" s="1"/>
  <c r="E163" i="9" a="1"/>
  <c r="E163" i="9" s="1"/>
  <c r="E164" i="9" a="1"/>
  <c r="E164" i="9" s="1"/>
  <c r="E165" i="9" a="1"/>
  <c r="E165" i="9" s="1"/>
  <c r="E166" i="9" a="1"/>
  <c r="E166" i="9" s="1"/>
  <c r="E167" i="9" a="1"/>
  <c r="E167" i="9" s="1"/>
  <c r="E168" i="9" a="1"/>
  <c r="E168" i="9" s="1"/>
  <c r="E169" i="9" a="1"/>
  <c r="E169" i="9" s="1"/>
  <c r="E170" i="9" a="1"/>
  <c r="E170" i="9" s="1"/>
  <c r="E171" i="9" a="1"/>
  <c r="E171" i="9" s="1"/>
  <c r="E172" i="9" a="1"/>
  <c r="E172" i="9" s="1"/>
  <c r="E173" i="9" a="1"/>
  <c r="E173" i="9" s="1"/>
  <c r="E174" i="9" a="1"/>
  <c r="E174" i="9" s="1"/>
  <c r="E175" i="9" a="1"/>
  <c r="E175" i="9" s="1"/>
  <c r="E176" i="9" a="1"/>
  <c r="E176" i="9" s="1"/>
  <c r="E177" i="9" a="1"/>
  <c r="E177" i="9" s="1"/>
  <c r="E178" i="9" a="1"/>
  <c r="E178" i="9" s="1"/>
  <c r="E179" i="9" a="1"/>
  <c r="E179" i="9" s="1"/>
  <c r="E180" i="9" a="1"/>
  <c r="E180" i="9" s="1"/>
  <c r="E181" i="9" a="1"/>
  <c r="E181" i="9" s="1"/>
  <c r="E182" i="9" a="1"/>
  <c r="E182" i="9" s="1"/>
  <c r="E183" i="9" a="1"/>
  <c r="E183" i="9" s="1"/>
  <c r="E184" i="9" a="1"/>
  <c r="E184" i="9" s="1"/>
  <c r="E185" i="9" a="1"/>
  <c r="E185" i="9" s="1"/>
  <c r="E186" i="9" a="1"/>
  <c r="E186" i="9" s="1"/>
  <c r="E187" i="9" a="1"/>
  <c r="E187" i="9" s="1"/>
  <c r="E188" i="9" a="1"/>
  <c r="E188" i="9" s="1"/>
  <c r="E189" i="9" a="1"/>
  <c r="E189" i="9" s="1"/>
  <c r="E190" i="9" a="1"/>
  <c r="E190" i="9" s="1"/>
  <c r="E191" i="9" a="1"/>
  <c r="E191" i="9" s="1"/>
  <c r="E192" i="9" a="1"/>
  <c r="E192" i="9" s="1"/>
  <c r="E193" i="9" a="1"/>
  <c r="E193" i="9" s="1"/>
  <c r="E194" i="9" a="1"/>
  <c r="E194" i="9" s="1"/>
  <c r="E195" i="9" a="1"/>
  <c r="E195" i="9" s="1"/>
  <c r="E196" i="9" a="1"/>
  <c r="E196" i="9" s="1"/>
  <c r="E197" i="9" a="1"/>
  <c r="E197" i="9" s="1"/>
  <c r="E198" i="9" a="1"/>
  <c r="E198" i="9" s="1"/>
  <c r="E199" i="9" a="1"/>
  <c r="E199" i="9" s="1"/>
  <c r="E200" i="9" a="1"/>
  <c r="E200" i="9" s="1"/>
  <c r="E201" i="9" a="1"/>
  <c r="E201" i="9" s="1"/>
  <c r="E202" i="9" a="1"/>
  <c r="E202" i="9" s="1"/>
  <c r="E203" i="9" a="1"/>
  <c r="E203" i="9" s="1"/>
  <c r="E204" i="9" a="1"/>
  <c r="E204" i="9" s="1"/>
  <c r="E205" i="9" a="1"/>
  <c r="E205" i="9" s="1"/>
  <c r="E206" i="9" a="1"/>
  <c r="E206" i="9" s="1"/>
  <c r="E207" i="9" a="1"/>
  <c r="E207" i="9" s="1"/>
  <c r="E208" i="9" a="1"/>
  <c r="E208" i="9" s="1"/>
  <c r="E209" i="9" a="1"/>
  <c r="E209" i="9" s="1"/>
  <c r="E210" i="9" a="1"/>
  <c r="E210" i="9" s="1"/>
  <c r="E211" i="9" a="1"/>
  <c r="E211" i="9" s="1"/>
  <c r="E212" i="9" a="1"/>
  <c r="E212" i="9" s="1"/>
  <c r="E213" i="9" a="1"/>
  <c r="E213" i="9" s="1"/>
  <c r="E214" i="9" a="1"/>
  <c r="E214" i="9" s="1"/>
  <c r="E215" i="9" a="1"/>
  <c r="E215" i="9" s="1"/>
  <c r="E216" i="9" a="1"/>
  <c r="E216" i="9" s="1"/>
  <c r="E217" i="9" a="1"/>
  <c r="E217" i="9" s="1"/>
  <c r="E218" i="9" a="1"/>
  <c r="E218" i="9" s="1"/>
  <c r="E219" i="9" a="1"/>
  <c r="E219" i="9" s="1"/>
  <c r="E220" i="9" a="1"/>
  <c r="E220" i="9" s="1"/>
  <c r="E221" i="9" a="1"/>
  <c r="E221" i="9" s="1"/>
  <c r="E222" i="9" a="1"/>
  <c r="E222" i="9" s="1"/>
  <c r="E223" i="9" a="1"/>
  <c r="E223" i="9" s="1"/>
  <c r="E224" i="9" a="1"/>
  <c r="E224" i="9" s="1"/>
  <c r="E225" i="9" a="1"/>
  <c r="E225" i="9" s="1"/>
  <c r="E226" i="9" a="1"/>
  <c r="E226" i="9" s="1"/>
  <c r="E227" i="9" a="1"/>
  <c r="E227" i="9" s="1"/>
  <c r="E228" i="9" a="1"/>
  <c r="E228" i="9" s="1"/>
  <c r="E229" i="9" a="1"/>
  <c r="E229" i="9" s="1"/>
  <c r="E230" i="9" a="1"/>
  <c r="E230" i="9" s="1"/>
  <c r="E231" i="9" a="1"/>
  <c r="E231" i="9" s="1"/>
  <c r="E232" i="9" a="1"/>
  <c r="E232" i="9" s="1"/>
  <c r="E233" i="9" a="1"/>
  <c r="E233" i="9" s="1"/>
  <c r="E234" i="9" a="1"/>
  <c r="E234" i="9" s="1"/>
  <c r="E235" i="9" a="1"/>
  <c r="E235" i="9" s="1"/>
  <c r="E236" i="9" a="1"/>
  <c r="E236" i="9" s="1"/>
  <c r="E237" i="9" a="1"/>
  <c r="E237" i="9" s="1"/>
  <c r="E238" i="9" a="1"/>
  <c r="E238" i="9" s="1"/>
  <c r="E239" i="9" a="1"/>
  <c r="E239" i="9" s="1"/>
  <c r="E240" i="9" a="1"/>
  <c r="E240" i="9" s="1"/>
  <c r="E241" i="9" a="1"/>
  <c r="E241" i="9" s="1"/>
  <c r="E242" i="9" a="1"/>
  <c r="E242" i="9" s="1"/>
  <c r="E243" i="9" a="1"/>
  <c r="E243" i="9" s="1"/>
  <c r="E244" i="9" a="1"/>
  <c r="E244" i="9" s="1"/>
  <c r="E245" i="9" a="1"/>
  <c r="E245" i="9" s="1"/>
  <c r="E246" i="9" a="1"/>
  <c r="E246" i="9" s="1"/>
  <c r="E247" i="9" a="1"/>
  <c r="E247" i="9" s="1"/>
  <c r="E248" i="9" a="1"/>
  <c r="E248" i="9" s="1"/>
  <c r="E249" i="9" a="1"/>
  <c r="E249" i="9" s="1"/>
  <c r="E250" i="9" a="1"/>
  <c r="E250" i="9" s="1"/>
  <c r="E251" i="9" a="1"/>
  <c r="E251" i="9" s="1"/>
  <c r="E252" i="9" a="1"/>
  <c r="E252" i="9" s="1"/>
  <c r="E253" i="9" a="1"/>
  <c r="E253" i="9" s="1"/>
  <c r="E254" i="9" a="1"/>
  <c r="E254" i="9" s="1"/>
  <c r="E255" i="9" a="1"/>
  <c r="E255" i="9" s="1"/>
  <c r="E256" i="9" a="1"/>
  <c r="E256" i="9" s="1"/>
  <c r="E257" i="9" a="1"/>
  <c r="E257" i="9" s="1"/>
  <c r="E258" i="9" a="1"/>
  <c r="E258" i="9" s="1"/>
  <c r="E259" i="9" a="1"/>
  <c r="E259" i="9" s="1"/>
  <c r="E260" i="9" a="1"/>
  <c r="E260" i="9" s="1"/>
  <c r="E261" i="9" a="1"/>
  <c r="E261" i="9" s="1"/>
  <c r="E262" i="9" a="1"/>
  <c r="E262" i="9" s="1"/>
  <c r="E263" i="9" a="1"/>
  <c r="E263" i="9" s="1"/>
  <c r="E264" i="9" a="1"/>
  <c r="E264" i="9" s="1"/>
  <c r="E265" i="9" a="1"/>
  <c r="E265" i="9" s="1"/>
  <c r="E266" i="9" a="1"/>
  <c r="E266" i="9" s="1"/>
  <c r="E267" i="9" a="1"/>
  <c r="E267" i="9" s="1"/>
  <c r="E268" i="9" a="1"/>
  <c r="E268" i="9" s="1"/>
  <c r="E269" i="9" a="1"/>
  <c r="E269" i="9" s="1"/>
  <c r="E270" i="9" a="1"/>
  <c r="E270" i="9" s="1"/>
  <c r="E271" i="9" a="1"/>
  <c r="E271" i="9" s="1"/>
  <c r="E272" i="9" a="1"/>
  <c r="E272" i="9" s="1"/>
  <c r="E273" i="9" a="1"/>
  <c r="E273" i="9" s="1"/>
  <c r="E274" i="9" a="1"/>
  <c r="E274" i="9" s="1"/>
  <c r="E275" i="9" a="1"/>
  <c r="E275" i="9" s="1"/>
  <c r="E276" i="9" a="1"/>
  <c r="E276" i="9" s="1"/>
  <c r="E277" i="9" a="1"/>
  <c r="E277" i="9" s="1"/>
  <c r="E278" i="9" a="1"/>
  <c r="E278" i="9" s="1"/>
  <c r="E279" i="9" a="1"/>
  <c r="E279" i="9" s="1"/>
  <c r="E280" i="9" a="1"/>
  <c r="E280" i="9" s="1"/>
  <c r="E281" i="9" a="1"/>
  <c r="E281" i="9" s="1"/>
  <c r="E282" i="9" a="1"/>
  <c r="E282" i="9" s="1"/>
  <c r="E283" i="9" a="1"/>
  <c r="E283" i="9" s="1"/>
  <c r="E284" i="9" a="1"/>
  <c r="E284" i="9" s="1"/>
  <c r="E285" i="9" a="1"/>
  <c r="E285" i="9" s="1"/>
  <c r="E286" i="9" a="1"/>
  <c r="E286" i="9" s="1"/>
  <c r="E287" i="9" a="1"/>
  <c r="E287" i="9" s="1"/>
  <c r="E288" i="9" a="1"/>
  <c r="E288" i="9" s="1"/>
  <c r="E289" i="9" a="1"/>
  <c r="E289" i="9" s="1"/>
  <c r="E290" i="9" a="1"/>
  <c r="E290" i="9" s="1"/>
  <c r="E291" i="9" a="1"/>
  <c r="E291" i="9" s="1"/>
  <c r="E292" i="9" a="1"/>
  <c r="E292" i="9" s="1"/>
  <c r="E293" i="9" a="1"/>
  <c r="E293" i="9" s="1"/>
  <c r="E294" i="9" a="1"/>
  <c r="E294" i="9" s="1"/>
  <c r="E295" i="9" a="1"/>
  <c r="E295" i="9" s="1"/>
  <c r="E296" i="9" a="1"/>
  <c r="E296" i="9" s="1"/>
  <c r="E297" i="9" a="1"/>
  <c r="E297" i="9" s="1"/>
  <c r="E298" i="9" a="1"/>
  <c r="E298" i="9" s="1"/>
  <c r="E299" i="9" a="1"/>
  <c r="E299" i="9" s="1"/>
  <c r="E300" i="9" a="1"/>
  <c r="E300" i="9" s="1"/>
  <c r="E301" i="9" a="1"/>
  <c r="E301" i="9" s="1"/>
  <c r="E302" i="9" a="1"/>
  <c r="E302" i="9" s="1"/>
  <c r="E303" i="9" a="1"/>
  <c r="E303" i="9" s="1"/>
  <c r="E304" i="9" a="1"/>
  <c r="E304" i="9" s="1"/>
  <c r="E305" i="9" a="1"/>
  <c r="E305" i="9" s="1"/>
  <c r="E306" i="9" a="1"/>
  <c r="E306" i="9" s="1"/>
  <c r="E307" i="9" a="1"/>
  <c r="E307" i="9" s="1"/>
  <c r="E308" i="9" a="1"/>
  <c r="E308" i="9" s="1"/>
  <c r="E309" i="9" a="1"/>
  <c r="E309" i="9" s="1"/>
  <c r="E310" i="9" a="1"/>
  <c r="E310" i="9" s="1"/>
  <c r="E311" i="9" a="1"/>
  <c r="E311" i="9" s="1"/>
  <c r="E312" i="9" a="1"/>
  <c r="E312" i="9" s="1"/>
  <c r="E313" i="9" a="1"/>
  <c r="E313" i="9" s="1"/>
  <c r="E314" i="9" a="1"/>
  <c r="E314" i="9" s="1"/>
  <c r="E315" i="9" a="1"/>
  <c r="E315" i="9" s="1"/>
  <c r="E316" i="9" a="1"/>
  <c r="E316" i="9" s="1"/>
  <c r="E317" i="9" a="1"/>
  <c r="E317" i="9" s="1"/>
  <c r="E318" i="9" a="1"/>
  <c r="E318" i="9" s="1"/>
  <c r="E319" i="9" a="1"/>
  <c r="E319" i="9" s="1"/>
  <c r="E320" i="9" a="1"/>
  <c r="E320" i="9" s="1"/>
  <c r="E321" i="9" a="1"/>
  <c r="E321" i="9" s="1"/>
  <c r="E322" i="9" a="1"/>
  <c r="E322" i="9" s="1"/>
  <c r="E323" i="9" a="1"/>
  <c r="E323" i="9" s="1"/>
  <c r="E324" i="9" a="1"/>
  <c r="E324" i="9" s="1"/>
  <c r="E325" i="9" a="1"/>
  <c r="E325" i="9" s="1"/>
  <c r="E326" i="9" a="1"/>
  <c r="E326" i="9" s="1"/>
  <c r="E327" i="9" a="1"/>
  <c r="E327" i="9" s="1"/>
  <c r="E328" i="9" a="1"/>
  <c r="E328" i="9" s="1"/>
  <c r="E329" i="9" a="1"/>
  <c r="E329" i="9" s="1"/>
  <c r="E330" i="9" a="1"/>
  <c r="E330" i="9" s="1"/>
  <c r="E331" i="9" a="1"/>
  <c r="E331" i="9" s="1"/>
  <c r="E332" i="9" a="1"/>
  <c r="E332" i="9" s="1"/>
  <c r="E333" i="9" a="1"/>
  <c r="E333" i="9" s="1"/>
  <c r="E334" i="9" a="1"/>
  <c r="E334" i="9" s="1"/>
  <c r="E335" i="9" a="1"/>
  <c r="E335" i="9" s="1"/>
  <c r="E336" i="9" a="1"/>
  <c r="E336" i="9" s="1"/>
  <c r="E337" i="9" a="1"/>
  <c r="E337" i="9" s="1"/>
  <c r="E338" i="9" a="1"/>
  <c r="E338" i="9" s="1"/>
  <c r="E339" i="9" a="1"/>
  <c r="E339" i="9" s="1"/>
  <c r="E340" i="9" a="1"/>
  <c r="E340" i="9" s="1"/>
  <c r="E341" i="9" a="1"/>
  <c r="E341" i="9" s="1"/>
  <c r="E342" i="9" a="1"/>
  <c r="E342" i="9" s="1"/>
  <c r="E343" i="9" a="1"/>
  <c r="E343" i="9" s="1"/>
  <c r="E344" i="9" a="1"/>
  <c r="E344" i="9" s="1"/>
  <c r="E345" i="9" a="1"/>
  <c r="E345" i="9" s="1"/>
  <c r="E346" i="9" a="1"/>
  <c r="E346" i="9" s="1"/>
  <c r="E347" i="9" a="1"/>
  <c r="E347" i="9" s="1"/>
  <c r="E348" i="9" a="1"/>
  <c r="E348" i="9" s="1"/>
  <c r="E349" i="9" a="1"/>
  <c r="E349" i="9" s="1"/>
  <c r="E350" i="9" a="1"/>
  <c r="E350" i="9" s="1"/>
  <c r="E351" i="9" a="1"/>
  <c r="E351" i="9" s="1"/>
  <c r="E352" i="9" a="1"/>
  <c r="E352" i="9" s="1"/>
  <c r="E353" i="9" a="1"/>
  <c r="E353" i="9" s="1"/>
  <c r="E354" i="9" a="1"/>
  <c r="E354" i="9" s="1"/>
  <c r="E355" i="9" a="1"/>
  <c r="E355" i="9" s="1"/>
  <c r="E356" i="9" a="1"/>
  <c r="E356" i="9" s="1"/>
  <c r="E357" i="9" a="1"/>
  <c r="E357" i="9" s="1"/>
  <c r="E358" i="9" a="1"/>
  <c r="E358" i="9" s="1"/>
  <c r="E359" i="9" a="1"/>
  <c r="E359" i="9" s="1"/>
  <c r="E360" i="9" a="1"/>
  <c r="E360" i="9" s="1"/>
  <c r="E361" i="9" a="1"/>
  <c r="E361" i="9" s="1"/>
  <c r="E362" i="9" a="1"/>
  <c r="E362" i="9" s="1"/>
  <c r="E363" i="9" a="1"/>
  <c r="E363" i="9" s="1"/>
  <c r="E364" i="9" a="1"/>
  <c r="E364" i="9" s="1"/>
  <c r="E365" i="9" a="1"/>
  <c r="E365" i="9" s="1"/>
  <c r="E366" i="9" a="1"/>
  <c r="E366" i="9" s="1"/>
  <c r="E367" i="9" a="1"/>
  <c r="E367" i="9" s="1"/>
  <c r="E368" i="9" a="1"/>
  <c r="E368" i="9" s="1"/>
  <c r="E369" i="9" a="1"/>
  <c r="E369" i="9" s="1"/>
  <c r="E370" i="9" a="1"/>
  <c r="E370" i="9" s="1"/>
  <c r="E371" i="9" a="1"/>
  <c r="E371" i="9" s="1"/>
  <c r="E372" i="9" a="1"/>
  <c r="E372" i="9" s="1"/>
  <c r="E373" i="9" a="1"/>
  <c r="E373" i="9" s="1"/>
  <c r="E374" i="9" a="1"/>
  <c r="E374" i="9" s="1"/>
  <c r="E375" i="9" a="1"/>
  <c r="E375" i="9" s="1"/>
  <c r="E376" i="9" a="1"/>
  <c r="E376" i="9" s="1"/>
  <c r="E377" i="9" a="1"/>
  <c r="E377" i="9" s="1"/>
  <c r="E378" i="9" a="1"/>
  <c r="E378" i="9" s="1"/>
  <c r="E379" i="9" a="1"/>
  <c r="E379" i="9" s="1"/>
  <c r="E380" i="9" a="1"/>
  <c r="E380" i="9" s="1"/>
  <c r="E381" i="9" a="1"/>
  <c r="E381" i="9" s="1"/>
  <c r="E382" i="9" a="1"/>
  <c r="E382" i="9" s="1"/>
  <c r="E383" i="9" a="1"/>
  <c r="E383" i="9" s="1"/>
  <c r="E384" i="9" a="1"/>
  <c r="E384" i="9" s="1"/>
  <c r="E385" i="9" a="1"/>
  <c r="E385" i="9" s="1"/>
  <c r="E386" i="9" a="1"/>
  <c r="E386" i="9" s="1"/>
  <c r="E387" i="9" a="1"/>
  <c r="E387" i="9" s="1"/>
  <c r="E388" i="9" a="1"/>
  <c r="E388" i="9" s="1"/>
  <c r="E389" i="9" a="1"/>
  <c r="E389" i="9" s="1"/>
  <c r="E390" i="9" a="1"/>
  <c r="E390" i="9" s="1"/>
  <c r="E391" i="9" a="1"/>
  <c r="E391" i="9" s="1"/>
  <c r="E392" i="9" a="1"/>
  <c r="E392" i="9" s="1"/>
  <c r="E393" i="9" a="1"/>
  <c r="E393" i="9" s="1"/>
  <c r="E394" i="9" a="1"/>
  <c r="E394" i="9" s="1"/>
  <c r="E395" i="9" a="1"/>
  <c r="E395" i="9" s="1"/>
  <c r="E396" i="9" a="1"/>
  <c r="E396" i="9" s="1"/>
  <c r="E397" i="9" a="1"/>
  <c r="E397" i="9" s="1"/>
  <c r="E398" i="9" a="1"/>
  <c r="E398" i="9" s="1"/>
  <c r="E399" i="9" a="1"/>
  <c r="E399" i="9" s="1"/>
  <c r="E400" i="9" a="1"/>
  <c r="E400" i="9" s="1"/>
  <c r="E401" i="9" a="1"/>
  <c r="E401" i="9" s="1"/>
  <c r="E402" i="9" a="1"/>
  <c r="E402" i="9" s="1"/>
  <c r="E403" i="9" a="1"/>
  <c r="E403" i="9" s="1"/>
  <c r="E404" i="9" a="1"/>
  <c r="E404" i="9" s="1"/>
  <c r="E405" i="9" a="1"/>
  <c r="E405" i="9" s="1"/>
  <c r="E406" i="9" a="1"/>
  <c r="E406" i="9" s="1"/>
  <c r="E407" i="9" a="1"/>
  <c r="E407" i="9" s="1"/>
  <c r="E408" i="9" a="1"/>
  <c r="E408" i="9" s="1"/>
  <c r="E409" i="9" a="1"/>
  <c r="E409" i="9" s="1"/>
  <c r="E410" i="9" a="1"/>
  <c r="E410" i="9" s="1"/>
  <c r="E411" i="9" a="1"/>
  <c r="E411" i="9" s="1"/>
  <c r="E412" i="9" a="1"/>
  <c r="E412" i="9" s="1"/>
  <c r="E413" i="9" a="1"/>
  <c r="E413" i="9" s="1"/>
  <c r="E414" i="9" a="1"/>
  <c r="E414" i="9" s="1"/>
  <c r="E415" i="9" a="1"/>
  <c r="E415" i="9" s="1"/>
  <c r="E416" i="9" a="1"/>
  <c r="E416" i="9" s="1"/>
  <c r="E417" i="9" a="1"/>
  <c r="E417" i="9" s="1"/>
  <c r="E418" i="9" a="1"/>
  <c r="E418" i="9" s="1"/>
  <c r="E419" i="9" a="1"/>
  <c r="E419" i="9" s="1"/>
  <c r="E420" i="9" a="1"/>
  <c r="E420" i="9" s="1"/>
  <c r="E421" i="9" a="1"/>
  <c r="E421" i="9" s="1"/>
  <c r="E422" i="9" a="1"/>
  <c r="E422" i="9" s="1"/>
  <c r="E423" i="9" a="1"/>
  <c r="E423" i="9" s="1"/>
  <c r="E424" i="9" a="1"/>
  <c r="E424" i="9" s="1"/>
  <c r="E425" i="9" a="1"/>
  <c r="E425" i="9" s="1"/>
  <c r="E426" i="9" a="1"/>
  <c r="E426" i="9" s="1"/>
  <c r="E427" i="9" a="1"/>
  <c r="E427" i="9" s="1"/>
  <c r="E428" i="9" a="1"/>
  <c r="E428" i="9" s="1"/>
  <c r="E429" i="9" a="1"/>
  <c r="E429" i="9" s="1"/>
  <c r="E430" i="9" a="1"/>
  <c r="E430" i="9" s="1"/>
  <c r="E431" i="9" a="1"/>
  <c r="E431" i="9" s="1"/>
  <c r="E432" i="9" a="1"/>
  <c r="E432" i="9" s="1"/>
  <c r="E433" i="9" a="1"/>
  <c r="E433" i="9" s="1"/>
  <c r="E434" i="9" a="1"/>
  <c r="E434" i="9" s="1"/>
  <c r="E435" i="9" a="1"/>
  <c r="E435" i="9" s="1"/>
  <c r="E436" i="9" a="1"/>
  <c r="E436" i="9" s="1"/>
  <c r="E437" i="9" a="1"/>
  <c r="E437" i="9" s="1"/>
  <c r="E438" i="9" a="1"/>
  <c r="E438" i="9" s="1"/>
  <c r="E439" i="9" a="1"/>
  <c r="E439" i="9" s="1"/>
  <c r="E440" i="9" a="1"/>
  <c r="E440" i="9" s="1"/>
  <c r="E441" i="9" a="1"/>
  <c r="E441" i="9" s="1"/>
  <c r="E442" i="9" a="1"/>
  <c r="E442" i="9" s="1"/>
  <c r="E443" i="9" a="1"/>
  <c r="E443" i="9" s="1"/>
  <c r="E444" i="9" a="1"/>
  <c r="E444" i="9" s="1"/>
  <c r="E445" i="9" a="1"/>
  <c r="E445" i="9" s="1"/>
  <c r="E446" i="9" a="1"/>
  <c r="E446" i="9" s="1"/>
  <c r="E447" i="9" a="1"/>
  <c r="E447" i="9" s="1"/>
  <c r="E448" i="9" a="1"/>
  <c r="E448" i="9" s="1"/>
  <c r="E449" i="9" a="1"/>
  <c r="E449" i="9" s="1"/>
  <c r="E450" i="9" a="1"/>
  <c r="E450" i="9" s="1"/>
  <c r="E451" i="9" a="1"/>
  <c r="E451" i="9" s="1"/>
  <c r="E452" i="9" a="1"/>
  <c r="E452" i="9" s="1"/>
  <c r="E453" i="9" a="1"/>
  <c r="E453" i="9" s="1"/>
  <c r="E454" i="9" a="1"/>
  <c r="E454" i="9" s="1"/>
  <c r="E455" i="9" a="1"/>
  <c r="E455" i="9" s="1"/>
  <c r="E456" i="9" a="1"/>
  <c r="E456" i="9" s="1"/>
  <c r="E457" i="9" a="1"/>
  <c r="E457" i="9" s="1"/>
  <c r="E458" i="9" a="1"/>
  <c r="E458" i="9" s="1"/>
  <c r="E459" i="9" a="1"/>
  <c r="E459" i="9" s="1"/>
  <c r="E460" i="9" a="1"/>
  <c r="E460" i="9" s="1"/>
  <c r="E461" i="9" a="1"/>
  <c r="E461" i="9" s="1"/>
  <c r="E462" i="9" a="1"/>
  <c r="E462" i="9" s="1"/>
  <c r="E463" i="9" a="1"/>
  <c r="E463" i="9" s="1"/>
  <c r="E464" i="9" a="1"/>
  <c r="E464" i="9" s="1"/>
  <c r="E465" i="9" a="1"/>
  <c r="E465" i="9" s="1"/>
  <c r="E466" i="9" a="1"/>
  <c r="E466" i="9" s="1"/>
  <c r="E467" i="9" a="1"/>
  <c r="E467" i="9" s="1"/>
  <c r="E468" i="9" a="1"/>
  <c r="E468" i="9" s="1"/>
  <c r="E469" i="9" a="1"/>
  <c r="E469" i="9" s="1"/>
  <c r="E470" i="9" a="1"/>
  <c r="E470" i="9" s="1"/>
  <c r="E471" i="9" a="1"/>
  <c r="E471" i="9" s="1"/>
  <c r="E472" i="9" a="1"/>
  <c r="E472" i="9" s="1"/>
  <c r="E473" i="9" a="1"/>
  <c r="E473" i="9" s="1"/>
  <c r="E474" i="9" a="1"/>
  <c r="E474" i="9" s="1"/>
  <c r="E475" i="9" a="1"/>
  <c r="E475" i="9" s="1"/>
  <c r="E476" i="9" a="1"/>
  <c r="E476" i="9" s="1"/>
  <c r="E477" i="9" a="1"/>
  <c r="E477" i="9" s="1"/>
  <c r="E478" i="9" a="1"/>
  <c r="E478" i="9" s="1"/>
  <c r="E479" i="9" a="1"/>
  <c r="E479" i="9" s="1"/>
  <c r="E480" i="9" a="1"/>
  <c r="E480" i="9" s="1"/>
  <c r="E481" i="9" a="1"/>
  <c r="E481" i="9" s="1"/>
  <c r="E482" i="9" a="1"/>
  <c r="E482" i="9" s="1"/>
  <c r="E483" i="9" a="1"/>
  <c r="E483" i="9" s="1"/>
  <c r="E484" i="9" a="1"/>
  <c r="E484" i="9" s="1"/>
  <c r="E485" i="9" a="1"/>
  <c r="E485" i="9" s="1"/>
  <c r="E486" i="9" a="1"/>
  <c r="E486" i="9" s="1"/>
  <c r="E487" i="9" a="1"/>
  <c r="E487" i="9" s="1"/>
  <c r="E488" i="9" a="1"/>
  <c r="E488" i="9" s="1"/>
  <c r="E489" i="9" a="1"/>
  <c r="E489" i="9" s="1"/>
  <c r="E490" i="9" a="1"/>
  <c r="E490" i="9" s="1"/>
  <c r="E491" i="9" a="1"/>
  <c r="E491" i="9" s="1"/>
  <c r="E492" i="9" a="1"/>
  <c r="E492" i="9" s="1"/>
  <c r="E493" i="9" a="1"/>
  <c r="E493" i="9" s="1"/>
  <c r="E494" i="9" a="1"/>
  <c r="E494" i="9" s="1"/>
  <c r="E495" i="9" a="1"/>
  <c r="E495" i="9" s="1"/>
  <c r="E496" i="9" a="1"/>
  <c r="E496" i="9" s="1"/>
  <c r="E497" i="9" a="1"/>
  <c r="E497" i="9" s="1"/>
  <c r="E498" i="9" a="1"/>
  <c r="E498" i="9" s="1"/>
  <c r="E499" i="9" a="1"/>
  <c r="E499" i="9" s="1"/>
  <c r="E500" i="9" a="1"/>
  <c r="E500" i="9" s="1"/>
  <c r="E501" i="9" a="1"/>
  <c r="E501" i="9" s="1"/>
  <c r="E502" i="9" a="1"/>
  <c r="E502" i="9" s="1"/>
  <c r="E503" i="9" a="1"/>
  <c r="E503" i="9" s="1"/>
  <c r="D2" i="9" a="1"/>
  <c r="D2" i="9" s="1"/>
  <c r="D3" i="9" a="1"/>
  <c r="D3" i="9" s="1"/>
  <c r="D4" i="9" a="1"/>
  <c r="D4" i="9" s="1"/>
  <c r="D5" i="9" a="1"/>
  <c r="D5" i="9" s="1"/>
  <c r="D6" i="9" a="1"/>
  <c r="D6" i="9" s="1"/>
  <c r="D7" i="9" a="1"/>
  <c r="D7" i="9" s="1"/>
  <c r="D8" i="9" a="1"/>
  <c r="D8" i="9" s="1"/>
  <c r="D9" i="9" a="1"/>
  <c r="D9" i="9" s="1"/>
  <c r="D10" i="9" a="1"/>
  <c r="D10" i="9" s="1"/>
  <c r="D11" i="9" a="1"/>
  <c r="D11" i="9" s="1"/>
  <c r="D12" i="9" a="1"/>
  <c r="D12" i="9" s="1"/>
  <c r="D13" i="9" a="1"/>
  <c r="D13" i="9" s="1"/>
  <c r="D14" i="9" a="1"/>
  <c r="D14" i="9" s="1"/>
  <c r="D15" i="9" a="1"/>
  <c r="D15" i="9" s="1"/>
  <c r="D16" i="9" a="1"/>
  <c r="D16" i="9" s="1"/>
  <c r="D17" i="9" a="1"/>
  <c r="D17" i="9" s="1"/>
  <c r="D18" i="9" a="1"/>
  <c r="D18" i="9" s="1"/>
  <c r="D19" i="9" a="1"/>
  <c r="D19" i="9" s="1"/>
  <c r="D20" i="9" a="1"/>
  <c r="D20" i="9" s="1"/>
  <c r="D21" i="9" a="1"/>
  <c r="D21" i="9" s="1"/>
  <c r="D22" i="9" a="1"/>
  <c r="D22" i="9" s="1"/>
  <c r="D23" i="9" a="1"/>
  <c r="D23" i="9" s="1"/>
  <c r="D24" i="9" a="1"/>
  <c r="D24" i="9" s="1"/>
  <c r="D25" i="9" a="1"/>
  <c r="D25" i="9" s="1"/>
  <c r="D26" i="9" a="1"/>
  <c r="D26" i="9" s="1"/>
  <c r="D27" i="9" a="1"/>
  <c r="D27" i="9" s="1"/>
  <c r="D28" i="9" a="1"/>
  <c r="D28" i="9" s="1"/>
  <c r="D29" i="9" a="1"/>
  <c r="D29" i="9" s="1"/>
  <c r="D30" i="9" a="1"/>
  <c r="D30" i="9" s="1"/>
  <c r="D31" i="9" a="1"/>
  <c r="D31" i="9" s="1"/>
  <c r="D32" i="9" a="1"/>
  <c r="D32" i="9" s="1"/>
  <c r="D33" i="9" a="1"/>
  <c r="D33" i="9" s="1"/>
  <c r="D34" i="9" a="1"/>
  <c r="D34" i="9" s="1"/>
  <c r="D35" i="9" a="1"/>
  <c r="D35" i="9" s="1"/>
  <c r="D36" i="9" a="1"/>
  <c r="D36" i="9" s="1"/>
  <c r="D37" i="9" a="1"/>
  <c r="D37" i="9" s="1"/>
  <c r="D38" i="9" a="1"/>
  <c r="D38" i="9" s="1"/>
  <c r="D39" i="9" a="1"/>
  <c r="D39" i="9" s="1"/>
  <c r="D40" i="9" a="1"/>
  <c r="D40" i="9" s="1"/>
  <c r="D41" i="9" a="1"/>
  <c r="D41" i="9" s="1"/>
  <c r="D42" i="9" a="1"/>
  <c r="D42" i="9" s="1"/>
  <c r="D43" i="9" a="1"/>
  <c r="D43" i="9" s="1"/>
  <c r="D44" i="9" a="1"/>
  <c r="D44" i="9" s="1"/>
  <c r="D45" i="9" a="1"/>
  <c r="D45" i="9" s="1"/>
  <c r="D46" i="9" a="1"/>
  <c r="D46" i="9" s="1"/>
  <c r="D47" i="9" a="1"/>
  <c r="D47" i="9" s="1"/>
  <c r="D48" i="9" a="1"/>
  <c r="D48" i="9" s="1"/>
  <c r="D49" i="9" a="1"/>
  <c r="D49" i="9" s="1"/>
  <c r="D50" i="9" a="1"/>
  <c r="D50" i="9" s="1"/>
  <c r="D51" i="9" a="1"/>
  <c r="D51" i="9" s="1"/>
  <c r="D52" i="9" a="1"/>
  <c r="D52" i="9" s="1"/>
  <c r="D53" i="9" a="1"/>
  <c r="D53" i="9" s="1"/>
  <c r="D54" i="9" a="1"/>
  <c r="D54" i="9" s="1"/>
  <c r="D55" i="9" a="1"/>
  <c r="D55" i="9" s="1"/>
  <c r="D56" i="9" a="1"/>
  <c r="D56" i="9" s="1"/>
  <c r="D57" i="9" a="1"/>
  <c r="D57" i="9" s="1"/>
  <c r="D58" i="9" a="1"/>
  <c r="D58" i="9" s="1"/>
  <c r="D59" i="9" a="1"/>
  <c r="D59" i="9" s="1"/>
  <c r="D60" i="9" a="1"/>
  <c r="D60" i="9" s="1"/>
  <c r="D61" i="9" a="1"/>
  <c r="D61" i="9" s="1"/>
  <c r="D62" i="9" a="1"/>
  <c r="D62" i="9" s="1"/>
  <c r="D63" i="9" a="1"/>
  <c r="D63" i="9" s="1"/>
  <c r="D64" i="9" a="1"/>
  <c r="D64" i="9" s="1"/>
  <c r="D65" i="9" a="1"/>
  <c r="D65" i="9" s="1"/>
  <c r="D66" i="9" a="1"/>
  <c r="D66" i="9" s="1"/>
  <c r="D67" i="9" a="1"/>
  <c r="D67" i="9" s="1"/>
  <c r="D68" i="9" a="1"/>
  <c r="D68" i="9" s="1"/>
  <c r="D69" i="9" a="1"/>
  <c r="D69" i="9" s="1"/>
  <c r="D70" i="9" a="1"/>
  <c r="D70" i="9" s="1"/>
  <c r="D71" i="9" a="1"/>
  <c r="D71" i="9" s="1"/>
  <c r="D72" i="9" a="1"/>
  <c r="D72" i="9" s="1"/>
  <c r="D73" i="9" a="1"/>
  <c r="D73" i="9" s="1"/>
  <c r="D74" i="9" a="1"/>
  <c r="D74" i="9" s="1"/>
  <c r="D75" i="9" a="1"/>
  <c r="D75" i="9" s="1"/>
  <c r="D76" i="9" a="1"/>
  <c r="D76" i="9" s="1"/>
  <c r="D77" i="9" a="1"/>
  <c r="D77" i="9" s="1"/>
  <c r="D78" i="9" a="1"/>
  <c r="D78" i="9" s="1"/>
  <c r="D79" i="9" a="1"/>
  <c r="D79" i="9" s="1"/>
  <c r="D80" i="9" a="1"/>
  <c r="D80" i="9" s="1"/>
  <c r="D81" i="9" a="1"/>
  <c r="D81" i="9" s="1"/>
  <c r="D82" i="9" a="1"/>
  <c r="D82" i="9" s="1"/>
  <c r="D83" i="9" a="1"/>
  <c r="D83" i="9" s="1"/>
  <c r="D84" i="9" a="1"/>
  <c r="D84" i="9" s="1"/>
  <c r="D85" i="9" a="1"/>
  <c r="D85" i="9" s="1"/>
  <c r="D86" i="9" a="1"/>
  <c r="D86" i="9" s="1"/>
  <c r="D87" i="9" a="1"/>
  <c r="D87" i="9" s="1"/>
  <c r="D88" i="9" a="1"/>
  <c r="D88" i="9" s="1"/>
  <c r="D89" i="9" a="1"/>
  <c r="D89" i="9" s="1"/>
  <c r="D90" i="9" a="1"/>
  <c r="D90" i="9" s="1"/>
  <c r="D91" i="9" a="1"/>
  <c r="D91" i="9" s="1"/>
  <c r="D92" i="9" a="1"/>
  <c r="D92" i="9" s="1"/>
  <c r="D93" i="9" a="1"/>
  <c r="D93" i="9" s="1"/>
  <c r="D94" i="9" a="1"/>
  <c r="D94" i="9" s="1"/>
  <c r="D95" i="9" a="1"/>
  <c r="D95" i="9" s="1"/>
  <c r="D96" i="9" a="1"/>
  <c r="D96" i="9" s="1"/>
  <c r="D97" i="9" a="1"/>
  <c r="D97" i="9" s="1"/>
  <c r="D98" i="9" a="1"/>
  <c r="D98" i="9" s="1"/>
  <c r="D99" i="9" a="1"/>
  <c r="D99" i="9" s="1"/>
  <c r="D100" i="9" a="1"/>
  <c r="D100" i="9" s="1"/>
  <c r="D101" i="9" a="1"/>
  <c r="D101" i="9" s="1"/>
  <c r="D102" i="9" a="1"/>
  <c r="D102" i="9" s="1"/>
  <c r="D103" i="9" a="1"/>
  <c r="D103" i="9" s="1"/>
  <c r="D104" i="9" a="1"/>
  <c r="D104" i="9" s="1"/>
  <c r="D105" i="9" a="1"/>
  <c r="D105" i="9" s="1"/>
  <c r="D106" i="9" a="1"/>
  <c r="D106" i="9" s="1"/>
  <c r="D107" i="9" a="1"/>
  <c r="D107" i="9" s="1"/>
  <c r="D108" i="9" a="1"/>
  <c r="D108" i="9" s="1"/>
  <c r="D109" i="9" a="1"/>
  <c r="D109" i="9" s="1"/>
  <c r="D110" i="9" a="1"/>
  <c r="D110" i="9" s="1"/>
  <c r="D111" i="9" a="1"/>
  <c r="D111" i="9" s="1"/>
  <c r="D112" i="9" a="1"/>
  <c r="D112" i="9" s="1"/>
  <c r="D113" i="9" a="1"/>
  <c r="D113" i="9" s="1"/>
  <c r="D114" i="9" a="1"/>
  <c r="D114" i="9" s="1"/>
  <c r="D115" i="9" a="1"/>
  <c r="D115" i="9" s="1"/>
  <c r="D116" i="9" a="1"/>
  <c r="D116" i="9" s="1"/>
  <c r="D117" i="9" a="1"/>
  <c r="D117" i="9" s="1"/>
  <c r="D118" i="9" a="1"/>
  <c r="D118" i="9" s="1"/>
  <c r="D119" i="9" a="1"/>
  <c r="D119" i="9" s="1"/>
  <c r="D120" i="9" a="1"/>
  <c r="D120" i="9" s="1"/>
  <c r="D121" i="9" a="1"/>
  <c r="D121" i="9" s="1"/>
  <c r="D122" i="9" a="1"/>
  <c r="D122" i="9" s="1"/>
  <c r="D123" i="9" a="1"/>
  <c r="D123" i="9" s="1"/>
  <c r="D124" i="9" a="1"/>
  <c r="D124" i="9" s="1"/>
  <c r="D125" i="9" a="1"/>
  <c r="D125" i="9" s="1"/>
  <c r="D126" i="9" a="1"/>
  <c r="D126" i="9" s="1"/>
  <c r="D127" i="9" a="1"/>
  <c r="D127" i="9" s="1"/>
  <c r="D128" i="9" a="1"/>
  <c r="D128" i="9" s="1"/>
  <c r="D129" i="9" a="1"/>
  <c r="D129" i="9" s="1"/>
  <c r="D130" i="9" a="1"/>
  <c r="D130" i="9" s="1"/>
  <c r="D131" i="9" a="1"/>
  <c r="D131" i="9" s="1"/>
  <c r="D132" i="9" a="1"/>
  <c r="D132" i="9" s="1"/>
  <c r="D133" i="9" a="1"/>
  <c r="D133" i="9" s="1"/>
  <c r="D134" i="9" a="1"/>
  <c r="D134" i="9" s="1"/>
  <c r="D135" i="9" a="1"/>
  <c r="D135" i="9" s="1"/>
  <c r="D136" i="9" a="1"/>
  <c r="D136" i="9" s="1"/>
  <c r="D137" i="9" a="1"/>
  <c r="D137" i="9" s="1"/>
  <c r="D138" i="9" a="1"/>
  <c r="D138" i="9" s="1"/>
  <c r="D139" i="9" a="1"/>
  <c r="D139" i="9" s="1"/>
  <c r="D140" i="9" a="1"/>
  <c r="D140" i="9" s="1"/>
  <c r="D141" i="9" a="1"/>
  <c r="D141" i="9" s="1"/>
  <c r="D142" i="9" a="1"/>
  <c r="D142" i="9" s="1"/>
  <c r="D143" i="9" a="1"/>
  <c r="D143" i="9" s="1"/>
  <c r="D144" i="9" a="1"/>
  <c r="D144" i="9" s="1"/>
  <c r="D145" i="9" a="1"/>
  <c r="D145" i="9" s="1"/>
  <c r="D146" i="9" a="1"/>
  <c r="D146" i="9" s="1"/>
  <c r="D147" i="9" a="1"/>
  <c r="D147" i="9" s="1"/>
  <c r="D148" i="9" a="1"/>
  <c r="D148" i="9" s="1"/>
  <c r="D149" i="9" a="1"/>
  <c r="D149" i="9" s="1"/>
  <c r="D150" i="9" a="1"/>
  <c r="D150" i="9" s="1"/>
  <c r="D151" i="9" a="1"/>
  <c r="D151" i="9" s="1"/>
  <c r="D152" i="9" a="1"/>
  <c r="D152" i="9" s="1"/>
  <c r="D153" i="9" a="1"/>
  <c r="D153" i="9" s="1"/>
  <c r="D154" i="9" a="1"/>
  <c r="D154" i="9" s="1"/>
  <c r="D155" i="9" a="1"/>
  <c r="D155" i="9" s="1"/>
  <c r="D156" i="9" a="1"/>
  <c r="D156" i="9" s="1"/>
  <c r="D157" i="9" a="1"/>
  <c r="D157" i="9" s="1"/>
  <c r="D158" i="9" a="1"/>
  <c r="D158" i="9" s="1"/>
  <c r="D159" i="9" a="1"/>
  <c r="D159" i="9" s="1"/>
  <c r="D160" i="9" a="1"/>
  <c r="D160" i="9" s="1"/>
  <c r="D161" i="9" a="1"/>
  <c r="D161" i="9" s="1"/>
  <c r="D162" i="9" a="1"/>
  <c r="D162" i="9" s="1"/>
  <c r="D163" i="9" a="1"/>
  <c r="D163" i="9" s="1"/>
  <c r="D164" i="9" a="1"/>
  <c r="D164" i="9" s="1"/>
  <c r="D165" i="9" a="1"/>
  <c r="D165" i="9" s="1"/>
  <c r="D166" i="9" a="1"/>
  <c r="D166" i="9" s="1"/>
  <c r="D167" i="9" a="1"/>
  <c r="D167" i="9" s="1"/>
  <c r="D168" i="9" a="1"/>
  <c r="D168" i="9" s="1"/>
  <c r="D169" i="9" a="1"/>
  <c r="D169" i="9" s="1"/>
  <c r="D170" i="9" a="1"/>
  <c r="D170" i="9" s="1"/>
  <c r="D171" i="9" a="1"/>
  <c r="D171" i="9" s="1"/>
  <c r="D172" i="9" a="1"/>
  <c r="D172" i="9" s="1"/>
  <c r="D173" i="9" a="1"/>
  <c r="D173" i="9" s="1"/>
  <c r="D174" i="9" a="1"/>
  <c r="D174" i="9" s="1"/>
  <c r="D175" i="9" a="1"/>
  <c r="D175" i="9" s="1"/>
  <c r="D176" i="9" a="1"/>
  <c r="D176" i="9" s="1"/>
  <c r="D177" i="9" a="1"/>
  <c r="D177" i="9" s="1"/>
  <c r="D178" i="9" a="1"/>
  <c r="D178" i="9" s="1"/>
  <c r="D179" i="9" a="1"/>
  <c r="D179" i="9" s="1"/>
  <c r="D180" i="9" a="1"/>
  <c r="D180" i="9" s="1"/>
  <c r="D181" i="9" a="1"/>
  <c r="D181" i="9" s="1"/>
  <c r="D182" i="9" a="1"/>
  <c r="D182" i="9" s="1"/>
  <c r="D183" i="9" a="1"/>
  <c r="D183" i="9" s="1"/>
  <c r="D184" i="9" a="1"/>
  <c r="D184" i="9" s="1"/>
  <c r="D185" i="9" a="1"/>
  <c r="D185" i="9" s="1"/>
  <c r="D186" i="9" a="1"/>
  <c r="D186" i="9" s="1"/>
  <c r="D187" i="9" a="1"/>
  <c r="D187" i="9" s="1"/>
  <c r="D188" i="9" a="1"/>
  <c r="D188" i="9" s="1"/>
  <c r="D189" i="9" a="1"/>
  <c r="D189" i="9" s="1"/>
  <c r="D190" i="9" a="1"/>
  <c r="D190" i="9" s="1"/>
  <c r="D191" i="9" a="1"/>
  <c r="D191" i="9" s="1"/>
  <c r="D192" i="9" a="1"/>
  <c r="D192" i="9" s="1"/>
  <c r="D193" i="9" a="1"/>
  <c r="D193" i="9" s="1"/>
  <c r="D194" i="9" a="1"/>
  <c r="D194" i="9" s="1"/>
  <c r="D195" i="9" a="1"/>
  <c r="D195" i="9" s="1"/>
  <c r="D196" i="9" a="1"/>
  <c r="D196" i="9" s="1"/>
  <c r="D197" i="9" a="1"/>
  <c r="D197" i="9" s="1"/>
  <c r="D198" i="9" a="1"/>
  <c r="D198" i="9" s="1"/>
  <c r="D199" i="9" a="1"/>
  <c r="D199" i="9" s="1"/>
  <c r="D200" i="9" a="1"/>
  <c r="D200" i="9" s="1"/>
  <c r="D201" i="9" a="1"/>
  <c r="D201" i="9" s="1"/>
  <c r="D202" i="9" a="1"/>
  <c r="D202" i="9" s="1"/>
  <c r="D203" i="9" a="1"/>
  <c r="D203" i="9" s="1"/>
  <c r="D204" i="9" a="1"/>
  <c r="D204" i="9" s="1"/>
  <c r="D205" i="9" a="1"/>
  <c r="D205" i="9" s="1"/>
  <c r="D206" i="9" a="1"/>
  <c r="D206" i="9" s="1"/>
  <c r="D207" i="9" a="1"/>
  <c r="D207" i="9" s="1"/>
  <c r="D208" i="9" a="1"/>
  <c r="D208" i="9" s="1"/>
  <c r="D209" i="9" a="1"/>
  <c r="D209" i="9" s="1"/>
  <c r="D210" i="9" a="1"/>
  <c r="D210" i="9" s="1"/>
  <c r="D211" i="9" a="1"/>
  <c r="D211" i="9" s="1"/>
  <c r="D212" i="9" a="1"/>
  <c r="D212" i="9" s="1"/>
  <c r="D213" i="9" a="1"/>
  <c r="D213" i="9" s="1"/>
  <c r="D214" i="9" a="1"/>
  <c r="D214" i="9" s="1"/>
  <c r="D215" i="9" a="1"/>
  <c r="D215" i="9" s="1"/>
  <c r="D216" i="9" a="1"/>
  <c r="D216" i="9" s="1"/>
  <c r="D217" i="9" a="1"/>
  <c r="D217" i="9" s="1"/>
  <c r="D218" i="9" a="1"/>
  <c r="D218" i="9" s="1"/>
  <c r="D219" i="9" a="1"/>
  <c r="D219" i="9" s="1"/>
  <c r="D220" i="9" a="1"/>
  <c r="D220" i="9" s="1"/>
  <c r="D221" i="9" a="1"/>
  <c r="D221" i="9" s="1"/>
  <c r="D222" i="9" a="1"/>
  <c r="D222" i="9" s="1"/>
  <c r="D223" i="9" a="1"/>
  <c r="D223" i="9" s="1"/>
  <c r="D224" i="9" a="1"/>
  <c r="D224" i="9" s="1"/>
  <c r="D225" i="9" a="1"/>
  <c r="D225" i="9" s="1"/>
  <c r="D226" i="9" a="1"/>
  <c r="D226" i="9" s="1"/>
  <c r="D227" i="9" a="1"/>
  <c r="D227" i="9" s="1"/>
  <c r="D228" i="9" a="1"/>
  <c r="D228" i="9" s="1"/>
  <c r="D229" i="9" a="1"/>
  <c r="D229" i="9" s="1"/>
  <c r="D230" i="9" a="1"/>
  <c r="D230" i="9" s="1"/>
  <c r="D231" i="9" a="1"/>
  <c r="D231" i="9" s="1"/>
  <c r="D232" i="9" a="1"/>
  <c r="D232" i="9" s="1"/>
  <c r="D233" i="9" a="1"/>
  <c r="D233" i="9" s="1"/>
  <c r="D234" i="9" a="1"/>
  <c r="D234" i="9" s="1"/>
  <c r="D235" i="9" a="1"/>
  <c r="D235" i="9" s="1"/>
  <c r="D236" i="9" a="1"/>
  <c r="D236" i="9" s="1"/>
  <c r="D237" i="9" a="1"/>
  <c r="D237" i="9" s="1"/>
  <c r="D238" i="9" a="1"/>
  <c r="D238" i="9" s="1"/>
  <c r="D239" i="9" a="1"/>
  <c r="D239" i="9" s="1"/>
  <c r="D240" i="9" a="1"/>
  <c r="D240" i="9" s="1"/>
  <c r="D241" i="9" a="1"/>
  <c r="D241" i="9" s="1"/>
  <c r="D242" i="9" a="1"/>
  <c r="D242" i="9" s="1"/>
  <c r="D243" i="9" a="1"/>
  <c r="D243" i="9" s="1"/>
  <c r="D244" i="9" a="1"/>
  <c r="D244" i="9" s="1"/>
  <c r="D245" i="9" a="1"/>
  <c r="D245" i="9" s="1"/>
  <c r="D246" i="9" a="1"/>
  <c r="D246" i="9" s="1"/>
  <c r="D247" i="9" a="1"/>
  <c r="D247" i="9" s="1"/>
  <c r="D248" i="9" a="1"/>
  <c r="D248" i="9" s="1"/>
  <c r="D249" i="9" a="1"/>
  <c r="D249" i="9" s="1"/>
  <c r="D250" i="9" a="1"/>
  <c r="D250" i="9" s="1"/>
  <c r="D251" i="9" a="1"/>
  <c r="D251" i="9" s="1"/>
  <c r="D252" i="9" a="1"/>
  <c r="D252" i="9" s="1"/>
  <c r="D253" i="9" a="1"/>
  <c r="D253" i="9" s="1"/>
  <c r="D254" i="9" a="1"/>
  <c r="D254" i="9" s="1"/>
  <c r="D255" i="9" a="1"/>
  <c r="D255" i="9" s="1"/>
  <c r="D256" i="9" a="1"/>
  <c r="D256" i="9" s="1"/>
  <c r="D257" i="9" a="1"/>
  <c r="D257" i="9" s="1"/>
  <c r="D258" i="9" a="1"/>
  <c r="D258" i="9" s="1"/>
  <c r="D259" i="9" a="1"/>
  <c r="D259" i="9" s="1"/>
  <c r="D260" i="9" a="1"/>
  <c r="D260" i="9" s="1"/>
  <c r="D261" i="9" a="1"/>
  <c r="D261" i="9" s="1"/>
  <c r="D262" i="9" a="1"/>
  <c r="D262" i="9" s="1"/>
  <c r="D263" i="9" a="1"/>
  <c r="D263" i="9" s="1"/>
  <c r="D264" i="9" a="1"/>
  <c r="D264" i="9" s="1"/>
  <c r="D265" i="9" a="1"/>
  <c r="D265" i="9" s="1"/>
  <c r="D266" i="9" a="1"/>
  <c r="D266" i="9" s="1"/>
  <c r="D267" i="9" a="1"/>
  <c r="D267" i="9" s="1"/>
  <c r="D268" i="9" a="1"/>
  <c r="D268" i="9" s="1"/>
  <c r="D269" i="9" a="1"/>
  <c r="D269" i="9" s="1"/>
  <c r="D270" i="9" a="1"/>
  <c r="D270" i="9" s="1"/>
  <c r="D271" i="9" a="1"/>
  <c r="D271" i="9" s="1"/>
  <c r="D272" i="9" a="1"/>
  <c r="D272" i="9" s="1"/>
  <c r="D273" i="9" a="1"/>
  <c r="D273" i="9" s="1"/>
  <c r="D274" i="9" a="1"/>
  <c r="D274" i="9" s="1"/>
  <c r="D275" i="9" a="1"/>
  <c r="D275" i="9" s="1"/>
  <c r="D276" i="9" a="1"/>
  <c r="D276" i="9" s="1"/>
  <c r="D277" i="9" a="1"/>
  <c r="D277" i="9" s="1"/>
  <c r="D278" i="9" a="1"/>
  <c r="D278" i="9" s="1"/>
  <c r="D279" i="9" a="1"/>
  <c r="D279" i="9" s="1"/>
  <c r="D280" i="9" a="1"/>
  <c r="D280" i="9" s="1"/>
  <c r="D281" i="9" a="1"/>
  <c r="D281" i="9" s="1"/>
  <c r="D282" i="9" a="1"/>
  <c r="D282" i="9" s="1"/>
  <c r="D283" i="9" a="1"/>
  <c r="D283" i="9" s="1"/>
  <c r="D284" i="9" a="1"/>
  <c r="D284" i="9" s="1"/>
  <c r="D285" i="9" a="1"/>
  <c r="D285" i="9" s="1"/>
  <c r="D286" i="9" a="1"/>
  <c r="D286" i="9" s="1"/>
  <c r="D287" i="9" a="1"/>
  <c r="D287" i="9" s="1"/>
  <c r="D288" i="9" a="1"/>
  <c r="D288" i="9" s="1"/>
  <c r="D289" i="9" a="1"/>
  <c r="D289" i="9" s="1"/>
  <c r="D290" i="9" a="1"/>
  <c r="D290" i="9" s="1"/>
  <c r="D291" i="9" a="1"/>
  <c r="D291" i="9" s="1"/>
  <c r="D292" i="9" a="1"/>
  <c r="D292" i="9" s="1"/>
  <c r="D293" i="9" a="1"/>
  <c r="D293" i="9" s="1"/>
  <c r="D294" i="9" a="1"/>
  <c r="D294" i="9" s="1"/>
  <c r="D295" i="9" a="1"/>
  <c r="D295" i="9" s="1"/>
  <c r="D296" i="9" a="1"/>
  <c r="D296" i="9" s="1"/>
  <c r="D297" i="9" a="1"/>
  <c r="D297" i="9" s="1"/>
  <c r="D298" i="9" a="1"/>
  <c r="D298" i="9" s="1"/>
  <c r="D299" i="9" a="1"/>
  <c r="D299" i="9" s="1"/>
  <c r="D300" i="9" a="1"/>
  <c r="D300" i="9" s="1"/>
  <c r="D301" i="9" a="1"/>
  <c r="D301" i="9" s="1"/>
  <c r="D302" i="9" a="1"/>
  <c r="D302" i="9" s="1"/>
  <c r="D303" i="9" a="1"/>
  <c r="D303" i="9" s="1"/>
  <c r="D304" i="9" a="1"/>
  <c r="D304" i="9" s="1"/>
  <c r="D305" i="9" a="1"/>
  <c r="D305" i="9" s="1"/>
  <c r="D306" i="9" a="1"/>
  <c r="D306" i="9" s="1"/>
  <c r="D307" i="9" a="1"/>
  <c r="D307" i="9" s="1"/>
  <c r="D308" i="9" a="1"/>
  <c r="D308" i="9" s="1"/>
  <c r="D309" i="9" a="1"/>
  <c r="D309" i="9" s="1"/>
  <c r="D310" i="9" a="1"/>
  <c r="D310" i="9" s="1"/>
  <c r="D311" i="9" a="1"/>
  <c r="D311" i="9" s="1"/>
  <c r="D312" i="9" a="1"/>
  <c r="D312" i="9" s="1"/>
  <c r="D313" i="9" a="1"/>
  <c r="D313" i="9" s="1"/>
  <c r="D314" i="9" a="1"/>
  <c r="D314" i="9" s="1"/>
  <c r="D315" i="9" a="1"/>
  <c r="D315" i="9" s="1"/>
  <c r="D316" i="9" a="1"/>
  <c r="D316" i="9" s="1"/>
  <c r="D317" i="9" a="1"/>
  <c r="D317" i="9" s="1"/>
  <c r="D318" i="9" a="1"/>
  <c r="D318" i="9" s="1"/>
  <c r="D319" i="9" a="1"/>
  <c r="D319" i="9" s="1"/>
  <c r="D320" i="9" a="1"/>
  <c r="D320" i="9" s="1"/>
  <c r="D321" i="9" a="1"/>
  <c r="D321" i="9" s="1"/>
  <c r="D322" i="9" a="1"/>
  <c r="D322" i="9" s="1"/>
  <c r="D323" i="9" a="1"/>
  <c r="D323" i="9" s="1"/>
  <c r="D324" i="9" a="1"/>
  <c r="D324" i="9" s="1"/>
  <c r="D325" i="9" a="1"/>
  <c r="D325" i="9" s="1"/>
  <c r="D326" i="9" a="1"/>
  <c r="D326" i="9" s="1"/>
  <c r="D327" i="9" a="1"/>
  <c r="D327" i="9" s="1"/>
  <c r="D328" i="9" a="1"/>
  <c r="D328" i="9" s="1"/>
  <c r="D329" i="9" a="1"/>
  <c r="D329" i="9" s="1"/>
  <c r="D330" i="9" a="1"/>
  <c r="D330" i="9" s="1"/>
  <c r="D331" i="9" a="1"/>
  <c r="D331" i="9" s="1"/>
  <c r="D332" i="9" a="1"/>
  <c r="D332" i="9" s="1"/>
  <c r="D333" i="9" a="1"/>
  <c r="D333" i="9" s="1"/>
  <c r="D334" i="9" a="1"/>
  <c r="D334" i="9" s="1"/>
  <c r="D335" i="9" a="1"/>
  <c r="D335" i="9" s="1"/>
  <c r="D336" i="9" a="1"/>
  <c r="D336" i="9" s="1"/>
  <c r="D337" i="9" a="1"/>
  <c r="D337" i="9" s="1"/>
  <c r="D338" i="9" a="1"/>
  <c r="D338" i="9" s="1"/>
  <c r="D339" i="9" a="1"/>
  <c r="D339" i="9" s="1"/>
  <c r="D340" i="9" a="1"/>
  <c r="D340" i="9" s="1"/>
  <c r="D341" i="9" a="1"/>
  <c r="D341" i="9" s="1"/>
  <c r="D342" i="9" a="1"/>
  <c r="D342" i="9" s="1"/>
  <c r="D343" i="9" a="1"/>
  <c r="D343" i="9" s="1"/>
  <c r="D344" i="9" a="1"/>
  <c r="D344" i="9" s="1"/>
  <c r="D345" i="9" a="1"/>
  <c r="D345" i="9" s="1"/>
  <c r="D346" i="9" a="1"/>
  <c r="D346" i="9" s="1"/>
  <c r="D347" i="9" a="1"/>
  <c r="D347" i="9" s="1"/>
  <c r="D348" i="9" a="1"/>
  <c r="D348" i="9" s="1"/>
  <c r="D349" i="9" a="1"/>
  <c r="D349" i="9" s="1"/>
  <c r="D350" i="9" a="1"/>
  <c r="D350" i="9" s="1"/>
  <c r="D351" i="9" a="1"/>
  <c r="D351" i="9" s="1"/>
  <c r="D352" i="9" a="1"/>
  <c r="D352" i="9" s="1"/>
  <c r="D353" i="9" a="1"/>
  <c r="D353" i="9" s="1"/>
  <c r="D354" i="9" a="1"/>
  <c r="D354" i="9" s="1"/>
  <c r="D355" i="9" a="1"/>
  <c r="D355" i="9" s="1"/>
  <c r="D356" i="9" a="1"/>
  <c r="D356" i="9" s="1"/>
  <c r="D357" i="9" a="1"/>
  <c r="D357" i="9" s="1"/>
  <c r="D358" i="9" a="1"/>
  <c r="D358" i="9" s="1"/>
  <c r="D359" i="9" a="1"/>
  <c r="D359" i="9" s="1"/>
  <c r="D360" i="9" a="1"/>
  <c r="D360" i="9" s="1"/>
  <c r="D361" i="9" a="1"/>
  <c r="D361" i="9" s="1"/>
  <c r="D362" i="9" a="1"/>
  <c r="D362" i="9" s="1"/>
  <c r="D363" i="9" a="1"/>
  <c r="D363" i="9" s="1"/>
  <c r="D364" i="9" a="1"/>
  <c r="D364" i="9" s="1"/>
  <c r="D365" i="9" a="1"/>
  <c r="D365" i="9" s="1"/>
  <c r="D366" i="9" a="1"/>
  <c r="D366" i="9" s="1"/>
  <c r="D367" i="9" a="1"/>
  <c r="D367" i="9" s="1"/>
  <c r="D368" i="9" a="1"/>
  <c r="D368" i="9" s="1"/>
  <c r="D369" i="9" a="1"/>
  <c r="D369" i="9" s="1"/>
  <c r="D370" i="9" a="1"/>
  <c r="D370" i="9" s="1"/>
  <c r="D371" i="9" a="1"/>
  <c r="D371" i="9" s="1"/>
  <c r="D372" i="9" a="1"/>
  <c r="D372" i="9" s="1"/>
  <c r="D373" i="9" a="1"/>
  <c r="D373" i="9" s="1"/>
  <c r="D374" i="9" a="1"/>
  <c r="D374" i="9" s="1"/>
  <c r="D375" i="9" a="1"/>
  <c r="D375" i="9" s="1"/>
  <c r="D376" i="9" a="1"/>
  <c r="D376" i="9" s="1"/>
  <c r="D377" i="9" a="1"/>
  <c r="D377" i="9" s="1"/>
  <c r="D378" i="9" a="1"/>
  <c r="D378" i="9" s="1"/>
  <c r="D379" i="9" a="1"/>
  <c r="D379" i="9" s="1"/>
  <c r="D380" i="9" a="1"/>
  <c r="D380" i="9" s="1"/>
  <c r="D381" i="9" a="1"/>
  <c r="D381" i="9" s="1"/>
  <c r="D382" i="9" a="1"/>
  <c r="D382" i="9" s="1"/>
  <c r="D383" i="9" a="1"/>
  <c r="D383" i="9" s="1"/>
  <c r="D384" i="9" a="1"/>
  <c r="D384" i="9" s="1"/>
  <c r="D385" i="9" a="1"/>
  <c r="D385" i="9" s="1"/>
  <c r="D386" i="9" a="1"/>
  <c r="D386" i="9" s="1"/>
  <c r="D387" i="9" a="1"/>
  <c r="D387" i="9" s="1"/>
  <c r="D388" i="9" a="1"/>
  <c r="D388" i="9" s="1"/>
  <c r="D389" i="9" a="1"/>
  <c r="D389" i="9" s="1"/>
  <c r="D390" i="9" a="1"/>
  <c r="D390" i="9" s="1"/>
  <c r="D391" i="9" a="1"/>
  <c r="D391" i="9" s="1"/>
  <c r="D392" i="9" a="1"/>
  <c r="D392" i="9" s="1"/>
  <c r="D393" i="9" a="1"/>
  <c r="D393" i="9" s="1"/>
  <c r="D394" i="9" a="1"/>
  <c r="D394" i="9" s="1"/>
  <c r="D395" i="9" a="1"/>
  <c r="D395" i="9" s="1"/>
  <c r="D396" i="9" a="1"/>
  <c r="D396" i="9" s="1"/>
  <c r="D397" i="9" a="1"/>
  <c r="D397" i="9" s="1"/>
  <c r="D398" i="9" a="1"/>
  <c r="D398" i="9" s="1"/>
  <c r="D399" i="9" a="1"/>
  <c r="D399" i="9" s="1"/>
  <c r="D400" i="9" a="1"/>
  <c r="D400" i="9" s="1"/>
  <c r="D401" i="9" a="1"/>
  <c r="D401" i="9" s="1"/>
  <c r="D402" i="9" a="1"/>
  <c r="D402" i="9" s="1"/>
  <c r="D403" i="9" a="1"/>
  <c r="D403" i="9" s="1"/>
  <c r="D404" i="9" a="1"/>
  <c r="D404" i="9" s="1"/>
  <c r="D405" i="9" a="1"/>
  <c r="D405" i="9" s="1"/>
  <c r="D406" i="9" a="1"/>
  <c r="D406" i="9" s="1"/>
  <c r="D407" i="9" a="1"/>
  <c r="D407" i="9" s="1"/>
  <c r="D408" i="9" a="1"/>
  <c r="D408" i="9" s="1"/>
  <c r="D409" i="9" a="1"/>
  <c r="D409" i="9" s="1"/>
  <c r="D410" i="9" a="1"/>
  <c r="D410" i="9" s="1"/>
  <c r="D411" i="9" a="1"/>
  <c r="D411" i="9" s="1"/>
  <c r="D412" i="9" a="1"/>
  <c r="D412" i="9" s="1"/>
  <c r="D413" i="9" a="1"/>
  <c r="D413" i="9" s="1"/>
  <c r="D414" i="9" a="1"/>
  <c r="D414" i="9" s="1"/>
  <c r="D415" i="9" a="1"/>
  <c r="D415" i="9" s="1"/>
  <c r="D416" i="9" a="1"/>
  <c r="D416" i="9" s="1"/>
  <c r="D417" i="9" a="1"/>
  <c r="D417" i="9" s="1"/>
  <c r="D418" i="9" a="1"/>
  <c r="D418" i="9" s="1"/>
  <c r="D419" i="9" a="1"/>
  <c r="D419" i="9" s="1"/>
  <c r="D420" i="9" a="1"/>
  <c r="D420" i="9" s="1"/>
  <c r="D421" i="9" a="1"/>
  <c r="D421" i="9" s="1"/>
  <c r="D422" i="9" a="1"/>
  <c r="D422" i="9" s="1"/>
  <c r="D423" i="9" a="1"/>
  <c r="D423" i="9" s="1"/>
  <c r="D424" i="9" a="1"/>
  <c r="D424" i="9" s="1"/>
  <c r="D425" i="9" a="1"/>
  <c r="D425" i="9" s="1"/>
  <c r="D426" i="9" a="1"/>
  <c r="D426" i="9" s="1"/>
  <c r="D427" i="9" a="1"/>
  <c r="D427" i="9" s="1"/>
  <c r="D428" i="9" a="1"/>
  <c r="D428" i="9" s="1"/>
  <c r="D429" i="9" a="1"/>
  <c r="D429" i="9" s="1"/>
  <c r="D430" i="9" a="1"/>
  <c r="D430" i="9" s="1"/>
  <c r="D431" i="9" a="1"/>
  <c r="D431" i="9" s="1"/>
  <c r="D432" i="9" a="1"/>
  <c r="D432" i="9" s="1"/>
  <c r="D433" i="9" a="1"/>
  <c r="D433" i="9" s="1"/>
  <c r="D434" i="9" a="1"/>
  <c r="D434" i="9" s="1"/>
  <c r="D435" i="9" a="1"/>
  <c r="D435" i="9" s="1"/>
  <c r="D436" i="9" a="1"/>
  <c r="D436" i="9" s="1"/>
  <c r="D437" i="9" a="1"/>
  <c r="D437" i="9" s="1"/>
  <c r="D438" i="9" a="1"/>
  <c r="D438" i="9" s="1"/>
  <c r="D439" i="9" a="1"/>
  <c r="D439" i="9" s="1"/>
  <c r="D440" i="9" a="1"/>
  <c r="D440" i="9" s="1"/>
  <c r="D441" i="9" a="1"/>
  <c r="D441" i="9" s="1"/>
  <c r="D442" i="9" a="1"/>
  <c r="D442" i="9" s="1"/>
  <c r="D443" i="9" a="1"/>
  <c r="D443" i="9" s="1"/>
  <c r="D444" i="9" a="1"/>
  <c r="D444" i="9" s="1"/>
  <c r="D445" i="9" a="1"/>
  <c r="D445" i="9" s="1"/>
  <c r="D446" i="9" a="1"/>
  <c r="D446" i="9" s="1"/>
  <c r="D447" i="9" a="1"/>
  <c r="D447" i="9" s="1"/>
  <c r="D448" i="9" a="1"/>
  <c r="D448" i="9" s="1"/>
  <c r="D449" i="9" a="1"/>
  <c r="D449" i="9" s="1"/>
  <c r="D450" i="9" a="1"/>
  <c r="D450" i="9" s="1"/>
  <c r="D451" i="9" a="1"/>
  <c r="D451" i="9" s="1"/>
  <c r="D452" i="9" a="1"/>
  <c r="D452" i="9" s="1"/>
  <c r="D453" i="9" a="1"/>
  <c r="D453" i="9" s="1"/>
  <c r="D454" i="9" a="1"/>
  <c r="D454" i="9" s="1"/>
  <c r="D455" i="9" a="1"/>
  <c r="D455" i="9" s="1"/>
  <c r="D456" i="9" a="1"/>
  <c r="D456" i="9" s="1"/>
  <c r="D457" i="9" a="1"/>
  <c r="D457" i="9" s="1"/>
  <c r="D458" i="9" a="1"/>
  <c r="D458" i="9" s="1"/>
  <c r="D459" i="9" a="1"/>
  <c r="D459" i="9" s="1"/>
  <c r="D460" i="9" a="1"/>
  <c r="D460" i="9" s="1"/>
  <c r="D461" i="9" a="1"/>
  <c r="D461" i="9" s="1"/>
  <c r="D462" i="9" a="1"/>
  <c r="D462" i="9" s="1"/>
  <c r="D463" i="9" a="1"/>
  <c r="D463" i="9" s="1"/>
  <c r="D464" i="9" a="1"/>
  <c r="D464" i="9" s="1"/>
  <c r="D465" i="9" a="1"/>
  <c r="D465" i="9" s="1"/>
  <c r="D466" i="9" a="1"/>
  <c r="D466" i="9" s="1"/>
  <c r="D467" i="9" a="1"/>
  <c r="D467" i="9" s="1"/>
  <c r="D468" i="9" a="1"/>
  <c r="D468" i="9" s="1"/>
  <c r="D469" i="9" a="1"/>
  <c r="D469" i="9" s="1"/>
  <c r="D470" i="9" a="1"/>
  <c r="D470" i="9" s="1"/>
  <c r="D471" i="9" a="1"/>
  <c r="D471" i="9" s="1"/>
  <c r="D472" i="9" a="1"/>
  <c r="D472" i="9" s="1"/>
  <c r="D473" i="9" a="1"/>
  <c r="D473" i="9" s="1"/>
  <c r="D474" i="9" a="1"/>
  <c r="D474" i="9" s="1"/>
  <c r="D475" i="9" a="1"/>
  <c r="D475" i="9" s="1"/>
  <c r="D476" i="9" a="1"/>
  <c r="D476" i="9" s="1"/>
  <c r="D477" i="9" a="1"/>
  <c r="D477" i="9" s="1"/>
  <c r="D478" i="9" a="1"/>
  <c r="D478" i="9" s="1"/>
  <c r="D479" i="9" a="1"/>
  <c r="D479" i="9" s="1"/>
  <c r="D480" i="9" a="1"/>
  <c r="D480" i="9" s="1"/>
  <c r="D481" i="9" a="1"/>
  <c r="D481" i="9" s="1"/>
  <c r="D482" i="9" a="1"/>
  <c r="D482" i="9" s="1"/>
  <c r="D483" i="9" a="1"/>
  <c r="D483" i="9" s="1"/>
  <c r="D484" i="9" a="1"/>
  <c r="D484" i="9" s="1"/>
  <c r="D485" i="9" a="1"/>
  <c r="D485" i="9" s="1"/>
  <c r="D486" i="9" a="1"/>
  <c r="D486" i="9" s="1"/>
  <c r="D487" i="9" a="1"/>
  <c r="D487" i="9" s="1"/>
  <c r="D488" i="9" a="1"/>
  <c r="D488" i="9" s="1"/>
  <c r="D489" i="9" a="1"/>
  <c r="D489" i="9" s="1"/>
  <c r="D490" i="9" a="1"/>
  <c r="D490" i="9" s="1"/>
  <c r="D491" i="9" a="1"/>
  <c r="D491" i="9" s="1"/>
  <c r="D492" i="9" a="1"/>
  <c r="D492" i="9" s="1"/>
  <c r="D493" i="9" a="1"/>
  <c r="D493" i="9" s="1"/>
  <c r="D494" i="9" a="1"/>
  <c r="D494" i="9" s="1"/>
  <c r="D495" i="9" a="1"/>
  <c r="D495" i="9" s="1"/>
  <c r="D496" i="9" a="1"/>
  <c r="D496" i="9" s="1"/>
  <c r="D497" i="9" a="1"/>
  <c r="D497" i="9" s="1"/>
  <c r="D498" i="9" a="1"/>
  <c r="D498" i="9" s="1"/>
  <c r="D499" i="9" a="1"/>
  <c r="D499" i="9" s="1"/>
  <c r="D500" i="9" a="1"/>
  <c r="D500" i="9" s="1"/>
  <c r="D501" i="9" a="1"/>
  <c r="D501" i="9" s="1"/>
  <c r="D502" i="9" a="1"/>
  <c r="D502" i="9" s="1"/>
  <c r="D503" i="9" a="1"/>
  <c r="D503" i="9" s="1"/>
  <c r="C2" i="9" a="1"/>
  <c r="C2" i="9" s="1"/>
  <c r="C3" i="9" a="1"/>
  <c r="C3" i="9" s="1"/>
  <c r="C4" i="9" a="1"/>
  <c r="C4" i="9" s="1"/>
  <c r="C5" i="9" a="1"/>
  <c r="C5" i="9" s="1"/>
  <c r="C6" i="9" a="1"/>
  <c r="C6" i="9" s="1"/>
  <c r="C7" i="9" a="1"/>
  <c r="C7" i="9" s="1"/>
  <c r="C8" i="9" a="1"/>
  <c r="C8" i="9" s="1"/>
  <c r="C9" i="9" a="1"/>
  <c r="C9" i="9" s="1"/>
  <c r="C10" i="9" a="1"/>
  <c r="C10" i="9" s="1"/>
  <c r="C11" i="9" a="1"/>
  <c r="C11" i="9" s="1"/>
  <c r="C12" i="9" a="1"/>
  <c r="C12" i="9" s="1"/>
  <c r="C13" i="9" a="1"/>
  <c r="C13" i="9" s="1"/>
  <c r="C14" i="9" a="1"/>
  <c r="C14" i="9" s="1"/>
  <c r="C15" i="9" a="1"/>
  <c r="C15" i="9" s="1"/>
  <c r="C16" i="9" a="1"/>
  <c r="C16" i="9" s="1"/>
  <c r="C17" i="9" a="1"/>
  <c r="C17" i="9" s="1"/>
  <c r="C18" i="9" a="1"/>
  <c r="C18" i="9" s="1"/>
  <c r="C19" i="9" a="1"/>
  <c r="C19" i="9" s="1"/>
  <c r="C20" i="9" a="1"/>
  <c r="C20" i="9" s="1"/>
  <c r="C21" i="9" a="1"/>
  <c r="C21" i="9" s="1"/>
  <c r="C22" i="9" a="1"/>
  <c r="C22" i="9" s="1"/>
  <c r="C23" i="9" a="1"/>
  <c r="C23" i="9" s="1"/>
  <c r="C24" i="9" a="1"/>
  <c r="C24" i="9" s="1"/>
  <c r="C25" i="9" a="1"/>
  <c r="C25" i="9" s="1"/>
  <c r="C26" i="9" a="1"/>
  <c r="C26" i="9" s="1"/>
  <c r="C27" i="9" a="1"/>
  <c r="C27" i="9" s="1"/>
  <c r="C28" i="9" a="1"/>
  <c r="C28" i="9" s="1"/>
  <c r="C29" i="9" a="1"/>
  <c r="C29" i="9" s="1"/>
  <c r="C30" i="9" a="1"/>
  <c r="C30" i="9" s="1"/>
  <c r="C31" i="9" a="1"/>
  <c r="C31" i="9" s="1"/>
  <c r="C32" i="9" a="1"/>
  <c r="C32" i="9" s="1"/>
  <c r="C33" i="9" a="1"/>
  <c r="C33" i="9" s="1"/>
  <c r="C34" i="9" a="1"/>
  <c r="C34" i="9" s="1"/>
  <c r="C35" i="9" a="1"/>
  <c r="C35" i="9" s="1"/>
  <c r="C36" i="9" a="1"/>
  <c r="C36" i="9" s="1"/>
  <c r="C37" i="9" a="1"/>
  <c r="C37" i="9" s="1"/>
  <c r="C38" i="9" a="1"/>
  <c r="C38" i="9" s="1"/>
  <c r="C39" i="9" a="1"/>
  <c r="C39" i="9" s="1"/>
  <c r="C40" i="9" a="1"/>
  <c r="C40" i="9" s="1"/>
  <c r="C41" i="9" a="1"/>
  <c r="C41" i="9" s="1"/>
  <c r="C42" i="9" a="1"/>
  <c r="C42" i="9" s="1"/>
  <c r="C43" i="9" a="1"/>
  <c r="C43" i="9" s="1"/>
  <c r="C44" i="9" a="1"/>
  <c r="C44" i="9" s="1"/>
  <c r="C45" i="9" a="1"/>
  <c r="C45" i="9" s="1"/>
  <c r="C46" i="9" a="1"/>
  <c r="C46" i="9" s="1"/>
  <c r="C47" i="9" a="1"/>
  <c r="C47" i="9" s="1"/>
  <c r="C48" i="9" a="1"/>
  <c r="C48" i="9" s="1"/>
  <c r="C49" i="9" a="1"/>
  <c r="C49" i="9" s="1"/>
  <c r="C50" i="9" a="1"/>
  <c r="C50" i="9" s="1"/>
  <c r="C51" i="9" a="1"/>
  <c r="C51" i="9" s="1"/>
  <c r="C52" i="9" a="1"/>
  <c r="C52" i="9" s="1"/>
  <c r="C53" i="9" a="1"/>
  <c r="C53" i="9" s="1"/>
  <c r="C54" i="9" a="1"/>
  <c r="C54" i="9" s="1"/>
  <c r="C55" i="9" a="1"/>
  <c r="C55" i="9" s="1"/>
  <c r="C56" i="9" a="1"/>
  <c r="C56" i="9" s="1"/>
  <c r="C57" i="9" a="1"/>
  <c r="C57" i="9" s="1"/>
  <c r="C58" i="9" a="1"/>
  <c r="C58" i="9" s="1"/>
  <c r="C59" i="9" a="1"/>
  <c r="C59" i="9" s="1"/>
  <c r="C60" i="9" a="1"/>
  <c r="C60" i="9" s="1"/>
  <c r="C61" i="9" a="1"/>
  <c r="C61" i="9" s="1"/>
  <c r="C62" i="9" a="1"/>
  <c r="C62" i="9" s="1"/>
  <c r="C63" i="9" a="1"/>
  <c r="C63" i="9" s="1"/>
  <c r="C64" i="9" a="1"/>
  <c r="C64" i="9" s="1"/>
  <c r="C65" i="9" a="1"/>
  <c r="C65" i="9" s="1"/>
  <c r="C66" i="9" a="1"/>
  <c r="C66" i="9" s="1"/>
  <c r="C67" i="9" a="1"/>
  <c r="C67" i="9" s="1"/>
  <c r="C68" i="9" a="1"/>
  <c r="C68" i="9" s="1"/>
  <c r="C69" i="9" a="1"/>
  <c r="C69" i="9" s="1"/>
  <c r="C70" i="9" a="1"/>
  <c r="C70" i="9" s="1"/>
  <c r="C71" i="9" a="1"/>
  <c r="C71" i="9" s="1"/>
  <c r="C72" i="9" a="1"/>
  <c r="C72" i="9" s="1"/>
  <c r="C73" i="9" a="1"/>
  <c r="C73" i="9" s="1"/>
  <c r="C74" i="9" a="1"/>
  <c r="C74" i="9" s="1"/>
  <c r="C75" i="9" a="1"/>
  <c r="C75" i="9" s="1"/>
  <c r="C76" i="9" a="1"/>
  <c r="C76" i="9" s="1"/>
  <c r="C77" i="9" a="1"/>
  <c r="C77" i="9" s="1"/>
  <c r="C78" i="9" a="1"/>
  <c r="C78" i="9" s="1"/>
  <c r="C79" i="9" a="1"/>
  <c r="C79" i="9" s="1"/>
  <c r="C80" i="9" a="1"/>
  <c r="C80" i="9" s="1"/>
  <c r="C81" i="9" a="1"/>
  <c r="C81" i="9" s="1"/>
  <c r="C82" i="9" a="1"/>
  <c r="C82" i="9" s="1"/>
  <c r="C83" i="9" a="1"/>
  <c r="C83" i="9" s="1"/>
  <c r="C84" i="9" a="1"/>
  <c r="C84" i="9" s="1"/>
  <c r="C85" i="9" a="1"/>
  <c r="C85" i="9" s="1"/>
  <c r="C86" i="9" a="1"/>
  <c r="C86" i="9" s="1"/>
  <c r="C87" i="9" a="1"/>
  <c r="C87" i="9" s="1"/>
  <c r="C88" i="9" a="1"/>
  <c r="C88" i="9" s="1"/>
  <c r="C89" i="9" a="1"/>
  <c r="C89" i="9" s="1"/>
  <c r="C90" i="9" a="1"/>
  <c r="C90" i="9" s="1"/>
  <c r="C91" i="9" a="1"/>
  <c r="C91" i="9" s="1"/>
  <c r="C92" i="9" a="1"/>
  <c r="C92" i="9" s="1"/>
  <c r="C93" i="9" a="1"/>
  <c r="C93" i="9" s="1"/>
  <c r="C94" i="9" a="1"/>
  <c r="C94" i="9" s="1"/>
  <c r="C95" i="9" a="1"/>
  <c r="C95" i="9" s="1"/>
  <c r="C96" i="9" a="1"/>
  <c r="C96" i="9" s="1"/>
  <c r="C97" i="9" a="1"/>
  <c r="C97" i="9" s="1"/>
  <c r="C98" i="9" a="1"/>
  <c r="C98" i="9" s="1"/>
  <c r="C99" i="9" a="1"/>
  <c r="C99" i="9" s="1"/>
  <c r="C100" i="9" a="1"/>
  <c r="C100" i="9" s="1"/>
  <c r="C101" i="9" a="1"/>
  <c r="C101" i="9" s="1"/>
  <c r="C102" i="9" a="1"/>
  <c r="C102" i="9" s="1"/>
  <c r="C103" i="9" a="1"/>
  <c r="C103" i="9" s="1"/>
  <c r="C104" i="9" a="1"/>
  <c r="C104" i="9" s="1"/>
  <c r="C105" i="9" a="1"/>
  <c r="C105" i="9" s="1"/>
  <c r="C106" i="9" a="1"/>
  <c r="C106" i="9" s="1"/>
  <c r="C107" i="9" a="1"/>
  <c r="C107" i="9" s="1"/>
  <c r="C108" i="9" a="1"/>
  <c r="C108" i="9" s="1"/>
  <c r="C109" i="9" a="1"/>
  <c r="C109" i="9" s="1"/>
  <c r="C110" i="9" a="1"/>
  <c r="C110" i="9" s="1"/>
  <c r="C111" i="9" a="1"/>
  <c r="C111" i="9" s="1"/>
  <c r="C112" i="9" a="1"/>
  <c r="C112" i="9" s="1"/>
  <c r="C113" i="9" a="1"/>
  <c r="C113" i="9" s="1"/>
  <c r="C114" i="9" a="1"/>
  <c r="C114" i="9" s="1"/>
  <c r="C115" i="9" a="1"/>
  <c r="C115" i="9" s="1"/>
  <c r="C116" i="9" a="1"/>
  <c r="C116" i="9" s="1"/>
  <c r="C117" i="9" a="1"/>
  <c r="C117" i="9" s="1"/>
  <c r="C118" i="9" a="1"/>
  <c r="C118" i="9" s="1"/>
  <c r="C119" i="9" a="1"/>
  <c r="C119" i="9" s="1"/>
  <c r="C120" i="9" a="1"/>
  <c r="C120" i="9" s="1"/>
  <c r="C121" i="9" a="1"/>
  <c r="C121" i="9" s="1"/>
  <c r="C122" i="9" a="1"/>
  <c r="C122" i="9" s="1"/>
  <c r="C123" i="9" a="1"/>
  <c r="C123" i="9" s="1"/>
  <c r="C124" i="9" a="1"/>
  <c r="C124" i="9" s="1"/>
  <c r="C125" i="9" a="1"/>
  <c r="C125" i="9" s="1"/>
  <c r="C126" i="9" a="1"/>
  <c r="C126" i="9" s="1"/>
  <c r="C127" i="9" a="1"/>
  <c r="C127" i="9" s="1"/>
  <c r="C128" i="9" a="1"/>
  <c r="C128" i="9" s="1"/>
  <c r="C129" i="9" a="1"/>
  <c r="C129" i="9" s="1"/>
  <c r="C130" i="9" a="1"/>
  <c r="C130" i="9" s="1"/>
  <c r="C131" i="9" a="1"/>
  <c r="C131" i="9" s="1"/>
  <c r="C132" i="9" a="1"/>
  <c r="C132" i="9" s="1"/>
  <c r="C133" i="9" a="1"/>
  <c r="C133" i="9" s="1"/>
  <c r="C134" i="9" a="1"/>
  <c r="C134" i="9" s="1"/>
  <c r="C135" i="9" a="1"/>
  <c r="C135" i="9" s="1"/>
  <c r="C136" i="9" a="1"/>
  <c r="C136" i="9" s="1"/>
  <c r="C137" i="9" a="1"/>
  <c r="C137" i="9" s="1"/>
  <c r="C138" i="9" a="1"/>
  <c r="C138" i="9" s="1"/>
  <c r="C139" i="9" a="1"/>
  <c r="C139" i="9" s="1"/>
  <c r="C140" i="9" a="1"/>
  <c r="C140" i="9" s="1"/>
  <c r="C141" i="9" a="1"/>
  <c r="C141" i="9" s="1"/>
  <c r="C142" i="9" a="1"/>
  <c r="C142" i="9" s="1"/>
  <c r="C143" i="9" a="1"/>
  <c r="C143" i="9" s="1"/>
  <c r="C144" i="9" a="1"/>
  <c r="C144" i="9" s="1"/>
  <c r="C145" i="9" a="1"/>
  <c r="C145" i="9" s="1"/>
  <c r="C146" i="9" a="1"/>
  <c r="C146" i="9" s="1"/>
  <c r="C147" i="9" a="1"/>
  <c r="C147" i="9" s="1"/>
  <c r="C148" i="9" a="1"/>
  <c r="C148" i="9" s="1"/>
  <c r="C149" i="9" a="1"/>
  <c r="C149" i="9" s="1"/>
  <c r="C150" i="9" a="1"/>
  <c r="C150" i="9" s="1"/>
  <c r="C151" i="9" a="1"/>
  <c r="C151" i="9" s="1"/>
  <c r="C152" i="9" a="1"/>
  <c r="C152" i="9" s="1"/>
  <c r="C153" i="9" a="1"/>
  <c r="C153" i="9" s="1"/>
  <c r="C154" i="9" a="1"/>
  <c r="C154" i="9" s="1"/>
  <c r="C155" i="9" a="1"/>
  <c r="C155" i="9" s="1"/>
  <c r="C156" i="9" a="1"/>
  <c r="C156" i="9" s="1"/>
  <c r="C157" i="9" a="1"/>
  <c r="C157" i="9" s="1"/>
  <c r="C158" i="9" a="1"/>
  <c r="C158" i="9" s="1"/>
  <c r="C159" i="9" a="1"/>
  <c r="C159" i="9" s="1"/>
  <c r="C160" i="9" a="1"/>
  <c r="C160" i="9" s="1"/>
  <c r="C161" i="9" a="1"/>
  <c r="C161" i="9" s="1"/>
  <c r="C162" i="9" a="1"/>
  <c r="C162" i="9" s="1"/>
  <c r="C163" i="9" a="1"/>
  <c r="C163" i="9" s="1"/>
  <c r="C164" i="9" a="1"/>
  <c r="C164" i="9" s="1"/>
  <c r="C165" i="9" a="1"/>
  <c r="C165" i="9" s="1"/>
  <c r="C166" i="9" a="1"/>
  <c r="C166" i="9" s="1"/>
  <c r="C167" i="9" a="1"/>
  <c r="C167" i="9" s="1"/>
  <c r="C168" i="9" a="1"/>
  <c r="C168" i="9" s="1"/>
  <c r="C169" i="9" a="1"/>
  <c r="C169" i="9" s="1"/>
  <c r="C170" i="9" a="1"/>
  <c r="C170" i="9" s="1"/>
  <c r="C171" i="9" a="1"/>
  <c r="C171" i="9" s="1"/>
  <c r="C172" i="9" a="1"/>
  <c r="C172" i="9" s="1"/>
  <c r="C173" i="9" a="1"/>
  <c r="C173" i="9" s="1"/>
  <c r="C174" i="9" a="1"/>
  <c r="C174" i="9" s="1"/>
  <c r="C175" i="9" a="1"/>
  <c r="C175" i="9" s="1"/>
  <c r="C176" i="9" a="1"/>
  <c r="C176" i="9" s="1"/>
  <c r="C177" i="9" a="1"/>
  <c r="C177" i="9" s="1"/>
  <c r="C178" i="9" a="1"/>
  <c r="C178" i="9" s="1"/>
  <c r="C179" i="9" a="1"/>
  <c r="C179" i="9" s="1"/>
  <c r="C180" i="9" a="1"/>
  <c r="C180" i="9" s="1"/>
  <c r="C181" i="9" a="1"/>
  <c r="C181" i="9" s="1"/>
  <c r="C182" i="9" a="1"/>
  <c r="C182" i="9" s="1"/>
  <c r="C183" i="9" a="1"/>
  <c r="C183" i="9" s="1"/>
  <c r="C184" i="9" a="1"/>
  <c r="C184" i="9" s="1"/>
  <c r="C185" i="9" a="1"/>
  <c r="C185" i="9" s="1"/>
  <c r="C186" i="9" a="1"/>
  <c r="C186" i="9" s="1"/>
  <c r="C187" i="9" a="1"/>
  <c r="C187" i="9" s="1"/>
  <c r="C188" i="9" a="1"/>
  <c r="C188" i="9" s="1"/>
  <c r="C189" i="9" a="1"/>
  <c r="C189" i="9" s="1"/>
  <c r="C190" i="9" a="1"/>
  <c r="C190" i="9" s="1"/>
  <c r="C191" i="9" a="1"/>
  <c r="C191" i="9" s="1"/>
  <c r="C192" i="9" a="1"/>
  <c r="C192" i="9" s="1"/>
  <c r="C193" i="9" a="1"/>
  <c r="C193" i="9" s="1"/>
  <c r="C194" i="9" a="1"/>
  <c r="C194" i="9" s="1"/>
  <c r="C195" i="9" a="1"/>
  <c r="C195" i="9" s="1"/>
  <c r="C196" i="9" a="1"/>
  <c r="C196" i="9" s="1"/>
  <c r="C197" i="9" a="1"/>
  <c r="C197" i="9" s="1"/>
  <c r="C198" i="9" a="1"/>
  <c r="C198" i="9" s="1"/>
  <c r="C199" i="9" a="1"/>
  <c r="C199" i="9" s="1"/>
  <c r="C200" i="9" a="1"/>
  <c r="C200" i="9" s="1"/>
  <c r="C201" i="9" a="1"/>
  <c r="C201" i="9" s="1"/>
  <c r="C202" i="9" a="1"/>
  <c r="C202" i="9" s="1"/>
  <c r="C203" i="9" a="1"/>
  <c r="C203" i="9" s="1"/>
  <c r="C204" i="9" a="1"/>
  <c r="C204" i="9" s="1"/>
  <c r="C205" i="9" a="1"/>
  <c r="C205" i="9" s="1"/>
  <c r="C206" i="9" a="1"/>
  <c r="C206" i="9" s="1"/>
  <c r="C207" i="9" a="1"/>
  <c r="C207" i="9" s="1"/>
  <c r="C208" i="9" a="1"/>
  <c r="C208" i="9" s="1"/>
  <c r="C209" i="9" a="1"/>
  <c r="C209" i="9" s="1"/>
  <c r="C210" i="9" a="1"/>
  <c r="C210" i="9" s="1"/>
  <c r="C211" i="9" a="1"/>
  <c r="C211" i="9" s="1"/>
  <c r="C212" i="9" a="1"/>
  <c r="C212" i="9" s="1"/>
  <c r="C213" i="9" a="1"/>
  <c r="C213" i="9" s="1"/>
  <c r="C214" i="9" a="1"/>
  <c r="C214" i="9" s="1"/>
  <c r="C215" i="9" a="1"/>
  <c r="C215" i="9" s="1"/>
  <c r="C216" i="9" a="1"/>
  <c r="C216" i="9" s="1"/>
  <c r="C217" i="9" a="1"/>
  <c r="C217" i="9" s="1"/>
  <c r="C218" i="9" a="1"/>
  <c r="C218" i="9" s="1"/>
  <c r="C219" i="9" a="1"/>
  <c r="C219" i="9" s="1"/>
  <c r="C220" i="9" a="1"/>
  <c r="C220" i="9" s="1"/>
  <c r="C221" i="9" a="1"/>
  <c r="C221" i="9" s="1"/>
  <c r="C222" i="9" a="1"/>
  <c r="C222" i="9" s="1"/>
  <c r="C223" i="9" a="1"/>
  <c r="C223" i="9" s="1"/>
  <c r="C224" i="9" a="1"/>
  <c r="C224" i="9" s="1"/>
  <c r="C225" i="9" a="1"/>
  <c r="C225" i="9" s="1"/>
  <c r="C226" i="9" a="1"/>
  <c r="C226" i="9" s="1"/>
  <c r="C227" i="9" a="1"/>
  <c r="C227" i="9" s="1"/>
  <c r="C228" i="9" a="1"/>
  <c r="C228" i="9" s="1"/>
  <c r="C229" i="9" a="1"/>
  <c r="C229" i="9" s="1"/>
  <c r="C230" i="9" a="1"/>
  <c r="C230" i="9" s="1"/>
  <c r="C231" i="9" a="1"/>
  <c r="C231" i="9" s="1"/>
  <c r="C232" i="9" a="1"/>
  <c r="C232" i="9" s="1"/>
  <c r="C233" i="9" a="1"/>
  <c r="C233" i="9" s="1"/>
  <c r="C234" i="9" a="1"/>
  <c r="C234" i="9" s="1"/>
  <c r="C235" i="9" a="1"/>
  <c r="C235" i="9" s="1"/>
  <c r="C236" i="9" a="1"/>
  <c r="C236" i="9" s="1"/>
  <c r="C237" i="9" a="1"/>
  <c r="C237" i="9" s="1"/>
  <c r="C238" i="9" a="1"/>
  <c r="C238" i="9" s="1"/>
  <c r="C239" i="9" a="1"/>
  <c r="C239" i="9" s="1"/>
  <c r="C240" i="9" a="1"/>
  <c r="C240" i="9" s="1"/>
  <c r="C241" i="9" a="1"/>
  <c r="C241" i="9" s="1"/>
  <c r="C242" i="9" a="1"/>
  <c r="C242" i="9" s="1"/>
  <c r="C243" i="9" a="1"/>
  <c r="C243" i="9" s="1"/>
  <c r="C244" i="9" a="1"/>
  <c r="C244" i="9" s="1"/>
  <c r="C245" i="9" a="1"/>
  <c r="C245" i="9" s="1"/>
  <c r="C246" i="9" a="1"/>
  <c r="C246" i="9" s="1"/>
  <c r="C247" i="9" a="1"/>
  <c r="C247" i="9" s="1"/>
  <c r="C248" i="9" a="1"/>
  <c r="C248" i="9" s="1"/>
  <c r="C249" i="9" a="1"/>
  <c r="C249" i="9" s="1"/>
  <c r="C250" i="9" a="1"/>
  <c r="C250" i="9" s="1"/>
  <c r="C251" i="9" a="1"/>
  <c r="C251" i="9" s="1"/>
  <c r="C252" i="9" a="1"/>
  <c r="C252" i="9" s="1"/>
  <c r="C253" i="9" a="1"/>
  <c r="C253" i="9" s="1"/>
  <c r="C254" i="9" a="1"/>
  <c r="C254" i="9" s="1"/>
  <c r="C255" i="9" a="1"/>
  <c r="C255" i="9" s="1"/>
  <c r="C256" i="9" a="1"/>
  <c r="C256" i="9" s="1"/>
  <c r="C257" i="9" a="1"/>
  <c r="C257" i="9" s="1"/>
  <c r="C258" i="9" a="1"/>
  <c r="C258" i="9" s="1"/>
  <c r="C259" i="9" a="1"/>
  <c r="C259" i="9" s="1"/>
  <c r="C260" i="9" a="1"/>
  <c r="C260" i="9" s="1"/>
  <c r="C261" i="9" a="1"/>
  <c r="C261" i="9" s="1"/>
  <c r="C262" i="9" a="1"/>
  <c r="C262" i="9" s="1"/>
  <c r="C263" i="9" a="1"/>
  <c r="C263" i="9" s="1"/>
  <c r="C264" i="9" a="1"/>
  <c r="C264" i="9" s="1"/>
  <c r="C265" i="9" a="1"/>
  <c r="C265" i="9" s="1"/>
  <c r="C266" i="9" a="1"/>
  <c r="C266" i="9" s="1"/>
  <c r="C267" i="9" a="1"/>
  <c r="C267" i="9" s="1"/>
  <c r="C268" i="9" a="1"/>
  <c r="C268" i="9" s="1"/>
  <c r="C269" i="9" a="1"/>
  <c r="C269" i="9" s="1"/>
  <c r="C270" i="9" a="1"/>
  <c r="C270" i="9" s="1"/>
  <c r="C271" i="9" a="1"/>
  <c r="C271" i="9" s="1"/>
  <c r="C272" i="9" a="1"/>
  <c r="C272" i="9" s="1"/>
  <c r="C273" i="9" a="1"/>
  <c r="C273" i="9" s="1"/>
  <c r="C274" i="9" a="1"/>
  <c r="C274" i="9" s="1"/>
  <c r="C275" i="9" a="1"/>
  <c r="C275" i="9" s="1"/>
  <c r="C276" i="9" a="1"/>
  <c r="C276" i="9" s="1"/>
  <c r="C277" i="9" a="1"/>
  <c r="C277" i="9" s="1"/>
  <c r="C278" i="9" a="1"/>
  <c r="C278" i="9" s="1"/>
  <c r="C279" i="9" a="1"/>
  <c r="C279" i="9" s="1"/>
  <c r="C280" i="9" a="1"/>
  <c r="C280" i="9" s="1"/>
  <c r="C281" i="9" a="1"/>
  <c r="C281" i="9" s="1"/>
  <c r="C282" i="9" a="1"/>
  <c r="C282" i="9" s="1"/>
  <c r="C283" i="9" a="1"/>
  <c r="C283" i="9" s="1"/>
  <c r="C284" i="9" a="1"/>
  <c r="C284" i="9" s="1"/>
  <c r="C285" i="9" a="1"/>
  <c r="C285" i="9" s="1"/>
  <c r="C286" i="9" a="1"/>
  <c r="C286" i="9" s="1"/>
  <c r="C287" i="9" a="1"/>
  <c r="C287" i="9" s="1"/>
  <c r="C288" i="9" a="1"/>
  <c r="C288" i="9" s="1"/>
  <c r="C289" i="9" a="1"/>
  <c r="C289" i="9" s="1"/>
  <c r="C290" i="9" a="1"/>
  <c r="C290" i="9" s="1"/>
  <c r="C291" i="9" a="1"/>
  <c r="C291" i="9" s="1"/>
  <c r="C292" i="9" a="1"/>
  <c r="C292" i="9" s="1"/>
  <c r="C293" i="9" a="1"/>
  <c r="C293" i="9" s="1"/>
  <c r="C294" i="9" a="1"/>
  <c r="C294" i="9" s="1"/>
  <c r="C295" i="9" a="1"/>
  <c r="C295" i="9" s="1"/>
  <c r="C296" i="9" a="1"/>
  <c r="C296" i="9" s="1"/>
  <c r="C297" i="9" a="1"/>
  <c r="C297" i="9" s="1"/>
  <c r="C298" i="9" a="1"/>
  <c r="C298" i="9" s="1"/>
  <c r="C299" i="9" a="1"/>
  <c r="C299" i="9" s="1"/>
  <c r="C300" i="9" a="1"/>
  <c r="C300" i="9" s="1"/>
  <c r="C301" i="9" a="1"/>
  <c r="C301" i="9" s="1"/>
  <c r="C302" i="9" a="1"/>
  <c r="C302" i="9" s="1"/>
  <c r="C303" i="9" a="1"/>
  <c r="C303" i="9" s="1"/>
  <c r="C304" i="9" a="1"/>
  <c r="C304" i="9" s="1"/>
  <c r="C305" i="9" a="1"/>
  <c r="C305" i="9" s="1"/>
  <c r="C306" i="9" a="1"/>
  <c r="C306" i="9" s="1"/>
  <c r="C307" i="9" a="1"/>
  <c r="C307" i="9" s="1"/>
  <c r="C308" i="9" a="1"/>
  <c r="C308" i="9" s="1"/>
  <c r="C309" i="9" a="1"/>
  <c r="C309" i="9" s="1"/>
  <c r="C310" i="9" a="1"/>
  <c r="C310" i="9" s="1"/>
  <c r="C311" i="9" a="1"/>
  <c r="C311" i="9" s="1"/>
  <c r="C312" i="9" a="1"/>
  <c r="C312" i="9" s="1"/>
  <c r="C313" i="9" a="1"/>
  <c r="C313" i="9" s="1"/>
  <c r="C314" i="9" a="1"/>
  <c r="C314" i="9" s="1"/>
  <c r="C315" i="9" a="1"/>
  <c r="C315" i="9" s="1"/>
  <c r="C316" i="9" a="1"/>
  <c r="C316" i="9" s="1"/>
  <c r="C317" i="9" a="1"/>
  <c r="C317" i="9" s="1"/>
  <c r="C318" i="9" a="1"/>
  <c r="C318" i="9" s="1"/>
  <c r="C319" i="9" a="1"/>
  <c r="C319" i="9" s="1"/>
  <c r="C320" i="9" a="1"/>
  <c r="C320" i="9" s="1"/>
  <c r="C321" i="9" a="1"/>
  <c r="C321" i="9" s="1"/>
  <c r="C322" i="9" a="1"/>
  <c r="C322" i="9" s="1"/>
  <c r="C323" i="9" a="1"/>
  <c r="C323" i="9" s="1"/>
  <c r="C324" i="9" a="1"/>
  <c r="C324" i="9" s="1"/>
  <c r="C325" i="9" a="1"/>
  <c r="C325" i="9" s="1"/>
  <c r="C326" i="9" a="1"/>
  <c r="C326" i="9" s="1"/>
  <c r="C327" i="9" a="1"/>
  <c r="C327" i="9" s="1"/>
  <c r="C328" i="9" a="1"/>
  <c r="C328" i="9" s="1"/>
  <c r="C329" i="9" a="1"/>
  <c r="C329" i="9" s="1"/>
  <c r="C330" i="9" a="1"/>
  <c r="C330" i="9" s="1"/>
  <c r="C331" i="9" a="1"/>
  <c r="C331" i="9" s="1"/>
  <c r="C332" i="9" a="1"/>
  <c r="C332" i="9" s="1"/>
  <c r="C333" i="9" a="1"/>
  <c r="C333" i="9" s="1"/>
  <c r="C334" i="9" a="1"/>
  <c r="C334" i="9" s="1"/>
  <c r="C335" i="9" a="1"/>
  <c r="C335" i="9" s="1"/>
  <c r="C336" i="9" a="1"/>
  <c r="C336" i="9" s="1"/>
  <c r="C337" i="9" a="1"/>
  <c r="C337" i="9" s="1"/>
  <c r="C338" i="9" a="1"/>
  <c r="C338" i="9" s="1"/>
  <c r="C339" i="9" a="1"/>
  <c r="C339" i="9" s="1"/>
  <c r="C340" i="9" a="1"/>
  <c r="C340" i="9" s="1"/>
  <c r="C341" i="9" a="1"/>
  <c r="C341" i="9" s="1"/>
  <c r="C342" i="9" a="1"/>
  <c r="C342" i="9" s="1"/>
  <c r="C343" i="9" a="1"/>
  <c r="C343" i="9" s="1"/>
  <c r="C344" i="9" a="1"/>
  <c r="C344" i="9" s="1"/>
  <c r="C345" i="9" a="1"/>
  <c r="C345" i="9" s="1"/>
  <c r="C346" i="9" a="1"/>
  <c r="C346" i="9" s="1"/>
  <c r="C347" i="9" a="1"/>
  <c r="C347" i="9" s="1"/>
  <c r="C348" i="9" a="1"/>
  <c r="C348" i="9" s="1"/>
  <c r="C349" i="9" a="1"/>
  <c r="C349" i="9" s="1"/>
  <c r="C350" i="9" a="1"/>
  <c r="C350" i="9" s="1"/>
  <c r="C351" i="9" a="1"/>
  <c r="C351" i="9" s="1"/>
  <c r="C352" i="9" a="1"/>
  <c r="C352" i="9" s="1"/>
  <c r="C353" i="9" a="1"/>
  <c r="C353" i="9" s="1"/>
  <c r="C354" i="9" a="1"/>
  <c r="C354" i="9" s="1"/>
  <c r="C355" i="9" a="1"/>
  <c r="C355" i="9" s="1"/>
  <c r="C356" i="9" a="1"/>
  <c r="C356" i="9" s="1"/>
  <c r="C357" i="9" a="1"/>
  <c r="C357" i="9" s="1"/>
  <c r="C358" i="9" a="1"/>
  <c r="C358" i="9" s="1"/>
  <c r="C359" i="9" a="1"/>
  <c r="C359" i="9" s="1"/>
  <c r="C360" i="9" a="1"/>
  <c r="C360" i="9" s="1"/>
  <c r="C361" i="9" a="1"/>
  <c r="C361" i="9" s="1"/>
  <c r="C362" i="9" a="1"/>
  <c r="C362" i="9" s="1"/>
  <c r="C363" i="9" a="1"/>
  <c r="C363" i="9" s="1"/>
  <c r="C364" i="9" a="1"/>
  <c r="C364" i="9" s="1"/>
  <c r="C365" i="9" a="1"/>
  <c r="C365" i="9" s="1"/>
  <c r="C366" i="9" a="1"/>
  <c r="C366" i="9" s="1"/>
  <c r="C367" i="9" a="1"/>
  <c r="C367" i="9" s="1"/>
  <c r="C368" i="9" a="1"/>
  <c r="C368" i="9" s="1"/>
  <c r="C369" i="9" a="1"/>
  <c r="C369" i="9" s="1"/>
  <c r="C370" i="9" a="1"/>
  <c r="C370" i="9" s="1"/>
  <c r="C371" i="9" a="1"/>
  <c r="C371" i="9" s="1"/>
  <c r="C372" i="9" a="1"/>
  <c r="C372" i="9" s="1"/>
  <c r="C373" i="9" a="1"/>
  <c r="C373" i="9" s="1"/>
  <c r="C374" i="9" a="1"/>
  <c r="C374" i="9" s="1"/>
  <c r="C375" i="9" a="1"/>
  <c r="C375" i="9" s="1"/>
  <c r="C376" i="9" a="1"/>
  <c r="C376" i="9" s="1"/>
  <c r="C377" i="9" a="1"/>
  <c r="C377" i="9" s="1"/>
  <c r="C378" i="9" a="1"/>
  <c r="C378" i="9" s="1"/>
  <c r="C379" i="9" a="1"/>
  <c r="C379" i="9" s="1"/>
  <c r="C380" i="9" a="1"/>
  <c r="C380" i="9" s="1"/>
  <c r="C381" i="9" a="1"/>
  <c r="C381" i="9" s="1"/>
  <c r="C382" i="9" a="1"/>
  <c r="C382" i="9" s="1"/>
  <c r="C383" i="9" a="1"/>
  <c r="C383" i="9" s="1"/>
  <c r="C384" i="9" a="1"/>
  <c r="C384" i="9" s="1"/>
  <c r="C385" i="9" a="1"/>
  <c r="C385" i="9" s="1"/>
  <c r="C386" i="9" a="1"/>
  <c r="C386" i="9" s="1"/>
  <c r="C387" i="9" a="1"/>
  <c r="C387" i="9" s="1"/>
  <c r="C388" i="9" a="1"/>
  <c r="C388" i="9" s="1"/>
  <c r="C389" i="9" a="1"/>
  <c r="C389" i="9" s="1"/>
  <c r="C390" i="9" a="1"/>
  <c r="C390" i="9" s="1"/>
  <c r="C391" i="9" a="1"/>
  <c r="C391" i="9" s="1"/>
  <c r="C392" i="9" a="1"/>
  <c r="C392" i="9" s="1"/>
  <c r="C393" i="9" a="1"/>
  <c r="C393" i="9" s="1"/>
  <c r="C394" i="9" a="1"/>
  <c r="C394" i="9" s="1"/>
  <c r="C395" i="9" a="1"/>
  <c r="C395" i="9" s="1"/>
  <c r="C396" i="9" a="1"/>
  <c r="C396" i="9" s="1"/>
  <c r="C397" i="9" a="1"/>
  <c r="C397" i="9" s="1"/>
  <c r="C398" i="9" a="1"/>
  <c r="C398" i="9" s="1"/>
  <c r="C399" i="9" a="1"/>
  <c r="C399" i="9" s="1"/>
  <c r="C400" i="9" a="1"/>
  <c r="C400" i="9" s="1"/>
  <c r="C401" i="9" a="1"/>
  <c r="C401" i="9" s="1"/>
  <c r="C402" i="9" a="1"/>
  <c r="C402" i="9" s="1"/>
  <c r="C403" i="9" a="1"/>
  <c r="C403" i="9" s="1"/>
  <c r="C404" i="9" a="1"/>
  <c r="C404" i="9" s="1"/>
  <c r="C405" i="9" a="1"/>
  <c r="C405" i="9" s="1"/>
  <c r="C406" i="9" a="1"/>
  <c r="C406" i="9" s="1"/>
  <c r="C407" i="9" a="1"/>
  <c r="C407" i="9" s="1"/>
  <c r="C408" i="9" a="1"/>
  <c r="C408" i="9" s="1"/>
  <c r="C409" i="9" a="1"/>
  <c r="C409" i="9" s="1"/>
  <c r="C410" i="9" a="1"/>
  <c r="C410" i="9" s="1"/>
  <c r="C411" i="9" a="1"/>
  <c r="C411" i="9" s="1"/>
  <c r="C412" i="9" a="1"/>
  <c r="C412" i="9" s="1"/>
  <c r="C413" i="9" a="1"/>
  <c r="C413" i="9" s="1"/>
  <c r="C414" i="9" a="1"/>
  <c r="C414" i="9" s="1"/>
  <c r="C415" i="9" a="1"/>
  <c r="C415" i="9" s="1"/>
  <c r="C416" i="9" a="1"/>
  <c r="C416" i="9" s="1"/>
  <c r="C417" i="9" a="1"/>
  <c r="C417" i="9" s="1"/>
  <c r="C418" i="9" a="1"/>
  <c r="C418" i="9" s="1"/>
  <c r="C419" i="9" a="1"/>
  <c r="C419" i="9" s="1"/>
  <c r="C420" i="9" a="1"/>
  <c r="C420" i="9" s="1"/>
  <c r="C421" i="9" a="1"/>
  <c r="C421" i="9" s="1"/>
  <c r="C422" i="9" a="1"/>
  <c r="C422" i="9" s="1"/>
  <c r="C423" i="9" a="1"/>
  <c r="C423" i="9" s="1"/>
  <c r="C424" i="9" a="1"/>
  <c r="C424" i="9" s="1"/>
  <c r="C425" i="9" a="1"/>
  <c r="C425" i="9" s="1"/>
  <c r="C426" i="9" a="1"/>
  <c r="C426" i="9" s="1"/>
  <c r="C427" i="9" a="1"/>
  <c r="C427" i="9" s="1"/>
  <c r="C428" i="9" a="1"/>
  <c r="C428" i="9" s="1"/>
  <c r="C429" i="9" a="1"/>
  <c r="C429" i="9" s="1"/>
  <c r="C430" i="9" a="1"/>
  <c r="C430" i="9" s="1"/>
  <c r="C431" i="9" a="1"/>
  <c r="C431" i="9" s="1"/>
  <c r="C432" i="9" a="1"/>
  <c r="C432" i="9" s="1"/>
  <c r="C433" i="9" a="1"/>
  <c r="C433" i="9" s="1"/>
  <c r="C434" i="9" a="1"/>
  <c r="C434" i="9" s="1"/>
  <c r="C435" i="9" a="1"/>
  <c r="C435" i="9" s="1"/>
  <c r="C436" i="9" a="1"/>
  <c r="C436" i="9" s="1"/>
  <c r="C437" i="9" a="1"/>
  <c r="C437" i="9" s="1"/>
  <c r="C438" i="9" a="1"/>
  <c r="C438" i="9" s="1"/>
  <c r="C439" i="9" a="1"/>
  <c r="C439" i="9" s="1"/>
  <c r="C440" i="9" a="1"/>
  <c r="C440" i="9" s="1"/>
  <c r="C441" i="9" a="1"/>
  <c r="C441" i="9" s="1"/>
  <c r="C442" i="9" a="1"/>
  <c r="C442" i="9" s="1"/>
  <c r="C443" i="9" a="1"/>
  <c r="C443" i="9" s="1"/>
  <c r="C444" i="9" a="1"/>
  <c r="C444" i="9" s="1"/>
  <c r="C445" i="9" a="1"/>
  <c r="C445" i="9" s="1"/>
  <c r="C446" i="9" a="1"/>
  <c r="C446" i="9" s="1"/>
  <c r="C447" i="9" a="1"/>
  <c r="C447" i="9" s="1"/>
  <c r="C448" i="9" a="1"/>
  <c r="C448" i="9" s="1"/>
  <c r="C449" i="9" a="1"/>
  <c r="C449" i="9" s="1"/>
  <c r="C450" i="9" a="1"/>
  <c r="C450" i="9" s="1"/>
  <c r="C451" i="9" a="1"/>
  <c r="C451" i="9" s="1"/>
  <c r="C452" i="9" a="1"/>
  <c r="C452" i="9" s="1"/>
  <c r="C453" i="9" a="1"/>
  <c r="C453" i="9" s="1"/>
  <c r="C454" i="9" a="1"/>
  <c r="C454" i="9" s="1"/>
  <c r="C455" i="9" a="1"/>
  <c r="C455" i="9" s="1"/>
  <c r="C456" i="9" a="1"/>
  <c r="C456" i="9" s="1"/>
  <c r="C457" i="9" a="1"/>
  <c r="C457" i="9" s="1"/>
  <c r="C458" i="9" a="1"/>
  <c r="C458" i="9" s="1"/>
  <c r="C459" i="9" a="1"/>
  <c r="C459" i="9" s="1"/>
  <c r="C460" i="9" a="1"/>
  <c r="C460" i="9" s="1"/>
  <c r="C461" i="9" a="1"/>
  <c r="C461" i="9" s="1"/>
  <c r="C462" i="9" a="1"/>
  <c r="C462" i="9" s="1"/>
  <c r="C463" i="9" a="1"/>
  <c r="C463" i="9" s="1"/>
  <c r="C464" i="9" a="1"/>
  <c r="C464" i="9" s="1"/>
  <c r="C465" i="9" a="1"/>
  <c r="C465" i="9" s="1"/>
  <c r="C466" i="9" a="1"/>
  <c r="C466" i="9" s="1"/>
  <c r="C467" i="9" a="1"/>
  <c r="C467" i="9" s="1"/>
  <c r="C468" i="9" a="1"/>
  <c r="C468" i="9" s="1"/>
  <c r="C469" i="9" a="1"/>
  <c r="C469" i="9" s="1"/>
  <c r="C470" i="9" a="1"/>
  <c r="C470" i="9" s="1"/>
  <c r="C471" i="9" a="1"/>
  <c r="C471" i="9" s="1"/>
  <c r="C472" i="9" a="1"/>
  <c r="C472" i="9" s="1"/>
  <c r="C473" i="9" a="1"/>
  <c r="C473" i="9" s="1"/>
  <c r="C474" i="9" a="1"/>
  <c r="C474" i="9" s="1"/>
  <c r="C475" i="9" a="1"/>
  <c r="C475" i="9" s="1"/>
  <c r="C476" i="9" a="1"/>
  <c r="C476" i="9" s="1"/>
  <c r="C477" i="9" a="1"/>
  <c r="C477" i="9" s="1"/>
  <c r="C478" i="9" a="1"/>
  <c r="C478" i="9" s="1"/>
  <c r="C479" i="9" a="1"/>
  <c r="C479" i="9" s="1"/>
  <c r="C480" i="9" a="1"/>
  <c r="C480" i="9" s="1"/>
  <c r="C481" i="9" a="1"/>
  <c r="C481" i="9" s="1"/>
  <c r="C482" i="9" a="1"/>
  <c r="C482" i="9" s="1"/>
  <c r="C483" i="9" a="1"/>
  <c r="C483" i="9" s="1"/>
  <c r="C484" i="9" a="1"/>
  <c r="C484" i="9" s="1"/>
  <c r="C485" i="9" a="1"/>
  <c r="C485" i="9" s="1"/>
  <c r="C486" i="9" a="1"/>
  <c r="C486" i="9" s="1"/>
  <c r="C487" i="9" a="1"/>
  <c r="C487" i="9" s="1"/>
  <c r="C488" i="9" a="1"/>
  <c r="C488" i="9" s="1"/>
  <c r="C489" i="9" a="1"/>
  <c r="C489" i="9" s="1"/>
  <c r="C490" i="9" a="1"/>
  <c r="C490" i="9" s="1"/>
  <c r="C491" i="9" a="1"/>
  <c r="C491" i="9" s="1"/>
  <c r="C492" i="9" a="1"/>
  <c r="C492" i="9" s="1"/>
  <c r="C493" i="9" a="1"/>
  <c r="C493" i="9" s="1"/>
  <c r="C494" i="9" a="1"/>
  <c r="C494" i="9" s="1"/>
  <c r="C495" i="9" a="1"/>
  <c r="C495" i="9" s="1"/>
  <c r="C496" i="9" a="1"/>
  <c r="C496" i="9" s="1"/>
  <c r="C497" i="9" a="1"/>
  <c r="C497" i="9" s="1"/>
  <c r="C498" i="9" a="1"/>
  <c r="C498" i="9" s="1"/>
  <c r="C499" i="9" a="1"/>
  <c r="C499" i="9" s="1"/>
  <c r="C500" i="9" a="1"/>
  <c r="C500" i="9" s="1"/>
  <c r="C501" i="9" a="1"/>
  <c r="C501" i="9" s="1"/>
  <c r="C502" i="9" a="1"/>
  <c r="C502" i="9" s="1"/>
  <c r="C503" i="9" a="1"/>
  <c r="C503" i="9" s="1"/>
  <c r="AL41" i="1"/>
  <c r="AK41" i="1"/>
  <c r="AJ41" i="1"/>
  <c r="AI41" i="1"/>
  <c r="AG41" i="1"/>
  <c r="AD41" i="1"/>
  <c r="AC41" i="1"/>
  <c r="AB41" i="1"/>
  <c r="AA41" i="1"/>
  <c r="Z41" i="1"/>
  <c r="Y41" i="1"/>
  <c r="W41" i="1"/>
  <c r="V41" i="1"/>
  <c r="U41" i="1"/>
  <c r="T41" i="1"/>
  <c r="S41" i="1"/>
  <c r="R41" i="1"/>
  <c r="Q41" i="1"/>
  <c r="O41" i="1"/>
  <c r="N41" i="1"/>
  <c r="M41" i="1"/>
  <c r="L41" i="1"/>
  <c r="K41" i="1"/>
  <c r="J41" i="1"/>
  <c r="I41" i="1"/>
  <c r="H41" i="1"/>
  <c r="G41" i="1"/>
  <c r="F41" i="1"/>
  <c r="N40" i="1"/>
  <c r="H40" i="1"/>
  <c r="AL39" i="1"/>
  <c r="AK39" i="1"/>
  <c r="AJ39" i="1"/>
  <c r="AI39" i="1"/>
  <c r="AG39" i="1"/>
  <c r="AD39" i="1"/>
  <c r="AC39" i="1"/>
  <c r="AB39" i="1"/>
  <c r="AA39" i="1"/>
  <c r="Z39" i="1"/>
  <c r="Y39" i="1"/>
  <c r="W39" i="1"/>
  <c r="V39" i="1"/>
  <c r="U39" i="1"/>
  <c r="T39" i="1"/>
  <c r="S39" i="1"/>
  <c r="R39" i="1"/>
  <c r="Q39" i="1"/>
  <c r="O39" i="1"/>
  <c r="N39" i="1"/>
  <c r="M39" i="1"/>
  <c r="L39" i="1"/>
  <c r="K39" i="1"/>
  <c r="J39" i="1"/>
  <c r="I39" i="1"/>
  <c r="H39" i="1"/>
  <c r="W38" i="1"/>
  <c r="V38" i="1"/>
  <c r="U38" i="1"/>
  <c r="T38" i="1"/>
  <c r="S38" i="1"/>
  <c r="R38" i="1"/>
  <c r="Q38" i="1"/>
  <c r="O38" i="1"/>
  <c r="N38" i="1"/>
  <c r="M38" i="1"/>
  <c r="L38" i="1"/>
  <c r="K38" i="1"/>
  <c r="J38" i="1"/>
  <c r="I38" i="1"/>
  <c r="H38" i="1"/>
  <c r="G38" i="1"/>
  <c r="F38" i="1"/>
  <c r="AL34" i="1"/>
  <c r="AK34" i="1"/>
  <c r="AJ34" i="1"/>
  <c r="AI34" i="1"/>
  <c r="AG34" i="1"/>
  <c r="AD34" i="1"/>
  <c r="AC34" i="1"/>
  <c r="AB34" i="1"/>
  <c r="AA34" i="1"/>
  <c r="Z34" i="1"/>
  <c r="Y34" i="1"/>
  <c r="W34" i="1"/>
  <c r="V34" i="1"/>
  <c r="U34" i="1"/>
  <c r="T34" i="1"/>
  <c r="S34" i="1"/>
  <c r="R34" i="1"/>
  <c r="Q34" i="1"/>
  <c r="O34" i="1"/>
  <c r="N34" i="1"/>
  <c r="M34" i="1"/>
  <c r="L34" i="1"/>
  <c r="K34" i="1"/>
  <c r="J34" i="1"/>
  <c r="I34" i="1"/>
  <c r="H34" i="1"/>
  <c r="G34" i="1"/>
  <c r="F34" i="1"/>
  <c r="M33" i="1"/>
  <c r="L33" i="1"/>
  <c r="K33" i="1"/>
  <c r="I33" i="1"/>
  <c r="H33" i="1"/>
  <c r="G33" i="1"/>
  <c r="F33" i="1"/>
  <c r="V32" i="1"/>
  <c r="U32" i="1"/>
  <c r="T32" i="1"/>
  <c r="S32" i="1"/>
  <c r="R32" i="1"/>
  <c r="Q32" i="1"/>
  <c r="O32" i="1"/>
  <c r="N32" i="1"/>
  <c r="M32" i="1"/>
  <c r="L32" i="1"/>
  <c r="K32" i="1"/>
  <c r="J32" i="1"/>
  <c r="I32" i="1"/>
  <c r="H32" i="1"/>
  <c r="G32" i="1"/>
  <c r="F32" i="1"/>
  <c r="S29" i="1"/>
  <c r="AL26" i="1"/>
  <c r="AK26" i="1"/>
  <c r="AJ26" i="1"/>
  <c r="AI26" i="1"/>
  <c r="AG26" i="1"/>
  <c r="AD26" i="1"/>
  <c r="AC26" i="1"/>
  <c r="AB26" i="1"/>
  <c r="AA26" i="1"/>
  <c r="Z26" i="1"/>
  <c r="Y26" i="1"/>
  <c r="W26" i="1"/>
  <c r="V26" i="1"/>
  <c r="U26" i="1"/>
  <c r="T26" i="1"/>
  <c r="S26" i="1"/>
  <c r="R26" i="1"/>
  <c r="Q26" i="1"/>
  <c r="O26" i="1"/>
  <c r="N26" i="1"/>
  <c r="M26" i="1"/>
  <c r="L26" i="1"/>
  <c r="K26" i="1"/>
  <c r="J26" i="1"/>
  <c r="I26" i="1"/>
  <c r="H26" i="1"/>
  <c r="G26" i="1"/>
  <c r="F26" i="1"/>
  <c r="CN23" i="1"/>
  <c r="CN22" i="1"/>
  <c r="CK22" i="1"/>
  <c r="CJ22" i="1"/>
  <c r="CI22" i="1"/>
  <c r="CH22" i="1"/>
  <c r="CG22" i="1"/>
  <c r="CF22" i="1"/>
  <c r="CE22" i="1"/>
  <c r="CD22" i="1"/>
  <c r="CC22" i="1"/>
  <c r="CB22" i="1"/>
  <c r="CA22" i="1"/>
  <c r="BZ22" i="1"/>
  <c r="BY22" i="1"/>
  <c r="BX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CN21" i="1"/>
  <c r="CN20" i="1"/>
  <c r="CK20" i="1"/>
  <c r="CJ20" i="1"/>
  <c r="CI20" i="1"/>
  <c r="CH20" i="1"/>
  <c r="CG20" i="1"/>
  <c r="CF20" i="1"/>
  <c r="CE20" i="1"/>
  <c r="CD20" i="1"/>
  <c r="CC20" i="1"/>
  <c r="CB20" i="1"/>
  <c r="CA20" i="1"/>
  <c r="BZ20" i="1"/>
  <c r="BY20" i="1"/>
  <c r="BX20" i="1"/>
  <c r="BW20" i="1"/>
  <c r="BU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CN19" i="1"/>
  <c r="CJ19" i="1"/>
  <c r="CI19" i="1"/>
  <c r="CH19" i="1"/>
  <c r="CG19" i="1"/>
  <c r="CF19" i="1"/>
  <c r="CE19" i="1"/>
  <c r="CD19" i="1"/>
  <c r="CC19" i="1"/>
  <c r="CB19" i="1"/>
  <c r="CA19" i="1"/>
  <c r="BZ19" i="1"/>
  <c r="BY19" i="1"/>
  <c r="BX19" i="1"/>
  <c r="BW19" i="1"/>
  <c r="BU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CN18" i="1"/>
  <c r="CK18" i="1"/>
  <c r="CJ18" i="1"/>
  <c r="CI18" i="1"/>
  <c r="CH18" i="1"/>
  <c r="CG18" i="1"/>
  <c r="CF18" i="1"/>
  <c r="CE18" i="1"/>
  <c r="CD18" i="1"/>
  <c r="CC18" i="1"/>
  <c r="CB18" i="1"/>
  <c r="CA18" i="1"/>
  <c r="BZ18" i="1"/>
  <c r="BY18" i="1"/>
  <c r="BX18" i="1"/>
  <c r="BW18" i="1"/>
  <c r="BU18" i="1"/>
  <c r="AL18" i="1"/>
  <c r="AK18" i="1"/>
  <c r="AJ18" i="1"/>
  <c r="AI18" i="1"/>
  <c r="AH18" i="1"/>
  <c r="AG18" i="1"/>
  <c r="AF18" i="1"/>
  <c r="AE18" i="1"/>
  <c r="AD18" i="1"/>
  <c r="AC18" i="1"/>
  <c r="AB18" i="1"/>
  <c r="AA18" i="1"/>
  <c r="Z18" i="1"/>
  <c r="Y18" i="1"/>
  <c r="X18" i="1"/>
  <c r="W18" i="1"/>
  <c r="V18" i="1"/>
  <c r="U18" i="1"/>
  <c r="T18" i="1"/>
  <c r="S18" i="1"/>
  <c r="R18" i="1"/>
  <c r="Q18" i="1"/>
  <c r="P18" i="1"/>
  <c r="O18" i="1"/>
  <c r="N18" i="1"/>
  <c r="M18" i="1"/>
  <c r="L18" i="1"/>
  <c r="K18" i="1"/>
  <c r="J18" i="1"/>
  <c r="I18" i="1"/>
  <c r="H18" i="1"/>
  <c r="G18" i="1"/>
  <c r="F18" i="1"/>
  <c r="CK17" i="1"/>
  <c r="CJ17" i="1"/>
  <c r="CI17" i="1"/>
  <c r="CH17" i="1"/>
  <c r="CG17" i="1"/>
  <c r="CF17" i="1"/>
  <c r="CE17" i="1"/>
  <c r="CD17" i="1"/>
  <c r="CC17" i="1"/>
  <c r="CB17" i="1"/>
  <c r="CA17" i="1"/>
  <c r="BZ17" i="1"/>
  <c r="BY17" i="1"/>
  <c r="BX17" i="1"/>
  <c r="BW17" i="1"/>
  <c r="BU17" i="1"/>
  <c r="AL17" i="1"/>
  <c r="AK17" i="1"/>
  <c r="AJ17" i="1"/>
  <c r="AI17" i="1"/>
  <c r="AH17" i="1"/>
  <c r="AG17" i="1"/>
  <c r="AF17" i="1"/>
  <c r="AE17" i="1"/>
  <c r="AD17" i="1"/>
  <c r="AC17" i="1"/>
  <c r="AB17" i="1"/>
  <c r="AA17" i="1"/>
  <c r="Z17" i="1"/>
  <c r="Y17" i="1"/>
  <c r="X17" i="1"/>
  <c r="W17" i="1"/>
  <c r="V17" i="1"/>
  <c r="U17" i="1"/>
  <c r="T17" i="1"/>
  <c r="S17" i="1"/>
  <c r="R17" i="1"/>
  <c r="Q17" i="1"/>
  <c r="P17" i="1"/>
  <c r="O17" i="1"/>
  <c r="N17" i="1"/>
  <c r="M17" i="1"/>
  <c r="L17" i="1"/>
  <c r="K17" i="1"/>
  <c r="J17" i="1"/>
  <c r="I17" i="1"/>
  <c r="H17" i="1"/>
  <c r="G17" i="1"/>
  <c r="F17" i="1"/>
  <c r="CK15" i="1"/>
  <c r="CJ15" i="1"/>
  <c r="CI15" i="1"/>
  <c r="CH15" i="1"/>
  <c r="CG15" i="1"/>
  <c r="CF15" i="1"/>
  <c r="CE15" i="1"/>
  <c r="CD15" i="1"/>
  <c r="CC15" i="1"/>
  <c r="CB15" i="1"/>
  <c r="CA15" i="1"/>
  <c r="BZ15" i="1"/>
  <c r="BY15" i="1"/>
  <c r="BX15" i="1"/>
  <c r="BW15" i="1"/>
  <c r="BV15" i="1"/>
  <c r="BU15" i="1"/>
  <c r="AL15" i="1"/>
  <c r="AK15" i="1"/>
  <c r="AJ15" i="1"/>
  <c r="AI15" i="1"/>
  <c r="AH15" i="1"/>
  <c r="AG15" i="1"/>
  <c r="AF15" i="1"/>
  <c r="AE15" i="1"/>
  <c r="AD15" i="1"/>
  <c r="AC15" i="1"/>
  <c r="AB15" i="1"/>
  <c r="AA15" i="1"/>
  <c r="Z15" i="1"/>
  <c r="Y15" i="1"/>
  <c r="X15" i="1"/>
  <c r="W15" i="1"/>
  <c r="V15" i="1"/>
  <c r="U15" i="1"/>
  <c r="T15" i="1"/>
  <c r="S15" i="1"/>
  <c r="R15" i="1"/>
  <c r="Q15" i="1"/>
  <c r="P15" i="1"/>
  <c r="O15" i="1"/>
  <c r="N15" i="1"/>
  <c r="M15" i="1"/>
  <c r="L15" i="1"/>
  <c r="K15" i="1"/>
  <c r="J15" i="1"/>
  <c r="I15" i="1"/>
  <c r="H15" i="1"/>
  <c r="G15" i="1"/>
  <c r="F15" i="1"/>
  <c r="KF13" i="1"/>
  <c r="KE13" i="1"/>
  <c r="KD13" i="1"/>
  <c r="KC13" i="1"/>
  <c r="KB13" i="1"/>
  <c r="KA13" i="1"/>
  <c r="JZ13" i="1"/>
  <c r="JY13" i="1"/>
  <c r="JX13" i="1"/>
  <c r="JW13" i="1"/>
  <c r="JV13" i="1"/>
  <c r="JU13" i="1"/>
  <c r="JT13" i="1"/>
  <c r="JS13" i="1"/>
  <c r="JR13" i="1"/>
  <c r="JQ13" i="1"/>
  <c r="JP13" i="1"/>
  <c r="JO13" i="1"/>
  <c r="JN13" i="1"/>
  <c r="JM13" i="1"/>
  <c r="JL13" i="1"/>
  <c r="JK13" i="1"/>
  <c r="JJ13" i="1"/>
  <c r="JI13" i="1"/>
  <c r="JH13" i="1"/>
  <c r="JG13" i="1"/>
  <c r="JF13" i="1"/>
  <c r="JE13" i="1"/>
  <c r="JD13" i="1"/>
  <c r="JC13" i="1"/>
  <c r="JB13" i="1"/>
  <c r="JA13" i="1"/>
  <c r="IZ13" i="1"/>
  <c r="IY13" i="1"/>
  <c r="IX13" i="1"/>
  <c r="IW13" i="1"/>
  <c r="IV13" i="1"/>
  <c r="IU13" i="1"/>
  <c r="IT13" i="1"/>
  <c r="IS13" i="1"/>
  <c r="IR13" i="1"/>
  <c r="IQ13" i="1"/>
  <c r="IP13" i="1"/>
  <c r="IO13" i="1"/>
  <c r="IN13" i="1"/>
  <c r="IM13" i="1"/>
  <c r="IL13" i="1"/>
  <c r="IK13" i="1"/>
  <c r="IJ13" i="1"/>
  <c r="II13" i="1"/>
  <c r="IH13" i="1"/>
  <c r="IG13" i="1"/>
  <c r="IF13" i="1"/>
  <c r="IE13" i="1"/>
  <c r="ID13" i="1"/>
  <c r="IC13" i="1"/>
  <c r="IB13" i="1"/>
  <c r="IA13" i="1"/>
  <c r="HZ13" i="1"/>
  <c r="HY13" i="1"/>
  <c r="HX13" i="1"/>
  <c r="HW13" i="1"/>
  <c r="HV13" i="1"/>
  <c r="HU13" i="1"/>
  <c r="HT13" i="1"/>
  <c r="HS13" i="1"/>
  <c r="HR13" i="1"/>
  <c r="HQ13" i="1"/>
  <c r="HP13" i="1"/>
  <c r="HO13" i="1"/>
  <c r="HN13" i="1"/>
  <c r="HM13" i="1"/>
  <c r="HL13" i="1"/>
  <c r="HK13" i="1"/>
  <c r="HJ13" i="1"/>
  <c r="HI13" i="1"/>
  <c r="HH13" i="1"/>
  <c r="HG13" i="1"/>
  <c r="HF13" i="1"/>
  <c r="HE13" i="1"/>
  <c r="HD13" i="1"/>
  <c r="HC13" i="1"/>
  <c r="HB13" i="1"/>
  <c r="HA13" i="1"/>
  <c r="GZ13" i="1"/>
  <c r="GY13" i="1"/>
  <c r="GX13" i="1"/>
  <c r="GW13" i="1"/>
  <c r="GV13" i="1"/>
  <c r="GU13" i="1"/>
  <c r="GT13" i="1"/>
  <c r="GS13" i="1"/>
  <c r="GR13" i="1"/>
  <c r="GQ13" i="1"/>
  <c r="GP13" i="1"/>
  <c r="GO13" i="1"/>
  <c r="GN13" i="1"/>
  <c r="GM13" i="1"/>
  <c r="GL13" i="1"/>
  <c r="GK13" i="1"/>
  <c r="GJ13" i="1"/>
  <c r="GI13" i="1"/>
  <c r="GH13" i="1"/>
  <c r="GG13" i="1"/>
  <c r="GF13" i="1"/>
  <c r="GE13" i="1"/>
  <c r="GD13" i="1"/>
  <c r="GC13" i="1"/>
  <c r="GB13" i="1"/>
  <c r="GA13" i="1"/>
  <c r="FZ13" i="1"/>
  <c r="FY13" i="1"/>
  <c r="FX13" i="1"/>
  <c r="FW13" i="1"/>
  <c r="FV13" i="1"/>
  <c r="FU13" i="1"/>
  <c r="FT13" i="1"/>
  <c r="FS13" i="1"/>
  <c r="FR13" i="1"/>
  <c r="FQ13" i="1"/>
  <c r="FP13" i="1"/>
  <c r="FO13" i="1"/>
  <c r="FN13" i="1"/>
  <c r="FM13" i="1"/>
  <c r="FL13" i="1"/>
  <c r="FK13" i="1"/>
  <c r="FJ13" i="1"/>
  <c r="FI13" i="1"/>
  <c r="FH13" i="1"/>
  <c r="FG13" i="1"/>
  <c r="FF13" i="1"/>
  <c r="FE13" i="1"/>
  <c r="FD13" i="1"/>
  <c r="FC13" i="1"/>
  <c r="FB13" i="1"/>
  <c r="FA13" i="1"/>
  <c r="EZ13" i="1"/>
  <c r="EY13" i="1"/>
  <c r="EX13" i="1"/>
  <c r="EW13" i="1"/>
  <c r="EV13" i="1"/>
  <c r="EU13" i="1"/>
  <c r="ET13" i="1"/>
  <c r="ES13" i="1"/>
  <c r="ER13" i="1"/>
  <c r="EQ13" i="1"/>
  <c r="EP13" i="1"/>
  <c r="EO13" i="1"/>
  <c r="EN13" i="1"/>
  <c r="EM13" i="1"/>
  <c r="EL13" i="1"/>
  <c r="EK13" i="1"/>
  <c r="EJ13" i="1"/>
  <c r="EI13" i="1"/>
  <c r="EH13" i="1"/>
  <c r="EG13" i="1"/>
  <c r="EF13" i="1"/>
  <c r="EE13" i="1"/>
  <c r="ED13" i="1"/>
  <c r="EC13" i="1"/>
  <c r="EB13" i="1"/>
  <c r="EA13" i="1"/>
  <c r="DZ13" i="1"/>
  <c r="DY13" i="1"/>
  <c r="DX13" i="1"/>
  <c r="DW13" i="1"/>
  <c r="DV13" i="1"/>
  <c r="DU13" i="1"/>
  <c r="DT13" i="1"/>
  <c r="DS13" i="1"/>
  <c r="DR13" i="1"/>
  <c r="DQ13" i="1"/>
  <c r="DP13" i="1"/>
  <c r="DO13" i="1"/>
  <c r="DN13" i="1"/>
  <c r="DM13" i="1"/>
  <c r="DL13" i="1"/>
  <c r="DK13" i="1"/>
  <c r="DJ13" i="1"/>
  <c r="DI13" i="1"/>
  <c r="DH13" i="1"/>
  <c r="DG13" i="1"/>
  <c r="DF13" i="1"/>
  <c r="DE13" i="1"/>
  <c r="DD13" i="1"/>
  <c r="DC13" i="1"/>
  <c r="DB13" i="1"/>
  <c r="DA13" i="1"/>
  <c r="CZ13" i="1"/>
  <c r="CY13" i="1"/>
  <c r="CX13" i="1"/>
  <c r="CW13" i="1"/>
  <c r="CV13" i="1"/>
  <c r="CU13" i="1"/>
  <c r="CT13" i="1"/>
  <c r="CS13" i="1"/>
  <c r="CR13" i="1"/>
  <c r="CQ13" i="1"/>
  <c r="CP13" i="1"/>
  <c r="CO13" i="1"/>
  <c r="CN13" i="1"/>
  <c r="CM13" i="1"/>
  <c r="CL13" i="1"/>
  <c r="CK13" i="1"/>
  <c r="CJ13" i="1"/>
  <c r="CI13" i="1"/>
  <c r="CH13" i="1"/>
  <c r="CG13" i="1"/>
  <c r="CF13" i="1"/>
  <c r="CE13" i="1"/>
  <c r="CD13" i="1"/>
  <c r="CC13" i="1"/>
  <c r="CB13" i="1"/>
  <c r="CA13" i="1"/>
  <c r="BZ13" i="1"/>
  <c r="BY13" i="1"/>
  <c r="BX13" i="1"/>
  <c r="BW13" i="1"/>
  <c r="BV13" i="1"/>
  <c r="BU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CK12" i="1"/>
  <c r="CJ12" i="1"/>
  <c r="CI12" i="1"/>
  <c r="CH12" i="1"/>
  <c r="CG12" i="1"/>
  <c r="CF12" i="1"/>
  <c r="CE12" i="1"/>
  <c r="CD12" i="1"/>
  <c r="CC12" i="1"/>
  <c r="CB12" i="1"/>
  <c r="CA12" i="1"/>
  <c r="BZ12" i="1"/>
  <c r="BY12" i="1"/>
  <c r="BX12" i="1"/>
  <c r="BW12" i="1"/>
  <c r="BV12" i="1"/>
  <c r="BU12" i="1"/>
  <c r="AK12" i="1"/>
  <c r="AG12" i="1"/>
  <c r="AC12" i="1"/>
  <c r="Y12" i="1"/>
  <c r="U12" i="1"/>
  <c r="Q12" i="1"/>
  <c r="M12" i="1"/>
  <c r="I12" i="1"/>
  <c r="CK11" i="1"/>
  <c r="CJ11" i="1"/>
  <c r="CI11" i="1"/>
  <c r="CH11" i="1"/>
  <c r="CG11" i="1"/>
  <c r="CF11" i="1"/>
  <c r="CE11" i="1"/>
  <c r="CD11" i="1"/>
  <c r="CC11" i="1"/>
  <c r="CB11" i="1"/>
  <c r="CA11" i="1"/>
  <c r="BZ11" i="1"/>
  <c r="BY11" i="1"/>
  <c r="BX11" i="1"/>
  <c r="BW11" i="1"/>
  <c r="BU11" i="1"/>
  <c r="AL11" i="1"/>
  <c r="AK11" i="1"/>
  <c r="AJ11" i="1"/>
  <c r="AI11" i="1"/>
  <c r="AH11" i="1"/>
  <c r="AG11" i="1"/>
  <c r="AF11" i="1"/>
  <c r="AE11" i="1"/>
  <c r="AD11" i="1"/>
  <c r="AC11" i="1"/>
  <c r="AB11" i="1"/>
  <c r="AA11" i="1"/>
  <c r="Z11" i="1"/>
  <c r="Y11" i="1"/>
  <c r="X11" i="1"/>
  <c r="W11" i="1"/>
  <c r="V11" i="1"/>
  <c r="U11" i="1"/>
  <c r="T11" i="1"/>
  <c r="S11" i="1"/>
  <c r="R11" i="1"/>
  <c r="Q11" i="1"/>
  <c r="P11" i="1"/>
  <c r="O11" i="1"/>
  <c r="N11" i="1"/>
  <c r="M11" i="1"/>
  <c r="L11" i="1"/>
  <c r="K11" i="1"/>
  <c r="J11" i="1"/>
  <c r="I11" i="1"/>
  <c r="H11" i="1"/>
  <c r="G11" i="1"/>
  <c r="F11" i="1"/>
  <c r="CK10" i="1"/>
  <c r="CJ10" i="1"/>
  <c r="CI10" i="1"/>
  <c r="CH10" i="1"/>
  <c r="CG10" i="1"/>
  <c r="CF10" i="1"/>
  <c r="CE10" i="1"/>
  <c r="CD10" i="1"/>
  <c r="CC10" i="1"/>
  <c r="CB10" i="1"/>
  <c r="CA10" i="1"/>
  <c r="BZ10" i="1"/>
  <c r="BY10" i="1"/>
  <c r="BX10" i="1"/>
  <c r="BW10" i="1"/>
  <c r="BV10" i="1"/>
  <c r="BU10" i="1"/>
  <c r="AK10" i="1"/>
  <c r="AG10" i="1"/>
  <c r="AC10" i="1"/>
  <c r="Y10" i="1"/>
  <c r="U10" i="1"/>
  <c r="Q10" i="1"/>
  <c r="M10" i="1"/>
  <c r="I10" i="1"/>
  <c r="CK9" i="1"/>
  <c r="CJ9" i="1"/>
  <c r="CI9" i="1"/>
  <c r="CH9" i="1"/>
  <c r="CG9" i="1"/>
  <c r="CF9" i="1"/>
  <c r="CE9" i="1"/>
  <c r="CD9" i="1"/>
  <c r="CC9" i="1"/>
  <c r="CB9" i="1"/>
  <c r="CA9" i="1"/>
  <c r="BZ9" i="1"/>
  <c r="BY9" i="1"/>
  <c r="BX9" i="1"/>
  <c r="BW9" i="1"/>
  <c r="BU9" i="1"/>
  <c r="AL9" i="1"/>
  <c r="AK9" i="1"/>
  <c r="AJ9" i="1"/>
  <c r="AI9" i="1"/>
  <c r="AH9" i="1"/>
  <c r="AG9" i="1"/>
  <c r="AF9" i="1"/>
  <c r="AE9" i="1"/>
  <c r="AD9" i="1"/>
  <c r="AC9" i="1"/>
  <c r="AB9" i="1"/>
  <c r="AA9" i="1"/>
  <c r="Z9" i="1"/>
  <c r="Y9" i="1"/>
  <c r="X9" i="1"/>
  <c r="W9" i="1"/>
  <c r="V9" i="1"/>
  <c r="U9" i="1"/>
  <c r="T9" i="1"/>
  <c r="S9" i="1"/>
  <c r="R9" i="1"/>
  <c r="Q9" i="1"/>
  <c r="P9" i="1"/>
  <c r="O9" i="1"/>
  <c r="N9" i="1"/>
  <c r="M9" i="1"/>
  <c r="I9" i="1"/>
  <c r="CK8" i="1"/>
  <c r="CJ8" i="1"/>
  <c r="CI8" i="1"/>
  <c r="CH8" i="1"/>
  <c r="CG8" i="1"/>
  <c r="CF8" i="1"/>
  <c r="CE8" i="1"/>
  <c r="CD8" i="1"/>
  <c r="CC8" i="1"/>
  <c r="CB8" i="1"/>
  <c r="CA8" i="1"/>
  <c r="BZ8" i="1"/>
  <c r="BY8" i="1"/>
  <c r="BX8" i="1"/>
  <c r="BW8" i="1"/>
  <c r="BV8" i="1"/>
  <c r="BU8" i="1"/>
  <c r="AL8" i="1"/>
  <c r="AK8" i="1"/>
  <c r="AJ8" i="1"/>
  <c r="AI8" i="1"/>
  <c r="AH8" i="1"/>
  <c r="AG8" i="1"/>
  <c r="AF8" i="1"/>
  <c r="AE8" i="1"/>
  <c r="AD8" i="1"/>
  <c r="AC8" i="1"/>
  <c r="AB8" i="1"/>
  <c r="AA8" i="1"/>
  <c r="Z8" i="1"/>
  <c r="Y8" i="1"/>
  <c r="X8" i="1"/>
  <c r="W8" i="1"/>
  <c r="V8" i="1"/>
  <c r="U8" i="1"/>
  <c r="T8" i="1"/>
  <c r="S8" i="1"/>
  <c r="R8" i="1"/>
  <c r="Q8" i="1"/>
  <c r="P8" i="1"/>
  <c r="O8" i="1"/>
  <c r="N8" i="1"/>
  <c r="M8" i="1"/>
  <c r="L8" i="1"/>
  <c r="K8" i="1"/>
  <c r="J8" i="1"/>
  <c r="I8" i="1"/>
  <c r="H8" i="1"/>
  <c r="G8" i="1"/>
  <c r="F8" i="1"/>
  <c r="CK7" i="1"/>
  <c r="CJ7" i="1"/>
  <c r="CI7" i="1"/>
  <c r="CH7" i="1"/>
  <c r="CG7" i="1"/>
  <c r="CF7" i="1"/>
  <c r="CE7" i="1"/>
  <c r="CD7" i="1"/>
  <c r="CC7" i="1"/>
  <c r="CB7" i="1"/>
  <c r="CA7" i="1"/>
  <c r="BZ7" i="1"/>
  <c r="BY7" i="1"/>
  <c r="BX7" i="1"/>
  <c r="BW7" i="1"/>
  <c r="BV7" i="1"/>
  <c r="BU7" i="1"/>
  <c r="AK7" i="1"/>
  <c r="AG7" i="1"/>
  <c r="AC7" i="1"/>
  <c r="Y7" i="1"/>
  <c r="U7" i="1"/>
  <c r="Q7" i="1"/>
  <c r="M7" i="1"/>
  <c r="I7" i="1"/>
  <c r="CK6" i="1"/>
  <c r="CJ6" i="1"/>
  <c r="CI6" i="1"/>
  <c r="CH6" i="1"/>
  <c r="CG6" i="1"/>
  <c r="CF6" i="1"/>
  <c r="CE6" i="1"/>
  <c r="CD6" i="1"/>
  <c r="CC6" i="1"/>
  <c r="CB6" i="1"/>
  <c r="CA6" i="1"/>
  <c r="BZ6" i="1"/>
  <c r="BY6" i="1"/>
  <c r="BX6" i="1"/>
  <c r="BW6" i="1"/>
  <c r="BV6" i="1"/>
  <c r="BU6" i="1"/>
  <c r="AK6" i="1"/>
  <c r="AG6" i="1"/>
  <c r="AC6" i="1"/>
  <c r="Y6" i="1"/>
  <c r="U6" i="1"/>
  <c r="Q6" i="1"/>
  <c r="M6" i="1"/>
  <c r="I6" i="1"/>
  <c r="CK5" i="1"/>
  <c r="CJ5" i="1"/>
  <c r="CI5" i="1"/>
  <c r="CH5" i="1"/>
  <c r="CG5" i="1"/>
  <c r="CF5" i="1"/>
  <c r="CE5" i="1"/>
  <c r="CD5" i="1"/>
  <c r="CC5" i="1"/>
  <c r="CB5" i="1"/>
  <c r="CA5" i="1"/>
  <c r="BZ5" i="1"/>
  <c r="BY5" i="1"/>
  <c r="BX5" i="1"/>
  <c r="BW5" i="1"/>
  <c r="BU5" i="1"/>
  <c r="AL5" i="1"/>
  <c r="AK5" i="1"/>
  <c r="AJ5" i="1"/>
  <c r="AI5" i="1"/>
  <c r="AH5" i="1"/>
  <c r="AG5" i="1"/>
  <c r="AF5" i="1"/>
  <c r="AE5" i="1"/>
  <c r="AD5" i="1"/>
  <c r="AC5" i="1"/>
  <c r="AB5" i="1"/>
  <c r="AA5" i="1"/>
  <c r="Z5" i="1"/>
  <c r="Y5" i="1"/>
  <c r="X5" i="1"/>
  <c r="W5" i="1"/>
  <c r="V5" i="1"/>
  <c r="U5" i="1"/>
  <c r="T5" i="1"/>
  <c r="S5" i="1"/>
  <c r="R5" i="1"/>
  <c r="Q5" i="1"/>
  <c r="P5" i="1"/>
  <c r="O5" i="1"/>
  <c r="N5" i="1"/>
  <c r="M5" i="1"/>
  <c r="L5" i="1"/>
  <c r="K5" i="1"/>
  <c r="J5" i="1"/>
  <c r="I5" i="1"/>
  <c r="H5" i="1"/>
  <c r="G5" i="1"/>
  <c r="F5" i="1"/>
  <c r="CK4" i="1"/>
  <c r="CJ4" i="1"/>
  <c r="CI4" i="1"/>
  <c r="CH4" i="1"/>
  <c r="CG4" i="1"/>
  <c r="CF4" i="1"/>
  <c r="CE4" i="1"/>
  <c r="CD4" i="1"/>
  <c r="CC4" i="1"/>
  <c r="CB4" i="1"/>
  <c r="CA4" i="1"/>
  <c r="BZ4" i="1"/>
  <c r="BY4" i="1"/>
  <c r="BX4" i="1"/>
  <c r="BW4" i="1"/>
  <c r="BV4" i="1"/>
  <c r="BU4" i="1"/>
  <c r="AK4" i="1"/>
  <c r="AG4" i="1"/>
  <c r="AC4" i="1"/>
  <c r="Y4" i="1"/>
  <c r="U4" i="1"/>
  <c r="Q4" i="1"/>
  <c r="M4" i="1"/>
  <c r="I4" i="1"/>
  <c r="CK3" i="1"/>
  <c r="CJ3" i="1"/>
  <c r="CI3" i="1"/>
  <c r="CH3" i="1"/>
  <c r="CG3" i="1"/>
  <c r="CF3" i="1"/>
  <c r="CE3" i="1"/>
  <c r="CD3" i="1"/>
  <c r="CA3" i="1"/>
  <c r="BY3" i="1"/>
  <c r="BX3" i="1"/>
  <c r="BW3" i="1"/>
  <c r="BU3" i="1"/>
  <c r="AK3" i="1"/>
  <c r="AG3" i="1"/>
  <c r="AC3" i="1"/>
  <c r="Y3" i="1"/>
  <c r="U3" i="1"/>
  <c r="Q3" i="1"/>
  <c r="M3" i="1"/>
  <c r="I3" i="1"/>
  <c r="AW56" i="5"/>
  <c r="AV56"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C56" i="5"/>
  <c r="AW55" i="5"/>
  <c r="AV55"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C55" i="5"/>
  <c r="AW54" i="5"/>
  <c r="AV54"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AW53" i="5"/>
  <c r="AV53"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R25" i="5"/>
  <c r="BQ25" i="5"/>
  <c r="BE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BR23" i="5"/>
  <c r="BQ23" i="5"/>
  <c r="BP23" i="5"/>
  <c r="BE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W23" i="5"/>
  <c r="V23" i="5"/>
  <c r="U23" i="5"/>
  <c r="T23" i="5"/>
  <c r="S23" i="5"/>
  <c r="R23" i="5"/>
  <c r="Q23" i="5"/>
  <c r="P23" i="5"/>
  <c r="O23" i="5"/>
  <c r="N23" i="5"/>
  <c r="M23" i="5"/>
  <c r="L23" i="5"/>
  <c r="K23" i="5"/>
  <c r="J23" i="5"/>
  <c r="I23" i="5"/>
  <c r="H23" i="5"/>
  <c r="G23" i="5"/>
  <c r="F23" i="5"/>
  <c r="E23" i="5"/>
  <c r="D23" i="5"/>
  <c r="C23" i="5"/>
  <c r="BR22" i="5"/>
  <c r="BQ22" i="5"/>
  <c r="BP22" i="5"/>
  <c r="BE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R21" i="5"/>
  <c r="BQ21" i="5"/>
  <c r="BP21" i="5"/>
  <c r="BE21" i="5"/>
  <c r="AW21" i="5"/>
  <c r="AV21" i="5"/>
  <c r="AU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R20" i="5"/>
  <c r="BQ20" i="5"/>
  <c r="BP20" i="5"/>
  <c r="BE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R19" i="5"/>
  <c r="BQ19" i="5"/>
  <c r="BP19" i="5"/>
  <c r="BE19" i="5"/>
  <c r="AV19" i="5"/>
  <c r="AU19" i="5"/>
  <c r="AT19" i="5"/>
  <c r="AS19" i="5"/>
  <c r="AR19" i="5"/>
  <c r="AQ19" i="5"/>
  <c r="AP19" i="5"/>
  <c r="AO19" i="5"/>
  <c r="AN19" i="5"/>
  <c r="AM19" i="5"/>
  <c r="AL19" i="5"/>
  <c r="AK19" i="5"/>
  <c r="AJ19" i="5"/>
  <c r="AI19" i="5"/>
  <c r="AH19" i="5"/>
  <c r="AG19" i="5"/>
  <c r="AF19" i="5"/>
  <c r="AE19" i="5"/>
  <c r="AD19" i="5"/>
  <c r="AC19" i="5"/>
  <c r="AB19" i="5"/>
  <c r="AA19" i="5"/>
  <c r="Z19" i="5"/>
  <c r="Y19" i="5"/>
  <c r="W19" i="5"/>
  <c r="V19" i="5"/>
  <c r="U19" i="5"/>
  <c r="T19" i="5"/>
  <c r="S19" i="5"/>
  <c r="R19" i="5"/>
  <c r="Q19" i="5"/>
  <c r="P19" i="5"/>
  <c r="O19" i="5"/>
  <c r="N19" i="5"/>
  <c r="M19" i="5"/>
  <c r="L19" i="5"/>
  <c r="K19" i="5"/>
  <c r="J19" i="5"/>
  <c r="I19" i="5"/>
  <c r="H19" i="5"/>
  <c r="G19" i="5"/>
  <c r="F19" i="5"/>
  <c r="E19" i="5"/>
  <c r="D19" i="5"/>
  <c r="C19" i="5"/>
  <c r="BR18" i="5"/>
  <c r="BQ18" i="5"/>
  <c r="BP18" i="5"/>
  <c r="BE18" i="5"/>
  <c r="AW18" i="5"/>
  <c r="AV18" i="5"/>
  <c r="AU18" i="5"/>
  <c r="AT18" i="5"/>
  <c r="AR18" i="5"/>
  <c r="AQ18" i="5"/>
  <c r="AP18" i="5"/>
  <c r="AO18" i="5"/>
  <c r="AN18" i="5"/>
  <c r="AM18" i="5"/>
  <c r="AL18" i="5"/>
  <c r="AK18" i="5"/>
  <c r="AJ18" i="5"/>
  <c r="AI18" i="5"/>
  <c r="AH18" i="5"/>
  <c r="AG18" i="5"/>
  <c r="AF18" i="5"/>
  <c r="AE18" i="5"/>
  <c r="AD18" i="5"/>
  <c r="AC18" i="5"/>
  <c r="AB18" i="5"/>
  <c r="AA18" i="5"/>
  <c r="Z18" i="5"/>
  <c r="Y18" i="5"/>
  <c r="W18" i="5"/>
  <c r="V18" i="5"/>
  <c r="U18" i="5"/>
  <c r="T18" i="5"/>
  <c r="S18" i="5"/>
  <c r="R18" i="5"/>
  <c r="Q18" i="5"/>
  <c r="P18" i="5"/>
  <c r="O18" i="5"/>
  <c r="N18" i="5"/>
  <c r="M18" i="5"/>
  <c r="L18" i="5"/>
  <c r="K18" i="5"/>
  <c r="J18" i="5"/>
  <c r="I18" i="5"/>
  <c r="H18" i="5"/>
  <c r="G18" i="5"/>
  <c r="F18" i="5"/>
  <c r="E18" i="5"/>
  <c r="D18" i="5"/>
  <c r="C18" i="5"/>
  <c r="BR14" i="5"/>
  <c r="BQ14" i="5"/>
  <c r="BP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R14" i="5"/>
  <c r="Q14" i="5"/>
  <c r="P14" i="5"/>
  <c r="O14" i="5"/>
  <c r="N14" i="5"/>
  <c r="M14" i="5"/>
  <c r="L14" i="5"/>
  <c r="K14" i="5"/>
  <c r="J14" i="5"/>
  <c r="I14" i="5"/>
  <c r="H14" i="5"/>
  <c r="G14" i="5"/>
  <c r="F14" i="5"/>
  <c r="E14" i="5"/>
  <c r="D14" i="5"/>
  <c r="C14" i="5"/>
  <c r="BR13" i="5"/>
  <c r="BQ13" i="5"/>
  <c r="BP13" i="5"/>
  <c r="AT13" i="5"/>
  <c r="AP13" i="5"/>
  <c r="AL13" i="5"/>
  <c r="AH13" i="5"/>
  <c r="AD13" i="5"/>
  <c r="Z13" i="5"/>
  <c r="V13" i="5"/>
  <c r="R13" i="5"/>
  <c r="N13" i="5"/>
  <c r="J13" i="5"/>
  <c r="F13" i="5"/>
  <c r="BR12" i="5"/>
  <c r="BQ12" i="5"/>
  <c r="BP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R12" i="5"/>
  <c r="Q12" i="5"/>
  <c r="P12" i="5"/>
  <c r="O12" i="5"/>
  <c r="N12" i="5"/>
  <c r="M12" i="5"/>
  <c r="L12" i="5"/>
  <c r="K12" i="5"/>
  <c r="J12" i="5"/>
  <c r="I12" i="5"/>
  <c r="H12" i="5"/>
  <c r="G12" i="5"/>
  <c r="F12" i="5"/>
  <c r="E12" i="5"/>
  <c r="D12" i="5"/>
  <c r="C12" i="5"/>
  <c r="BR11" i="5"/>
  <c r="BQ11" i="5"/>
  <c r="BP11" i="5"/>
  <c r="AT11" i="5"/>
  <c r="AP11" i="5"/>
  <c r="AL11" i="5"/>
  <c r="AH11" i="5"/>
  <c r="AD11" i="5"/>
  <c r="Z11" i="5"/>
  <c r="V11" i="5"/>
  <c r="R11" i="5"/>
  <c r="N11" i="5"/>
  <c r="J11" i="5"/>
  <c r="H11" i="5"/>
  <c r="F11" i="5"/>
  <c r="BR10" i="5"/>
  <c r="BQ10" i="5"/>
  <c r="BP10" i="5"/>
  <c r="AW10" i="5"/>
  <c r="AV10" i="5"/>
  <c r="AU10" i="5"/>
  <c r="AT10" i="5"/>
  <c r="AS10" i="5"/>
  <c r="AR10" i="5"/>
  <c r="AQ10" i="5"/>
  <c r="AP10" i="5"/>
  <c r="AO10" i="5"/>
  <c r="AN10" i="5"/>
  <c r="AM10" i="5"/>
  <c r="AL10" i="5"/>
  <c r="AK10" i="5"/>
  <c r="AJ10" i="5"/>
  <c r="AI10" i="5"/>
  <c r="AH10" i="5"/>
  <c r="AG10" i="5"/>
  <c r="AF10" i="5"/>
  <c r="AE10" i="5"/>
  <c r="AD10" i="5"/>
  <c r="AC10" i="5"/>
  <c r="AB10" i="5"/>
  <c r="AA10" i="5"/>
  <c r="Z10" i="5"/>
  <c r="Y10" i="5"/>
  <c r="X10" i="5"/>
  <c r="W10" i="5"/>
  <c r="V10" i="5"/>
  <c r="U10" i="5"/>
  <c r="T10" i="5"/>
  <c r="S10" i="5"/>
  <c r="R10" i="5"/>
  <c r="Q10" i="5"/>
  <c r="P10" i="5"/>
  <c r="O10" i="5"/>
  <c r="N10" i="5"/>
  <c r="M10" i="5"/>
  <c r="L10" i="5"/>
  <c r="K10" i="5"/>
  <c r="J10" i="5"/>
  <c r="I10" i="5"/>
  <c r="H10" i="5"/>
  <c r="G10" i="5"/>
  <c r="F10" i="5"/>
  <c r="E10" i="5"/>
  <c r="D10" i="5"/>
  <c r="C10" i="5"/>
  <c r="BR9" i="5"/>
  <c r="BQ9" i="5"/>
  <c r="BP9" i="5"/>
  <c r="AW9" i="5"/>
  <c r="AV9" i="5"/>
  <c r="AU9" i="5"/>
  <c r="AT9" i="5"/>
  <c r="AS9" i="5"/>
  <c r="AR9" i="5"/>
  <c r="AQ9" i="5"/>
  <c r="AP9" i="5"/>
  <c r="AO9" i="5"/>
  <c r="AN9" i="5"/>
  <c r="AM9" i="5"/>
  <c r="AL9" i="5"/>
  <c r="AK9" i="5"/>
  <c r="AJ9" i="5"/>
  <c r="AI9" i="5"/>
  <c r="AH9" i="5"/>
  <c r="AG9" i="5"/>
  <c r="AF9" i="5"/>
  <c r="AE9" i="5"/>
  <c r="AD9" i="5"/>
  <c r="AC9" i="5"/>
  <c r="AB9" i="5"/>
  <c r="AA9" i="5"/>
  <c r="Z9" i="5"/>
  <c r="Y9" i="5"/>
  <c r="X9" i="5"/>
  <c r="W9" i="5"/>
  <c r="V9" i="5"/>
  <c r="U9" i="5"/>
  <c r="T9" i="5"/>
  <c r="S9" i="5"/>
  <c r="R9" i="5"/>
  <c r="Q9" i="5"/>
  <c r="P9" i="5"/>
  <c r="O9" i="5"/>
  <c r="N9" i="5"/>
  <c r="M9" i="5"/>
  <c r="L9" i="5"/>
  <c r="K9" i="5"/>
  <c r="J9" i="5"/>
  <c r="I9" i="5"/>
  <c r="H9" i="5"/>
  <c r="G9" i="5"/>
  <c r="F9" i="5"/>
  <c r="E9" i="5"/>
  <c r="D9" i="5"/>
  <c r="C9" i="5"/>
  <c r="BR8" i="5"/>
  <c r="BQ8" i="5"/>
  <c r="BP8" i="5"/>
  <c r="AT8" i="5"/>
  <c r="AP8" i="5"/>
  <c r="AL8" i="5"/>
  <c r="AH8" i="5"/>
  <c r="AD8" i="5"/>
  <c r="Z8" i="5"/>
  <c r="V8" i="5"/>
  <c r="R8" i="5"/>
  <c r="N8" i="5"/>
  <c r="M8" i="5"/>
  <c r="J8" i="5"/>
  <c r="F8" i="5"/>
  <c r="BR7" i="5"/>
  <c r="BQ7" i="5"/>
  <c r="BP7" i="5"/>
  <c r="AT7" i="5"/>
  <c r="AP7" i="5"/>
  <c r="AL7" i="5"/>
  <c r="AH7" i="5"/>
  <c r="AD7" i="5"/>
  <c r="Z7" i="5"/>
  <c r="V7" i="5"/>
  <c r="R7" i="5"/>
  <c r="N7" i="5"/>
  <c r="J7" i="5"/>
  <c r="F7" i="5"/>
  <c r="BR6" i="5"/>
  <c r="BQ6" i="5"/>
  <c r="BP6" i="5"/>
  <c r="AT6" i="5"/>
  <c r="AP6" i="5"/>
  <c r="AL6" i="5"/>
  <c r="AH6" i="5"/>
  <c r="AD6" i="5"/>
  <c r="Z6" i="5"/>
  <c r="V6" i="5"/>
  <c r="R6" i="5"/>
  <c r="N6" i="5"/>
  <c r="J6" i="5"/>
  <c r="F6" i="5"/>
  <c r="BR5" i="5"/>
  <c r="BQ5" i="5"/>
  <c r="BP5" i="5"/>
  <c r="AW5" i="5"/>
  <c r="AV5" i="5"/>
  <c r="AU5" i="5"/>
  <c r="AT5" i="5"/>
  <c r="AS5" i="5"/>
  <c r="AR5" i="5"/>
  <c r="AQ5" i="5"/>
  <c r="AP5" i="5"/>
  <c r="AO5" i="5"/>
  <c r="AN5" i="5"/>
  <c r="AM5" i="5"/>
  <c r="AL5" i="5"/>
  <c r="AK5" i="5"/>
  <c r="AJ5" i="5"/>
  <c r="AI5" i="5"/>
  <c r="AH5" i="5"/>
  <c r="AG5" i="5"/>
  <c r="AF5" i="5"/>
  <c r="AE5" i="5"/>
  <c r="AD5" i="5"/>
  <c r="AC5" i="5"/>
  <c r="AB5" i="5"/>
  <c r="AA5" i="5"/>
  <c r="Z5" i="5"/>
  <c r="Y5" i="5"/>
  <c r="X5" i="5"/>
  <c r="W5" i="5"/>
  <c r="V5" i="5"/>
  <c r="U5" i="5"/>
  <c r="T5" i="5"/>
  <c r="S5" i="5"/>
  <c r="R5" i="5"/>
  <c r="Q5" i="5"/>
  <c r="P5" i="5"/>
  <c r="O5" i="5"/>
  <c r="N5" i="5"/>
  <c r="M5" i="5"/>
  <c r="L5" i="5"/>
  <c r="K5" i="5"/>
  <c r="J5" i="5"/>
  <c r="I5" i="5"/>
  <c r="H5" i="5"/>
  <c r="G5" i="5"/>
  <c r="F5" i="5"/>
  <c r="E5" i="5"/>
  <c r="D5" i="5"/>
  <c r="C5" i="5"/>
  <c r="BR4" i="5"/>
  <c r="BQ4" i="5"/>
  <c r="BP4" i="5"/>
  <c r="AT4" i="5"/>
  <c r="AP4" i="5"/>
  <c r="AL4" i="5"/>
  <c r="AH4" i="5"/>
  <c r="AD4" i="5"/>
  <c r="Z4" i="5"/>
  <c r="V4" i="5"/>
  <c r="R4" i="5"/>
  <c r="N4" i="5"/>
  <c r="J4" i="5"/>
  <c r="F4" i="5"/>
  <c r="BR3" i="5"/>
  <c r="BQ3" i="5"/>
  <c r="BP3" i="5"/>
  <c r="AT3" i="5"/>
  <c r="AP3" i="5"/>
  <c r="AL3" i="5"/>
  <c r="AH3" i="5"/>
  <c r="AD3" i="5"/>
  <c r="Z3" i="5"/>
  <c r="V3" i="5"/>
  <c r="R3" i="5"/>
  <c r="N3" i="5"/>
  <c r="J3" i="5"/>
  <c r="F3" i="5"/>
  <c r="BW22" i="1" l="1"/>
  <c r="BV22" i="1"/>
  <c r="BV19" i="1"/>
  <c r="BV5" i="1"/>
  <c r="D504" i="9"/>
  <c r="I2" i="9" s="1"/>
  <c r="BV17" i="1" l="1"/>
  <c r="BV9" i="1"/>
  <c r="BV11" i="1" s="1"/>
  <c r="I320" i="9"/>
  <c r="I306" i="9"/>
  <c r="I291" i="9"/>
  <c r="I286" i="9"/>
  <c r="I283" i="9"/>
  <c r="I274" i="9"/>
  <c r="I270" i="9"/>
  <c r="I266" i="9"/>
  <c r="I247" i="9"/>
  <c r="I228" i="9"/>
  <c r="I217" i="9"/>
  <c r="I195" i="9"/>
  <c r="I188" i="9"/>
  <c r="I180" i="9"/>
  <c r="I171" i="9"/>
  <c r="I160" i="9"/>
  <c r="I156" i="9"/>
  <c r="I151" i="9"/>
  <c r="I145" i="9"/>
  <c r="I140" i="9"/>
  <c r="I135" i="9"/>
  <c r="I131" i="9"/>
  <c r="I126" i="9"/>
  <c r="I122" i="9"/>
  <c r="I119" i="9"/>
  <c r="I115" i="9"/>
  <c r="I111" i="9"/>
  <c r="I107" i="9"/>
  <c r="I103" i="9"/>
  <c r="I98" i="9"/>
  <c r="I94" i="9"/>
  <c r="I90" i="9"/>
  <c r="I86" i="9"/>
  <c r="I82" i="9"/>
  <c r="I78" i="9"/>
  <c r="I74" i="9"/>
  <c r="I70" i="9"/>
  <c r="I66" i="9"/>
  <c r="I61" i="9"/>
  <c r="I58" i="9"/>
  <c r="I55" i="9"/>
  <c r="I51" i="9"/>
  <c r="I48" i="9"/>
  <c r="I45" i="9"/>
  <c r="I41" i="9"/>
  <c r="I29" i="9"/>
  <c r="I352" i="9"/>
  <c r="I332" i="9"/>
  <c r="I325" i="9"/>
  <c r="I312" i="9"/>
  <c r="I309" i="9"/>
  <c r="I296" i="9"/>
  <c r="I293" i="9"/>
  <c r="I284" i="9"/>
  <c r="I280" i="9"/>
  <c r="I260" i="9"/>
  <c r="I243" i="9"/>
  <c r="I234" i="9"/>
  <c r="I224" i="9"/>
  <c r="I209" i="9"/>
  <c r="I205" i="9"/>
  <c r="I199" i="9"/>
  <c r="I192" i="9"/>
  <c r="I179" i="9"/>
  <c r="I174" i="9"/>
  <c r="I168" i="9"/>
  <c r="I164" i="9"/>
  <c r="I158" i="9"/>
  <c r="I153" i="9"/>
  <c r="I148" i="9"/>
  <c r="I141" i="9"/>
  <c r="I137" i="9"/>
  <c r="I130" i="9"/>
  <c r="I71" i="9"/>
  <c r="I341" i="9"/>
  <c r="I339" i="9"/>
  <c r="I317" i="9"/>
  <c r="I303" i="9"/>
  <c r="I289" i="9"/>
  <c r="I273" i="9"/>
  <c r="I253" i="9"/>
  <c r="I246" i="9"/>
  <c r="I222" i="9"/>
  <c r="I212" i="9"/>
  <c r="I197" i="9"/>
  <c r="I194" i="9"/>
  <c r="I166" i="9"/>
  <c r="I161" i="9"/>
  <c r="I155" i="9"/>
  <c r="I150" i="9"/>
  <c r="I147" i="9"/>
  <c r="I144" i="9"/>
  <c r="I139" i="9"/>
  <c r="I134" i="9"/>
  <c r="I128" i="9"/>
  <c r="I125" i="9"/>
  <c r="I121" i="9"/>
  <c r="I117" i="9"/>
  <c r="I114" i="9"/>
  <c r="I110" i="9"/>
  <c r="I106" i="9"/>
  <c r="I104" i="9"/>
  <c r="I100" i="9"/>
  <c r="I96" i="9"/>
  <c r="I92" i="9"/>
  <c r="I88" i="9"/>
  <c r="I84" i="9"/>
  <c r="I80" i="9"/>
  <c r="I75" i="9"/>
  <c r="I72" i="9"/>
  <c r="I68" i="9"/>
  <c r="I64" i="9"/>
  <c r="I47" i="9"/>
  <c r="I346" i="9"/>
  <c r="I337" i="9"/>
  <c r="I328" i="9"/>
  <c r="I311" i="9"/>
  <c r="I262" i="9"/>
  <c r="I256" i="9"/>
  <c r="I248" i="9"/>
  <c r="I236" i="9"/>
  <c r="I232" i="9"/>
  <c r="I208" i="9"/>
  <c r="I198" i="9"/>
  <c r="I189" i="9"/>
  <c r="I184" i="9"/>
  <c r="I177" i="9"/>
  <c r="I159" i="9"/>
  <c r="I351" i="9"/>
  <c r="I336" i="9"/>
  <c r="I329" i="9"/>
  <c r="I215" i="9"/>
  <c r="I210" i="9"/>
  <c r="I201" i="9"/>
  <c r="I178" i="9"/>
  <c r="I343" i="9"/>
  <c r="I323" i="9"/>
  <c r="I314" i="9"/>
  <c r="I265" i="9"/>
  <c r="I240" i="9"/>
  <c r="I229" i="9"/>
  <c r="I218" i="9"/>
  <c r="I204" i="9"/>
  <c r="I183" i="9"/>
  <c r="I345" i="9"/>
  <c r="I330" i="9"/>
  <c r="I327" i="9"/>
  <c r="I322" i="9"/>
  <c r="I308" i="9"/>
  <c r="I279" i="9"/>
  <c r="I261" i="9"/>
  <c r="I257" i="9"/>
  <c r="I251" i="9"/>
  <c r="I225" i="9"/>
  <c r="I214" i="9"/>
  <c r="I203" i="9"/>
  <c r="I173" i="9"/>
  <c r="I315" i="9"/>
  <c r="I305" i="9"/>
  <c r="I295" i="9"/>
  <c r="I292" i="9"/>
  <c r="I287" i="9"/>
  <c r="I272" i="9"/>
  <c r="I254" i="9"/>
  <c r="I245" i="9"/>
  <c r="I239" i="9"/>
  <c r="I223" i="9"/>
  <c r="I165" i="9"/>
  <c r="I143" i="9"/>
  <c r="I503" i="9"/>
  <c r="I502" i="9"/>
  <c r="I501" i="9"/>
  <c r="I500" i="9"/>
  <c r="I499" i="9"/>
  <c r="I498" i="9"/>
  <c r="I497" i="9"/>
  <c r="I496" i="9"/>
  <c r="I495" i="9"/>
  <c r="I494" i="9"/>
  <c r="I493" i="9"/>
  <c r="I492" i="9"/>
  <c r="I491" i="9"/>
  <c r="I490" i="9"/>
  <c r="I489" i="9"/>
  <c r="I488" i="9"/>
  <c r="I487" i="9"/>
  <c r="I486" i="9"/>
  <c r="I485" i="9"/>
  <c r="I484" i="9"/>
  <c r="I483" i="9"/>
  <c r="I482" i="9"/>
  <c r="I481" i="9"/>
  <c r="I480" i="9"/>
  <c r="I479" i="9"/>
  <c r="I478" i="9"/>
  <c r="I477" i="9"/>
  <c r="I476" i="9"/>
  <c r="I475" i="9"/>
  <c r="I474" i="9"/>
  <c r="I473" i="9"/>
  <c r="I472" i="9"/>
  <c r="I471" i="9"/>
  <c r="I470" i="9"/>
  <c r="I469" i="9"/>
  <c r="I468" i="9"/>
  <c r="I467" i="9"/>
  <c r="I466" i="9"/>
  <c r="I465" i="9"/>
  <c r="I464" i="9"/>
  <c r="I463" i="9"/>
  <c r="I462" i="9"/>
  <c r="I461" i="9"/>
  <c r="I460" i="9"/>
  <c r="I459" i="9"/>
  <c r="I458" i="9"/>
  <c r="I457" i="9"/>
  <c r="I456" i="9"/>
  <c r="I455" i="9"/>
  <c r="I454" i="9"/>
  <c r="I453" i="9"/>
  <c r="I452" i="9"/>
  <c r="I451" i="9"/>
  <c r="I450" i="9"/>
  <c r="I449" i="9"/>
  <c r="I448" i="9"/>
  <c r="I447" i="9"/>
  <c r="I446" i="9"/>
  <c r="I445" i="9"/>
  <c r="I444" i="9"/>
  <c r="I443" i="9"/>
  <c r="I442" i="9"/>
  <c r="I441" i="9"/>
  <c r="I440" i="9"/>
  <c r="I439" i="9"/>
  <c r="I438" i="9"/>
  <c r="I437" i="9"/>
  <c r="I436" i="9"/>
  <c r="I435" i="9"/>
  <c r="I434" i="9"/>
  <c r="I433" i="9"/>
  <c r="I432" i="9"/>
  <c r="I431" i="9"/>
  <c r="I430" i="9"/>
  <c r="I429" i="9"/>
  <c r="I428" i="9"/>
  <c r="I427" i="9"/>
  <c r="I426" i="9"/>
  <c r="I425" i="9"/>
  <c r="I424" i="9"/>
  <c r="I423" i="9"/>
  <c r="I422" i="9"/>
  <c r="I421" i="9"/>
  <c r="I420" i="9"/>
  <c r="I419" i="9"/>
  <c r="I418" i="9"/>
  <c r="I417" i="9"/>
  <c r="I416" i="9"/>
  <c r="I415" i="9"/>
  <c r="I414" i="9"/>
  <c r="I413" i="9"/>
  <c r="I412" i="9"/>
  <c r="I411" i="9"/>
  <c r="I410" i="9"/>
  <c r="I409" i="9"/>
  <c r="I408" i="9"/>
  <c r="I407" i="9"/>
  <c r="I406" i="9"/>
  <c r="I405" i="9"/>
  <c r="I404" i="9"/>
  <c r="I403" i="9"/>
  <c r="I402" i="9"/>
  <c r="I401" i="9"/>
  <c r="I400" i="9"/>
  <c r="I399" i="9"/>
  <c r="I398" i="9"/>
  <c r="I397" i="9"/>
  <c r="I396" i="9"/>
  <c r="I395" i="9"/>
  <c r="I394" i="9"/>
  <c r="I393" i="9"/>
  <c r="I392" i="9"/>
  <c r="I391" i="9"/>
  <c r="I390" i="9"/>
  <c r="I389" i="9"/>
  <c r="I388" i="9"/>
  <c r="I387" i="9"/>
  <c r="I386" i="9"/>
  <c r="I385" i="9"/>
  <c r="I384" i="9"/>
  <c r="I383" i="9"/>
  <c r="I382" i="9"/>
  <c r="I381" i="9"/>
  <c r="I380" i="9"/>
  <c r="I379" i="9"/>
  <c r="I378" i="9"/>
  <c r="I377" i="9"/>
  <c r="I376" i="9"/>
  <c r="I375" i="9"/>
  <c r="I374" i="9"/>
  <c r="I373" i="9"/>
  <c r="I372" i="9"/>
  <c r="I371" i="9"/>
  <c r="I370" i="9"/>
  <c r="I369" i="9"/>
  <c r="I368" i="9"/>
  <c r="I367" i="9"/>
  <c r="I366" i="9"/>
  <c r="I365" i="9"/>
  <c r="I364" i="9"/>
  <c r="I363" i="9"/>
  <c r="I362" i="9"/>
  <c r="I361" i="9"/>
  <c r="I360" i="9"/>
  <c r="I359" i="9"/>
  <c r="I358" i="9"/>
  <c r="I357" i="9"/>
  <c r="I356" i="9"/>
  <c r="I355" i="9"/>
  <c r="I354" i="9"/>
  <c r="I353" i="9"/>
  <c r="I350" i="9"/>
  <c r="I348" i="9"/>
  <c r="I335" i="9"/>
  <c r="I331" i="9"/>
  <c r="I326" i="9"/>
  <c r="I321" i="9"/>
  <c r="I307" i="9"/>
  <c r="I302" i="9"/>
  <c r="I299" i="9"/>
  <c r="I281" i="9"/>
  <c r="I269" i="9"/>
  <c r="I258" i="9"/>
  <c r="I250" i="9"/>
  <c r="I235" i="9"/>
  <c r="I231" i="9"/>
  <c r="I202" i="9"/>
  <c r="I191" i="9"/>
  <c r="I185" i="9"/>
  <c r="I175" i="9"/>
  <c r="I142" i="9"/>
  <c r="I334" i="9"/>
  <c r="I310" i="9"/>
  <c r="I298" i="9"/>
  <c r="I294" i="9"/>
  <c r="I268" i="9"/>
  <c r="I259" i="9"/>
  <c r="I249" i="9"/>
  <c r="I226" i="9"/>
  <c r="I213" i="9"/>
  <c r="I207" i="9"/>
  <c r="I196" i="9"/>
  <c r="I186" i="9"/>
  <c r="I157" i="9"/>
  <c r="I347" i="9"/>
  <c r="I333" i="9"/>
  <c r="I297" i="9"/>
  <c r="I237" i="9"/>
  <c r="I233" i="9"/>
  <c r="I206" i="9"/>
  <c r="I200" i="9"/>
  <c r="I190" i="9"/>
  <c r="I176" i="9"/>
  <c r="I169" i="9"/>
  <c r="I129" i="9"/>
  <c r="I349" i="9"/>
  <c r="I342" i="9"/>
  <c r="I338" i="9"/>
  <c r="I318" i="9"/>
  <c r="I301" i="9"/>
  <c r="I290" i="9"/>
  <c r="I282" i="9"/>
  <c r="I278" i="9"/>
  <c r="I271" i="9"/>
  <c r="I267" i="9"/>
  <c r="I252" i="9"/>
  <c r="I244" i="9"/>
  <c r="I238" i="9"/>
  <c r="I221" i="9"/>
  <c r="I193" i="9"/>
  <c r="I187" i="9"/>
  <c r="I182" i="9"/>
  <c r="I167" i="9"/>
  <c r="I162" i="9"/>
  <c r="I154" i="9"/>
  <c r="I149" i="9"/>
  <c r="I133" i="9"/>
  <c r="I124" i="9"/>
  <c r="I118" i="9"/>
  <c r="I116" i="9"/>
  <c r="I112" i="9"/>
  <c r="I108" i="9"/>
  <c r="I102" i="9"/>
  <c r="I99" i="9"/>
  <c r="I95" i="9"/>
  <c r="I91" i="9"/>
  <c r="I87" i="9"/>
  <c r="I83" i="9"/>
  <c r="I79" i="9"/>
  <c r="I76" i="9"/>
  <c r="I69" i="9"/>
  <c r="I65" i="9"/>
  <c r="I62" i="9"/>
  <c r="I59" i="9"/>
  <c r="I57" i="9"/>
  <c r="I54" i="9"/>
  <c r="I52" i="9"/>
  <c r="I50" i="9"/>
  <c r="I46" i="9"/>
  <c r="I44" i="9"/>
  <c r="I42" i="9"/>
  <c r="I39" i="9"/>
  <c r="I37" i="9"/>
  <c r="I35" i="9"/>
  <c r="I34" i="9"/>
  <c r="I32" i="9"/>
  <c r="I31" i="9"/>
  <c r="I28" i="9"/>
  <c r="I27" i="9"/>
  <c r="I25" i="9"/>
  <c r="I24" i="9"/>
  <c r="I23" i="9"/>
  <c r="I22" i="9"/>
  <c r="I21" i="9"/>
  <c r="I20" i="9"/>
  <c r="I19" i="9"/>
  <c r="I18" i="9"/>
  <c r="I17" i="9"/>
  <c r="I16" i="9"/>
  <c r="I15" i="9"/>
  <c r="I14" i="9"/>
  <c r="I13" i="9"/>
  <c r="I12" i="9"/>
  <c r="I10" i="9"/>
  <c r="I9" i="9"/>
  <c r="I8" i="9"/>
  <c r="I7" i="9"/>
  <c r="I6" i="9"/>
  <c r="I5" i="9"/>
  <c r="I4" i="9"/>
  <c r="I3" i="9"/>
  <c r="I344" i="9"/>
  <c r="I340" i="9"/>
  <c r="I324" i="9"/>
  <c r="I319" i="9"/>
  <c r="I313" i="9"/>
  <c r="I304" i="9"/>
  <c r="I288" i="9"/>
  <c r="I263" i="9"/>
  <c r="I242" i="9"/>
  <c r="I230" i="9"/>
  <c r="I219" i="9"/>
  <c r="I216" i="9"/>
  <c r="I211" i="9"/>
  <c r="I170" i="9"/>
  <c r="I316" i="9"/>
  <c r="I300" i="9"/>
  <c r="I285" i="9"/>
  <c r="I264" i="9"/>
  <c r="I255" i="9"/>
  <c r="I241" i="9"/>
  <c r="I227" i="9"/>
  <c r="I220" i="9"/>
  <c r="I181" i="9"/>
  <c r="I172" i="9"/>
  <c r="I163" i="9"/>
  <c r="I152" i="9"/>
  <c r="I146" i="9"/>
  <c r="I138" i="9"/>
  <c r="I136" i="9"/>
  <c r="I132" i="9"/>
  <c r="I127" i="9"/>
  <c r="I123" i="9"/>
  <c r="I120" i="9"/>
  <c r="I113" i="9"/>
  <c r="I109" i="9"/>
  <c r="I105" i="9"/>
  <c r="I101" i="9"/>
  <c r="I97" i="9"/>
  <c r="I93" i="9"/>
  <c r="I89" i="9"/>
  <c r="I85" i="9"/>
  <c r="I81" i="9"/>
  <c r="I77" i="9"/>
  <c r="I73" i="9"/>
  <c r="I67" i="9"/>
  <c r="I63" i="9"/>
  <c r="I60" i="9"/>
  <c r="I56" i="9"/>
  <c r="I53" i="9"/>
  <c r="I49" i="9"/>
  <c r="I43" i="9"/>
  <c r="I40" i="9"/>
  <c r="I38" i="9"/>
  <c r="I36" i="9"/>
  <c r="I33" i="9"/>
  <c r="I30" i="9"/>
  <c r="I26" i="9"/>
  <c r="I11" i="9"/>
  <c r="I277" i="9"/>
  <c r="I276" i="9"/>
  <c r="I275" i="9"/>
  <c r="BV1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A23926-8F83-4540-9059-EB87938EA50D}"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2">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9"/>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58"/>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3"/>
        </ext>
      </extLst>
    </bk>
    <bk>
      <extLst>
        <ext uri="{3e2802c4-a4d2-4d8b-9148-e3be6c30e623}">
          <xlrd:rvb i="706"/>
        </ext>
      </extLst>
    </bk>
    <bk>
      <extLst>
        <ext uri="{3e2802c4-a4d2-4d8b-9148-e3be6c30e623}">
          <xlrd:rvb i="709"/>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1"/>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6"/>
        </ext>
      </extLst>
    </bk>
    <bk>
      <extLst>
        <ext uri="{3e2802c4-a4d2-4d8b-9148-e3be6c30e623}">
          <xlrd:rvb i="739"/>
        </ext>
      </extLst>
    </bk>
    <bk>
      <extLst>
        <ext uri="{3e2802c4-a4d2-4d8b-9148-e3be6c30e623}">
          <xlrd:rvb i="742"/>
        </ext>
      </extLst>
    </bk>
    <bk>
      <extLst>
        <ext uri="{3e2802c4-a4d2-4d8b-9148-e3be6c30e623}">
          <xlrd:rvb i="745"/>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2"/>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08"/>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0"/>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2"/>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10"/>
        </ext>
      </extLst>
    </bk>
    <bk>
      <extLst>
        <ext uri="{3e2802c4-a4d2-4d8b-9148-e3be6c30e623}">
          <xlrd:rvb i="1013"/>
        </ext>
      </extLst>
    </bk>
    <bk>
      <extLst>
        <ext uri="{3e2802c4-a4d2-4d8b-9148-e3be6c30e623}">
          <xlrd:rvb i="1016"/>
        </ext>
      </extLst>
    </bk>
    <bk>
      <extLst>
        <ext uri="{3e2802c4-a4d2-4d8b-9148-e3be6c30e623}">
          <xlrd:rvb i="1019"/>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4"/>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48"/>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1"/>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4"/>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499"/>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2"/>
        </ext>
      </extLst>
    </bk>
    <bk>
      <extLst>
        <ext uri="{3e2802c4-a4d2-4d8b-9148-e3be6c30e623}">
          <xlrd:rvb i="1525"/>
        </ext>
      </extLst>
    </bk>
    <bk>
      <extLst>
        <ext uri="{3e2802c4-a4d2-4d8b-9148-e3be6c30e623}">
          <xlrd:rvb i="1528"/>
        </ext>
      </extLst>
    </bk>
    <bk>
      <extLst>
        <ext uri="{3e2802c4-a4d2-4d8b-9148-e3be6c30e623}">
          <xlrd:rvb i="1531"/>
        </ext>
      </extLst>
    </bk>
    <bk>
      <extLst>
        <ext uri="{3e2802c4-a4d2-4d8b-9148-e3be6c30e623}">
          <xlrd:rvb i="1534"/>
        </ext>
      </extLst>
    </bk>
    <bk>
      <extLst>
        <ext uri="{3e2802c4-a4d2-4d8b-9148-e3be6c30e623}">
          <xlrd:rvb i="1537"/>
        </ext>
      </extLst>
    </bk>
    <bk>
      <extLst>
        <ext uri="{3e2802c4-a4d2-4d8b-9148-e3be6c30e623}">
          <xlrd:rvb i="1540"/>
        </ext>
      </extLst>
    </bk>
    <bk>
      <extLst>
        <ext uri="{3e2802c4-a4d2-4d8b-9148-e3be6c30e623}">
          <xlrd:rvb i="1543"/>
        </ext>
      </extLst>
    </bk>
    <bk>
      <extLst>
        <ext uri="{3e2802c4-a4d2-4d8b-9148-e3be6c30e623}">
          <xlrd:rvb i="1546"/>
        </ext>
      </extLst>
    </bk>
    <bk>
      <extLst>
        <ext uri="{3e2802c4-a4d2-4d8b-9148-e3be6c30e623}">
          <xlrd:rvb i="1549"/>
        </ext>
      </extLst>
    </bk>
    <bk>
      <extLst>
        <ext uri="{3e2802c4-a4d2-4d8b-9148-e3be6c30e623}">
          <xlrd:rvb i="1552"/>
        </ext>
      </extLst>
    </bk>
    <bk>
      <extLst>
        <ext uri="{3e2802c4-a4d2-4d8b-9148-e3be6c30e623}">
          <xlrd:rvb i="1555"/>
        </ext>
      </extLst>
    </bk>
    <bk>
      <extLst>
        <ext uri="{3e2802c4-a4d2-4d8b-9148-e3be6c30e623}">
          <xlrd:rvb i="1558"/>
        </ext>
      </extLst>
    </bk>
    <bk>
      <extLst>
        <ext uri="{3e2802c4-a4d2-4d8b-9148-e3be6c30e623}">
          <xlrd:rvb i="1561"/>
        </ext>
      </extLst>
    </bk>
    <bk>
      <extLst>
        <ext uri="{3e2802c4-a4d2-4d8b-9148-e3be6c30e623}">
          <xlrd:rvb i="1567"/>
        </ext>
      </extLst>
    </bk>
    <bk>
      <extLst>
        <ext uri="{3e2802c4-a4d2-4d8b-9148-e3be6c30e623}">
          <xlrd:rvb i="1570"/>
        </ext>
      </extLst>
    </bk>
  </futureMetadata>
  <cellMetadata count="1">
    <bk>
      <rc t="1" v="0"/>
    </bk>
  </cellMetadata>
  <valueMetadata count="50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<sst xmlns="http://schemas.openxmlformats.org/spreadsheetml/2006/main" count="160" uniqueCount="115">
  <si>
    <t>Revenue</t>
  </si>
  <si>
    <t>COGS</t>
  </si>
  <si>
    <t>Gross Profit</t>
  </si>
  <si>
    <t>R&amp;D</t>
  </si>
  <si>
    <t>G&amp;A</t>
  </si>
  <si>
    <t>Operating expeneses</t>
  </si>
  <si>
    <t>Opertaing Proft</t>
  </si>
  <si>
    <t>Pretax Income</t>
  </si>
  <si>
    <t>Taxes</t>
  </si>
  <si>
    <t>Net Income</t>
  </si>
  <si>
    <t>Shares</t>
  </si>
  <si>
    <t>Earnings per share</t>
  </si>
  <si>
    <t>Gross Margin %</t>
  </si>
  <si>
    <t>OperatingMargin %</t>
  </si>
  <si>
    <t>Net Margin %</t>
  </si>
  <si>
    <t>Tax Rate</t>
  </si>
  <si>
    <t>Revenue Y/Y</t>
  </si>
  <si>
    <t>Balance Sheet</t>
  </si>
  <si>
    <t>Cash</t>
  </si>
  <si>
    <t>A/R</t>
  </si>
  <si>
    <t>Invetories</t>
  </si>
  <si>
    <t>Vendor NTR</t>
  </si>
  <si>
    <t>OCA</t>
  </si>
  <si>
    <t>PP&amp;E</t>
  </si>
  <si>
    <t>Goodwill  + intagables</t>
  </si>
  <si>
    <t>ONCA</t>
  </si>
  <si>
    <t>Assets</t>
  </si>
  <si>
    <t>A/P</t>
  </si>
  <si>
    <t>A/E</t>
  </si>
  <si>
    <t>D/R</t>
  </si>
  <si>
    <t>Debt</t>
  </si>
  <si>
    <t>ONCL</t>
  </si>
  <si>
    <t>Liabilities</t>
  </si>
  <si>
    <t>S/E</t>
  </si>
  <si>
    <t>L+S/E</t>
  </si>
  <si>
    <t>Income Statement</t>
  </si>
  <si>
    <t>Q113</t>
  </si>
  <si>
    <t>Q213</t>
  </si>
  <si>
    <t>Q313</t>
  </si>
  <si>
    <t>Interest Income</t>
  </si>
  <si>
    <t>Main</t>
  </si>
  <si>
    <t>FY15</t>
  </si>
  <si>
    <t>FY14</t>
  </si>
  <si>
    <t>CASHFLOW=</t>
  </si>
  <si>
    <t>Discount rate</t>
  </si>
  <si>
    <t>NPV</t>
  </si>
  <si>
    <t>NET CASH</t>
  </si>
  <si>
    <t>Price</t>
  </si>
  <si>
    <t>Total Value</t>
  </si>
  <si>
    <t>Per Share</t>
  </si>
  <si>
    <t>Current</t>
  </si>
  <si>
    <t>Maturity Value</t>
  </si>
  <si>
    <t>S&amp;M</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</si>
  <si>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</si>
  <si>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</si>
  <si>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</si>
  <si>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</si>
  <si>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</si>
  <si>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</si>
  <si>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</si>
  <si>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</si>
  <si>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</si>
  <si>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</si>
  <si>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</si>
  <si>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</si>
  <si>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</si>
  <si>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</si>
  <si>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</si>
  <si>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</si>
  <si>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</si>
  <si>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</si>
  <si>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</si>
  <si>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</si>
  <si>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</si>
  <si>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</si>
  <si>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</si>
  <si>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</si>
  <si>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</si>
  <si>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</si>
  <si>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</si>
  <si>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</si>
  <si>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</si>
  <si>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</si>
  <si>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</si>
  <si>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</si>
  <si>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R&amp;D %</t>
  </si>
  <si>
    <t>S&amp;M %</t>
  </si>
  <si>
    <t>Q421</t>
  </si>
  <si>
    <t>Q122</t>
  </si>
  <si>
    <t>Q222</t>
  </si>
  <si>
    <t>Q322</t>
  </si>
  <si>
    <t>Q422</t>
  </si>
  <si>
    <t>Q123</t>
  </si>
  <si>
    <t>Q223</t>
  </si>
  <si>
    <t>Q323</t>
  </si>
  <si>
    <t>Q423</t>
  </si>
  <si>
    <t>Q124</t>
  </si>
  <si>
    <t>Q224</t>
  </si>
  <si>
    <t>Q324</t>
  </si>
  <si>
    <t>AVRAGE</t>
  </si>
  <si>
    <t>Models</t>
  </si>
  <si>
    <t>DT-DT-1/DT</t>
  </si>
  <si>
    <t>LN(DT/DT-1)</t>
  </si>
  <si>
    <t>DTY-DTY-1/DTY</t>
  </si>
  <si>
    <t>Q</t>
  </si>
  <si>
    <t>Y</t>
  </si>
  <si>
    <t>AVR</t>
  </si>
  <si>
    <t>P/E</t>
  </si>
  <si>
    <t>Shares outstanding</t>
  </si>
  <si>
    <t>Companie</t>
  </si>
  <si>
    <t>MC</t>
  </si>
  <si>
    <t>Beta</t>
  </si>
  <si>
    <t>Industrie</t>
  </si>
  <si>
    <t xml:space="preserve">% of sp499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</si>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</sst>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0.00\ &quot;zł&quot;;[Red]\-#,##0.00\ &quot;zł&quot;"/>
    <numFmt numFmtId="164" formatCode="0.0%"/>
    <numFmt numFmtId="165" formatCode="_([$$-409]* #,##0.00_);_([$$-409]* \(#,##0.00\);_([$$-409]* &quot;-&quot;??_);_(@_)"/>
    <numFmt numFmtId="166" formatCode="_-[$$-C09]* #,##0.00_-;\-[$$-C09]* #,##0.00_-;_-[$$-C09]* &quot;-&quot;??_-;_-@_-"/>
    <numFmt numFmtId="167" formatCode="_([$$-409]* #,##0_);_([$$-409]* \(#,##0\);_([$$-409]* &quot;-&quot;_);_(@_)"/>
    <numFmt numFmtId="168" formatCode="_-[$$-C09]* #,##0_-;\-[$$-C09]* #,##0_-;_-[$$-C09]* &quot;-&quot;_-;_-@_-"/>
    <numFmt numFmtId="169" formatCode="0.000%"/>
  </numFmts>
  <fonts count="7" x14ac:knownFonts="1">
    <font>
      <sz val="11"/>
      <color theme="1"/>
      <name val="Aptos Narrow"/>
      <family val="2"/>
      <charset val="238"/>
      <scheme val="minor"/>
    </font>
    <font>
      <sz val="11"/>
      <color theme="1"/>
      <name val="Aptos Narrow"/>
      <family val="2"/>
      <charset val="238"/>
      <scheme val="minor"/>
    </font>
    <font>
      <sz val="8"/>
      <name val="Aptos Narrow"/>
      <family val="2"/>
      <charset val="238"/>
      <scheme val="minor"/>
    </font>
    <font>
      <u/>
      <sz val="11"/>
      <color theme="10"/>
      <name val="Aptos Narrow"/>
      <family val="2"/>
      <charset val="238"/>
      <scheme val="minor"/>
    </font>
    <font>
      <b/>
      <sz val="11"/>
      <color theme="1"/>
      <name val="Aptos Narrow"/>
      <family val="2"/>
      <scheme val="minor"/>
    </font>
    <font>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33">
    <xf numFmtId="0" fontId="0" fillId="0" borderId="0" xfId="0"/>
    <xf numFmtId="0" fontId="4" fillId="0" borderId="0" xfId="0" applyFont="1"/>
    <xf numFmtId="0" fontId="5" fillId="0" borderId="0" xfId="0" applyFont="1"/>
    <xf numFmtId="9" fontId="4" fillId="0" borderId="0" xfId="1" applyFont="1"/>
    <xf numFmtId="14" fontId="0" fillId="0" borderId="0" xfId="0" applyNumberFormat="1"/>
    <xf numFmtId="9" fontId="4" fillId="0" borderId="0" xfId="1" applyFont="1" applyBorder="1"/>
    <xf numFmtId="9" fontId="0" fillId="0" borderId="0" xfId="0" applyNumberFormat="1"/>
    <xf numFmtId="8" fontId="0" fillId="0" borderId="0" xfId="0" applyNumberFormat="1"/>
    <xf numFmtId="0" fontId="3" fillId="0" borderId="0" xfId="2"/>
    <xf numFmtId="4" fontId="6" fillId="0" borderId="0" xfId="0" applyNumberFormat="1" applyFont="1"/>
    <xf numFmtId="14" fontId="5" fillId="0" borderId="0" xfId="0" applyNumberFormat="1" applyFont="1"/>
    <xf numFmtId="164" fontId="0" fillId="0" borderId="0" xfId="0" applyNumberFormat="1"/>
    <xf numFmtId="0" fontId="0" fillId="0" borderId="0" xfId="0" applyAlignment="1">
      <alignment horizontal="right"/>
    </xf>
    <xf numFmtId="0" fontId="4" fillId="0" borderId="0" xfId="0" applyFont="1" applyAlignment="1">
      <alignment horizontal="right"/>
    </xf>
    <xf numFmtId="14" fontId="0" fillId="0" borderId="0" xfId="0" applyNumberFormat="1" applyAlignment="1">
      <alignment horizontal="right"/>
    </xf>
    <xf numFmtId="9" fontId="4" fillId="0" borderId="0" xfId="1" applyFont="1" applyAlignment="1">
      <alignment horizontal="right"/>
    </xf>
    <xf numFmtId="0" fontId="5" fillId="0" borderId="0" xfId="0" applyFont="1" applyAlignment="1">
      <alignment horizontal="right"/>
    </xf>
    <xf numFmtId="4" fontId="6" fillId="0" borderId="0" xfId="0" applyNumberFormat="1" applyFont="1" applyAlignment="1">
      <alignment horizontal="right"/>
    </xf>
    <xf numFmtId="9" fontId="0" fillId="0" borderId="0" xfId="0" applyNumberFormat="1" applyAlignment="1">
      <alignment horizontal="right"/>
    </xf>
    <xf numFmtId="9" fontId="0" fillId="0" borderId="0" xfId="1" applyFont="1" applyAlignment="1">
      <alignment horizontal="right"/>
    </xf>
    <xf numFmtId="10" fontId="0" fillId="0" borderId="0" xfId="0" applyNumberFormat="1" applyAlignment="1">
      <alignment horizontal="right"/>
    </xf>
    <xf numFmtId="10" fontId="5" fillId="0" borderId="0" xfId="0" applyNumberFormat="1" applyFont="1" applyAlignment="1">
      <alignment horizontal="right"/>
    </xf>
    <xf numFmtId="10" fontId="5" fillId="0" borderId="0" xfId="1" applyNumberFormat="1" applyFont="1" applyAlignment="1">
      <alignment horizontal="right"/>
    </xf>
    <xf numFmtId="164" fontId="5" fillId="0" borderId="0" xfId="1" applyNumberFormat="1" applyFont="1" applyAlignment="1">
      <alignment horizontal="right"/>
    </xf>
    <xf numFmtId="0" fontId="0" fillId="2" borderId="1" xfId="0" applyFill="1" applyBorder="1"/>
    <xf numFmtId="0" fontId="0" fillId="0" borderId="1" xfId="0" applyBorder="1"/>
    <xf numFmtId="4" fontId="0" fillId="0" borderId="0" xfId="0" applyNumberFormat="1"/>
    <xf numFmtId="3"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1" applyNumberFormat="1" applyFon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17" Type="http://schemas.microsoft.com/office/2023/09/relationships/Python" Target="pyth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connections" Target="connections.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71">
  <rv s="0">
    <v>https://www.bing.com/financeapi/forcetrigger?t=a1yv52&amp;q=XNAS%3aNVDA&amp;form=skydnc</v>
    <v>Learn more on Bing</v>
  </rv>
  <rv s="1">
    <v>en-US</v>
    <v>a1yv52</v>
    <v>268435456</v>
    <v>1</v>
    <v>Powered by Refinitiv</v>
    <v>0</v>
    <v>NVIDIA CORPORATION (XNAS:NVDA)</v>
    <v>2</v>
    <v>3</v>
    <v>Finance</v>
    <v>4</v>
    <v>140.76</v>
    <v>39.229999999999997</v>
    <v>1.6768000000000001</v>
    <v>-2.2848000000000002</v>
    <v>-1.7661E-2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131.26</v>
    <v>Semiconductors &amp; Semiconductor Equipment</v>
    <v>Stock</v>
    <v>45530.686844385935</v>
    <v>0</v>
    <v>124.37</v>
    <v>3126295920000</v>
    <v>NVIDIA CORPORATION</v>
    <v>NVIDIA CORPORATION</v>
    <v>129.6</v>
    <v>75.712500000000006</v>
    <v>129.37</v>
    <v>127.0852</v>
    <v>24600000000</v>
    <v>NVDA</v>
    <v>NVIDIA CORPORATION (XNAS:NVDA)</v>
    <v>198154086</v>
    <v>358270989</v>
    <v>1998</v>
  </rv>
  <rv s="2">
    <v>1</v>
  </rv>
  <rv s="0">
    <v>http://en.wikipedia.org/wiki/Public_domain</v>
    <v>Public domain</v>
  </rv>
  <rv s="0">
    <v>https://en.wikipedia.org/wiki/Microsoft</v>
    <v>Wikipedia</v>
  </rv>
  <rv s="3">
    <v>3</v>
    <v>4</v>
  </rv>
  <rv s="4">
    <v>9</v>
    <v>https://www.bing.com/th?id=AMMS_e6e837c7bf3a77408619758b7447855a&amp;qlt=95</v>
    <v>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309.45</v>
    <v>0.89570000000000005</v>
    <v>-2.79</v>
    <v>-6.6940000000000003E-3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417.2799</v>
    <v>6</v>
    <v>Software &amp; IT Services</v>
    <v>Stock</v>
    <v>45530.686849200778</v>
    <v>7</v>
    <v>412.14</v>
    <v>3077278146000</v>
    <v>MICROSOFT CORPORATION</v>
    <v>MICROSOFT CORPORATION</v>
    <v>416.74</v>
    <v>35.3215</v>
    <v>416.79</v>
    <v>414</v>
    <v>7433039000</v>
    <v>MSFT</v>
    <v>MICROSOFT CORPORATION (XNAS:MSFT)</v>
    <v>4867957</v>
    <v>22759643</v>
    <v>1993</v>
  </rv>
  <rv s="2">
    <v>8</v>
  </rv>
  <rv s="0">
    <v>https://www.bing.com/financeapi/forcetrigger?t=a1mou2&amp;q=XNAS%3aAAPL&amp;form=skydnc</v>
    <v>Learn more on Bing</v>
  </rv>
  <rv s="1">
    <v>en-US</v>
    <v>a1mou2</v>
    <v>268435456</v>
    <v>1</v>
    <v>Powered by Refinitiv</v>
    <v>0</v>
    <v>APPLE INC. (XNAS:AAPL)</v>
    <v>2</v>
    <v>3</v>
    <v>Finance</v>
    <v>4</v>
    <v>237.23</v>
    <v>164.07499999999999</v>
    <v>1.2412000000000001</v>
    <v>-1.0301</v>
    <v>-4.5409999999999999E-3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227.21</v>
    <v>Computers, Phones &amp; Household Electronics</v>
    <v>Stock</v>
    <v>45530.686849964841</v>
    <v>10</v>
    <v>223.8905</v>
    <v>3433245332986</v>
    <v>APPLE INC.</v>
    <v>APPLE INC.</v>
    <v>226.84</v>
    <v>34.537700000000001</v>
    <v>226.84</v>
    <v>225.8099</v>
    <v>15204140000</v>
    <v>AAPL</v>
    <v>APPLE INC. (XNAS:AAPL)</v>
    <v>13490811</v>
    <v>51364203</v>
    <v>1977</v>
  </rv>
  <rv s="2">
    <v>11</v>
  </rv>
  <rv s="0">
    <v>https://www.bing.com/financeapi/forcetrigger?t=a1nhlh&amp;q=XNAS%3aAMZN&amp;form=skydnc</v>
    <v>Learn more on Bing</v>
  </rv>
  <rv s="1">
    <v>en-US</v>
    <v>a1nhlh</v>
    <v>268435456</v>
    <v>1</v>
    <v>Powered by Refinitiv</v>
    <v>0</v>
    <v>AMAZON.COM, INC. (XNAS:AMZN)</v>
    <v>2</v>
    <v>3</v>
    <v>Finance</v>
    <v>4</v>
    <v>201.2</v>
    <v>118.35</v>
    <v>1.1451</v>
    <v>-1.03</v>
    <v>-5.8180000000000003E-3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177.4682</v>
    <v>Diversified Retail</v>
    <v>Stock</v>
    <v>45530.686854513282</v>
    <v>13</v>
    <v>174.3</v>
    <v>1858135000000</v>
    <v>AMAZON.COM, INC.</v>
    <v>AMAZON.COM, INC.</v>
    <v>176.8</v>
    <v>42.124699999999997</v>
    <v>177.04</v>
    <v>176.01</v>
    <v>10495570000</v>
    <v>AMZN</v>
    <v>AMAZON.COM, INC. (XNAS:AMZN)</v>
    <v>10991682</v>
    <v>45494071</v>
    <v>1996</v>
  </rv>
  <rv s="2">
    <v>14</v>
  </rv>
  <rv s="0">
    <v>https://www.bing.com/financeapi/forcetrigger?t=a1slm7&amp;q=XNAS%3aMETA&amp;form=skydnc</v>
    <v>Learn more on Bing</v>
  </rv>
  <rv s="1">
    <v>en-US</v>
    <v>a1slm7</v>
    <v>268435456</v>
    <v>1</v>
    <v>Powered by Refinitiv</v>
    <v>0</v>
    <v>Meta Platforms, Inc. (XNAS:META)</v>
    <v>2</v>
    <v>3</v>
    <v>Finance</v>
    <v>4</v>
    <v>544.23</v>
    <v>279.40300000000002</v>
    <v>1.2105999999999999</v>
    <v>-6.8719999999999999</v>
    <v>-1.3015000000000001E-2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70799</v>
    <v>Nasdaq Stock Market</v>
    <v>XNAS</v>
    <v>XNAS</v>
    <v>1 Meta Way, MENLO PARK, CA, 94025 US</v>
    <v>527.75</v>
    <v>Software &amp; IT Services</v>
    <v>Stock</v>
    <v>45530.686838205467</v>
    <v>16</v>
    <v>514.95000000000005</v>
    <v>1318358473576</v>
    <v>Meta Platforms, Inc.</v>
    <v>Meta Platforms, Inc.</v>
    <v>527.67999999999995</v>
    <v>26.624300000000002</v>
    <v>528</v>
    <v>521.12800000000004</v>
    <v>2529817000</v>
    <v>META</v>
    <v>Meta Platforms, Inc. (XNAS:META)</v>
    <v>5223591</v>
    <v>15981546</v>
    <v>2004</v>
  </rv>
  <rv s="2">
    <v>17</v>
  </rv>
  <rv s="0">
    <v>https://www.bing.com/financeapi/forcetrigger?t=a1u3rw&amp;q=XNAS%3aGOOGL&amp;form=skydnc</v>
    <v>Learn more on Bing</v>
  </rv>
  <rv s="1">
    <v>en-US</v>
    <v>a1u3rw</v>
    <v>268435456</v>
    <v>1</v>
    <v>Powered by Refinitiv</v>
    <v>0</v>
    <v>ALPHABET INC. (XNAS:GOOGL)</v>
    <v>2</v>
    <v>3</v>
    <v>Finance</v>
    <v>4</v>
    <v>191.75</v>
    <v>120.20569999999999</v>
    <v>1.0410999999999999</v>
    <v>0.26500000000000001</v>
    <v>1.6000000000000001E-3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167.55</v>
    <v>Software &amp; IT Services</v>
    <v>Stock</v>
    <v>45530.686840335155</v>
    <v>19</v>
    <v>164.45500000000001</v>
    <v>2048891000000</v>
    <v>ALPHABET INC.</v>
    <v>ALPHABET INC.</v>
    <v>166.7</v>
    <v>23.761500000000002</v>
    <v>165.62</v>
    <v>165.88499999999999</v>
    <v>12310000000</v>
    <v>GOOGL</v>
    <v>ALPHABET INC. (XNAS:GOOGL)</v>
    <v>5872586</v>
    <v>29108235</v>
    <v>2015</v>
  </rv>
  <rv s="2">
    <v>20</v>
  </rv>
  <rv s="0">
    <v>https://www.bing.com/financeapi/forcetrigger?t=a1u3p2&amp;q=XNAS%3aGOOG&amp;form=skydnc</v>
    <v>Learn more on Bing</v>
  </rv>
  <rv s="1">
    <v>en-US</v>
    <v>a1u3p2</v>
    <v>268435456</v>
    <v>1</v>
    <v>Powered by Refinitiv</v>
    <v>0</v>
    <v>ALPHABET INC. (XNAS:GOOG)</v>
    <v>2</v>
    <v>3</v>
    <v>Finance</v>
    <v>4</v>
    <v>193.31</v>
    <v>121.46</v>
    <v>1.0410999999999999</v>
    <v>0.28000000000000003</v>
    <v>1.6719999999999999E-3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179582</v>
    <v>Nasdaq Stock Market</v>
    <v>XNAS</v>
    <v>XNAS</v>
    <v>1600 Amphitheatre Parkway, MOUNTAIN VIEW, CA, 94043 US</v>
    <v>169.38</v>
    <v>Software &amp; IT Services</v>
    <v>Stock</v>
    <v>45530.686821203126</v>
    <v>22</v>
    <v>166.32</v>
    <v>2048891000000</v>
    <v>ALPHABET INC.</v>
    <v>ALPHABET INC.</v>
    <v>168.44</v>
    <v>24.013300000000001</v>
    <v>167.43</v>
    <v>167.71</v>
    <v>12310000000</v>
    <v>GOOG</v>
    <v>ALPHABET INC. (XNAS:GOOG)</v>
    <v>4310004</v>
    <v>19264602</v>
    <v>2015</v>
  </rv>
  <rv s="2">
    <v>23</v>
  </rv>
  <rv s="0">
    <v>https://www.bing.com/financeapi/forcetrigger?t=a1nz8m&amp;q=XNAS%3aAVGO&amp;form=skydnc</v>
    <v>Learn more on Bing</v>
  </rv>
  <rv s="1">
    <v>en-US</v>
    <v>a1nz8m</v>
    <v>268435456</v>
    <v>1</v>
    <v>Powered by Refinitiv</v>
    <v>0</v>
    <v>Broadcom Inc. (XNAS:AVGO)</v>
    <v>2</v>
    <v>3</v>
    <v>Finance</v>
    <v>4</v>
    <v>185.16200000000001</v>
    <v>79.509</v>
    <v>1.1832</v>
    <v>-5.6</v>
    <v>-3.3661999999999997E-2</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165.7</v>
    <v>Semiconductors &amp; Semiconductor Equipment</v>
    <v>Stock</v>
    <v>45530.686835416403</v>
    <v>25</v>
    <v>159.76349999999999</v>
    <v>748319151840</v>
    <v>Broadcom Inc.</v>
    <v>Broadcom Inc.</v>
    <v>165.06</v>
    <v>71.778099999999995</v>
    <v>166.36</v>
    <v>160.76</v>
    <v>4654884000</v>
    <v>AVGO</v>
    <v>Broadcom Inc. (XNAS:AVGO)</v>
    <v>6364003</v>
    <v>26432770</v>
    <v>2018</v>
  </rv>
  <rv s="2">
    <v>26</v>
  </rv>
  <rv s="0">
    <v>https://www.bing.com/financeapi/forcetrigger?t=a1otrw&amp;q=XNYS%3aBRK.B&amp;form=skydnc</v>
    <v>Learn more on Bing</v>
  </rv>
  <rv s="1">
    <v>en-US</v>
    <v>a1otrw</v>
    <v>268435456</v>
    <v>1</v>
    <v>Powered by Refinitiv</v>
    <v>0</v>
    <v>BERKSHIRE HATHAWAY INC. (XNYS:BRK.B)</v>
    <v>2</v>
    <v>3</v>
    <v>Finance</v>
    <v>4</v>
    <v>459.26990000000001</v>
    <v>330.58</v>
    <v>0.86850000000000005</v>
    <v>3.44</v>
    <v>7.587E-3</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459.26990000000001</v>
    <v>Consumer Goods Conglomerates</v>
    <v>Stock</v>
    <v>45530.686826365622</v>
    <v>28</v>
    <v>453.91</v>
    <v>970937400000</v>
    <v>BERKSHIRE HATHAWAY INC.</v>
    <v>BERKSHIRE HATHAWAY INC.</v>
    <v>455.27</v>
    <v>10.315799999999999</v>
    <v>453.38</v>
    <v>456.82</v>
    <v>1427490</v>
    <v>BRK.B</v>
    <v>BERKSHIRE HATHAWAY INC. (XNYS:BRK.B)</v>
    <v>1276941</v>
    <v>3484939</v>
    <v>1998</v>
  </rv>
  <rv s="2">
    <v>29</v>
  </rv>
  <rv s="0">
    <v>https://www.bing.com/financeapi/forcetrigger?t=a1wyu2&amp;q=XNYS%3aLLY&amp;form=skydnc</v>
    <v>Learn more on Bing</v>
  </rv>
  <rv s="1">
    <v>en-US</v>
    <v>a1wyu2</v>
    <v>268435456</v>
    <v>1</v>
    <v>Powered by Refinitiv</v>
    <v>0</v>
    <v>ELI LILLY AND COMPANY (XNYS:LLY)</v>
    <v>2</v>
    <v>3</v>
    <v>Finance</v>
    <v>4</v>
    <v>972.53</v>
    <v>516.57000000000005</v>
    <v>0.41839999999999999</v>
    <v>1.62</v>
    <v>1.7000000000000001E-3</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Lilly Corporate Ctr, INDIANAPOLIS, IN, 46285-0001 US</v>
    <v>955</v>
    <v>Pharmaceuticals</v>
    <v>Stock</v>
    <v>45530.686832360938</v>
    <v>31</v>
    <v>942.77</v>
    <v>907048366488</v>
    <v>ELI LILLY AND COMPANY</v>
    <v>ELI LILLY AND COMPANY</v>
    <v>949.2</v>
    <v>117.27670000000001</v>
    <v>952.74</v>
    <v>954.36</v>
    <v>950425800</v>
    <v>LLY</v>
    <v>ELI LILLY AND COMPANY (XNYS:LLY)</v>
    <v>782990</v>
    <v>3786847</v>
    <v>1901</v>
  </rv>
  <rv s="2">
    <v>32</v>
  </rv>
  <rv s="0">
    <v>https://www.bing.com/financeapi/forcetrigger?t=a1waa2&amp;q=XNYS%3aJPM&amp;form=skydnc</v>
    <v>Learn more on Bing</v>
  </rv>
  <rv s="1">
    <v>en-US</v>
    <v>a1waa2</v>
    <v>268435456</v>
    <v>1</v>
    <v>Powered by Refinitiv</v>
    <v>0</v>
    <v>JPMORGAN CHASE &amp; CO. (XNYS:JPM)</v>
    <v>2</v>
    <v>3</v>
    <v>Finance</v>
    <v>4</v>
    <v>219.68</v>
    <v>135.19</v>
    <v>1.1053999999999999</v>
    <v>0.48</v>
    <v>2.199E-3</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313206</v>
    <v>New York Stock Exchange</v>
    <v>XNYS</v>
    <v>XNYS</v>
    <v>383 Madison Avenue, NEW YORK, NY, 10179 US</v>
    <v>219.68</v>
    <v>Banking Services</v>
    <v>Stock</v>
    <v>45530.686853193751</v>
    <v>34</v>
    <v>218.065</v>
    <v>622493650350</v>
    <v>JPMORGAN CHASE &amp; CO.</v>
    <v>JPMORGAN CHASE &amp; CO.</v>
    <v>219.095</v>
    <v>12.167400000000001</v>
    <v>218.31</v>
    <v>218.79</v>
    <v>2845165000</v>
    <v>JPM</v>
    <v>JPMORGAN CHASE &amp; CO. (XNYS:JPM)</v>
    <v>1929190</v>
    <v>7995059</v>
    <v>1968</v>
  </rv>
  <rv s="2">
    <v>35</v>
  </rv>
  <rv s="0">
    <v>https://www.bing.com/financeapi/forcetrigger?t=a24kar&amp;q=XNAS%3aTSLA&amp;form=skydnc</v>
    <v>Learn more on Bing</v>
  </rv>
  <rv s="1">
    <v>en-US</v>
    <v>a24kar</v>
    <v>268435456</v>
    <v>1</v>
    <v>Powered by Refinitiv</v>
    <v>0</v>
    <v>TESLA, INC. (XNAS:TSLA)</v>
    <v>2</v>
    <v>3</v>
    <v>Finance</v>
    <v>4</v>
    <v>278.98</v>
    <v>138.80250000000001</v>
    <v>2.294</v>
    <v>-6.3849999999999998</v>
    <v>-2.8981E-2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219.09</v>
    <v>Automobiles &amp; Auto Parts</v>
    <v>Stock</v>
    <v>45530.686851678125</v>
    <v>37</v>
    <v>211.5</v>
    <v>682280646260</v>
    <v>TESLA, INC.</v>
    <v>TESLA, INC.</v>
    <v>218.67</v>
    <v>61.932499999999997</v>
    <v>220.32</v>
    <v>213.935</v>
    <v>3189196000</v>
    <v>TSLA</v>
    <v>TESLA, INC. (XNAS:TSLA)</v>
    <v>35594785</v>
    <v>87202042</v>
    <v>2024</v>
  </rv>
  <rv s="2">
    <v>38</v>
  </rv>
  <rv s="0">
    <v>https://www.bing.com/financeapi/forcetrigger?t=a269ec&amp;q=XNYS%3aXOM&amp;form=skydnc</v>
    <v>Learn more on Bing</v>
  </rv>
  <rv s="1">
    <v>en-US</v>
    <v>a269ec</v>
    <v>268435456</v>
    <v>1</v>
    <v>Powered by Refinitiv</v>
    <v>0</v>
    <v>EXXON MOBIL CORPORATION (XNYS:XOM)</v>
    <v>2</v>
    <v>3</v>
    <v>Finance</v>
    <v>4</v>
    <v>123.75</v>
    <v>95.77</v>
    <v>0.87870000000000004</v>
    <v>1.4650000000000001</v>
    <v>1.2595E-2</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118.94</v>
    <v>Oil &amp; Gas</v>
    <v>Stock</v>
    <v>45530.686829282029</v>
    <v>40</v>
    <v>116.92</v>
    <v>523318755000</v>
    <v>EXXON MOBIL CORPORATION</v>
    <v>EXXON MOBIL CORPORATION</v>
    <v>117.69</v>
    <v>13.940899999999999</v>
    <v>116.32</v>
    <v>117.785</v>
    <v>4443000000</v>
    <v>XOM</v>
    <v>EXXON MOBIL CORPORATION (XNYS:XOM)</v>
    <v>4910653</v>
    <v>13169177</v>
    <v>1882</v>
  </rv>
  <rv s="2">
    <v>41</v>
  </rv>
  <rv s="0">
    <v>https://www.bing.com/financeapi/forcetrigger?t=a24xlh&amp;q=XNYS%3aUNH&amp;form=skydnc</v>
    <v>Learn more on Bing</v>
  </rv>
  <rv s="1">
    <v>en-US</v>
    <v>a24xlh</v>
    <v>268435456</v>
    <v>1</v>
    <v>Powered by Refinitiv</v>
    <v>0</v>
    <v>UNITEDHEALTH GROUP INCORPORATED (XNYS:UNH)</v>
    <v>2</v>
    <v>3</v>
    <v>Finance</v>
    <v>4</v>
    <v>592.03</v>
    <v>436.38</v>
    <v>0.59179999999999999</v>
    <v>1.57</v>
    <v>2.686E-3</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9900 BREN ROAD EAST, MINNETONKA, MN, 55343 US</v>
    <v>592.03</v>
    <v>Healthcare Providers &amp; Services</v>
    <v>Stock</v>
    <v>45530.686849443751</v>
    <v>43</v>
    <v>585.74</v>
    <v>541196938656</v>
    <v>UNITEDHEALTH GROUP INCORPORATED</v>
    <v>UNITEDHEALTH GROUP INCORPORATED</v>
    <v>588.5</v>
    <v>38.692599999999999</v>
    <v>584.51</v>
    <v>586.08000000000004</v>
    <v>923418200</v>
    <v>UNH</v>
    <v>UNITEDHEALTH GROUP INCORPORATED (XNYS:UNH)</v>
    <v>713880</v>
    <v>3117378</v>
    <v>2015</v>
  </rv>
  <rv s="2">
    <v>44</v>
  </rv>
  <rv s="0">
    <v>https://www.bing.com/financeapi/forcetrigger?t=a256cw&amp;q=XNYS%3aV&amp;form=skydnc</v>
    <v>Learn more on Bing</v>
  </rv>
  <rv s="1">
    <v>en-US</v>
    <v>a256cw</v>
    <v>268435456</v>
    <v>1</v>
    <v>Powered by Refinitiv</v>
    <v>0</v>
    <v>VISA INC. (XNYS:V)</v>
    <v>2</v>
    <v>3</v>
    <v>Finance</v>
    <v>4</v>
    <v>290.95999999999998</v>
    <v>227.78</v>
    <v>0.95879999999999999</v>
    <v>1.675</v>
    <v>6.2629999999999995E-3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270.37</v>
    <v>Software &amp; IT Services</v>
    <v>Stock</v>
    <v>45530.686830914063</v>
    <v>46</v>
    <v>267.67</v>
    <v>531746212305</v>
    <v>VISA INC.</v>
    <v>VISA INC.</v>
    <v>267.86</v>
    <v>28.620999999999999</v>
    <v>267.44</v>
    <v>269.11500000000001</v>
    <v>1975907000</v>
    <v>V</v>
    <v>VISA INC. (XNYS:V)</v>
    <v>1889827</v>
    <v>8944049</v>
    <v>2007</v>
  </rv>
  <rv s="2">
    <v>47</v>
  </rv>
  <rv s="0">
    <v>https://www.bing.com/financeapi/forcetrigger?t=a1zsjc&amp;q=XNYS%3aPG&amp;form=skydnc</v>
    <v>Learn more on Bing</v>
  </rv>
  <rv s="1">
    <v>en-US</v>
    <v>a1zsjc</v>
    <v>268435456</v>
    <v>1</v>
    <v>Powered by Refinitiv</v>
    <v>0</v>
    <v>THE PROCTER &amp; GAMBLE COMPANY (XNYS:PG)</v>
    <v>2</v>
    <v>3</v>
    <v>Finance</v>
    <v>4</v>
    <v>171.89</v>
    <v>141.44999999999999</v>
    <v>0.40670000000000001</v>
    <v>1.0209999999999999</v>
    <v>6.0350000000000004E-3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170.56</v>
    <v>Personal &amp; Household Products &amp; Services</v>
    <v>Stock</v>
    <v>45530.686851307815</v>
    <v>49</v>
    <v>168.69499999999999</v>
    <v>400638293741</v>
    <v>THE PROCTER &amp; GAMBLE COMPANY</v>
    <v>THE PROCTER &amp; GAMBLE COMPANY</v>
    <v>168.92</v>
    <v>28.106000000000002</v>
    <v>169.17</v>
    <v>170.191</v>
    <v>2354051000</v>
    <v>PG</v>
    <v>THE PROCTER &amp; GAMBLE COMPANY (XNYS:PG)</v>
    <v>1438477</v>
    <v>7103626</v>
    <v>1905</v>
  </rv>
  <rv s="2">
    <v>50</v>
  </rv>
  <rv s="0">
    <v>https://www.bing.com/financeapi/forcetrigger?t=a1q6k2&amp;q=XNAS%3aCOST&amp;form=skydnc</v>
    <v>Learn more on Bing</v>
  </rv>
  <rv s="1">
    <v>en-US</v>
    <v>a1q6k2</v>
    <v>268435456</v>
    <v>1</v>
    <v>Powered by Refinitiv</v>
    <v>0</v>
    <v>COSTCO WHOLESALE CORPORATION (XNAS:COST)</v>
    <v>2</v>
    <v>3</v>
    <v>Finance</v>
    <v>4</v>
    <v>896.67</v>
    <v>521.26610000000005</v>
    <v>0.7944</v>
    <v>10.0899</v>
    <v>1.1476E-2</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890.14</v>
    <v>Diversified Retail</v>
    <v>Stock</v>
    <v>45530.68683953672</v>
    <v>52</v>
    <v>881.44110000000001</v>
    <v>394257771166</v>
    <v>COSTCO WHOLESALE CORPORATION</v>
    <v>COSTCO WHOLESALE CORPORATION</v>
    <v>883.17</v>
    <v>54.4955</v>
    <v>879.21</v>
    <v>889.29989999999998</v>
    <v>443335000</v>
    <v>COST</v>
    <v>COSTCO WHOLESALE CORPORATION (XNAS:COST)</v>
    <v>513990</v>
    <v>1817491</v>
    <v>1987</v>
  </rv>
  <rv s="2">
    <v>53</v>
  </rv>
  <rv s="0">
    <v>https://www.bing.com/financeapi/forcetrigger?t=a1x8w7&amp;q=XNYS%3aMA&amp;form=skydnc</v>
    <v>Learn more on Bing</v>
  </rv>
  <rv s="1">
    <v>en-US</v>
    <v>a1x8w7</v>
    <v>268435456</v>
    <v>1</v>
    <v>Powered by Refinitiv</v>
    <v>0</v>
    <v>MASTERCARD INCORPORATED. (XNYS:MA)</v>
    <v>2</v>
    <v>3</v>
    <v>Finance</v>
    <v>4</v>
    <v>490</v>
    <v>359.77</v>
    <v>1.0992999999999999</v>
    <v>3.3</v>
    <v>7.0750000000000006E-3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10577-2405 US</v>
    <v>470.53</v>
    <v>Software &amp; IT Services</v>
    <v>Stock</v>
    <v>45530.686848853904</v>
    <v>55</v>
    <v>467</v>
    <v>433962252900</v>
    <v>MASTERCARD INCORPORATED.</v>
    <v>MASTERCARD INCORPORATED.</v>
    <v>468.06</v>
    <v>35.603900000000003</v>
    <v>466.44</v>
    <v>469.74</v>
    <v>923835000</v>
    <v>MA</v>
    <v>MASTERCARD INCORPORATED. (XNYS:MA)</v>
    <v>625235</v>
    <v>2357713</v>
    <v>2001</v>
  </rv>
  <rv s="2">
    <v>56</v>
  </rv>
  <rv s="0">
    <v>https://www.bing.com/financeapi/forcetrigger?t=a1uj52&amp;q=XNYS%3aHD&amp;form=skydnc</v>
    <v>Learn more on Bing</v>
  </rv>
  <rv s="1">
    <v>en-US</v>
    <v>a1uj52</v>
    <v>268435456</v>
    <v>1</v>
    <v>Powered by Refinitiv</v>
    <v>0</v>
    <v>THE HOME DEPOT, INC. (XNYS:HD)</v>
    <v>2</v>
    <v>3</v>
    <v>Finance</v>
    <v>4</v>
    <v>396.87290000000002</v>
    <v>274.26</v>
    <v>1.0049999999999999</v>
    <v>0.17499999999999999</v>
    <v>4.6589999999999999E-4</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378.58210000000003</v>
    <v>Specialty Retailers</v>
    <v>Stock</v>
    <v>45530.686795103909</v>
    <v>58</v>
    <v>374.4</v>
    <v>373244894451</v>
    <v>THE HOME DEPOT, INC.</v>
    <v>THE HOME DEPOT, INC.</v>
    <v>376.9</v>
    <v>25.282299999999999</v>
    <v>375.59</v>
    <v>375.76499999999999</v>
    <v>993293400</v>
    <v>HD</v>
    <v>THE HOME DEPOT, INC. (XNYS:HD)</v>
    <v>838472</v>
    <v>3557118</v>
    <v>1978</v>
  </rv>
  <rv s="2">
    <v>59</v>
  </rv>
  <rv s="0">
    <v>https://www.bing.com/financeapi/forcetrigger?t=a1w8ec&amp;q=XNYS%3aJNJ&amp;form=skydnc</v>
    <v>Learn more on Bing</v>
  </rv>
  <rv s="1">
    <v>en-US</v>
    <v>a1w8ec</v>
    <v>268435456</v>
    <v>1</v>
    <v>Powered by Refinitiv</v>
    <v>0</v>
    <v>JOHNSON &amp; JOHNSON (XNYS:JNJ)</v>
    <v>2</v>
    <v>3</v>
    <v>Finance</v>
    <v>4</v>
    <v>166.21</v>
    <v>143.13</v>
    <v>0.51839999999999997</v>
    <v>0.72</v>
    <v>4.3869999999999994E-3</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165.71</v>
    <v>Pharmaceuticals</v>
    <v>Stock</v>
    <v>45530.686860416405</v>
    <v>61</v>
    <v>163.54</v>
    <v>396834173400</v>
    <v>JOHNSON &amp; JOHNSON</v>
    <v>JOHNSON &amp; JOHNSON</v>
    <v>164.255</v>
    <v>24.626300000000001</v>
    <v>164.13</v>
    <v>164.85</v>
    <v>2407244000</v>
    <v>JNJ</v>
    <v>JOHNSON &amp; JOHNSON (XNYS:JNJ)</v>
    <v>2498609</v>
    <v>7118747</v>
    <v>1887</v>
  </rv>
  <rv s="2">
    <v>62</v>
  </rv>
  <rv s="0">
    <v>https://www.bing.com/financeapi/forcetrigger?t=a1xxmw&amp;q=XNYS%3aMRK&amp;form=skydnc</v>
    <v>Learn more on Bing</v>
  </rv>
  <rv s="1">
    <v>en-US</v>
    <v>a1xxmw</v>
    <v>268435456</v>
    <v>1</v>
    <v>Powered by Refinitiv</v>
    <v>0</v>
    <v>MERCK &amp; CO., INC. (XNYS:MRK)</v>
    <v>2</v>
    <v>3</v>
    <v>Finance</v>
    <v>4</v>
    <v>134.63</v>
    <v>99.14</v>
    <v>0.40210000000000001</v>
    <v>-0.06</v>
    <v>-5.1460000000000004E-4</v>
    <v>USD</v>
    <v>Merck &amp; Co., Inc. is a global health care company. It offers health solutions through its prescription medicines, including biologic therapies, vaccines and animal health products. Its Pharmaceutical segment includes human health pharmaceuticals and vaccine products. Human health pharmaceutical products include therapeutic and preventive agents, sold by prescription, for the treatment of human disorders. Its Animal Health segment discovers, develops, manufactures and markets a range of veterinary pharmaceutical and vaccine products and health management solutions and services, for the prevention, treatment and control of disease in all livestock and companion animal species. Its lead candidate, MK-6070, is a T-cell engager targeting delta-like ligand 3, an inhibitory canonical Notch ligand. Its lead candidate, Restoret, is an investigational, potentially first-in-class tetravalent, tri-specific antibody that acts as an agonist of the Wingless-related integration site signaling pathway.</v>
    <v>72000</v>
    <v>New York Stock Exchange</v>
    <v>XNYS</v>
    <v>XNYS</v>
    <v>126 East Lincoln Avenue, RAHWAY, NJ, 07065 US</v>
    <v>117.9</v>
    <v>Pharmaceuticals</v>
    <v>Stock</v>
    <v>45530.686845497657</v>
    <v>64</v>
    <v>116.48</v>
    <v>295406640860</v>
    <v>MERCK &amp; CO., INC.</v>
    <v>MERCK &amp; CO., INC.</v>
    <v>116.78</v>
    <v>21.630500000000001</v>
    <v>116.6</v>
    <v>116.54</v>
    <v>2534809000</v>
    <v>MRK</v>
    <v>MERCK &amp; CO., INC. (XNYS:MRK)</v>
    <v>2057891</v>
    <v>10262911</v>
    <v>1970</v>
  </rv>
  <rv s="2">
    <v>65</v>
  </rv>
  <rv s="0">
    <v>https://www.bing.com/financeapi/forcetrigger?t=a1mpqh&amp;q=XNYS%3aABBV&amp;form=skydnc</v>
    <v>Learn more on Bing</v>
  </rv>
  <rv s="1">
    <v>en-US</v>
    <v>a1mpqh</v>
    <v>268435456</v>
    <v>1</v>
    <v>Powered by Refinitiv</v>
    <v>0</v>
    <v>ABBVIE INC. (XNYS:ABBV)</v>
    <v>2</v>
    <v>3</v>
    <v>Finance</v>
    <v>4</v>
    <v>197.98</v>
    <v>135.85</v>
    <v>0.62250000000000005</v>
    <v>-0.44</v>
    <v>-2.2270000000000002E-3</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197.9699</v>
    <v>Pharmaceuticals</v>
    <v>Stock</v>
    <v>45530.686849258593</v>
    <v>67</v>
    <v>196.07</v>
    <v>348164065840</v>
    <v>ABBVIE INC.</v>
    <v>ABBVIE INC.</v>
    <v>197.49</v>
    <v>66.100099999999998</v>
    <v>197.55</v>
    <v>197.11</v>
    <v>1766344000</v>
    <v>ABBV</v>
    <v>ABBVIE INC. (XNYS:ABBV)</v>
    <v>787010</v>
    <v>5113263</v>
    <v>2012</v>
  </rv>
  <rv s="2">
    <v>68</v>
  </rv>
  <rv s="0">
    <v>https://www.bing.com/financeapi/forcetrigger?t=a1ygoc&amp;q=XNAS%3aNFLX&amp;form=skydnc</v>
    <v>Learn more on Bing</v>
  </rv>
  <rv s="1">
    <v>en-US</v>
    <v>a1ygoc</v>
    <v>268435456</v>
    <v>1</v>
    <v>Powered by Refinitiv</v>
    <v>0</v>
    <v>NETFLIX, INC. (XNAS:NFLX)</v>
    <v>2</v>
    <v>3</v>
    <v>Finance</v>
    <v>4</v>
    <v>711.33</v>
    <v>344.73</v>
    <v>1.256</v>
    <v>2.2599999999999998</v>
    <v>3.2910000000000001E-3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690.59</v>
    <v>Software &amp; IT Services</v>
    <v>Stock</v>
    <v>45530.686851400002</v>
    <v>70</v>
    <v>681.63760000000002</v>
    <v>295690117754</v>
    <v>NETFLIX, INC.</v>
    <v>NETFLIX, INC.</v>
    <v>687.26</v>
    <v>42.911799999999999</v>
    <v>686.73</v>
    <v>688.99</v>
    <v>429164600</v>
    <v>NFLX</v>
    <v>NETFLIX, INC. (XNAS:NFLX)</v>
    <v>652753</v>
    <v>3367697</v>
    <v>1997</v>
  </rv>
  <rv s="2">
    <v>71</v>
  </rv>
  <rv s="0">
    <v>https://www.bing.com/financeapi/forcetrigger?t=a25ya2&amp;q=XNYS%3aWMT&amp;form=skydnc</v>
    <v>Learn more on Bing</v>
  </rv>
  <rv s="1">
    <v>en-US</v>
    <v>a25ya2</v>
    <v>268435456</v>
    <v>1</v>
    <v>Powered by Refinitiv</v>
    <v>0</v>
    <v>WALMART INC. (XNYS:WMT)</v>
    <v>2</v>
    <v>3</v>
    <v>Finance</v>
    <v>4</v>
    <v>76.22</v>
    <v>49.846600000000002</v>
    <v>0.51290000000000002</v>
    <v>0.31</v>
    <v>4.0949999999999997E-3</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76.055000000000007</v>
    <v>Food &amp; Drug Retailing</v>
    <v>Stock</v>
    <v>45530.68680111094</v>
    <v>73</v>
    <v>75.569999999999993</v>
    <v>611389703430</v>
    <v>WALMART INC.</v>
    <v>WALMART INC.</v>
    <v>75.89</v>
    <v>51.550800000000002</v>
    <v>75.7</v>
    <v>76.010000000000005</v>
    <v>8043543000</v>
    <v>WMT</v>
    <v>WALMART INC. (XNYS:WMT)</v>
    <v>3409486</v>
    <v>18204347</v>
    <v>1969</v>
  </rv>
  <rv s="2">
    <v>74</v>
  </rv>
  <rv s="0">
    <v>https://www.bing.com/financeapi/forcetrigger?t=a1o4sm&amp;q=XNYS%3aBAC&amp;form=skydnc</v>
    <v>Learn more on Bing</v>
  </rv>
  <rv s="1">
    <v>en-US</v>
    <v>a1o4sm</v>
    <v>268435456</v>
    <v>1</v>
    <v>Powered by Refinitiv</v>
    <v>0</v>
    <v>BANK OF AMERICA CORPORATION (XNYS:BAC)</v>
    <v>2</v>
    <v>3</v>
    <v>Finance</v>
    <v>4</v>
    <v>44.44</v>
    <v>24.96</v>
    <v>1.3405</v>
    <v>0.1038</v>
    <v>2.6099999999999999E-3</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212000</v>
    <v>New York Stock Exchange</v>
    <v>XNYS</v>
    <v>XNYS</v>
    <v>Bank Of America Corporate Center, 100 N Tryon St, CHARLOTTE, NC, 28255 US</v>
    <v>40.200000000000003</v>
    <v>Banking Services</v>
    <v>Stock</v>
    <v>45530.686825717188</v>
    <v>76</v>
    <v>39.659999999999997</v>
    <v>309403861256</v>
    <v>BANK OF AMERICA CORPORATION</v>
    <v>BANK OF AMERICA CORPORATION</v>
    <v>40.06</v>
    <v>14.012</v>
    <v>39.770000000000003</v>
    <v>39.873800000000003</v>
    <v>7759578000</v>
    <v>BAC</v>
    <v>BANK OF AMERICA CORPORATION (XNYS:BAC)</v>
    <v>15653572</v>
    <v>41374666</v>
    <v>1998</v>
  </rv>
  <rv s="2">
    <v>77</v>
  </rv>
  <rv s="0">
    <v>https://www.bing.com/financeapi/forcetrigger?t=a1qlz2&amp;q=XNYS%3aCVX&amp;form=skydnc</v>
    <v>Learn more on Bing</v>
  </rv>
  <rv s="1">
    <v>en-US</v>
    <v>a1qlz2</v>
    <v>268435456</v>
    <v>1</v>
    <v>Powered by Refinitiv</v>
    <v>0</v>
    <v>CHEVRON CORPORATION (XNYS:CVX)</v>
    <v>2</v>
    <v>3</v>
    <v>Finance</v>
    <v>4</v>
    <v>171.7</v>
    <v>139.62</v>
    <v>1.0815999999999999</v>
    <v>0.26</v>
    <v>1.761E-3</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150.09</v>
    <v>Oil &amp; Gas</v>
    <v>Stock</v>
    <v>45530.686831469531</v>
    <v>79</v>
    <v>147.79</v>
    <v>270460245960</v>
    <v>CHEVRON CORPORATION</v>
    <v>CHEVRON CORPORATION</v>
    <v>149.18</v>
    <v>14.650600000000001</v>
    <v>147.62</v>
    <v>147.88</v>
    <v>1828917000</v>
    <v>CVX</v>
    <v>CHEVRON CORPORATION (XNYS:CVX)</v>
    <v>2875902</v>
    <v>7432633</v>
    <v>1926</v>
  </rv>
  <rv s="2">
    <v>80</v>
  </rv>
  <rv s="0">
    <v>http://en.wikipedia.org/wiki/Qualcomm</v>
    <v>Wikipedia</v>
  </rv>
  <rv s="3">
    <v>3</v>
    <v>82</v>
  </rv>
  <rv s="4">
    <v>9</v>
    <v>https://www.bing.com/th?id=AMMS_2b1c176dae370ecc0d55a1517537f595&amp;qlt=95</v>
    <v>83</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230.63</v>
    <v>104.333</v>
    <v>1.2841</v>
    <v>-3.31</v>
    <v>-1.9077999999999998E-2</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50000</v>
    <v>Nasdaq Stock Market</v>
    <v>XNAS</v>
    <v>XNAS</v>
    <v>5775 Morehouse Dr, SAN DIEGO, CA, 92121 US</v>
    <v>172.38</v>
    <v>84</v>
    <v>Semiconductors &amp; Semiconductor Equipment</v>
    <v>Stock</v>
    <v>45530.686822164062</v>
    <v>85</v>
    <v>168.96</v>
    <v>189591660000</v>
    <v>QUALCOMM INCORPORATED</v>
    <v>QUALCOMM INCORPORATED</v>
    <v>171.97</v>
    <v>22.206299999999999</v>
    <v>173.5</v>
    <v>170.19</v>
    <v>1114000000</v>
    <v>QCOM</v>
    <v>QUALCOMM INCORPORATED (XNAS:QCOM)</v>
    <v>2653938</v>
    <v>9981879</v>
    <v>1991</v>
  </rv>
  <rv s="2">
    <v>86</v>
  </rv>
  <rv s="0">
    <v>https://www.bing.com/financeapi/forcetrigger?t=a1ndww&amp;q=XNAS%3aAMD&amp;form=skydnc</v>
    <v>Learn more on Bing</v>
  </rv>
  <rv s="1">
    <v>en-US</v>
    <v>a1ndww</v>
    <v>268435456</v>
    <v>1</v>
    <v>Powered by Refinitiv</v>
    <v>0</v>
    <v>ADVANCED MICRO DEVICES, INC. (XNAS:AMD)</v>
    <v>2</v>
    <v>3</v>
    <v>Finance</v>
    <v>4</v>
    <v>227.3</v>
    <v>93.114999999999995</v>
    <v>1.6913</v>
    <v>-4.4147999999999996</v>
    <v>-2.8485999999999997E-2</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158.28</v>
    <v>Semiconductors &amp; Semiconductor Equipment</v>
    <v>Stock</v>
    <v>45530.686840335155</v>
    <v>88</v>
    <v>148.9101</v>
    <v>243687066026</v>
    <v>ADVANCED MICRO DEVICES, INC.</v>
    <v>ADVANCED MICRO DEVICES, INC.</v>
    <v>154.69999999999999</v>
    <v>186.5206</v>
    <v>154.97999999999999</v>
    <v>150.5652</v>
    <v>1618482000</v>
    <v>AMD</v>
    <v>ADVANCED MICRO DEVICES, INC. (XNAS:AMD)</v>
    <v>30540620</v>
    <v>55430731</v>
    <v>1969</v>
  </rv>
  <rv s="2">
    <v>89</v>
  </rv>
  <rv s="0">
    <v>https://www.bing.com/financeapi/forcetrigger?t=a1wljc&amp;q=XNYS%3aKO&amp;form=skydnc</v>
    <v>Learn more on Bing</v>
  </rv>
  <rv s="1">
    <v>en-US</v>
    <v>a1wljc</v>
    <v>268435456</v>
    <v>1</v>
    <v>Powered by Refinitiv</v>
    <v>0</v>
    <v>THE COCA-COLA COMPANY (XNYS:KO)</v>
    <v>2</v>
    <v>3</v>
    <v>Finance</v>
    <v>4</v>
    <v>70.715000000000003</v>
    <v>51.55</v>
    <v>0.60499999999999998</v>
    <v>0.91500000000000004</v>
    <v>1.3110999999999999E-2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70.715000000000003</v>
    <v>Beverages</v>
    <v>Stock</v>
    <v>45530.686854316409</v>
    <v>91</v>
    <v>69.73</v>
    <v>304729216940</v>
    <v>THE COCA-COLA COMPANY</v>
    <v>THE COCA-COLA COMPANY</v>
    <v>69.819999999999993</v>
    <v>28.3614</v>
    <v>69.790000000000006</v>
    <v>70.704999999999998</v>
    <v>4309868000</v>
    <v>KO</v>
    <v>THE COCA-COLA COMPANY (XNYS:KO)</v>
    <v>3883321</v>
    <v>13597006</v>
    <v>1919</v>
  </rv>
  <rv s="2">
    <v>92</v>
  </rv>
  <rv s="0">
    <v>http://es.wikipedia.org/wiki/Adobe_(empresa)</v>
    <v>Wikipedia</v>
  </rv>
  <rv s="3">
    <v>3</v>
    <v>94</v>
  </rv>
  <rv s="4">
    <v>9</v>
    <v>https://www.bing.com/th?id=AMMS_503c684ccc667ad525fe1d703881df2c&amp;qlt=95</v>
    <v>95</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638.25</v>
    <v>433.97</v>
    <v>1.2923</v>
    <v>0.61</v>
    <v>1.093E-3</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29945</v>
    <v>Nasdaq Stock Market</v>
    <v>XNAS</v>
    <v>XNAS</v>
    <v>345 PARK AVE, SAN JOSE, CA, 95110-2704 US</v>
    <v>560.21</v>
    <v>96</v>
    <v>Software &amp; IT Services</v>
    <v>Stock</v>
    <v>45530.686823529686</v>
    <v>97</v>
    <v>555.03</v>
    <v>247820694000</v>
    <v>ADOBE INC.</v>
    <v>ADOBE INC.</v>
    <v>555.03</v>
    <v>50.135100000000001</v>
    <v>558.29999999999995</v>
    <v>558.91</v>
    <v>443400000</v>
    <v>ADBE</v>
    <v>ADOBE INC. (XNAS:ADBE)</v>
    <v>283170</v>
    <v>2031991</v>
    <v>1997</v>
  </rv>
  <rv s="2">
    <v>98</v>
  </rv>
  <rv s="0">
    <v>http://pt.wikipedia.org/wiki/Oracle_Corporation</v>
    <v>Wikipedia</v>
  </rv>
  <rv s="3">
    <v>3</v>
    <v>100</v>
  </rv>
  <rv s="4">
    <v>9</v>
    <v>https://www.bing.com/th?id=AMMS_672116c618c664d13b2515d6587ba357&amp;qlt=95</v>
    <v>101</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146.59</v>
    <v>99.26</v>
    <v>1.0003</v>
    <v>-0.2</v>
    <v>-1.4369999999999999E-3</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139.39500000000001</v>
    <v>102</v>
    <v>Software &amp; IT Services</v>
    <v>Stock</v>
    <v>45530.68683116875</v>
    <v>103</v>
    <v>138.27000000000001</v>
    <v>383036981400</v>
    <v>ORACLE CORPORATION</v>
    <v>ORACLE CORPORATION</v>
    <v>139.39500000000001</v>
    <v>37.541200000000003</v>
    <v>139.19</v>
    <v>138.99</v>
    <v>2755860000</v>
    <v>ORCL</v>
    <v>ORACLE CORPORATION (XNYS:ORCL)</v>
    <v>970814</v>
    <v>5936640</v>
    <v>2005</v>
  </rv>
  <rv s="2">
    <v>104</v>
  </rv>
  <rv s="0">
    <v>https://www.bing.com/financeapi/forcetrigger?t=axyhnm&amp;q=XNAS%3aPEP&amp;form=skydnc</v>
    <v>Learn more on Bing</v>
  </rv>
  <rv s="1">
    <v>en-US</v>
    <v>axyhnm</v>
    <v>268435456</v>
    <v>1</v>
    <v>Powered by Refinitiv</v>
    <v>0</v>
    <v>PEPSICO, INC. (XNAS:PEP)</v>
    <v>2</v>
    <v>3</v>
    <v>Finance</v>
    <v>4</v>
    <v>183.41</v>
    <v>155.83000000000001</v>
    <v>0.54159999999999997</v>
    <v>0.19</v>
    <v>1.08E-3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176.84</v>
    <v>Beverages</v>
    <v>Stock</v>
    <v>45530.686831921092</v>
    <v>106</v>
    <v>175.73</v>
    <v>241570200000</v>
    <v>PEPSICO, INC.</v>
    <v>PEPSICO, INC.</v>
    <v>176.32</v>
    <v>25.506900000000002</v>
    <v>175.87</v>
    <v>176.06</v>
    <v>1373572000</v>
    <v>PEP</v>
    <v>PEPSICO, INC. (XNAS:PEP)</v>
    <v>928902</v>
    <v>5083866</v>
    <v>1986</v>
  </rv>
  <rv s="2">
    <v>107</v>
  </rv>
  <rv s="0">
    <v>https://www.bing.com/financeapi/forcetrigger?t=a1qc1h&amp;q=XNYS%3aCRM&amp;form=skydnc</v>
    <v>Learn more on Bing</v>
  </rv>
  <rv s="1">
    <v>en-US</v>
    <v>a1qc1h</v>
    <v>268435456</v>
    <v>1</v>
    <v>Powered by Refinitiv</v>
    <v>0</v>
    <v>SALESFORCE, INC. (XNYS:CRM)</v>
    <v>2</v>
    <v>3</v>
    <v>Finance</v>
    <v>4</v>
    <v>318.71499999999997</v>
    <v>193.68</v>
    <v>1.298</v>
    <v>2.8250000000000002</v>
    <v>1.0701E-2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267.27499999999998</v>
    <v>Software &amp; IT Services</v>
    <v>Stock</v>
    <v>45530.686860312497</v>
    <v>109</v>
    <v>263.24</v>
    <v>258553425000</v>
    <v>SALESFORCE, INC.</v>
    <v>SALESFORCE, INC.</v>
    <v>263.83999999999997</v>
    <v>47.441200000000002</v>
    <v>264</v>
    <v>266.82499999999999</v>
    <v>969000000</v>
    <v>CRM</v>
    <v>SALESFORCE, INC. (XNYS:CRM)</v>
    <v>1814253</v>
    <v>4921894</v>
    <v>1999</v>
  </rv>
  <rv s="2">
    <v>110</v>
  </rv>
  <rv s="0">
    <v>https://www.bing.com/financeapi/forcetrigger?t=a24bsm&amp;q=XNYS%3aTMO&amp;form=skydnc</v>
    <v>Learn more on Bing</v>
  </rv>
  <rv s="1">
    <v>en-US</v>
    <v>a24bsm</v>
    <v>268435456</v>
    <v>1</v>
    <v>Powered by Refinitiv</v>
    <v>0</v>
    <v>THERMO FISHER SCIENTIFIC INCORPORATED (XNYS:TMO)</v>
    <v>2</v>
    <v>3</v>
    <v>Finance</v>
    <v>4</v>
    <v>622.29999999999995</v>
    <v>415.6</v>
    <v>0.77749999999999997</v>
    <v>-2.1349999999999998</v>
    <v>-3.522E-3</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606.90989999999999</v>
    <v>Healthcare Equipment &amp; Supplies</v>
    <v>Stock</v>
    <v>45530.686783251564</v>
    <v>112</v>
    <v>602.25</v>
    <v>230719612466</v>
    <v>THERMO FISHER SCIENTIFIC INCORPORATED</v>
    <v>THERMO FISHER SCIENTIFIC INCORPORATED</v>
    <v>606.62</v>
    <v>37.436999999999998</v>
    <v>606.12</v>
    <v>603.98500000000001</v>
    <v>381995600</v>
    <v>TMO</v>
    <v>THERMO FISHER SCIENTIFIC INCORPORATED (XNYS:TMO)</v>
    <v>140544</v>
    <v>1524650</v>
    <v>1960</v>
  </rv>
  <rv s="2">
    <v>113</v>
  </rv>
  <rv s="0">
    <v>https://www.bing.com/financeapi/forcetrigger?t=aa7f7w&amp;q=XASX%3aLIN&amp;form=skydnc</v>
    <v>Learn more on Bing</v>
  </rv>
  <rv s="6">
    <v>en-US</v>
    <v>aa7f7w</v>
    <v>268435456</v>
    <v>1</v>
    <v>Powered by Refinitiv</v>
    <v>10</v>
    <v>LINDIAN RESOURCES LIMITED (XASX:LIN)</v>
    <v>2</v>
    <v>11</v>
    <v>Finance</v>
    <v>12</v>
    <v>0.34</v>
    <v>9.7000000000000003E-2</v>
    <v>0.49159999999999998</v>
    <v>5.0000000000000001E-3</v>
    <v>4.5454999999999995E-2</v>
    <v>AUD</v>
    <v>Lindian Resources Limited is a mineral exploration company. The Company’s principal focus includes the ongoing exploration and development of the Kangankunde Rare Earths Project. In addition, the Company is advancing its portfolio of bauxite projects in Guinea. The Kangankunde Rare Earths Project is located in central Malawi approximately 90 kilometers (km) north of the city of Blantyre in the southern part of the country. The Kangankunde Rare Earths Project is rich in Neodymium and Praseodymium. Its Gaoual Bauxite Project is in northwestern Guinea within the Boke Bauxite Belt. It is situated south of the township of Gaoual in the northern portion of the Kogon-Tomine interfluve, about 65 km northeast of Sangaredi. The Lelouma Project is located just 40km from its high grade Gaoual conglomerate bauxite project. The Woula Bauxite Project is located in North-Western Guinea, and is 10km from an existing haul road connecting to the bauxite export terminal in Katougouma.</v>
    <v>2</v>
    <v>Australian Securities Exchange</v>
    <v>XASX</v>
    <v>XASX</v>
    <v>L 24 108 St Georges Terrace, PERTH, WESTERN AUSTRALIA, 6000 AU</v>
    <v>0.115</v>
    <v>Metals &amp; Mining</v>
    <v>Stock</v>
    <v>45530.375011574077</v>
    <v>115</v>
    <v>0.11</v>
    <v>126821400</v>
    <v>LINDIAN RESOURCES LIMITED</v>
    <v>LINDIAN RESOURCES LIMITED</v>
    <v>0.11</v>
    <v>0.11</v>
    <v>0.115</v>
    <v>1152922000</v>
    <v>LIN</v>
    <v>LINDIAN RESOURCES LIMITED (XASX:LIN)</v>
    <v>125807</v>
    <v>531880</v>
    <v>1999</v>
  </rv>
  <rv s="2">
    <v>116</v>
  </rv>
  <rv s="7">
    <v>12</v>
    <v>P/E</v>
    <v>0</v>
  </rv>
  <rv s="0">
    <v>https://www.bing.com/financeapi/forcetrigger?t=a25tgh&amp;q=XNYS%3aWFC&amp;form=skydnc</v>
    <v>Learn more on Bing</v>
  </rv>
  <rv s="1">
    <v>en-US</v>
    <v>a25tgh</v>
    <v>268435456</v>
    <v>1</v>
    <v>Powered by Refinitiv</v>
    <v>0</v>
    <v>WELLS FARGO &amp; COMPANY (XNYS:WFC)</v>
    <v>2</v>
    <v>3</v>
    <v>Finance</v>
    <v>4</v>
    <v>62.55</v>
    <v>38.384999999999998</v>
    <v>1.1627000000000001</v>
    <v>0.22</v>
    <v>3.8800000000000002E-3</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222544</v>
    <v>New York Stock Exchange</v>
    <v>XNYS</v>
    <v>XNYS</v>
    <v>420 Montgomery Street, SAN FRANCISCO, CA, 94104 US</v>
    <v>57.15</v>
    <v>Banking Services</v>
    <v>Stock</v>
    <v>45530.686813957815</v>
    <v>119</v>
    <v>56.706899999999997</v>
    <v>193742588400</v>
    <v>WELLS FARGO &amp; COMPANY</v>
    <v>WELLS FARGO &amp; COMPANY</v>
    <v>57.01</v>
    <v>11.6328</v>
    <v>56.7</v>
    <v>56.92</v>
    <v>3403770000</v>
    <v>WFC</v>
    <v>WELLS FARGO &amp; COMPANY (XNYS:WFC)</v>
    <v>3007227</v>
    <v>15362712</v>
    <v>1929</v>
  </rv>
  <rv s="2">
    <v>120</v>
  </rv>
  <rv s="0">
    <v>https://www.bing.com/financeapi/forcetrigger?t=a1nda2&amp;q=XNAS%3aAMAT&amp;form=skydnc</v>
    <v>Learn more on Bing</v>
  </rv>
  <rv s="1">
    <v>en-US</v>
    <v>a1nda2</v>
    <v>268435456</v>
    <v>1</v>
    <v>Powered by Refinitiv</v>
    <v>0</v>
    <v>APPLIED MATERIALS, INC. (XNAS:AMAT)</v>
    <v>2</v>
    <v>3</v>
    <v>Finance</v>
    <v>4</v>
    <v>255.89</v>
    <v>129.21</v>
    <v>1.5439000000000001</v>
    <v>-5.38</v>
    <v>-2.6546E-2</v>
    <v>USD</v>
    <v>Applied Materials, Inc. is a materials engineering solutions provider. The Company provides manufacturing equipment, services and software to the semiconductor, display and related industries. Its segments include Semiconductor Systems, Applied Global Services (AGS), and Display and Adjacent Markets. Semiconductor Systems segment develops, manufactures and sells a range of manufacturing equipment used to fabricate semiconductor chips, also referred to as integrated circuits (ICs). AGS segment provides integrated solutions to optimize equipment and fab performance and productivity, including spares, upgrades, services, remanufactured earlier generation equipment and factory automation software for semiconductor, display and other products. Display and Adjacent Markets segment is comprised of products for manufacturing liquid crystal displays (LCDs), organic light-emitting diodes (OLEDs), and other display technologies for monitors, smart phones, and other consumer-oriented devices.</v>
    <v>34000</v>
    <v>Nasdaq Stock Market</v>
    <v>XNAS</v>
    <v>XNAS</v>
    <v>3050 Bowers Ave, SANTA CLARA, CA, 95054-3299 US</v>
    <v>201.26</v>
    <v>Semiconductors &amp; Semiconductor Equipment</v>
    <v>Stock</v>
    <v>45530.686795358597</v>
    <v>122</v>
    <v>195.16</v>
    <v>162646684889</v>
    <v>APPLIED MATERIALS, INC.</v>
    <v>APPLIED MATERIALS, INC.</v>
    <v>200.85</v>
    <v>22.774799999999999</v>
    <v>202.67</v>
    <v>197.29</v>
    <v>824404100</v>
    <v>AMAT</v>
    <v>APPLIED MATERIALS, INC. (XNAS:AMAT)</v>
    <v>2694332</v>
    <v>7457225</v>
    <v>1987</v>
  </rv>
  <rv s="2">
    <v>123</v>
  </rv>
  <rv s="0">
    <v>https://www.bing.com/financeapi/forcetrigger?t=a1qe5r&amp;q=XNAS%3aCSCO&amp;form=skydnc</v>
    <v>Learn more on Bing</v>
  </rv>
  <rv s="1">
    <v>en-US</v>
    <v>a1qe5r</v>
    <v>268435456</v>
    <v>1</v>
    <v>Powered by Refinitiv</v>
    <v>0</v>
    <v>CISCO SYSTEMS, INC. (XNAS:CSCO)</v>
    <v>2</v>
    <v>3</v>
    <v>Finance</v>
    <v>4</v>
    <v>58.185000000000002</v>
    <v>44.5</v>
    <v>0.82110000000000005</v>
    <v>9.5000000000000001E-2</v>
    <v>1.872E-3</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84900</v>
    <v>Nasdaq Stock Market</v>
    <v>XNAS</v>
    <v>XNAS</v>
    <v>170 West Tasman Dr, SAN JOSE, CA, 95134-1706 US</v>
    <v>51.015000000000001</v>
    <v>Communications &amp; Networking</v>
    <v>Stock</v>
    <v>45530.686846203127</v>
    <v>125</v>
    <v>50.724200000000003</v>
    <v>204804810525</v>
    <v>CISCO SYSTEMS, INC.</v>
    <v>CISCO SYSTEMS, INC.</v>
    <v>50.74</v>
    <v>19.9984</v>
    <v>50.74</v>
    <v>50.835000000000001</v>
    <v>4028815000</v>
    <v>CSCO</v>
    <v>CISCO SYSTEMS, INC. (XNAS:CSCO)</v>
    <v>3548564</v>
    <v>21524484</v>
    <v>2021</v>
  </rv>
  <rv s="2">
    <v>126</v>
  </rv>
  <rv s="0">
    <v>http://en.wikipedia.org/wiki/McDonald's</v>
    <v>Wikipedia</v>
  </rv>
  <rv s="3">
    <v>3</v>
    <v>128</v>
  </rv>
  <rv s="4">
    <v>9</v>
    <v>https://www.bing.com/th?id=AMMS_7d8255243964a8970376f8dd41121106&amp;qlt=95</v>
    <v>129</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302.39</v>
    <v>243.53</v>
    <v>0.72199999999999998</v>
    <v>-0.78439999999999999</v>
    <v>-2.7089999999999996E-3</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292.20999999999998</v>
    <v>130</v>
    <v>Hotels &amp; Entertainment Services</v>
    <v>Stock</v>
    <v>45530.686821735937</v>
    <v>131</v>
    <v>288.05</v>
    <v>207122548131</v>
    <v>MCDONALD'S CORPORATION</v>
    <v>MCDONALD'S CORPORATION</v>
    <v>289.32</v>
    <v>25.334499999999998</v>
    <v>289.52</v>
    <v>288.73559999999998</v>
    <v>717343300</v>
    <v>MCD</v>
    <v>MCDONALD'S CORPORATION (XNYS:MCD)</v>
    <v>828816</v>
    <v>4037603</v>
    <v>1964</v>
  </rv>
  <rv s="2">
    <v>132</v>
  </rv>
  <rv s="0">
    <v>https://www.bing.com/financeapi/forcetrigger?t=a1mrar&amp;q=XNYS%3aABT&amp;form=skydnc</v>
    <v>Learn more on Bing</v>
  </rv>
  <rv s="1">
    <v>en-US</v>
    <v>a1mrar</v>
    <v>268435456</v>
    <v>1</v>
    <v>Powered by Refinitiv</v>
    <v>0</v>
    <v>ABBOTT LABORATORIES (XNYS:ABT)</v>
    <v>2</v>
    <v>3</v>
    <v>Finance</v>
    <v>4</v>
    <v>121.64</v>
    <v>89.674000000000007</v>
    <v>0.72009999999999996</v>
    <v>0.42499999999999999</v>
    <v>3.771E-3</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113.25</v>
    <v>Healthcare Equipment &amp; Supplies</v>
    <v>Stock</v>
    <v>45530.686809339844</v>
    <v>134</v>
    <v>112.075</v>
    <v>196808449155</v>
    <v>ABBOTT LABORATORIES</v>
    <v>ABBOTT LABORATORIES</v>
    <v>112.83499999999999</v>
    <v>35.451999999999998</v>
    <v>112.69</v>
    <v>113.11499999999999</v>
    <v>1739897000</v>
    <v>ABT</v>
    <v>ABBOTT LABORATORIES (XNYS:ABT)</v>
    <v>1251353</v>
    <v>6898913</v>
    <v>1900</v>
  </rv>
  <rv s="2">
    <v>135</v>
  </rv>
  <rv s="0">
    <v>https://www.bing.com/financeapi/forcetrigger?t=a1tr1h&amp;q=XNYS%3aGE&amp;form=skydnc</v>
    <v>Learn more on Bing</v>
  </rv>
  <rv s="1">
    <v>en-US</v>
    <v>a1tr1h</v>
    <v>268435456</v>
    <v>1</v>
    <v>Powered by Refinitiv</v>
    <v>0</v>
    <v>GENERAL ELECTRIC COMPANY (XNYS:GE)</v>
    <v>2</v>
    <v>3</v>
    <v>Finance</v>
    <v>4</v>
    <v>177.2</v>
    <v>84.163399999999996</v>
    <v>1.1843999999999999</v>
    <v>6.5000000000000002E-2</v>
    <v>3.7960000000000001E-4</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CINCINNATI, OH, 45215 US</v>
    <v>171.72</v>
    <v>Consumer Goods Conglomerates</v>
    <v>Stock</v>
    <v>45530.686821249998</v>
    <v>137</v>
    <v>169.58099999999999</v>
    <v>185726209635</v>
    <v>GENERAL ELECTRIC COMPANY</v>
    <v>GENERAL ELECTRIC COMPANY</v>
    <v>170.73</v>
    <v>39.9664</v>
    <v>171.22</v>
    <v>171.285</v>
    <v>1084311000</v>
    <v>GE</v>
    <v>GENERAL ELECTRIC COMPANY (XNYS:GE)</v>
    <v>1602734</v>
    <v>5425258</v>
    <v>1892</v>
  </rv>
  <rv s="2">
    <v>138</v>
  </rv>
  <rv s="0">
    <v>https://www.bing.com/financeapi/forcetrigger?t=a1mthw&amp;q=XNYS%3aACN&amp;form=skydnc</v>
    <v>Learn more on Bing</v>
  </rv>
  <rv s="1">
    <v>en-US</v>
    <v>a1mthw</v>
    <v>268435456</v>
    <v>1</v>
    <v>Powered by Refinitiv</v>
    <v>0</v>
    <v>ACCENTURE PUBLIC LIMITED COMPANY (XNYS:ACN)</v>
    <v>2</v>
    <v>3</v>
    <v>Finance</v>
    <v>4</v>
    <v>387.51</v>
    <v>278.69</v>
    <v>1.2361</v>
    <v>2.4449999999999998</v>
    <v>7.3360000000000005E-3</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733000</v>
    <v>New York Stock Exchange</v>
    <v>XNYS</v>
    <v>XNYS</v>
    <v>1 Grand Canal Square, Grand Canal Harbour, Dublin 2, DUBLIN, DUBLIN IE</v>
    <v>336.05990000000003</v>
    <v>Software &amp; IT Services</v>
    <v>Stock</v>
    <v>45530.686820358591</v>
    <v>140</v>
    <v>331.77</v>
    <v>210286638845</v>
    <v>ACCENTURE PUBLIC LIMITED COMPANY</v>
    <v>ACCENTURE PUBLIC LIMITED COMPANY</v>
    <v>333.05</v>
    <v>30.502500000000001</v>
    <v>333.27</v>
    <v>335.71499999999997</v>
    <v>626384400</v>
    <v>ACN</v>
    <v>ACCENTURE PUBLIC LIMITED COMPANY (XNYS:ACN)</v>
    <v>450710</v>
    <v>2224962</v>
    <v>2009</v>
  </rv>
  <rv s="2">
    <v>141</v>
  </rv>
  <rv s="0">
    <v>https://www.bing.com/financeapi/forcetrigger?t=a24p1h&amp;q=XNAS%3aTXN&amp;form=skydnc</v>
    <v>Learn more on Bing</v>
  </rv>
  <rv s="1">
    <v>en-US</v>
    <v>a24p1h</v>
    <v>268435456</v>
    <v>1</v>
    <v>Powered by Refinitiv</v>
    <v>0</v>
    <v>TEXAS INSTRUMENTS INCORPORATED (XNAS:TXN)</v>
    <v>2</v>
    <v>3</v>
    <v>Finance</v>
    <v>4</v>
    <v>210.88</v>
    <v>139.47999999999999</v>
    <v>0.97550000000000003</v>
    <v>-1.17</v>
    <v>-5.5750000000000001E-3</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210</v>
    <v>Semiconductors &amp; Semiconductor Equipment</v>
    <v>Stock</v>
    <v>45530.68684977969</v>
    <v>143</v>
    <v>207.55</v>
    <v>190561830660</v>
    <v>TEXAS INSTRUMENTS INCORPORATED</v>
    <v>TEXAS INSTRUMENTS INCORPORATED</v>
    <v>209</v>
    <v>36.417299999999997</v>
    <v>209.88</v>
    <v>208.71</v>
    <v>913046000</v>
    <v>TXN</v>
    <v>TEXAS INSTRUMENTS INCORPORATED (XNAS:TXN)</v>
    <v>1566274</v>
    <v>6192002</v>
    <v>1938</v>
  </rv>
  <rv s="2">
    <v>144</v>
  </rv>
  <rv s="0">
    <v>https://www.bing.com/financeapi/forcetrigger?t=a1vmtc&amp;q=XNAS%3aINTU&amp;form=skydnc</v>
    <v>Learn more on Bing</v>
  </rv>
  <rv s="1">
    <v>en-US</v>
    <v>a1vmtc</v>
    <v>268435456</v>
    <v>1</v>
    <v>Powered by Refinitiv</v>
    <v>0</v>
    <v>INTUIT INC. (XNAS:INTU)</v>
    <v>2</v>
    <v>3</v>
    <v>Finance</v>
    <v>4</v>
    <v>676.62</v>
    <v>473.56</v>
    <v>1.2403</v>
    <v>-1.4999999999999999E-2</v>
    <v>-2.4199999999999999E-5</v>
    <v>USD</v>
    <v>Intuit Inc. is a global financial technology platform that helps consumers and small businesses prosper by delivering financial management, compliance, and marketing products and services. The Company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18200</v>
    <v>Nasdaq Stock Market</v>
    <v>XNAS</v>
    <v>XNAS</v>
    <v>2700 Coast Avenue, MOUNTAIN VIEW, CA, 94043 US</v>
    <v>633.73500000000001</v>
    <v>Financial Technology (Fintech) &amp; Infrastructure</v>
    <v>Stock</v>
    <v>45530.68681960625</v>
    <v>146</v>
    <v>615.73</v>
    <v>173273014745</v>
    <v>INTUIT INC.</v>
    <v>INTUIT INC.</v>
    <v>622.54999999999995</v>
    <v>59.098599999999998</v>
    <v>619.85</v>
    <v>619.83500000000004</v>
    <v>279547000</v>
    <v>INTU</v>
    <v>INTUIT INC. (XNAS:INTU)</v>
    <v>837598</v>
    <v>1338320</v>
    <v>1993</v>
  </rv>
  <rv s="2">
    <v>147</v>
  </rv>
  <rv s="0">
    <v>https://www.bing.com/financeapi/forcetrigger?t=a1y4oc&amp;q=XNAS%3aMU&amp;form=skydnc</v>
    <v>Learn more on Bing</v>
  </rv>
  <rv s="1">
    <v>en-US</v>
    <v>a1y4oc</v>
    <v>268435456</v>
    <v>1</v>
    <v>Powered by Refinitiv</v>
    <v>0</v>
    <v>MICRON TECHNOLOGY, INC. (XNAS:MU)</v>
    <v>2</v>
    <v>3</v>
    <v>Finance</v>
    <v>4</v>
    <v>157.535</v>
    <v>63.83</v>
    <v>1.1795</v>
    <v>-2.94</v>
    <v>-2.8584999999999999E-2</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102.19</v>
    <v>Semiconductors &amp; Semiconductor Equipment</v>
    <v>Stock</v>
    <v>45530.686831527346</v>
    <v>149</v>
    <v>97.61</v>
    <v>110784304310</v>
    <v>MICRON TECHNOLOGY, INC.</v>
    <v>MICRON TECHNOLOGY, INC.</v>
    <v>100.7</v>
    <v>0</v>
    <v>102.85</v>
    <v>99.91</v>
    <v>1108841000</v>
    <v>MU</v>
    <v>MICRON TECHNOLOGY, INC. (XNAS:MU)</v>
    <v>13461272</v>
    <v>23347405</v>
    <v>1984</v>
  </rv>
  <rv s="2">
    <v>150</v>
  </rv>
  <rv s="0">
    <v>https://www.bing.com/financeapi/forcetrigger?t=a1r1r7&amp;q=XNYS%3aDHR&amp;form=skydnc</v>
    <v>Learn more on Bing</v>
  </rv>
  <rv s="1">
    <v>en-US</v>
    <v>a1r1r7</v>
    <v>268435456</v>
    <v>1</v>
    <v>Powered by Refinitiv</v>
    <v>0</v>
    <v>DANAHER CORPORATION (XNYS:DHR)</v>
    <v>2</v>
    <v>3</v>
    <v>Finance</v>
    <v>4</v>
    <v>281.7</v>
    <v>182.09</v>
    <v>0.84089999999999998</v>
    <v>-1.41</v>
    <v>-5.2319999999999997E-3</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270.26</v>
    <v>Healthcare Equipment &amp; Supplies</v>
    <v>Stock</v>
    <v>45530.686827673439</v>
    <v>152</v>
    <v>267.375</v>
    <v>193603665717</v>
    <v>DANAHER CORPORATION</v>
    <v>DANAHER CORPORATION</v>
    <v>269.72000000000003</v>
    <v>47.364699999999999</v>
    <v>269.48</v>
    <v>268.07</v>
    <v>722213100</v>
    <v>DHR</v>
    <v>DANAHER CORPORATION (XNYS:DHR)</v>
    <v>445781</v>
    <v>2561228</v>
    <v>1986</v>
  </rv>
  <rv s="2">
    <v>153</v>
  </rv>
  <rv s="0">
    <v>https://www.bing.com/financeapi/forcetrigger?t=a25obh&amp;q=XNYS%3aVZ&amp;form=skydnc</v>
    <v>Learn more on Bing</v>
  </rv>
  <rv s="1">
    <v>en-US</v>
    <v>a25obh</v>
    <v>268435456</v>
    <v>1</v>
    <v>Powered by Refinitiv</v>
    <v>0</v>
    <v>VERIZON COMMUNICATIONS INC. (XNYS:VZ)</v>
    <v>2</v>
    <v>3</v>
    <v>Finance</v>
    <v>4</v>
    <v>43.42</v>
    <v>30.135000000000002</v>
    <v>0.40710000000000002</v>
    <v>0.21279999999999999</v>
    <v>5.1639999999999993E-3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41.74</v>
    <v>Telecommunications Services</v>
    <v>Stock</v>
    <v>45530.686814883593</v>
    <v>155</v>
    <v>41.24</v>
    <v>174370105056</v>
    <v>VERIZON COMMUNICATIONS INC.</v>
    <v>VERIZON COMMUNICATIONS INC.</v>
    <v>41.37</v>
    <v>15.643000000000001</v>
    <v>41.21</v>
    <v>41.422800000000002</v>
    <v>4209520000</v>
    <v>VZ</v>
    <v>VERIZON COMMUNICATIONS INC. (XNYS:VZ)</v>
    <v>4186784</v>
    <v>17732059</v>
    <v>1983</v>
  </rv>
  <rv s="2">
    <v>156</v>
  </rv>
  <rv s="0">
    <v>https://www.bing.com/financeapi/forcetrigger?t=a1p7zr&amp;q=XNYS%3aCAT&amp;form=skydnc</v>
    <v>Learn more on Bing</v>
  </rv>
  <rv s="1">
    <v>en-US</v>
    <v>a1p7zr</v>
    <v>268435456</v>
    <v>1</v>
    <v>Powered by Refinitiv</v>
    <v>0</v>
    <v>CATERPILLAR INC. (XNYS:CAT)</v>
    <v>2</v>
    <v>3</v>
    <v>Finance</v>
    <v>4</v>
    <v>382.01</v>
    <v>223.76</v>
    <v>1.0891</v>
    <v>3.92</v>
    <v>1.1251000000000001E-2</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354.41</v>
    <v>Machinery, Equipment &amp; Components</v>
    <v>Stock</v>
    <v>45530.686854178122</v>
    <v>158</v>
    <v>348.935</v>
    <v>170844147573</v>
    <v>CATERPILLAR INC.</v>
    <v>CATERPILLAR INC.</v>
    <v>350.15</v>
    <v>15.8727</v>
    <v>348.41</v>
    <v>352.33</v>
    <v>484898100</v>
    <v>CAT</v>
    <v>CATERPILLAR INC. (XNYS:CAT)</v>
    <v>793543</v>
    <v>2578591</v>
    <v>1986</v>
  </rv>
  <rv s="2">
    <v>159</v>
  </rv>
  <rv s="0">
    <v>http://en.wikipedia.org/wiki/Amgen</v>
    <v>Wikipedia</v>
  </rv>
  <rv s="3">
    <v>3</v>
    <v>161</v>
  </rv>
  <rv s="4">
    <v>9</v>
    <v>https://www.bing.com/th?id=AMMS_7651d2e878d4df4bb82a200be2db03e3&amp;qlt=95</v>
    <v>162</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346.85</v>
    <v>248.38</v>
    <v>0.60189999999999999</v>
    <v>-2.2999999999999998</v>
    <v>-6.9950000000000003E-3</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330.25869999999998</v>
    <v>163</v>
    <v>Pharmaceuticals</v>
    <v>Stock</v>
    <v>45530.68681990703</v>
    <v>164</v>
    <v>326.18</v>
    <v>175437983800</v>
    <v>AMGEN INC.</v>
    <v>AMGEN INC.</v>
    <v>328.41</v>
    <v>56.597900000000003</v>
    <v>328.8</v>
    <v>326.5</v>
    <v>537329200</v>
    <v>AMGN</v>
    <v>AMGEN INC. (XNAS:AMGN)</v>
    <v>461220</v>
    <v>2002824</v>
    <v>1986</v>
  </rv>
  <rv s="2">
    <v>165</v>
  </rv>
  <rv s="0">
    <v>https://www.bing.com/financeapi/forcetrigger?t=a1zzmw&amp;q=XNYS%3aPM&amp;form=skydnc</v>
    <v>Learn more on Bing</v>
  </rv>
  <rv s="1">
    <v>en-US</v>
    <v>a1zzmw</v>
    <v>268435456</v>
    <v>1</v>
    <v>Powered by Refinitiv</v>
    <v>0</v>
    <v>Philip Morris International Inc. (XNYS:PM)</v>
    <v>2</v>
    <v>3</v>
    <v>Finance</v>
    <v>4</v>
    <v>121.57</v>
    <v>87.23</v>
    <v>0.57669999999999999</v>
    <v>1.01</v>
    <v>8.4060000000000003E-3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121.57</v>
    <v>Food &amp; Tobacco</v>
    <v>Stock</v>
    <v>45530.686812904685</v>
    <v>167</v>
    <v>120.03</v>
    <v>188379810320</v>
    <v>Philip Morris International Inc.</v>
    <v>Philip Morris International Inc.</v>
    <v>120.075</v>
    <v>21.269500000000001</v>
    <v>120.15</v>
    <v>121.16</v>
    <v>1554802000</v>
    <v>PM</v>
    <v>Philip Morris International Inc. (XNYS:PM)</v>
    <v>1052913</v>
    <v>5286841</v>
    <v>2007</v>
  </rv>
  <rv s="2">
    <v>168</v>
  </rv>
  <rv s="0">
    <v>http://en.wikipedia.org/wiki/IBM</v>
    <v>Wikipedia</v>
  </rv>
  <rv s="3">
    <v>3</v>
    <v>170</v>
  </rv>
  <rv s="4">
    <v>9</v>
    <v>https://www.bing.com/th?id=AMMS_41da901be1b295dc42c72dadb9c0f67d&amp;qlt=95</v>
    <v>171</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199.18</v>
    <v>135.87</v>
    <v>0.68679999999999997</v>
    <v>1.32</v>
    <v>6.731E-3</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1 New Orchard Road, ARMONK, NY, 10504 US</v>
    <v>197.99</v>
    <v>172</v>
    <v>Software &amp; IT Services</v>
    <v>Stock</v>
    <v>45530.686848876561</v>
    <v>173</v>
    <v>195.9</v>
    <v>181853077644</v>
    <v>INTERNATIONAL BUSINESS MACHINES CORPORATION</v>
    <v>INTERNATIONAL BUSINESS MACHINES CORPORATION</v>
    <v>196.005</v>
    <v>20.571899999999999</v>
    <v>196.1</v>
    <v>197.42</v>
    <v>921148200</v>
    <v>IBM</v>
    <v>INTERNATIONAL BUSINESS MACHINES CORPORATION (XNYS:IBM)</v>
    <v>720427</v>
    <v>3492085</v>
    <v>1911</v>
  </rv>
  <rv s="2">
    <v>174</v>
  </rv>
  <rv s="0">
    <v>https://www.bing.com/financeapi/forcetrigger?t=a1zqnm&amp;q=XNYS%3aPFE&amp;form=skydnc</v>
    <v>Learn more on Bing</v>
  </rv>
  <rv s="6">
    <v>en-US</v>
    <v>a1zqnm</v>
    <v>268435456</v>
    <v>1</v>
    <v>Powered by Refinitiv</v>
    <v>10</v>
    <v>PFIZER INC. (XNYS:PFE)</v>
    <v>2</v>
    <v>13</v>
    <v>Finance</v>
    <v>4</v>
    <v>36.94</v>
    <v>25.2</v>
    <v>0.65359999999999996</v>
    <v>-0.01</v>
    <v>-3.4600000000000001E-4</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29.05</v>
    <v>Pharmaceuticals</v>
    <v>Stock</v>
    <v>45530.686851909377</v>
    <v>176</v>
    <v>28.77</v>
    <v>163710818550</v>
    <v>PFIZER INC.</v>
    <v>PFIZER INC.</v>
    <v>28.95</v>
    <v>28.9</v>
    <v>28.89</v>
    <v>5666695000</v>
    <v>PFE</v>
    <v>PFIZER INC. (XNYS:PFE)</v>
    <v>6345890</v>
    <v>34273113</v>
    <v>1942</v>
  </rv>
  <rv s="2">
    <v>177</v>
  </rv>
  <rv s="0">
    <v>https://www.bing.com/financeapi/forcetrigger?t=a1vt77&amp;q=XNAS%3aISRG&amp;form=skydnc</v>
    <v>Learn more on Bing</v>
  </rv>
  <rv s="1">
    <v>en-US</v>
    <v>a1vt77</v>
    <v>268435456</v>
    <v>1</v>
    <v>Powered by Refinitiv</v>
    <v>0</v>
    <v>INTUITIVE SURGICAL, INC. (XNAS:ISRG)</v>
    <v>2</v>
    <v>3</v>
    <v>Finance</v>
    <v>4</v>
    <v>493.97</v>
    <v>254.85</v>
    <v>1.3943000000000001</v>
    <v>-6.3650000000000002</v>
    <v>-1.3082E-2</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487.27499999999998</v>
    <v>Healthcare Equipment &amp; Supplies</v>
    <v>Stock</v>
    <v>45530.686782534372</v>
    <v>179</v>
    <v>476.88</v>
    <v>170324404573</v>
    <v>INTUITIVE SURGICAL, INC.</v>
    <v>INTUITIVE SURGICAL, INC.</v>
    <v>486.88</v>
    <v>82.307000000000002</v>
    <v>486.55</v>
    <v>480.185</v>
    <v>354705800</v>
    <v>ISRG</v>
    <v>INTUITIVE SURGICAL, INC. (XNAS:ISRG)</v>
    <v>471263</v>
    <v>1471698</v>
    <v>1995</v>
  </rv>
  <rv s="2">
    <v>180</v>
  </rv>
  <rv s="0">
    <v>https://www.bing.com/financeapi/forcetrigger?t=a1yoa2&amp;q=XNYS%3aNOW&amp;form=skydnc</v>
    <v>Learn more on Bing</v>
  </rv>
  <rv s="1">
    <v>en-US</v>
    <v>a1yoa2</v>
    <v>268435456</v>
    <v>1</v>
    <v>Powered by Refinitiv</v>
    <v>0</v>
    <v>SERVICENOW, INC. (XNYS:NOW)</v>
    <v>2</v>
    <v>3</v>
    <v>Finance</v>
    <v>4</v>
    <v>850.33</v>
    <v>527.24</v>
    <v>0.98329999999999995</v>
    <v>4.9649999999999999</v>
    <v>5.9940000000000002E-3</v>
    <v>USD</v>
    <v>ServiceNow, Inc. is a digital workflow company. The Company’s intelligent platform, the Now Platform, is a cloud-based solution with embedded artificial intelligence and machine learning capabilities that helps global enterprises across industries, universities and governments unify and digitize their workflows. The Company's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The Company also enhances GenAI-powered search and knowledge management capabilities on the Now Platform.</v>
    <v>22668</v>
    <v>New York Stock Exchange</v>
    <v>XNYS</v>
    <v>XNYS</v>
    <v>2225 Lawson Ln, SANTA CLARA, CA, 95054-3311 US</v>
    <v>836.75990000000002</v>
    <v>Software &amp; IT Services</v>
    <v>Stock</v>
    <v>45530.686798610936</v>
    <v>182</v>
    <v>826.50009999999997</v>
    <v>171646410000</v>
    <v>SERVICENOW, INC.</v>
    <v>SERVICENOW, INC.</v>
    <v>829.45</v>
    <v>149.71799999999999</v>
    <v>828.27</v>
    <v>833.23500000000001</v>
    <v>206000000</v>
    <v>NOW</v>
    <v>SERVICENOW, INC. (XNYS:NOW)</v>
    <v>202193</v>
    <v>1398557</v>
    <v>2012</v>
  </rv>
  <rv s="2">
    <v>183</v>
  </rv>
  <rv s="0">
    <v>https://www.bing.com/financeapi/forcetrigger?t=a1u7xm&amp;q=XNYS%3aGS&amp;form=skydnc</v>
    <v>Learn more on Bing</v>
  </rv>
  <rv s="1">
    <v>en-US</v>
    <v>a1u7xm</v>
    <v>268435456</v>
    <v>1</v>
    <v>Powered by Refinitiv</v>
    <v>0</v>
    <v>THE GOLDMAN SACHS GROUP, INC. (XNYS:GS)</v>
    <v>2</v>
    <v>3</v>
    <v>Finance</v>
    <v>4</v>
    <v>517.26</v>
    <v>289.35680000000002</v>
    <v>1.353</v>
    <v>-2.19</v>
    <v>-4.2989999999999999E-3</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44300</v>
    <v>New York Stock Exchange</v>
    <v>XNYS</v>
    <v>XNYS</v>
    <v>200 West St, NEW YORK, NY, 10282 US</v>
    <v>513.5</v>
    <v>Investment Banking &amp; Investment Services</v>
    <v>Stock</v>
    <v>45530.68682936328</v>
    <v>185</v>
    <v>506.01</v>
    <v>160183031108</v>
    <v>THE GOLDMAN SACHS GROUP, INC.</v>
    <v>THE GOLDMAN SACHS GROUP, INC.</v>
    <v>512.77</v>
    <v>16.3566</v>
    <v>509.42</v>
    <v>507.23</v>
    <v>315799600</v>
    <v>GS</v>
    <v>THE GOLDMAN SACHS GROUP, INC. (XNYS:GS)</v>
    <v>497213</v>
    <v>2136804</v>
    <v>1998</v>
  </rv>
  <rv s="2">
    <v>186</v>
  </rv>
  <rv s="0">
    <v>https://www.bing.com/financeapi/forcetrigger?t=a1pwqh&amp;q=XNAS%3aCMCSA&amp;form=skydnc</v>
    <v>Learn more on Bing</v>
  </rv>
  <rv s="1">
    <v>en-US</v>
    <v>a1pwqh</v>
    <v>268435456</v>
    <v>1</v>
    <v>Powered by Refinitiv</v>
    <v>0</v>
    <v>COMCAST CORPORATION (XNAS:CMCSA)</v>
    <v>2</v>
    <v>3</v>
    <v>Finance</v>
    <v>4</v>
    <v>47.3</v>
    <v>36.43</v>
    <v>1.0115000000000001</v>
    <v>0.56999999999999995</v>
    <v>1.4314E-2</v>
    <v>USD</v>
    <v>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v>
    <v>186000</v>
    <v>Nasdaq Stock Market</v>
    <v>XNAS</v>
    <v>XNAS</v>
    <v>1 Comcast Ctr, PHILADELPHIA, PA, 19103-2838 US</v>
    <v>40.454999999999998</v>
    <v>Telecommunications Services</v>
    <v>Stock</v>
    <v>45530.686766099221</v>
    <v>188</v>
    <v>39.86</v>
    <v>156410355780</v>
    <v>COMCAST CORPORATION</v>
    <v>COMCAST CORPORATION</v>
    <v>39.950000000000003</v>
    <v>10.600899999999999</v>
    <v>39.82</v>
    <v>40.39</v>
    <v>3872502000</v>
    <v>CMCSA</v>
    <v>COMCAST CORPORATION (XNAS:CMCSA)</v>
    <v>3335593</v>
    <v>18322007</v>
    <v>2001</v>
  </rv>
  <rv s="2">
    <v>189</v>
  </rv>
  <rv s="0">
    <v>https://www.bing.com/financeapi/forcetrigger?t=bptw77&amp;q=XNYS%3aUBER&amp;form=skydnc</v>
    <v>Learn more on Bing</v>
  </rv>
  <rv s="1">
    <v>en-US</v>
    <v>bptw77</v>
    <v>268435456</v>
    <v>1</v>
    <v>Powered by Refinitiv</v>
    <v>0</v>
    <v>UBER TECHNOLOGIES, INC. (XNYS:UBER)</v>
    <v>2</v>
    <v>3</v>
    <v>Finance</v>
    <v>4</v>
    <v>82.14</v>
    <v>40.090000000000003</v>
    <v>1.3281000000000001</v>
    <v>-1.62</v>
    <v>-2.1802999999999999E-2</v>
    <v>USD</v>
    <v>Uber Technologies, Inc. is a technology company, which develops and operates proprietary technology applications supporting a variety of offerings on its platform (Platform(s)). The Company connects consumers (Rider(s)) with independent providers of ride services (Mobility Driver(s)) for ride sharing services and connects Riders and other consumers (Eater(s)) with restaurants, grocers and other stores with delivery service providers (Couriers) for meal preparation, grocery and other delivery services. The Company also connects consumers with public transportation networks. It also connects shippers with carriers in the freight industry. It is also developing technologies designed to provide new solutions to solve everyday problems. Its technology is available in approximately 70 countries around the world, principally in the United States and Canada, Latin America, Europe (excluding Russia), the Middle East, Africa, and Asia (excluding China and Southeast Asia).</v>
    <v>30400</v>
    <v>New York Stock Exchange</v>
    <v>XNYS</v>
    <v>XNYS</v>
    <v>1725 3Rd Street, SAN FRANCISCO, CA, 94158 US</v>
    <v>74.3</v>
    <v>Software &amp; IT Services</v>
    <v>Stock</v>
    <v>45530.686822128904</v>
    <v>191</v>
    <v>72.34</v>
    <v>152696101160</v>
    <v>UBER TECHNOLOGIES, INC.</v>
    <v>UBER TECHNOLOGIES, INC.</v>
    <v>74.260000000000005</v>
    <v>79.458600000000004</v>
    <v>74.3</v>
    <v>72.680000000000007</v>
    <v>2100937000</v>
    <v>UBER</v>
    <v>UBER TECHNOLOGIES, INC. (XNYS:UBER)</v>
    <v>4790241</v>
    <v>17907633</v>
    <v>2010</v>
  </rv>
  <rv s="2">
    <v>192</v>
  </rv>
  <rv s="0">
    <v>https://www.bing.com/financeapi/forcetrigger?t=a1ye2w&amp;q=XNYS%3aNEE&amp;form=skydnc</v>
    <v>Learn more on Bing</v>
  </rv>
  <rv s="1">
    <v>en-US</v>
    <v>a1ye2w</v>
    <v>268435456</v>
    <v>1</v>
    <v>Powered by Refinitiv</v>
    <v>0</v>
    <v>NEXTERA ENERGY, INC. (XNYS:NEE)</v>
    <v>2</v>
    <v>3</v>
    <v>Finance</v>
    <v>4</v>
    <v>81.069999999999993</v>
    <v>47.145000000000003</v>
    <v>0.5514</v>
    <v>1.165</v>
    <v>1.4624999999999999E-2</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81.069999999999993</v>
    <v>Electrical Utilities &amp; IPPs</v>
    <v>Stock</v>
    <v>45530.686845497657</v>
    <v>194</v>
    <v>79.959999999999994</v>
    <v>163664100000</v>
    <v>NEXTERA ENERGY, INC.</v>
    <v>NEXTERA ENERGY, INC.</v>
    <v>80.040000000000006</v>
    <v>21.700299999999999</v>
    <v>79.66</v>
    <v>80.825000000000003</v>
    <v>2054532000</v>
    <v>NEE</v>
    <v>NEXTERA ENERGY, INC. (XNYS:NEE)</v>
    <v>2321511</v>
    <v>8379257</v>
    <v>1984</v>
  </rv>
  <rv s="2">
    <v>195</v>
  </rv>
  <rv s="0">
    <v>https://www.bing.com/financeapi/forcetrigger?t=a1x4f2&amp;q=XNAS%3aLRCX&amp;form=skydnc</v>
    <v>Learn more on Bing</v>
  </rv>
  <rv s="1">
    <v>en-US</v>
    <v>a1x4f2</v>
    <v>268435456</v>
    <v>1</v>
    <v>Powered by Refinitiv</v>
    <v>0</v>
    <v>LAM RESEARCH CORPORATION (XNAS:LRCX)</v>
    <v>2</v>
    <v>3</v>
    <v>Finance</v>
    <v>4</v>
    <v>1130</v>
    <v>574.41999999999996</v>
    <v>1.4890000000000001</v>
    <v>-25.145</v>
    <v>-2.9673999999999999E-2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Kiyo, Syndion, Versys Metal, Coronus, DV-Prime , Da Vinci , EOS , and SP Series. Its customer base includes semiconductor memory, foundries, and integrated device manufacturers (IDMs) that make products, such as non-volatile memory (NVM), dynamic random-access memory (DRAM) and logic devices. It offers services in areas, such as nanoscale applications enablement, chemistry, plasma and fluidics, and others.</v>
    <v>17200</v>
    <v>Nasdaq Stock Market</v>
    <v>XNAS</v>
    <v>XNAS</v>
    <v>4650 Cushing Blvd, FREMONT, CA, 94538 US</v>
    <v>843.39499999999998</v>
    <v>Semiconductors &amp; Semiconductor Equipment</v>
    <v>Stock</v>
    <v>45530.686813147659</v>
    <v>197</v>
    <v>815.9</v>
    <v>110477600000</v>
    <v>LAM RESEARCH CORPORATION</v>
    <v>LAM RESEARCH CORPORATION</v>
    <v>841</v>
    <v>31.086200000000002</v>
    <v>847.37</v>
    <v>822.22500000000002</v>
    <v>130377000</v>
    <v>LRCX</v>
    <v>LAM RESEARCH CORPORATION (XNAS:LRCX)</v>
    <v>430611</v>
    <v>1380624</v>
    <v>1989</v>
  </rv>
  <rv s="2">
    <v>198</v>
  </rv>
  <rv s="0">
    <v>https://www.bing.com/financeapi/forcetrigger?t=a1ut3m&amp;q=XNAS%3aHON&amp;form=skydnc</v>
    <v>Learn more on Bing</v>
  </rv>
  <rv s="1">
    <v>en-US</v>
    <v>a1ut3m</v>
    <v>268435456</v>
    <v>1</v>
    <v>Powered by Refinitiv</v>
    <v>0</v>
    <v>HONEYWELL INTERNATIONAL INCORPORATION (XNAS:HON)</v>
    <v>2</v>
    <v>3</v>
    <v>Finance</v>
    <v>4</v>
    <v>220.79</v>
    <v>174.88</v>
    <v>1.0269999999999999</v>
    <v>0.79</v>
    <v>3.9020000000000001E-3</v>
    <v>USD</v>
    <v>Honeywell International Inc. is an integrated operating company serving a range of industries and geographies around the world. Its Aerospace Technologies segment supplies products, software, and services for aircrafts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and advanced materials business units.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204.81829999999999</v>
    <v>Consumer Goods Conglomerates</v>
    <v>Stock</v>
    <v>45530.686846099219</v>
    <v>200</v>
    <v>202.91</v>
    <v>132366476585</v>
    <v>HONEYWELL INTERNATIONAL INCORPORATION</v>
    <v>HONEYWELL INTERNATIONAL INCORPORATION</v>
    <v>203.59</v>
    <v>23.095400000000001</v>
    <v>202.48</v>
    <v>203.27</v>
    <v>651185500</v>
    <v>HON</v>
    <v>HONEYWELL INTERNATIONAL INCORPORATION (XNAS:HON)</v>
    <v>455420</v>
    <v>3245264</v>
    <v>1985</v>
  </rv>
  <rv s="2">
    <v>201</v>
  </rv>
  <rv s="0">
    <v>https://www.bing.com/financeapi/forcetrigger?t=a23d9c&amp;q=XNYS%3aSPGI&amp;form=skydnc</v>
    <v>Learn more on Bing</v>
  </rv>
  <rv s="1">
    <v>en-US</v>
    <v>a23d9c</v>
    <v>268435456</v>
    <v>1</v>
    <v>Powered by Refinitiv</v>
    <v>0</v>
    <v>S&amp;P Global Inc. (XNYS:SPGI)</v>
    <v>2</v>
    <v>3</v>
    <v>Finance</v>
    <v>4</v>
    <v>505.85</v>
    <v>340.49</v>
    <v>1.1731</v>
    <v>1.7649999999999999</v>
    <v>3.5260000000000001E-3</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505.85</v>
    <v>Professional &amp; Commercial Services</v>
    <v>Stock</v>
    <v>45530.686710589842</v>
    <v>203</v>
    <v>501.73500000000001</v>
    <v>157237115000</v>
    <v>S&amp;P Global Inc.</v>
    <v>S&amp;P Global Inc.</v>
    <v>502.6</v>
    <v>47.449300000000001</v>
    <v>500.59</v>
    <v>502.35500000000002</v>
    <v>313000000</v>
    <v>SPGI</v>
    <v>S&amp;P Global Inc. (XNYS:SPGI)</v>
    <v>167933</v>
    <v>1077576</v>
    <v>1925</v>
  </rv>
  <rv s="2">
    <v>204</v>
  </rv>
  <rv s="0">
    <v>https://www.bing.com/financeapi/forcetrigger?t=a25552&amp;q=XNYS%3aRTX&amp;form=skydnc</v>
    <v>Learn more on Bing</v>
  </rv>
  <rv s="1">
    <v>en-US</v>
    <v>a25552</v>
    <v>268435456</v>
    <v>1</v>
    <v>Powered by Refinitiv</v>
    <v>0</v>
    <v>RTX CORPORATION (XNYS:RTX)</v>
    <v>2</v>
    <v>3</v>
    <v>Finance</v>
    <v>4</v>
    <v>119.7299</v>
    <v>68.555000000000007</v>
    <v>0.88590000000000002</v>
    <v>0.32</v>
    <v>2.7000000000000001E-3</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119.7299</v>
    <v>Aerospace &amp; Defense</v>
    <v>Stock</v>
    <v>45530.686848760939</v>
    <v>206</v>
    <v>118.62</v>
    <v>157660000000</v>
    <v>RTX CORPORATION</v>
    <v>RTX CORPORATION</v>
    <v>118.99</v>
    <v>68.000200000000007</v>
    <v>118.52</v>
    <v>118.84</v>
    <v>1330239000</v>
    <v>RTX</v>
    <v>RTX CORPORATION (XNYS:RTX)</v>
    <v>2512355</v>
    <v>6147673</v>
    <v>1934</v>
  </rv>
  <rv s="2">
    <v>207</v>
  </rv>
  <rv s="0">
    <v>https://www.bing.com/financeapi/forcetrigger?t=az6g8m&amp;q=XNAS%3aBKNG&amp;form=skydnc</v>
    <v>Learn more on Bing</v>
  </rv>
  <rv s="1">
    <v>en-US</v>
    <v>az6g8m</v>
    <v>268435456</v>
    <v>1</v>
    <v>Powered by Refinitiv</v>
    <v>0</v>
    <v>BOOKING HOLDINGS INC. (XNAS:BKNG)</v>
    <v>2</v>
    <v>3</v>
    <v>Finance</v>
    <v>4</v>
    <v>4144.32</v>
    <v>2733.04</v>
    <v>1.3982000000000001</v>
    <v>-14.74</v>
    <v>-3.8479999999999999E-3</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3856.79</v>
    <v>Hotels &amp; Entertainment Services</v>
    <v>Stock</v>
    <v>45530.686820196097</v>
    <v>209</v>
    <v>3797.41</v>
    <v>127923708337</v>
    <v>BOOKING HOLDINGS INC.</v>
    <v>BOOKING HOLDINGS INC.</v>
    <v>3842</v>
    <v>26.819800000000001</v>
    <v>3830.58</v>
    <v>3815.84</v>
    <v>33524390</v>
    <v>BKNG</v>
    <v>BOOKING HOLDINGS INC. (XNAS:BKNG)</v>
    <v>69492</v>
    <v>317384</v>
    <v>1998</v>
  </rv>
  <rv s="2">
    <v>210</v>
  </rv>
  <rv s="0">
    <v>https://www.bing.com/financeapi/forcetrigger?t=a24xww&amp;q=XNYS%3aUNP&amp;form=skydnc</v>
    <v>Learn more on Bing</v>
  </rv>
  <rv s="1">
    <v>en-US</v>
    <v>a24xww</v>
    <v>268435456</v>
    <v>1</v>
    <v>Powered by Refinitiv</v>
    <v>0</v>
    <v>UNION PACIFIC CORPORATION (XNYS:UNP)</v>
    <v>2</v>
    <v>3</v>
    <v>Finance</v>
    <v>4</v>
    <v>258.66000000000003</v>
    <v>199.33</v>
    <v>1.0499000000000001</v>
    <v>1.4550000000000001</v>
    <v>5.8939999999999999E-3</v>
    <v>USD</v>
    <v>Union Pacific Corporation is a railroad operating company in the United States. The Company operates through its principal operating company, Union Pacific Railroad Company (UPRR). It connects over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30804</v>
    <v>New York Stock Exchange</v>
    <v>XNYS</v>
    <v>XNYS</v>
    <v>1400 Douglas Street, OMAHA, NE, 68179 US</v>
    <v>249.55</v>
    <v>Freight &amp; Logistics Services</v>
    <v>Stock</v>
    <v>45530.686784467187</v>
    <v>212</v>
    <v>247</v>
    <v>151266810068</v>
    <v>UNION PACIFIC CORPORATION</v>
    <v>UNION PACIFIC CORPORATION</v>
    <v>247.89</v>
    <v>23.181100000000001</v>
    <v>246.85</v>
    <v>248.30500000000001</v>
    <v>609197600</v>
    <v>UNP</v>
    <v>UNION PACIFIC CORPORATION (XNYS:UNP)</v>
    <v>428171</v>
    <v>2140493</v>
    <v>1969</v>
  </rv>
  <rv s="2">
    <v>213</v>
  </rv>
  <rv s="0">
    <v>https://www.bing.com/financeapi/forcetrigger?t=a1o2lh&amp;q=XNYS%3aAXP&amp;form=skydnc</v>
    <v>Learn more on Bing</v>
  </rv>
  <rv s="1">
    <v>en-US</v>
    <v>a1o2lh</v>
    <v>268435456</v>
    <v>1</v>
    <v>Powered by Refinitiv</v>
    <v>0</v>
    <v>AMERICAN EXPRESS COMPANY (XNYS:AXP)</v>
    <v>2</v>
    <v>3</v>
    <v>Finance</v>
    <v>4</v>
    <v>256.24</v>
    <v>140.91</v>
    <v>1.2094</v>
    <v>2.85</v>
    <v>1.1341E-2</v>
    <v>USD</v>
    <v>American Express Company is a globally integrated payments company. The Company provides its customers with access to products, insights, and experiences that build business. It provides credit and charge cards to consumers, small businesses, mid-sized companies, and corporations.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v>
    <v>74600</v>
    <v>New York Stock Exchange</v>
    <v>XNYS</v>
    <v>XNYS</v>
    <v>200 Vesey Street, 50Th Floor, NEW YORK, NY, 10285 US</v>
    <v>256.16000000000003</v>
    <v>Banking Services</v>
    <v>Stock</v>
    <v>45530.686783483594</v>
    <v>215</v>
    <v>251.95</v>
    <v>180678183140</v>
    <v>AMERICAN EXPRESS COMPANY</v>
    <v>AMERICAN EXPRESS COMPANY</v>
    <v>252.85</v>
    <v>18.745100000000001</v>
    <v>251.3</v>
    <v>254.15</v>
    <v>710911600</v>
    <v>AXP</v>
    <v>AMERICAN EXPRESS COMPANY (XNYS:AXP)</v>
    <v>733517</v>
    <v>2709246</v>
    <v>1965</v>
  </rv>
  <rv s="2">
    <v>216</v>
  </rv>
  <rv s="0">
    <v>https://www.bing.com/financeapi/forcetrigger?t=a1x2ur&amp;q=XNYS%3aLOW&amp;form=skydnc</v>
    <v>Learn more on Bing</v>
  </rv>
  <rv s="1">
    <v>en-US</v>
    <v>a1x2ur</v>
    <v>268435456</v>
    <v>1</v>
    <v>Powered by Refinitiv</v>
    <v>0</v>
    <v>LOWE'S COMPANIES, INC. (XNYS:LOW)</v>
    <v>2</v>
    <v>3</v>
    <v>Finance</v>
    <v>4</v>
    <v>262.49</v>
    <v>181.85</v>
    <v>1.0893999999999999</v>
    <v>1.3030999999999999</v>
    <v>5.2110000000000004E-3</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253.2</v>
    <v>Specialty Retailers</v>
    <v>Stock</v>
    <v>45530.68685079844</v>
    <v>218</v>
    <v>250.16</v>
    <v>142779920800</v>
    <v>LOWE'S COMPANIES, INC.</v>
    <v>LOWE'S COMPANIES, INC.</v>
    <v>251.89</v>
    <v>20.081099999999999</v>
    <v>250.07</v>
    <v>251.37309999999999</v>
    <v>568000000</v>
    <v>LOW</v>
    <v>LOWE'S COMPANIES, INC. (XNYS:LOW)</v>
    <v>674359</v>
    <v>2452971</v>
    <v>1952</v>
  </rv>
  <rv s="2">
    <v>219</v>
  </rv>
  <rv s="0">
    <v>https://www.bing.com/financeapi/forcetrigger?t=a1safr&amp;q=XNYS%3aETN&amp;form=skydnc</v>
    <v>Learn more on Bing</v>
  </rv>
  <rv s="1">
    <v>en-US</v>
    <v>a1safr</v>
    <v>268435456</v>
    <v>1</v>
    <v>Powered by Refinitiv</v>
    <v>0</v>
    <v>EATON CORPORATION PUBLIC LIMITED COMPANY (XNYS:ETN)</v>
    <v>2</v>
    <v>3</v>
    <v>Finance</v>
    <v>4</v>
    <v>345.19</v>
    <v>191.82</v>
    <v>1.0068999999999999</v>
    <v>-2.0449999999999999</v>
    <v>-6.8170000000000001E-3</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IRELAND-NA IE</v>
    <v>301.75</v>
    <v>Machinery, Equipment &amp; Components</v>
    <v>Stock</v>
    <v>45530.686784976562</v>
    <v>221</v>
    <v>296.39</v>
    <v>118615885500</v>
    <v>EATON CORPORATION PUBLIC LIMITED COMPANY</v>
    <v>EATON CORPORATION PUBLIC LIMITED COMPANY</v>
    <v>300.8</v>
    <v>32.981699999999996</v>
    <v>300</v>
    <v>297.95499999999998</v>
    <v>398100000</v>
    <v>ETN</v>
    <v>EATON CORPORATION PUBLIC LIMITED COMPANY (XNYS:ETN)</v>
    <v>589882</v>
    <v>3003531</v>
    <v>2012</v>
  </rv>
  <rv s="2">
    <v>222</v>
  </rv>
  <rv s="0">
    <v>https://www.bing.com/financeapi/forcetrigger?t=a1vmf2&amp;q=XNAS%3aINTC&amp;form=skydnc</v>
    <v>Learn more on Bing</v>
  </rv>
  <rv s="1">
    <v>en-US</v>
    <v>a1vmf2</v>
    <v>268435456</v>
    <v>1</v>
    <v>Powered by Refinitiv</v>
    <v>0</v>
    <v>INTEL CORPORATION (XNAS:INTC)</v>
    <v>2</v>
    <v>3</v>
    <v>Finance</v>
    <v>4</v>
    <v>51.28</v>
    <v>18.84</v>
    <v>1.0246</v>
    <v>-0.41</v>
    <v>-1.9961E-2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20.54</v>
    <v>Semiconductors &amp; Semiconductor Equipment</v>
    <v>Stock</v>
    <v>45530.686839814065</v>
    <v>224</v>
    <v>19.95</v>
    <v>85894710000</v>
    <v>INTEL CORPORATION</v>
    <v>INTEL CORPORATION</v>
    <v>20.52</v>
    <v>90.188599999999994</v>
    <v>20.54</v>
    <v>20.13</v>
    <v>4267000000</v>
    <v>INTC</v>
    <v>INTEL CORPORATION (XNAS:INTC)</v>
    <v>26030328</v>
    <v>79327406</v>
    <v>1989</v>
  </rv>
  <rv s="2">
    <v>225</v>
  </rv>
  <rv s="0">
    <v>https://www.bing.com/financeapi/forcetrigger?t=a23www&amp;q=XNYS%3aT&amp;form=skydnc</v>
    <v>Learn more on Bing</v>
  </rv>
  <rv s="1">
    <v>en-US</v>
    <v>a23www</v>
    <v>268435456</v>
    <v>1</v>
    <v>Powered by Refinitiv</v>
    <v>0</v>
    <v>AT&amp;T INC. (XNYS:T)</v>
    <v>2</v>
    <v>3</v>
    <v>Finance</v>
    <v>4</v>
    <v>19.989999999999998</v>
    <v>14.11</v>
    <v>0.57110000000000005</v>
    <v>8.5000000000000006E-2</v>
    <v>4.3080000000000002E-3</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146040</v>
    <v>New York Stock Exchange</v>
    <v>XNYS</v>
    <v>XNYS</v>
    <v>208 S. Akard St, DALLAS, TX, 75202 US</v>
    <v>19.940000000000001</v>
    <v>Telecommunications Services</v>
    <v>Stock</v>
    <v>45530.686861793751</v>
    <v>227</v>
    <v>19.75</v>
    <v>142078384860</v>
    <v>AT&amp;T INC.</v>
    <v>AT&amp;T INC.</v>
    <v>19.75</v>
    <v>11.335699999999999</v>
    <v>19.73</v>
    <v>19.815000000000001</v>
    <v>7170244000</v>
    <v>T</v>
    <v>AT&amp;T INC. (XNYS:T)</v>
    <v>9119411</v>
    <v>33817043</v>
    <v>1983</v>
  </rv>
  <rv s="2">
    <v>228</v>
  </rv>
  <rv s="0">
    <v>https://www.bing.com/financeapi/forcetrigger?t=a1q5nm&amp;q=XNYS%3aCOP&amp;form=skydnc</v>
    <v>Learn more on Bing</v>
  </rv>
  <rv s="1">
    <v>en-US</v>
    <v>a1q5nm</v>
    <v>268435456</v>
    <v>1</v>
    <v>Powered by Refinitiv</v>
    <v>0</v>
    <v>CONOCOPHILLIPS (XNYS:COP)</v>
    <v>2</v>
    <v>3</v>
    <v>Finance</v>
    <v>4</v>
    <v>135.18</v>
    <v>102.2658</v>
    <v>1.2293000000000001</v>
    <v>2.0499999999999998</v>
    <v>1.8402000000000002E-2</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10200</v>
    <v>New York Stock Exchange</v>
    <v>XNYS</v>
    <v>XNYS</v>
    <v>925 N. Eldridge Parkway, HOUSTON, TX, 77079-2703 US</v>
    <v>115.03</v>
    <v>Oil &amp; Gas</v>
    <v>Stock</v>
    <v>45530.686721631253</v>
    <v>230</v>
    <v>112.94</v>
    <v>129363200000</v>
    <v>CONOCOPHILLIPS</v>
    <v>CONOCOPHILLIPS</v>
    <v>113.22</v>
    <v>12.400399999999999</v>
    <v>111.4</v>
    <v>113.45</v>
    <v>1161250000</v>
    <v>COP</v>
    <v>CONOCOPHILLIPS (XNYS:COP)</v>
    <v>2462524</v>
    <v>6096276</v>
    <v>2001</v>
  </rv>
  <rv s="2">
    <v>231</v>
  </rv>
  <rv s="0">
    <v>https://www.bing.com/financeapi/forcetrigger?t=a249r7&amp;q=XNYS%3aTJX&amp;form=skydnc</v>
    <v>Learn more on Bing</v>
  </rv>
  <rv s="1">
    <v>en-US</v>
    <v>a249r7</v>
    <v>268435456</v>
    <v>1</v>
    <v>Powered by Refinitiv</v>
    <v>0</v>
    <v>THE TJX COMPANIES, INC. (XNYS:TJX)</v>
    <v>2</v>
    <v>3</v>
    <v>Finance</v>
    <v>4</v>
    <v>121.06</v>
    <v>86.71</v>
    <v>0.89</v>
    <v>0.96</v>
    <v>8.0350000000000005E-3</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120.62</v>
    <v>Diversified Retail</v>
    <v>Stock</v>
    <v>45530.686831006249</v>
    <v>233</v>
    <v>119.68</v>
    <v>136103844070</v>
    <v>THE TJX COMPANIES, INC.</v>
    <v>THE TJX COMPANIES, INC.</v>
    <v>119.87</v>
    <v>28.861999999999998</v>
    <v>119.47</v>
    <v>120.43</v>
    <v>1130149000</v>
    <v>TJX</v>
    <v>THE TJX COMPANIES, INC. (XNYS:TJX)</v>
    <v>1332394</v>
    <v>5308906</v>
    <v>1962</v>
  </rv>
  <rv s="2">
    <v>234</v>
  </rv>
  <rv s="0">
    <v>https://www.bing.com/financeapi/forcetrigger?t=a1njmw&amp;q=XNYS%3aELV&amp;form=skydnc</v>
    <v>Learn more on Bing</v>
  </rv>
  <rv s="1">
    <v>en-US</v>
    <v>a1njmw</v>
    <v>268435456</v>
    <v>1</v>
    <v>Powered by Refinitiv</v>
    <v>0</v>
    <v>ELEVANCE HEALTH, INC. (XNYS:ELV)</v>
    <v>2</v>
    <v>3</v>
    <v>Finance</v>
    <v>4</v>
    <v>555.35500000000002</v>
    <v>431.38</v>
    <v>0.82820000000000005</v>
    <v>0.44</v>
    <v>8.0589999999999991E-4</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550.51</v>
    <v>Healthcare Providers &amp; Services</v>
    <v>Stock</v>
    <v>45530.686653657031</v>
    <v>236</v>
    <v>545.07000000000005</v>
    <v>126702455760</v>
    <v>ELEVANCE HEALTH, INC.</v>
    <v>ELEVANCE HEALTH, INC.</v>
    <v>547.34</v>
    <v>19.127199999999998</v>
    <v>545.96</v>
    <v>546.4</v>
    <v>231885900</v>
    <v>ELV</v>
    <v>ELEVANCE HEALTH, INC. (XNYS:ELV)</v>
    <v>95185</v>
    <v>850280</v>
    <v>2001</v>
  </rv>
  <rv s="2">
    <v>237</v>
  </rv>
  <rv s="0">
    <v>http://en.wikipedia.org/wiki/Progressive_Corporation</v>
    <v>Wikipedia</v>
  </rv>
  <rv s="3">
    <v>3</v>
    <v>239</v>
  </rv>
  <rv s="4">
    <v>9</v>
    <v>https://www.bing.com/th?id=AMMS_1ae7fef605fb644f70b899c25b5ca660&amp;qlt=95</v>
    <v>240</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245</v>
    <v>130.27000000000001</v>
    <v>0.34739999999999999</v>
    <v>2.2400000000000002</v>
    <v>9.2849999999999999E-3</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245</v>
    <v>241</v>
    <v>Insurance</v>
    <v>Stock</v>
    <v>45530.686820439063</v>
    <v>242</v>
    <v>242</v>
    <v>142603984783</v>
    <v>THE PROGRESSIVE CORPORATION</v>
    <v>THE PROGRESSIVE CORPORATION</v>
    <v>242.37</v>
    <v>20.653600000000001</v>
    <v>241.25</v>
    <v>243.49</v>
    <v>585666700</v>
    <v>PGR</v>
    <v>THE PROGRESSIVE CORPORATION (XNYS:PGR)</v>
    <v>740469</v>
    <v>2210142</v>
    <v>1965</v>
  </rv>
  <rv s="2">
    <v>243</v>
  </rv>
  <rv s="0">
    <v>https://www.bing.com/financeapi/forcetrigger?t=a1xyjc&amp;q=XNYS%3aMS&amp;form=skydnc</v>
    <v>Learn more on Bing</v>
  </rv>
  <rv s="1">
    <v>en-US</v>
    <v>a1xyjc</v>
    <v>268435456</v>
    <v>1</v>
    <v>Powered by Refinitiv</v>
    <v>0</v>
    <v>MORGAN STANLEY (XNYS:MS)</v>
    <v>2</v>
    <v>3</v>
    <v>Finance</v>
    <v>4</v>
    <v>109.11</v>
    <v>69.42</v>
    <v>1.3566</v>
    <v>0.48</v>
    <v>4.7109999999999999E-3</v>
    <v>USD</v>
    <v>Morgan Stanley is a global financial services company. The Company, through its subsidiaries, provides a range of investment banking, securities, wealth management and investment management services. Its segments include Institutional Securities, Wealth Management and Investment Management. Its Institutional Securities segment provides investment banking, equity and fixed income, and lending activities to corporations, governments, financial institutions and high net worth clients. Its Wealth Management segment provides financial services and solutions to individual investors and small-to-medium sized businesses and institutions covering: financial advisor-led brokerage, custody, administrative and investment advisory services; self-directed brokerage services; financial and wealth planning services; residential real estate loans and other lending products; banking; and retirement plan services. Its Investment Management segment provides a range of investment strategies and products.</v>
    <v>79000</v>
    <v>New York Stock Exchange</v>
    <v>XNYS</v>
    <v>XNYS</v>
    <v>1585 Broadway, NEW YORK, NY, 10036 US</v>
    <v>103.05</v>
    <v>Investment Banking &amp; Investment Services</v>
    <v>Stock</v>
    <v>45530.68680516172</v>
    <v>245</v>
    <v>102.04</v>
    <v>164844100000</v>
    <v>MORGAN STANLEY</v>
    <v>MORGAN STANLEY</v>
    <v>102.74</v>
    <v>16.7715</v>
    <v>101.89</v>
    <v>102.37</v>
    <v>1617864000</v>
    <v>MS</v>
    <v>MORGAN STANLEY (XNYS:MS)</v>
    <v>1022263</v>
    <v>6047715</v>
    <v>1981</v>
  </rv>
  <rv s="2">
    <v>246</v>
  </rv>
  <rv s="0">
    <v>https://www.bing.com/financeapi/forcetrigger?t=a25k5r&amp;q=XNAS%3aVRTX&amp;form=skydnc</v>
    <v>Learn more on Bing</v>
  </rv>
  <rv s="1">
    <v>en-US</v>
    <v>a25k5r</v>
    <v>268435456</v>
    <v>1</v>
    <v>Powered by Refinitiv</v>
    <v>0</v>
    <v>VERTEX PHARMACEUTICALS INCORPORATED (XNAS:VRTX)</v>
    <v>2</v>
    <v>3</v>
    <v>Finance</v>
    <v>4</v>
    <v>510.63499999999999</v>
    <v>340.83</v>
    <v>0.40289999999999998</v>
    <v>2.46</v>
    <v>5.1120000000000002E-3</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485</v>
    <v>Biotechnology &amp; Medical Research</v>
    <v>Stock</v>
    <v>45530.686816816407</v>
    <v>248</v>
    <v>481.46</v>
    <v>124844034140</v>
    <v>VERTEX PHARMACEUTICALS INCORPORATED</v>
    <v>VERTEX PHARMACEUTICALS INCORPORATED</v>
    <v>481.98</v>
    <v>0</v>
    <v>481.24</v>
    <v>483.7</v>
    <v>258102200</v>
    <v>VRTX</v>
    <v>VERTEX PHARMACEUTICALS INCORPORATED (XNAS:VRTX)</v>
    <v>296009</v>
    <v>1166464</v>
    <v>1989</v>
  </rv>
  <rv s="2">
    <v>249</v>
  </rv>
  <rv s="0">
    <v>https://www.bing.com/financeapi/forcetrigger?t=a23vdm&amp;q=XNYS%3aSYK&amp;form=skydnc</v>
    <v>Learn more on Bing</v>
  </rv>
  <rv s="1">
    <v>en-US</v>
    <v>a23vdm</v>
    <v>268435456</v>
    <v>1</v>
    <v>Powered by Refinitiv</v>
    <v>0</v>
    <v>STRYKER CORPORATION (XNYS:SYK)</v>
    <v>2</v>
    <v>3</v>
    <v>Finance</v>
    <v>4</v>
    <v>361.41</v>
    <v>249.98</v>
    <v>0.91590000000000005</v>
    <v>0.995</v>
    <v>2.8160000000000004E-3</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It also develops neurointerventional devices for the treatment of intracranial aneurysms. It offers Fortress, a modular wall system for hospitals and ambulatory surgery centers. It also specializes in soft tissue fixation products.</v>
    <v>52000</v>
    <v>New York Stock Exchange</v>
    <v>XNYS</v>
    <v>XNYS</v>
    <v>1941 STRYKER WAY, PORTAGE, MI, 49002 US</v>
    <v>355.86</v>
    <v>Healthcare Equipment &amp; Supplies</v>
    <v>Stock</v>
    <v>45530.686738460157</v>
    <v>251</v>
    <v>353.55</v>
    <v>134964799893</v>
    <v>STRYKER CORPORATION</v>
    <v>STRYKER CORPORATION</v>
    <v>354</v>
    <v>39.518099999999997</v>
    <v>353.29</v>
    <v>354.28500000000003</v>
    <v>380949800</v>
    <v>SYK</v>
    <v>STRYKER CORPORATION (XNYS:SYK)</v>
    <v>285962</v>
    <v>1425906</v>
    <v>1946</v>
  </rv>
  <rv s="2">
    <v>252</v>
  </rv>
  <rv s="0">
    <v>https://www.bing.com/financeapi/forcetrigger?t=a1wjkr&amp;q=XNAS%3aKLAC&amp;form=skydnc</v>
    <v>Learn more on Bing</v>
  </rv>
  <rv s="1">
    <v>en-US</v>
    <v>a1wjkr</v>
    <v>268435456</v>
    <v>1</v>
    <v>Powered by Refinitiv</v>
    <v>0</v>
    <v>KLA Corporation (XNAS:KLAC)</v>
    <v>2</v>
    <v>3</v>
    <v>Finance</v>
    <v>4</v>
    <v>896.32</v>
    <v>440.15</v>
    <v>1.2779</v>
    <v>-16.97</v>
    <v>-2.0750000000000001E-2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1 Technology Dr, MILPITAS, CA, 95035-7916 US</v>
    <v>813.4</v>
    <v>Semiconductors &amp; Semiconductor Equipment</v>
    <v>Stock</v>
    <v>45530.686748784377</v>
    <v>254</v>
    <v>793.14</v>
    <v>109938200000</v>
    <v>KLA Corporation</v>
    <v>KLA Corporation</v>
    <v>813.4</v>
    <v>39.143799999999999</v>
    <v>817.84</v>
    <v>800.87</v>
    <v>134425000</v>
    <v>KLAC</v>
    <v>KLA Corporation (XNAS:KLAC)</v>
    <v>227921</v>
    <v>1162189</v>
    <v>1975</v>
  </rv>
  <rv s="2">
    <v>255</v>
  </rv>
  <rv s="0">
    <v>https://www.bing.com/financeapi/forcetrigger?t=a1mvjc&amp;q=XNAS%3aADI&amp;form=skydnc</v>
    <v>Learn more on Bing</v>
  </rv>
  <rv s="1">
    <v>en-US</v>
    <v>a1mvjc</v>
    <v>268435456</v>
    <v>1</v>
    <v>Powered by Refinitiv</v>
    <v>0</v>
    <v>ANALOG DEVICES, INC. (XNAS:ADI)</v>
    <v>2</v>
    <v>3</v>
    <v>Finance</v>
    <v>4</v>
    <v>244.14</v>
    <v>154.99</v>
    <v>1.0720000000000001</v>
    <v>-2.99</v>
    <v>-1.3091999999999999E-2</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26000</v>
    <v>Nasdaq Stock Market</v>
    <v>XNAS</v>
    <v>XNAS</v>
    <v>One Analog Way, WILMINGTON, MA, 01887 US</v>
    <v>228.19</v>
    <v>Semiconductors &amp; Semiconductor Equipment</v>
    <v>Stock</v>
    <v>45530.686780671094</v>
    <v>257</v>
    <v>224.18</v>
    <v>111909612360</v>
    <v>ANALOG DEVICES, INC.</v>
    <v>ANALOG DEVICES, INC.</v>
    <v>227.84</v>
    <v>72.149699999999996</v>
    <v>228.39</v>
    <v>225.4</v>
    <v>496493400</v>
    <v>ADI</v>
    <v>ANALOG DEVICES, INC. (XNAS:ADI)</v>
    <v>563180</v>
    <v>3990995</v>
    <v>1965</v>
  </rv>
  <rv s="2">
    <v>258</v>
  </rv>
  <rv s="0">
    <v>https://www.bing.com/financeapi/forcetrigger?t=a1p3ww&amp;q=XNYS%3aC&amp;form=skydnc</v>
    <v>Learn more on Bing</v>
  </rv>
  <rv s="1">
    <v>en-US</v>
    <v>a1p3ww</v>
    <v>268435456</v>
    <v>1</v>
    <v>Powered by Refinitiv</v>
    <v>0</v>
    <v>CITIGROUP INC. (XNYS:C)</v>
    <v>2</v>
    <v>3</v>
    <v>Finance</v>
    <v>4</v>
    <v>67.81</v>
    <v>38.17</v>
    <v>1.4372</v>
    <v>-0.39500000000000002</v>
    <v>-6.3570000000000007E-3</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62.594999999999999</v>
    <v>Investment Banking &amp; Investment Services</v>
    <v>Stock</v>
    <v>45530.686850092185</v>
    <v>260</v>
    <v>61.57</v>
    <v>117796802275</v>
    <v>CITIGROUP INC.</v>
    <v>CITIGROUP INC.</v>
    <v>62.39</v>
    <v>17.366299999999999</v>
    <v>62.14</v>
    <v>61.744999999999997</v>
    <v>1907795000</v>
    <v>C</v>
    <v>CITIGROUP INC. (XNYS:C)</v>
    <v>3411848</v>
    <v>13649070</v>
    <v>1988</v>
  </rv>
  <rv s="2">
    <v>261</v>
  </rv>
  <rv s="0">
    <v>https://www.bing.com/financeapi/forcetrigger?t=a1yjxm&amp;q=XNYS%3aNKE&amp;form=skydnc</v>
    <v>Learn more on Bing</v>
  </rv>
  <rv s="1">
    <v>en-US</v>
    <v>a1yjxm</v>
    <v>268435456</v>
    <v>1</v>
    <v>Powered by Refinitiv</v>
    <v>0</v>
    <v>NIKE, INC. (XNYS:NKE)</v>
    <v>2</v>
    <v>3</v>
    <v>Finance</v>
    <v>4</v>
    <v>123.3916</v>
    <v>70.750200000000007</v>
    <v>1.0166999999999999</v>
    <v>0.43</v>
    <v>5.1160000000000008E-3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84.5</v>
    <v>Textiles &amp; Apparel</v>
    <v>Stock</v>
    <v>45530.686809385938</v>
    <v>263</v>
    <v>83.39</v>
    <v>126665848320</v>
    <v>NIKE, INC.</v>
    <v>NIKE, INC.</v>
    <v>83.47</v>
    <v>22.548100000000002</v>
    <v>84.05</v>
    <v>84.48</v>
    <v>1499359000</v>
    <v>NKE</v>
    <v>NIKE, INC. (XNYS:NKE)</v>
    <v>3296681</v>
    <v>12039201</v>
    <v>1969</v>
  </rv>
  <rv s="2">
    <v>264</v>
  </rv>
  <rv s="0">
    <v>https://www.bing.com/financeapi/forcetrigger?t=a1oxur&amp;q=XNYS%3aBSX&amp;form=skydnc</v>
    <v>Learn more on Bing</v>
  </rv>
  <rv s="1">
    <v>en-US</v>
    <v>a1oxur</v>
    <v>268435456</v>
    <v>1</v>
    <v>Powered by Refinitiv</v>
    <v>0</v>
    <v>BOSTON SCIENTIFIC CORPORATION (XNYS:BSX)</v>
    <v>2</v>
    <v>3</v>
    <v>Finance</v>
    <v>4</v>
    <v>79.94</v>
    <v>48.35</v>
    <v>0.79249999999999998</v>
    <v>0.38</v>
    <v>4.7999999999999996E-3</v>
    <v>USD</v>
    <v>Boston Scientific Corporation is a global developer, manufacturer and marketer of medical devices that are used in a range of interventional medical specialties. The Company’s segments include MedSurg and Cardiovascular. The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The Cardiovascular segment includes Cardiology and Peripheral Interventions. The Company's Interventional Cardiology Therapies business develops and manufactures technologies for diagnosing and treating coronary artery disease and aortic valve conditions.</v>
    <v>48000</v>
    <v>New York Stock Exchange</v>
    <v>XNYS</v>
    <v>XNYS</v>
    <v>300 Boston Scientific Way, MARLBOROUGH, MA, 01752-1234 US</v>
    <v>79.94</v>
    <v>Healthcare Equipment &amp; Supplies</v>
    <v>Stock</v>
    <v>45530.686820867966</v>
    <v>266</v>
    <v>78.897000000000006</v>
    <v>117147398300</v>
    <v>BOSTON SCIENTIFIC CORPORATION</v>
    <v>BOSTON SCIENTIFIC CORPORATION</v>
    <v>79.215000000000003</v>
    <v>64.033299999999997</v>
    <v>79.17</v>
    <v>79.55</v>
    <v>1472626000</v>
    <v>BSX</v>
    <v>BOSTON SCIENTIFIC CORPORATION (XNYS:BSX)</v>
    <v>849431</v>
    <v>5969440</v>
    <v>1979</v>
  </rv>
  <rv s="2">
    <v>267</v>
  </rv>
  <rv s="0">
    <v>https://www.bing.com/financeapi/forcetrigger?t=a21uim&amp;q=XNAS%3aREGN&amp;form=skydnc</v>
    <v>Learn more on Bing</v>
  </rv>
  <rv s="1">
    <v>en-US</v>
    <v>a21uim</v>
    <v>268435456</v>
    <v>1</v>
    <v>Powered by Refinitiv</v>
    <v>0</v>
    <v>REGENERON PHARMACEUTICALS, INC. (XNAS:REGN)</v>
    <v>2</v>
    <v>3</v>
    <v>Finance</v>
    <v>4</v>
    <v>1203.49</v>
    <v>769.19</v>
    <v>0.1195</v>
    <v>1.575</v>
    <v>1.3129999999999999E-3</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1201.9000000000001</v>
    <v>Biotechnology &amp; Medical Research</v>
    <v>Stock</v>
    <v>45530.686825068748</v>
    <v>269</v>
    <v>1196.325</v>
    <v>132358012977</v>
    <v>REGENERON PHARMACEUTICALS, INC.</v>
    <v>REGENERON PHARMACEUTICALS, INC.</v>
    <v>1199.1199999999999</v>
    <v>31.747699999999998</v>
    <v>1199.1199999999999</v>
    <v>1200.6949999999999</v>
    <v>110234500</v>
    <v>REGN</v>
    <v>REGENERON PHARMACEUTICALS, INC. (XNAS:REGN)</v>
    <v>49447</v>
    <v>471559</v>
    <v>1988</v>
  </rv>
  <rv s="2">
    <v>270</v>
  </rv>
  <rv s="0">
    <v>https://www.bing.com/financeapi/forcetrigger?t=a1om4c&amp;q=XNYS%3aBLK&amp;form=skydnc</v>
    <v>Learn more on Bing</v>
  </rv>
  <rv s="1">
    <v>en-US</v>
    <v>a1om4c</v>
    <v>268435456</v>
    <v>1</v>
    <v>Powered by Refinitiv</v>
    <v>0</v>
    <v>BLACKROCK, INC. (XNYS:BLK)</v>
    <v>2</v>
    <v>3</v>
    <v>Finance</v>
    <v>4</v>
    <v>888.99990000000003</v>
    <v>596.17999999999995</v>
    <v>1.3166</v>
    <v>0.35</v>
    <v>3.9640000000000004E-4</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and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19300</v>
    <v>New York Stock Exchange</v>
    <v>XNYS</v>
    <v>XNYS</v>
    <v>50 Hudson Yards, NEW YORK, NY, 10001 US</v>
    <v>888.99990000000003</v>
    <v>Investment Banking &amp; Investment Services</v>
    <v>Stock</v>
    <v>45530.686838217189</v>
    <v>272</v>
    <v>881.13</v>
    <v>130773700000</v>
    <v>BLACKROCK, INC.</v>
    <v>BLACKROCK, INC.</v>
    <v>882.83</v>
    <v>21.930900000000001</v>
    <v>882.84</v>
    <v>883.19</v>
    <v>148128500</v>
    <v>BLK</v>
    <v>BLACKROCK, INC. (XNYS:BLK)</v>
    <v>91512</v>
    <v>534828</v>
    <v>2006</v>
  </rv>
  <rv s="2">
    <v>273</v>
  </rv>
  <rv s="0">
    <v>https://www.bing.com/financeapi/forcetrigger?t=a22n4c&amp;q=XNYS%3aSCHW&amp;form=skydnc</v>
    <v>Learn more on Bing</v>
  </rv>
  <rv s="1">
    <v>en-US</v>
    <v>a22n4c</v>
    <v>268435456</v>
    <v>1</v>
    <v>Powered by Refinitiv</v>
    <v>0</v>
    <v>THE CHARLES SCHWAB CORPORATION (XNYS:SCHW)</v>
    <v>2</v>
    <v>3</v>
    <v>Finance</v>
    <v>4</v>
    <v>79.489999999999995</v>
    <v>48.66</v>
    <v>0.96619999999999995</v>
    <v>0.27</v>
    <v>4.1929999999999997E-3</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32300</v>
    <v>New York Stock Exchange</v>
    <v>XNYS</v>
    <v>XNYS</v>
    <v>3000 Schwab Way, WESTLAKE, TX, 76262 US</v>
    <v>65.296400000000006</v>
    <v>Investment Banking &amp; Investment Services</v>
    <v>Stock</v>
    <v>45530.68681851797</v>
    <v>275</v>
    <v>64.5</v>
    <v>118285059740</v>
    <v>THE CHARLES SCHWAB CORPORATION</v>
    <v>THE CHARLES SCHWAB CORPORATION</v>
    <v>64.66</v>
    <v>26.564</v>
    <v>64.39</v>
    <v>64.66</v>
    <v>1829339000</v>
    <v>SCHW</v>
    <v>THE CHARLES SCHWAB CORPORATION (XNYS:SCHW)</v>
    <v>2180513</v>
    <v>9614909</v>
    <v>1986</v>
  </rv>
  <rv s="2">
    <v>276</v>
  </rv>
  <rv s="0">
    <v>https://www.bing.com/financeapi/forcetrigger?t=a1p8tc&amp;q=XNYS%3aCB&amp;form=skydnc</v>
    <v>Learn more on Bing</v>
  </rv>
  <rv s="1">
    <v>en-US</v>
    <v>a1p8tc</v>
    <v>268435456</v>
    <v>1</v>
    <v>Powered by Refinitiv</v>
    <v>0</v>
    <v>Chubb Ltd (XNYS:CB)</v>
    <v>2</v>
    <v>3</v>
    <v>Finance</v>
    <v>4</v>
    <v>279.23</v>
    <v>198.67</v>
    <v>0.67310000000000003</v>
    <v>-0.11</v>
    <v>-3.9839999999999998E-4</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40000</v>
    <v>New York Stock Exchange</v>
    <v>XNYS</v>
    <v>XNYS</v>
    <v>Baerengasse 32, ZUERICH, ZUERICH, 8001 CH</v>
    <v>279.23</v>
    <v>Insurance</v>
    <v>Stock</v>
    <v>45530.686666388283</v>
    <v>278</v>
    <v>275.27</v>
    <v>111481799858</v>
    <v>Chubb Ltd</v>
    <v>Chubb Ltd</v>
    <v>277.05</v>
    <v>11.6861</v>
    <v>276.10000000000002</v>
    <v>275.99</v>
    <v>403934200</v>
    <v>CB</v>
    <v>Chubb Ltd (XNYS:CB)</v>
    <v>254469</v>
    <v>1410773</v>
    <v>2008</v>
  </rv>
  <rv s="2">
    <v>279</v>
  </rv>
  <rv s="0">
    <v>https://www.bing.com/financeapi/forcetrigger?t=a1xg3m&amp;q=XNYS%3aMDT&amp;form=skydnc</v>
    <v>Learn more on Bing</v>
  </rv>
  <rv s="1">
    <v>en-US</v>
    <v>a1xg3m</v>
    <v>268435456</v>
    <v>1</v>
    <v>Powered by Refinitiv</v>
    <v>0</v>
    <v>MEDTRONIC PUBLIC LIMITED COMPANY (XNYS:MDT)</v>
    <v>2</v>
    <v>3</v>
    <v>Finance</v>
    <v>4</v>
    <v>90.13</v>
    <v>68.84</v>
    <v>0.85229999999999995</v>
    <v>1.635</v>
    <v>1.8506000000000002E-2</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1 IE</v>
    <v>90.13</v>
    <v>Healthcare Equipment &amp; Supplies</v>
    <v>Stock</v>
    <v>45530.686826249999</v>
    <v>281</v>
    <v>88.12</v>
    <v>115414761000</v>
    <v>MEDTRONIC PUBLIC LIMITED COMPANY</v>
    <v>MEDTRONIC PUBLIC LIMITED COMPANY</v>
    <v>88.6</v>
    <v>29.710699999999999</v>
    <v>88.35</v>
    <v>89.984999999999999</v>
    <v>1282600000</v>
    <v>MDT</v>
    <v>MEDTRONIC PUBLIC LIMITED COMPANY (XNYS:MDT)</v>
    <v>2777600</v>
    <v>6083715</v>
    <v>2014</v>
  </rv>
  <rv s="2">
    <v>282</v>
  </rv>
  <rv s="0">
    <v>https://www.bing.com/financeapi/forcetrigger?t=a1xr1h&amp;q=XNYS%3aMMC&amp;form=skydnc</v>
    <v>Learn more on Bing</v>
  </rv>
  <rv s="1">
    <v>en-US</v>
    <v>a1xr1h</v>
    <v>268435456</v>
    <v>1</v>
    <v>Powered by Refinitiv</v>
    <v>0</v>
    <v>MARSH &amp; MCLENNAN COMPANIES, INC. (XNYS:MMC)</v>
    <v>2</v>
    <v>3</v>
    <v>Finance</v>
    <v>4</v>
    <v>227.62989999999999</v>
    <v>184.02</v>
    <v>0.9355</v>
    <v>1.1100000000000001</v>
    <v>4.9699999999999996E-3</v>
    <v>USD</v>
    <v>Marsh &amp; McLennan Companies, Inc. is a professional services firm offering services in areas of risk, strategy and people. The Company's Risk and Insurance Services segment includes risk management activities (risk advice, risk transfer and risk control and mitigation solutions) as well as insurance and reinsurance broking and services. This segment operates through Marsh and Guy Carpenter. Marsh provides data-driven risk advisory services and insurance solutions to commercial and consumer clients. Guy Carpenter develops advanced risk, reinsurance and capital strategies. Its Consulting segment includes health, wealth and career advice, solutions and products, and specialized management, strategic, economic and brand consulting services. This segment operates through Mercer and Oliver Wyman Group. Mercer delivers advice and technology-driven solutions that help organizations. Oliver Wyman Group serves as an economic brand advisor to private sector and governmental clients.</v>
    <v>85000</v>
    <v>New York Stock Exchange</v>
    <v>XNYS</v>
    <v>XNYS</v>
    <v>1166 Avenue of the Americas, NEW YORK, NY, 10036 US</v>
    <v>225.33879999999999</v>
    <v>Insurance</v>
    <v>Stock</v>
    <v>45530.686741839847</v>
    <v>284</v>
    <v>222.12</v>
    <v>110364776637</v>
    <v>MARSH &amp; MCLENNAN COMPANIES, INC.</v>
    <v>MARSH &amp; MCLENNAN COMPANIES, INC.</v>
    <v>223.32</v>
    <v>27.6981</v>
    <v>223.32</v>
    <v>224.43</v>
    <v>491755900</v>
    <v>MMC</v>
    <v>MARSH &amp; MCLENNAN COMPANIES, INC. (XNYS:MMC)</v>
    <v>272423</v>
    <v>1549211</v>
    <v>1969</v>
  </rv>
  <rv s="2">
    <v>285</v>
  </rv>
  <rv s="0">
    <v>https://www.bing.com/financeapi/forcetrigger?t=a1zy3m&amp;q=XNYS%3aPLD&amp;form=skydnc</v>
    <v>Learn more on Bing</v>
  </rv>
  <rv s="1">
    <v>en-US</v>
    <v>a1zy3m</v>
    <v>268435456</v>
    <v>1</v>
    <v>Powered by Refinitiv</v>
    <v>0</v>
    <v>PROLOGIS, INC. (XNYS:PLD)</v>
    <v>2</v>
    <v>3</v>
    <v>Finance</v>
    <v>4</v>
    <v>137.52000000000001</v>
    <v>96.64</v>
    <v>1.0837000000000001</v>
    <v>0.13</v>
    <v>1.0090000000000001E-3</v>
    <v>USD</v>
    <v>Prologis, Inc. is a fully integrated real estate company. The Company operates through two segments: Real Estate Operations (Rental Operations and Development) and Strategic Capital. The Real Estate Operations segment represents the ownership and development of logistics properties. The Strategic Capital segment represents the management of unconsolidated co-investment ventures, and other ventures. It operates, manages and measures the operating performance of its properties on an owned and managed (O&amp;M) basis. Its O&amp;M portfolio includes its consolidated properties, as well as properties owned by its unconsolidated co-investment ventures, which it manages. The Company manages its portfolio and provides real estate services, including leasing, property management, development, acquisitions and dispositions. It owns, manages and develops logistics facilities in approximately 19 countries across four continents. It serves in Amsterdam, Denver, Mexico City, Shanghai, Singapore, and Tokyo.</v>
    <v>2574</v>
    <v>New York Stock Exchange</v>
    <v>XNYS</v>
    <v>XNYS</v>
    <v>PIER 1 BAY 1, SAN FRANCISCO, CA, 94111 US</v>
    <v>129.96</v>
    <v>Residential &amp; Commercial REIT</v>
    <v>Stock</v>
    <v>45530.686648078125</v>
    <v>287</v>
    <v>128.6</v>
    <v>119433259890</v>
    <v>PROLOGIS, INC.</v>
    <v>PROLOGIS, INC.</v>
    <v>129.9</v>
    <v>42.4542</v>
    <v>128.86000000000001</v>
    <v>128.99</v>
    <v>925911000</v>
    <v>PLD</v>
    <v>PROLOGIS, INC. (XNYS:PLD)</v>
    <v>652589</v>
    <v>3251247</v>
    <v>1997</v>
  </rv>
  <rv s="2">
    <v>288</v>
  </rv>
  <rv s="0">
    <v>https://www.bing.com/financeapi/forcetrigger?t=a1mw4c&amp;q=XNAS%3aADP&amp;form=skydnc</v>
    <v>Learn more on Bing</v>
  </rv>
  <rv s="1">
    <v>en-US</v>
    <v>a1mw4c</v>
    <v>268435456</v>
    <v>1</v>
    <v>Powered by Refinitiv</v>
    <v>0</v>
    <v>AUTOMATIC DATA PROCESSING, INC. (XNAS:ADP)</v>
    <v>2</v>
    <v>3</v>
    <v>Finance</v>
    <v>4</v>
    <v>271.86500000000001</v>
    <v>205.53</v>
    <v>0.79820000000000002</v>
    <v>1.1100000000000001</v>
    <v>4.117E-3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64000</v>
    <v>Nasdaq Stock Market</v>
    <v>XNAS</v>
    <v>XNAS</v>
    <v>One Adp Boulvard, ROSELAND, NJ, 07068 US</v>
    <v>271.86500000000001</v>
    <v>Software &amp; IT Services</v>
    <v>Stock</v>
    <v>45530.686726921092</v>
    <v>290</v>
    <v>270.31</v>
    <v>110394238591</v>
    <v>AUTOMATIC DATA PROCESSING, INC.</v>
    <v>AUTOMATIC DATA PROCESSING, INC.</v>
    <v>270.55</v>
    <v>29.6189</v>
    <v>269.60000000000002</v>
    <v>270.70999999999998</v>
    <v>407795200</v>
    <v>ADP</v>
    <v>AUTOMATIC DATA PROCESSING, INC. (XNAS:ADP)</v>
    <v>198421</v>
    <v>1569037</v>
    <v>1961</v>
  </rv>
  <rv s="2">
    <v>291</v>
  </rv>
  <rv s="0">
    <v>https://www.bing.com/financeapi/forcetrigger?t=a1o4ec&amp;q=XNYS%3aBA&amp;form=skydnc</v>
    <v>Learn more on Bing</v>
  </rv>
  <rv s="6">
    <v>en-US</v>
    <v>a1o4ec</v>
    <v>268435456</v>
    <v>1</v>
    <v>Powered by Refinitiv</v>
    <v>10</v>
    <v>THE BOEING COMPANY (XNYS:BA)</v>
    <v>2</v>
    <v>13</v>
    <v>Finance</v>
    <v>4</v>
    <v>267.54000000000002</v>
    <v>159.69999999999999</v>
    <v>1.5784</v>
    <v>-1.56</v>
    <v>-8.9160000000000003E-3</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174.73</v>
    <v>Aerospace &amp; Defense</v>
    <v>Stock</v>
    <v>45530.686836064066</v>
    <v>293</v>
    <v>172.32</v>
    <v>106843392480</v>
    <v>THE BOEING COMPANY</v>
    <v>THE BOEING COMPANY</v>
    <v>172.97499999999999</v>
    <v>174.96</v>
    <v>173.4</v>
    <v>616167200</v>
    <v>BA</v>
    <v>THE BOEING COMPANY (XNYS:BA)</v>
    <v>2216278</v>
    <v>6490315</v>
    <v>1934</v>
  </rv>
  <rv s="2">
    <v>294</v>
  </rv>
  <rv s="0">
    <v>https://www.bing.com/financeapi/forcetrigger?t=a1zgm7&amp;q=XNAS%3aPANW&amp;form=skydnc</v>
    <v>Learn more on Bing</v>
  </rv>
  <rv s="1">
    <v>en-US</v>
    <v>a1zgm7</v>
    <v>268435456</v>
    <v>1</v>
    <v>Powered by Refinitiv</v>
    <v>0</v>
    <v>PALO ALTO NETWORKS, INC. (XNAS:PANW)</v>
    <v>2</v>
    <v>3</v>
    <v>Finance</v>
    <v>4</v>
    <v>380.84</v>
    <v>224.64</v>
    <v>1.1285000000000001</v>
    <v>1.95</v>
    <v>5.5600000000000007E-3</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15166</v>
    <v>Nasdaq Stock Market</v>
    <v>XNAS</v>
    <v>XNAS</v>
    <v>3000 Tannery Way, SANTA CLARA, CA, 95054 US</v>
    <v>354.64</v>
    <v>Software &amp; IT Services</v>
    <v>Stock</v>
    <v>45530.686827267971</v>
    <v>296</v>
    <v>348.07499999999999</v>
    <v>113572900000</v>
    <v>PALO ALTO NETWORKS, INC.</v>
    <v>PALO ALTO NETWORKS, INC.</v>
    <v>349.73</v>
    <v>48.455500000000001</v>
    <v>350.75</v>
    <v>352.7</v>
    <v>323800000</v>
    <v>PANW</v>
    <v>PALO ALTO NETWORKS, INC. (XNAS:PANW)</v>
    <v>1163005</v>
    <v>3609394</v>
    <v>2005</v>
  </rv>
  <rv s="2">
    <v>297</v>
  </rv>
  <rv s="0">
    <v>https://www.bing.com/financeapi/forcetrigger?t=a1qvjc&amp;q=XNYS%3aDE&amp;form=skydnc</v>
    <v>Learn more on Bing</v>
  </rv>
  <rv s="1">
    <v>en-US</v>
    <v>a1qvjc</v>
    <v>268435456</v>
    <v>1</v>
    <v>Powered by Refinitiv</v>
    <v>0</v>
    <v>DEERE &amp; COMPANY (XNYS:DE)</v>
    <v>2</v>
    <v>3</v>
    <v>Finance</v>
    <v>4</v>
    <v>423.34989999999999</v>
    <v>340.20010000000002</v>
    <v>0.93</v>
    <v>1.8825000000000001</v>
    <v>4.9389999999999998E-3</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83000</v>
    <v>New York Stock Exchange</v>
    <v>XNYS</v>
    <v>XNYS</v>
    <v>One John Deere Place, MOLINE, IL, 61265 US</v>
    <v>385.3</v>
    <v>Machinery, Equipment &amp; Components</v>
    <v>Stock</v>
    <v>45530.686772962501</v>
    <v>299</v>
    <v>381.25</v>
    <v>105560648043</v>
    <v>DEERE &amp; COMPANY</v>
    <v>DEERE &amp; COMPANY</v>
    <v>382</v>
    <v>13.112299999999999</v>
    <v>381.18</v>
    <v>383.0625</v>
    <v>275570300</v>
    <v>DE</v>
    <v>DEERE &amp; COMPANY (XNYS:DE)</v>
    <v>440392</v>
    <v>1704310</v>
    <v>1958</v>
  </rv>
  <rv s="2">
    <v>300</v>
  </rv>
  <rv s="0">
    <v>https://www.bing.com/financeapi/forcetrigger?t=a1wzw7&amp;q=XNYS%3aLMT&amp;form=skydnc</v>
    <v>Learn more on Bing</v>
  </rv>
  <rv s="1">
    <v>en-US</v>
    <v>a1wzw7</v>
    <v>268435456</v>
    <v>1</v>
    <v>Powered by Refinitiv</v>
    <v>0</v>
    <v>LOCKHEED MARTIN CORPORATION (XNYS:LMT)</v>
    <v>2</v>
    <v>3</v>
    <v>Finance</v>
    <v>4</v>
    <v>564.22</v>
    <v>393.77</v>
    <v>0.46739999999999998</v>
    <v>3.87</v>
    <v>6.973E-3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559.76990000000001</v>
    <v>Aerospace &amp; Defense</v>
    <v>Stock</v>
    <v>45530.686820589843</v>
    <v>302</v>
    <v>556.01</v>
    <v>133213519040</v>
    <v>LOCKHEED MARTIN CORPORATION</v>
    <v>LOCKHEED MARTIN CORPORATION</v>
    <v>556.01</v>
    <v>20.114799999999999</v>
    <v>555.01</v>
    <v>558.88</v>
    <v>238358000</v>
    <v>LMT</v>
    <v>LOCKHEED MARTIN CORPORATION (XNYS:LMT)</v>
    <v>269088</v>
    <v>1188646</v>
    <v>1994</v>
  </rv>
  <rv s="2">
    <v>303</v>
  </rv>
  <rv s="0">
    <v>https://www.bing.com/financeapi/forcetrigger?t=a1pp5r&amp;q=XNYS%3aCI&amp;form=skydnc</v>
    <v>Learn more on Bing</v>
  </rv>
  <rv s="1">
    <v>en-US</v>
    <v>a1pp5r</v>
    <v>268435456</v>
    <v>1</v>
    <v>Powered by Refinitiv</v>
    <v>0</v>
    <v>THE CIGNA GROUP (XNYS:CI)</v>
    <v>2</v>
    <v>3</v>
    <v>Finance</v>
    <v>4</v>
    <v>365.71</v>
    <v>253.95</v>
    <v>0.50670000000000004</v>
    <v>-1.06</v>
    <v>-2.9940000000000001E-3</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356.83499999999998</v>
    <v>Healthcare Providers &amp; Services</v>
    <v>Stock</v>
    <v>45530.686823587501</v>
    <v>305</v>
    <v>352.28</v>
    <v>98661157984</v>
    <v>THE CIGNA GROUP</v>
    <v>THE CIGNA GROUP</v>
    <v>354.69</v>
    <v>27.836400000000001</v>
    <v>353.99</v>
    <v>352.93</v>
    <v>279548800</v>
    <v>CI</v>
    <v>THE CIGNA GROUP (XNYS:CI)</v>
    <v>184497</v>
    <v>1293360</v>
    <v>2018</v>
  </rv>
  <rv s="2">
    <v>306</v>
  </rv>
  <rv s="0">
    <v>https://www.bing.com/financeapi/forcetrigger?t=a24ynm&amp;q=XNYS%3aUPS&amp;form=skydnc</v>
    <v>Learn more on Bing</v>
  </rv>
  <rv s="1">
    <v>en-US</v>
    <v>a24ynm</v>
    <v>268435456</v>
    <v>1</v>
    <v>Powered by Refinitiv</v>
    <v>0</v>
    <v>UNITED PARCEL SERVICE, INC. (XNYS:UPS)</v>
    <v>2</v>
    <v>3</v>
    <v>Finance</v>
    <v>4</v>
    <v>172.75450000000001</v>
    <v>123.12</v>
    <v>0.97709999999999997</v>
    <v>0.94</v>
    <v>7.3450000000000008E-3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129.58000000000001</v>
    <v>Freight &amp; Logistics Services</v>
    <v>Stock</v>
    <v>45530.686794062502</v>
    <v>308</v>
    <v>128.38499999999999</v>
    <v>109616300000</v>
    <v>UNITED PARCEL SERVICE, INC.</v>
    <v>UNITED PARCEL SERVICE, INC.</v>
    <v>128.69</v>
    <v>21.115300000000001</v>
    <v>127.97</v>
    <v>128.91</v>
    <v>856577800</v>
    <v>UPS</v>
    <v>UNITED PARCEL SERVICE, INC. (XNYS:UPS)</v>
    <v>2071142</v>
    <v>5769409</v>
    <v>1999</v>
  </rv>
  <rv s="2">
    <v>309</v>
  </rv>
  <rv s="0">
    <v>https://www.bing.com/financeapi/forcetrigger?t=a239hw&amp;q=XNAS%3aSNPS&amp;form=skydnc</v>
    <v>Learn more on Bing</v>
  </rv>
  <rv s="1">
    <v>en-US</v>
    <v>a239hw</v>
    <v>268435456</v>
    <v>1</v>
    <v>Powered by Refinitiv</v>
    <v>0</v>
    <v>SYNOPSYS, INC. (XNAS:SNPS)</v>
    <v>2</v>
    <v>3</v>
    <v>Finance</v>
    <v>4</v>
    <v>629.38</v>
    <v>440.62</v>
    <v>1.0797000000000001</v>
    <v>-10.09</v>
    <v>-1.8706E-2</v>
    <v>USD</v>
    <v>Synopsys, Inc. is engaged in supplying the electronic design automation (EDA) software that engineers use to design and test integrated circuits (ICs), chips or silicon. The Company provides software and hardware used to validate the electronic systems that incorporate chips and the software that runs on them, including cloud-based digital design flow to boost chip-design development productivity. It also provides technical services and support. The Company has three segments. Design Automation segment includes its advanced silicon design, verification products and services, system integration products and services, digital, custom and FPGA IC design software, verification software and hardware products, manufacturing software products, and other. Design IP segment includes its Design IP products. Software Integrity segment includes solutions that test software code for security vulnerabilities and quality defects, as well as professional and managed services.</v>
    <v>20300</v>
    <v>Nasdaq Stock Market</v>
    <v>XNAS</v>
    <v>XNAS</v>
    <v>675 Almanor Ave, SUNNYVALE, CA, 94085 US</v>
    <v>537.34</v>
    <v>Software &amp; IT Services</v>
    <v>Stock</v>
    <v>45530.686808310158</v>
    <v>311</v>
    <v>524.15570000000002</v>
    <v>81307360900</v>
    <v>SYNOPSYS, INC.</v>
    <v>SYNOPSYS, INC.</v>
    <v>533.52</v>
    <v>55.582599999999999</v>
    <v>539.39</v>
    <v>529.29999999999995</v>
    <v>153613000</v>
    <v>SNPS</v>
    <v>SYNOPSYS, INC. (XNAS:SNPS)</v>
    <v>351822</v>
    <v>1087138</v>
    <v>1987</v>
  </rv>
  <rv s="2">
    <v>312</v>
  </rv>
  <rv s="0">
    <v>https://www.bing.com/financeapi/forcetrigger?t=a1pxbh&amp;q=XNYS%3aCMG&amp;form=skydnc</v>
    <v>Learn more on Bing</v>
  </rv>
  <rv s="1">
    <v>en-US</v>
    <v>a1pxbh</v>
    <v>268435456</v>
    <v>1</v>
    <v>Powered by Refinitiv</v>
    <v>0</v>
    <v>CHIPOTLE MEXICAN GRILL, INC. (XNYS:CMG)</v>
    <v>2</v>
    <v>3</v>
    <v>Finance</v>
    <v>4</v>
    <v>69.261399999999995</v>
    <v>35.372700000000002</v>
    <v>1.2529999999999999</v>
    <v>1.0603</v>
    <v>1.9740999999999998E-2</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55.045000000000002</v>
    <v>Hotels &amp; Entertainment Services</v>
    <v>Stock</v>
    <v>45530.686833078122</v>
    <v>314</v>
    <v>53.78</v>
    <v>75006611362</v>
    <v>CHIPOTLE MEXICAN GRILL, INC.</v>
    <v>CHIPOTLE MEXICAN GRILL, INC.</v>
    <v>53.83</v>
    <v>52.640900000000002</v>
    <v>53.71</v>
    <v>54.770299999999999</v>
    <v>1369476000</v>
    <v>CMG</v>
    <v>CHIPOTLE MEXICAN GRILL, INC. (XNYS:CMG)</v>
    <v>5687689</v>
    <v>22275234</v>
    <v>1998</v>
  </rv>
  <rv s="2">
    <v>315</v>
  </rv>
  <rv s="0">
    <v>https://www.bing.com/financeapi/forcetrigger?t=a24c52&amp;q=XNAS%3aTMUS&amp;form=skydnc</v>
    <v>Learn more on Bing</v>
  </rv>
  <rv s="1">
    <v>en-US</v>
    <v>a24c52</v>
    <v>268435456</v>
    <v>1</v>
    <v>Powered by Refinitiv</v>
    <v>0</v>
    <v>T-MOBILE US, INC. (XNAS:TMUS)</v>
    <v>2</v>
    <v>3</v>
    <v>Finance</v>
    <v>4</v>
    <v>200.2</v>
    <v>132.4</v>
    <v>0.50560000000000005</v>
    <v>1.165</v>
    <v>5.8669999999999998E-3</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 BELLEVUE, WA, 98006 US</v>
    <v>200.2</v>
    <v>Telecommunications Services</v>
    <v>Stock</v>
    <v>45530.686796110938</v>
    <v>317</v>
    <v>199</v>
    <v>233059270080</v>
    <v>T-MOBILE US, INC.</v>
    <v>T-MOBILE US, INC.</v>
    <v>199</v>
    <v>24.869800000000001</v>
    <v>198.58</v>
    <v>199.745</v>
    <v>1166784000</v>
    <v>TMUS</v>
    <v>T-MOBILE US, INC. (XNAS:TMUS)</v>
    <v>670093</v>
    <v>4172095</v>
    <v>2004</v>
  </rv>
  <rv s="2">
    <v>318</v>
  </rv>
  <rv s="0">
    <v>https://www.bing.com/financeapi/forcetrigger?t=a22k9c&amp;q=XNAS%3aSBUX&amp;form=skydnc</v>
    <v>Learn more on Bing</v>
  </rv>
  <rv s="1">
    <v>en-US</v>
    <v>a22k9c</v>
    <v>268435456</v>
    <v>1</v>
    <v>Powered by Refinitiv</v>
    <v>0</v>
    <v>STARBUCKS CORPORATION (XNAS:SBUX)</v>
    <v>2</v>
    <v>3</v>
    <v>Finance</v>
    <v>4</v>
    <v>107.66</v>
    <v>71.55</v>
    <v>0.95409999999999995</v>
    <v>1.54</v>
    <v>1.6378999999999998E-2</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381000</v>
    <v>Nasdaq Stock Market</v>
    <v>XNAS</v>
    <v>XNAS</v>
    <v>P O Box 34067, SEATTLE, WA, 98124-1067 US</v>
    <v>95.805000000000007</v>
    <v>Hotels &amp; Entertainment Services</v>
    <v>Stock</v>
    <v>45530.686845914061</v>
    <v>320</v>
    <v>94.18</v>
    <v>108288592000</v>
    <v>STARBUCKS CORPORATION</v>
    <v>STARBUCKS CORPORATION</v>
    <v>94.2</v>
    <v>26.350200000000001</v>
    <v>94.02</v>
    <v>95.56</v>
    <v>1133200000</v>
    <v>SBUX</v>
    <v>STARBUCKS CORPORATION (XNAS:SBUX)</v>
    <v>5009230</v>
    <v>20014921</v>
    <v>1985</v>
  </rv>
  <rv s="2">
    <v>321</v>
  </rv>
  <rv s="0">
    <v>https://www.bing.com/financeapi/forcetrigger?t=a1ngur&amp;q=XNYS%3aAMT&amp;form=skydnc</v>
    <v>Learn more on Bing</v>
  </rv>
  <rv s="1">
    <v>en-US</v>
    <v>a1ngur</v>
    <v>268435456</v>
    <v>1</v>
    <v>Powered by Refinitiv</v>
    <v>0</v>
    <v>AMERICAN TOWER CORPORATION (XNYS:AMT)</v>
    <v>2</v>
    <v>3</v>
    <v>Finance</v>
    <v>4</v>
    <v>236.13</v>
    <v>154.58000000000001</v>
    <v>0.82950000000000002</v>
    <v>-1.07</v>
    <v>-4.7139999999999994E-3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5643</v>
    <v>New York Stock Exchange</v>
    <v>XNYS</v>
    <v>XNYS</v>
    <v>116 Huntington Ave, BOSTON, MA, 02116-5749 US</v>
    <v>228.39</v>
    <v>Residential &amp; Commercial REIT</v>
    <v>Stock</v>
    <v>45530.686854073436</v>
    <v>323</v>
    <v>225.67</v>
    <v>106027500000</v>
    <v>AMERICAN TOWER CORPORATION</v>
    <v>AMERICAN TOWER CORPORATION</v>
    <v>227.405</v>
    <v>42.6355</v>
    <v>227</v>
    <v>225.93</v>
    <v>467081700</v>
    <v>AMT</v>
    <v>AMERICAN TOWER CORPORATION (XNYS:AMT)</v>
    <v>311214</v>
    <v>2408308</v>
    <v>1996</v>
  </rv>
  <rv s="2">
    <v>324</v>
  </rv>
  <rv s="0">
    <v>https://www.bing.com/financeapi/forcetrigger?t=a1sx27&amp;q=XNAS%3aFISV&amp;form=skydnc</v>
    <v>Learn more on Bing</v>
  </rv>
  <rv s="1">
    <v>en-US</v>
    <v>a1sx27</v>
    <v>268435456</v>
    <v>1</v>
    <v>Powered by Refinitiv</v>
    <v>0</v>
    <v>FISERV, INC. (XNYS:FI)</v>
    <v>2</v>
    <v>3</v>
    <v>Finance</v>
    <v>4</v>
    <v>171.12</v>
    <v>109.11499999999999</v>
    <v>0.92959999999999998</v>
    <v>0.63</v>
    <v>3.7099999999999998E-3</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171.12</v>
    <v>Professional &amp; Commercial Services</v>
    <v>Stock</v>
    <v>45530.686833772656</v>
    <v>326</v>
    <v>169.93</v>
    <v>98126603088</v>
    <v>FISERV, INC.</v>
    <v>FISERV, INC.</v>
    <v>170.08</v>
    <v>29.558</v>
    <v>169.81</v>
    <v>170.44</v>
    <v>575725200</v>
    <v>FI</v>
    <v>FISERV, INC. (XNYS:FI)</v>
    <v>382006</v>
    <v>2592313</v>
    <v>1992</v>
  </rv>
  <rv s="2">
    <v>327</v>
  </rv>
  <rv s="0">
    <v>https://www.bing.com/financeapi/forcetrigger?t=a1xfoc&amp;q=XNAS%3aMDLZ&amp;form=skydnc</v>
    <v>Learn more on Bing</v>
  </rv>
  <rv s="1">
    <v>en-US</v>
    <v>a1xfoc</v>
    <v>268435456</v>
    <v>1</v>
    <v>Powered by Refinitiv</v>
    <v>0</v>
    <v>Mondelez International, Inc. (XNAS:MDLZ)</v>
    <v>2</v>
    <v>3</v>
    <v>Finance</v>
    <v>4</v>
    <v>77.2</v>
    <v>60.75</v>
    <v>0.54710000000000003</v>
    <v>0.52</v>
    <v>7.3000000000000001E-3</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91000</v>
    <v>Nasdaq Stock Market</v>
    <v>XNAS</v>
    <v>XNAS</v>
    <v>905 West Fulton Market, Suite 200, CHICAGO, IL, 60607 US</v>
    <v>72.14</v>
    <v>Food &amp; Tobacco</v>
    <v>Stock</v>
    <v>45530.686820253904</v>
    <v>329</v>
    <v>71.42</v>
    <v>95843506500</v>
    <v>Mondelez International, Inc.</v>
    <v>Mondelez International, Inc.</v>
    <v>71.5</v>
    <v>24.763200000000001</v>
    <v>71.23</v>
    <v>71.75</v>
    <v>1335798000</v>
    <v>MDLZ</v>
    <v>Mondelez International, Inc. (XNAS:MDLZ)</v>
    <v>1384931</v>
    <v>6159826</v>
    <v>2000</v>
  </rv>
  <rv s="2">
    <v>330</v>
  </rv>
  <rv s="0">
    <v>https://www.bing.com/financeapi/forcetrigger?t=a1pejc&amp;q=XNAS%3aCDNS&amp;form=skydnc</v>
    <v>Learn more on Bing</v>
  </rv>
  <rv s="1">
    <v>en-US</v>
    <v>a1pejc</v>
    <v>268435456</v>
    <v>1</v>
    <v>Powered by Refinitiv</v>
    <v>0</v>
    <v>CADENCE DESIGN SYSTEMS, INC. (XNAS:CDNS)</v>
    <v>2</v>
    <v>3</v>
    <v>Finance</v>
    <v>4</v>
    <v>328.99</v>
    <v>227.05</v>
    <v>1.0197000000000001</v>
    <v>-7.92</v>
    <v>-2.8916000000000001E-2</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12665</v>
    <v>Nasdaq Stock Market</v>
    <v>XNAS</v>
    <v>XNAS</v>
    <v>2655 Seely Avenue Bldg 5, SAN JOSE, CA, 95134 US</v>
    <v>271.94</v>
    <v>Software &amp; IT Services</v>
    <v>Stock</v>
    <v>45530.686793101566</v>
    <v>332</v>
    <v>264.01</v>
    <v>72830643600</v>
    <v>CADENCE DESIGN SYSTEMS, INC.</v>
    <v>CADENCE DESIGN SYSTEMS, INC.</v>
    <v>271.43</v>
    <v>70.830100000000002</v>
    <v>273.89999999999998</v>
    <v>265.98</v>
    <v>273820000</v>
    <v>CDNS</v>
    <v>CADENCE DESIGN SYSTEMS, INC. (XNAS:CDNS)</v>
    <v>936996</v>
    <v>2501837</v>
    <v>1987</v>
  </rv>
  <rv s="2">
    <v>333</v>
  </rv>
  <rv s="0">
    <v>https://www.bing.com/financeapi/forcetrigger?t=a1p2ar&amp;q=XNYS%3aBX&amp;form=skydnc</v>
    <v>Learn more on Bing</v>
  </rv>
  <rv s="1">
    <v>en-US</v>
    <v>a1p2ar</v>
    <v>268435456</v>
    <v>1</v>
    <v>Powered by Refinitiv</v>
    <v>0</v>
    <v>BLACKSTONE INC. (XNYS:BX)</v>
    <v>2</v>
    <v>3</v>
    <v>Finance</v>
    <v>4</v>
    <v>145.16</v>
    <v>88.59</v>
    <v>1.498</v>
    <v>2.2549999999999999</v>
    <v>1.619E-2</v>
    <v>USD</v>
    <v>Blackstone Inc. is an alternative asset manager. The Company’s asset management business includes investment vehicles, which is focused on real estate, private equity, infrastructure, life sciences, growth equity, credit, real assets, and secondary funds. The Company operates through four segments: Real Estate, Private Equity, Credit &amp; Insurance, and Hedge Fund Solutions. Its Blackstone Real Estate Partners (BREP) business makes investments in logistics, office, rental housing, hospitality, and retail properties, as well as in a variety of real estate operating companies. The Private Equity segment includes Blackstone Capital Partners, Blackstone Energy Transition Partners, Blackstone Capital Partners Asia, and Blackstone Core Equity Partners. The Credit &amp; Insurance segment includes Blackstone Credit and Blackstone Insurance Solutions (BIS). The Hedge Fund Solutions segment includes Blackstone Alternative Asset Management and GP Stakes businesses.</v>
    <v>4735</v>
    <v>New York Stock Exchange</v>
    <v>XNYS</v>
    <v>XNYS</v>
    <v>345 Park Ave, NEW YORK, NY, 10154 US</v>
    <v>141.63499999999999</v>
    <v>Investment Banking &amp; Investment Services</v>
    <v>Stock</v>
    <v>45530.686818078124</v>
    <v>335</v>
    <v>139.82</v>
    <v>170117100000</v>
    <v>BLACKSTONE INC.</v>
    <v>BLACKSTONE INC.</v>
    <v>140.01</v>
    <v>54.041499999999999</v>
    <v>139.28</v>
    <v>141.535</v>
    <v>1221403000</v>
    <v>BX</v>
    <v>BLACKSTONE INC. (XNYS:BX)</v>
    <v>1448503</v>
    <v>3338807</v>
    <v>2007</v>
  </rv>
  <rv s="2">
    <v>336</v>
  </rv>
  <rv s="0">
    <v>https://www.bing.com/financeapi/forcetrigger?t=a1nihw&amp;q=XNYS%3aANET&amp;form=skydnc</v>
    <v>Learn more on Bing</v>
  </rv>
  <rv s="1">
    <v>en-US</v>
    <v>a1nihw</v>
    <v>268435456</v>
    <v>1</v>
    <v>Powered by Refinitiv</v>
    <v>0</v>
    <v>ARISTA NETWORKS, INC. (XNYS:ANET)</v>
    <v>2</v>
    <v>3</v>
    <v>Finance</v>
    <v>4</v>
    <v>376.5</v>
    <v>168.25</v>
    <v>1.0742</v>
    <v>-10.36</v>
    <v>-2.9171999999999997E-2</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358</v>
    <v>Communications &amp; Networking</v>
    <v>Stock</v>
    <v>45530.686793089844</v>
    <v>338</v>
    <v>343.05500000000001</v>
    <v>108310495333</v>
    <v>ARISTA NETWORKS, INC.</v>
    <v>ARISTA NETWORKS, INC.</v>
    <v>357.66</v>
    <v>45.277999999999999</v>
    <v>355.13</v>
    <v>344.77</v>
    <v>314152900</v>
    <v>ANET</v>
    <v>ARISTA NETWORKS, INC. (XNYS:ANET)</v>
    <v>628421</v>
    <v>2159655</v>
    <v>2011</v>
  </rv>
  <rv s="2">
    <v>339</v>
  </rv>
  <rv s="0">
    <v>https://www.bing.com/financeapi/forcetrigger?t=a23a5r&amp;q=XNYS%3aSO&amp;form=skydnc</v>
    <v>Learn more on Bing</v>
  </rv>
  <rv s="1">
    <v>en-US</v>
    <v>a23a5r</v>
    <v>268435456</v>
    <v>1</v>
    <v>Powered by Refinitiv</v>
    <v>0</v>
    <v>THE SOUTHERN COMPANY (XNYS:SO)</v>
    <v>2</v>
    <v>3</v>
    <v>Finance</v>
    <v>4</v>
    <v>89.68</v>
    <v>61.560099999999998</v>
    <v>0.51019999999999999</v>
    <v>0.42</v>
    <v>4.8770000000000003E-3</v>
    <v>USD</v>
    <v>The Southern Company is an energy provider. The Company owns three traditional electric operating companies, Southern Power Company and Southern Company Gas. The traditional electric operating companies - Alabama Power, Georgia Power and Mississippi Power -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 through the natural gas distribution utilities. Southern Company Gas is also involved in several other businesses that are complementary to the distribution of natural gas.</v>
    <v>28100</v>
    <v>New York Stock Exchange</v>
    <v>XNYS</v>
    <v>XNYS</v>
    <v>30 Ivan Allen Jr. Blvd., N.W., ATLANTA, GA, 30308 US</v>
    <v>86.82</v>
    <v>Electrical Utilities &amp; IPPs</v>
    <v>Stock</v>
    <v>45530.686844224219</v>
    <v>341</v>
    <v>86.22</v>
    <v>94625086040</v>
    <v>THE SOUTHERN COMPANY</v>
    <v>THE SOUTHERN COMPANY</v>
    <v>86.33</v>
    <v>20.62</v>
    <v>86.12</v>
    <v>86.54</v>
    <v>1093426000</v>
    <v>SO</v>
    <v>THE SOUTHERN COMPANY (XNYS:SO)</v>
    <v>1516899</v>
    <v>4378617</v>
    <v>1945</v>
  </rv>
  <rv s="2">
    <v>342</v>
  </rv>
  <rv s="0">
    <v>https://www.bing.com/financeapi/forcetrigger?t=a1nllh&amp;q=XNYS%3aAPH&amp;form=skydnc</v>
    <v>Learn more on Bing</v>
  </rv>
  <rv s="1">
    <v>en-US</v>
    <v>a1nllh</v>
    <v>268435456</v>
    <v>1</v>
    <v>Powered by Refinitiv</v>
    <v>0</v>
    <v>AMPHENOL CORPORATION (XNYS:APH)</v>
    <v>2</v>
    <v>3</v>
    <v>Finance</v>
    <v>4</v>
    <v>70.84</v>
    <v>39.340000000000003</v>
    <v>1.2483</v>
    <v>-0.37990000000000002</v>
    <v>-5.6410000000000002E-3</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Interconnect and Sensor Systems designs, manufactures, and markets a range of sensors, sensor-based systems, connectors, and value-added interconnect systems. It also offers wireless technology solutions.</v>
    <v>95000</v>
    <v>New York Stock Exchange</v>
    <v>XNYS</v>
    <v>XNYS</v>
    <v>358 HALL AVE, WALLINGFORD, CT, 06492 US</v>
    <v>67.63</v>
    <v>Electronic Equipment &amp; Parts</v>
    <v>Stock</v>
    <v>45530.686850717189</v>
    <v>344</v>
    <v>66.64</v>
    <v>80651354758</v>
    <v>AMPHENOL CORPORATION</v>
    <v>AMPHENOL CORPORATION</v>
    <v>67.305000000000007</v>
    <v>40.121499999999997</v>
    <v>67.349999999999994</v>
    <v>66.970100000000002</v>
    <v>1204289000</v>
    <v>APH</v>
    <v>AMPHENOL CORPORATION (XNYS:APH)</v>
    <v>1558475</v>
    <v>7902782</v>
    <v>1986</v>
  </rv>
  <rv s="2">
    <v>345</v>
  </rv>
  <rv s="0">
    <v>https://www.bing.com/financeapi/forcetrigger?t=a1ook2&amp;q=XNYS%3aBMY&amp;form=skydnc</v>
    <v>Learn more on Bing</v>
  </rv>
  <rv s="6">
    <v>en-US</v>
    <v>a1ook2</v>
    <v>268435456</v>
    <v>1</v>
    <v>Powered by Refinitiv</v>
    <v>10</v>
    <v>BRISTOL-MYERS SQUIBB COMPANY (XNYS:BMY)</v>
    <v>2</v>
    <v>13</v>
    <v>Finance</v>
    <v>4</v>
    <v>63.41</v>
    <v>39.35</v>
    <v>0.45689999999999997</v>
    <v>0.115</v>
    <v>2.3899999999999998E-3</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48.484999999999999</v>
    <v>Pharmaceuticals</v>
    <v>Stock</v>
    <v>45530.686797476563</v>
    <v>347</v>
    <v>47.98</v>
    <v>97771123875</v>
    <v>BRISTOL-MYERS SQUIBB COMPANY</v>
    <v>BRISTOL-MYERS SQUIBB COMPANY</v>
    <v>48.11</v>
    <v>48.11</v>
    <v>48.225000000000001</v>
    <v>2027395000</v>
    <v>BMY</v>
    <v>BRISTOL-MYERS SQUIBB COMPANY (XNYS:BMY)</v>
    <v>1653594</v>
    <v>15491091</v>
    <v>1933</v>
  </rv>
  <rv s="2">
    <v>348</v>
  </rv>
  <rv s="0">
    <v>https://www.bing.com/financeapi/forcetrigger?t=a1pshw&amp;q=XNYS%3aCL&amp;form=skydnc</v>
    <v>Learn more on Bing</v>
  </rv>
  <rv s="1">
    <v>en-US</v>
    <v>a1pshw</v>
    <v>268435456</v>
    <v>1</v>
    <v>Powered by Refinitiv</v>
    <v>0</v>
    <v>COLGATE-PALMOLIVE COMPANY (XNYS:CL)</v>
    <v>2</v>
    <v>3</v>
    <v>Finance</v>
    <v>4</v>
    <v>105.06</v>
    <v>67.62</v>
    <v>0.39650000000000002</v>
    <v>0.63500000000000001</v>
    <v>6.0929999999999995E-3</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105.06</v>
    <v>Personal &amp; Household Products &amp; Services</v>
    <v>Stock</v>
    <v>45530.686835173437</v>
    <v>350</v>
    <v>104.08</v>
    <v>85667507484</v>
    <v>COLGATE-PALMOLIVE COMPANY</v>
    <v>COLGATE-PALMOLIVE COMPANY</v>
    <v>104.08</v>
    <v>30.294799999999999</v>
    <v>104.21</v>
    <v>104.845</v>
    <v>817087200</v>
    <v>CL</v>
    <v>COLGATE-PALMOLIVE COMPANY (XNYS:CL)</v>
    <v>776742</v>
    <v>4238569</v>
    <v>1923</v>
  </rv>
  <rv s="2">
    <v>351</v>
  </rv>
  <rv s="0">
    <v>https://www.bing.com/financeapi/forcetrigger?t=a1xe52&amp;q=XNYS%3aMCK&amp;form=skydnc</v>
    <v>Learn more on Bing</v>
  </rv>
  <rv s="1">
    <v>en-US</v>
    <v>a1xe52</v>
    <v>268435456</v>
    <v>1</v>
    <v>Powered by Refinitiv</v>
    <v>0</v>
    <v>MCKESSON CORPORATION (XNYS:MCK)</v>
    <v>2</v>
    <v>3</v>
    <v>Finance</v>
    <v>4</v>
    <v>637.51</v>
    <v>404.72</v>
    <v>0.44059999999999999</v>
    <v>-2.69</v>
    <v>-4.8720000000000005E-3</v>
    <v>USD</v>
    <v>McKesson Corporation is a provider of diversified healthcare services. The Company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provides distribution and services to wholesale, institutional, and retail customers in Europe and Canada.</v>
    <v>45000</v>
    <v>New York Stock Exchange</v>
    <v>XNYS</v>
    <v>XNYS</v>
    <v>6555 State Highway 161, IRVING, TX, 75039 US</v>
    <v>553.95000000000005</v>
    <v>Pharmaceuticals</v>
    <v>Stock</v>
    <v>45530.686795983594</v>
    <v>353</v>
    <v>548.58010000000002</v>
    <v>71601020000</v>
    <v>MCKESSON CORPORATION</v>
    <v>MCKESSON CORPORATION</v>
    <v>552.89</v>
    <v>24.690300000000001</v>
    <v>552.15</v>
    <v>549.46</v>
    <v>129676800</v>
    <v>MCK</v>
    <v>MCKESSON CORPORATION (XNYS:MCK)</v>
    <v>159401</v>
    <v>968983</v>
    <v>1994</v>
  </rv>
  <rv s="2">
    <v>354</v>
  </rv>
  <rv s="0">
    <v>https://www.bing.com/financeapi/forcetrigger?t=a1xtpr&amp;q=XNYS%3aMO&amp;form=skydnc</v>
    <v>Learn more on Bing</v>
  </rv>
  <rv s="1">
    <v>en-US</v>
    <v>a1xtpr</v>
    <v>268435456</v>
    <v>1</v>
    <v>Powered by Refinitiv</v>
    <v>0</v>
    <v>Altria Group, Inc. (XNYS:MO)</v>
    <v>2</v>
    <v>3</v>
    <v>Finance</v>
    <v>4</v>
    <v>53.08</v>
    <v>39.064999999999998</v>
    <v>0.68259999999999998</v>
    <v>0.34549999999999997</v>
    <v>6.5880000000000001E-3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53.08</v>
    <v>Food &amp; Tobacco</v>
    <v>Stock</v>
    <v>45530.686851330465</v>
    <v>356</v>
    <v>52.45</v>
    <v>90063886952</v>
    <v>Altria Group, Inc.</v>
    <v>Altria Group, Inc.</v>
    <v>52.48</v>
    <v>9.0441000000000003</v>
    <v>52.44</v>
    <v>52.785499999999999</v>
    <v>1706224000</v>
    <v>MO</v>
    <v>Altria Group, Inc. (XNYS:MO)</v>
    <v>2897475</v>
    <v>8457409</v>
    <v>1985</v>
  </rv>
  <rv s="2">
    <v>357</v>
  </rv>
  <rv s="0">
    <v>https://www.bing.com/financeapi/forcetrigger?t=a1vqnm&amp;q=XNYS%3aTT&amp;form=skydnc</v>
    <v>Learn more on Bing</v>
  </rv>
  <rv s="1">
    <v>en-US</v>
    <v>a1vqnm</v>
    <v>268435456</v>
    <v>1</v>
    <v>Powered by Refinitiv</v>
    <v>0</v>
    <v>Trane Technologies plc (XNYS:TT)</v>
    <v>2</v>
    <v>3</v>
    <v>Finance</v>
    <v>4</v>
    <v>355.02499999999998</v>
    <v>184.02</v>
    <v>1.0502</v>
    <v>-1.6950000000000001</v>
    <v>-4.803E-3</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40000</v>
    <v>New York Stock Exchange</v>
    <v>XNYS</v>
    <v>XNYS</v>
    <v>170/175 Lakeview Drive, Airside Business Park, Swords,, SWORDS, DUBLIN IE</v>
    <v>354.32</v>
    <v>Machinery, Equipment &amp; Components</v>
    <v>Stock</v>
    <v>45530.686800693751</v>
    <v>359</v>
    <v>350.04</v>
    <v>79258759293</v>
    <v>Trane Technologies plc</v>
    <v>Trane Technologies plc</v>
    <v>352.91</v>
    <v>34.4878</v>
    <v>352.91</v>
    <v>351.21499999999997</v>
    <v>225670200</v>
    <v>TT</v>
    <v>Trane Technologies plc (XNYS:TT)</v>
    <v>187708</v>
    <v>1256934</v>
    <v>2009</v>
  </rv>
  <rv s="2">
    <v>360</v>
  </rv>
  <rv s="0">
    <v>https://www.bing.com/financeapi/forcetrigger?t=a1tvoc&amp;q=XNAS%3aGILD&amp;form=skydnc</v>
    <v>Learn more on Bing</v>
  </rv>
  <rv s="1">
    <v>en-US</v>
    <v>a1tvoc</v>
    <v>268435456</v>
    <v>1</v>
    <v>Powered by Refinitiv</v>
    <v>0</v>
    <v>GILEAD SCIENCES, INC. (XNAS:GILD)</v>
    <v>2</v>
    <v>3</v>
    <v>Finance</v>
    <v>4</v>
    <v>87.864999999999995</v>
    <v>62.07</v>
    <v>0.1943</v>
    <v>0.02</v>
    <v>2.6069999999999999E-4</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77.430000000000007</v>
    <v>Pharmaceuticals</v>
    <v>Stock</v>
    <v>45530.686871712503</v>
    <v>362</v>
    <v>76.420100000000005</v>
    <v>95540686080</v>
    <v>GILEAD SCIENCES, INC.</v>
    <v>GILEAD SCIENCES, INC.</v>
    <v>76.8</v>
    <v>93.566100000000006</v>
    <v>76.72</v>
    <v>76.739999999999995</v>
    <v>1244992000</v>
    <v>GILD</v>
    <v>GILEAD SCIENCES, INC. (XNAS:GILD)</v>
    <v>935387</v>
    <v>5986846</v>
    <v>1987</v>
  </rv>
  <rv s="2">
    <v>363</v>
  </rv>
  <rv s="0">
    <v>https://www.bing.com/financeapi/forcetrigger?t=a1v8ar&amp;q=XNYS%3aICE&amp;form=skydnc</v>
    <v>Learn more on Bing</v>
  </rv>
  <rv s="1">
    <v>en-US</v>
    <v>a1v8ar</v>
    <v>268435456</v>
    <v>1</v>
    <v>Powered by Refinitiv</v>
    <v>0</v>
    <v>INTERCONTINENTAL EXCHANGE, INC. (XNYS:ICE)</v>
    <v>2</v>
    <v>3</v>
    <v>Finance</v>
    <v>4</v>
    <v>161.11000000000001</v>
    <v>104.49</v>
    <v>1.0891999999999999</v>
    <v>0.57499999999999996</v>
    <v>3.594E-3</v>
    <v>USD</v>
    <v>Intercontinental Exchange, Inc. is a global provider of technology and data to a range of customers including financial institutions, corporations, and government entities. The Company operates through three segments: Exchanges, Fixed Income and Data Services, and Mortgage Technology. The Exchanges segment operates regulated marketplace technology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technology. The Mortgage Technology segment provides a technology platform that offers customers digital workflow tools that aim to address the inefficiencies and mitigate risks that exist in the United States residential mortgage market life cycle, from application through closing, servicing, and the secondary market.</v>
    <v>12937</v>
    <v>New York Stock Exchange</v>
    <v>XNYS</v>
    <v>XNYS</v>
    <v>5660 New Northside Drive, Third Floor, ATLANTA, GA, 30328 US</v>
    <v>161.11000000000001</v>
    <v>Investment Banking &amp; Investment Services</v>
    <v>Stock</v>
    <v>45530.686817267968</v>
    <v>365</v>
    <v>159.88</v>
    <v>92198609128</v>
    <v>INTERCONTINENTAL EXCHANGE, INC.</v>
    <v>INTERCONTINENTAL EXCHANGE, INC.</v>
    <v>160.82</v>
    <v>39.602600000000002</v>
    <v>160.01</v>
    <v>160.58500000000001</v>
    <v>574142100</v>
    <v>ICE</v>
    <v>INTERCONTINENTAL EXCHANGE, INC. (XNYS:ICE)</v>
    <v>283388</v>
    <v>2850764</v>
    <v>2013</v>
  </rv>
  <rv s="2">
    <v>366</v>
  </rv>
  <rv s="0">
    <v>https://www.bing.com/financeapi/forcetrigger?t=a26hyc&amp;q=XNYS%3aZTS&amp;form=skydnc</v>
    <v>Learn more on Bing</v>
  </rv>
  <rv s="1">
    <v>en-US</v>
    <v>a26hyc</v>
    <v>268435456</v>
    <v>1</v>
    <v>Powered by Refinitiv</v>
    <v>0</v>
    <v>ZOETIS INC. (XNYS:ZTS)</v>
    <v>2</v>
    <v>3</v>
    <v>Finance</v>
    <v>4</v>
    <v>201.92</v>
    <v>144.80000000000001</v>
    <v>0.8821</v>
    <v>1.36</v>
    <v>7.5180000000000004E-3</v>
    <v>USD</v>
    <v>Zoetis Inc. is an animal health company. The Company is focused on the discovery, development, manufacture and commercialization of medicines, vaccines, diagnostic products and services, biodevices, genetic tests and precision animal health. It has a diversified business, commercializing products across eight core species: dogs, cats and horses (companion animals) and cattle, swine, poultry, fish and sheep (livestock); and within seven major product categories: parasiticides, vaccines, dermatology, other pharmaceutical, anti-infectives, animal health diagnostics and medicated feed additives. The Company operates through two segments: the United States and International. Within each of these segments, it offers a diversified product portfolio for both companion animal and livestock customers. It directly markets its products in approximately 45 countries across North America, Europe, Africa, Asia, Australia and South America, and its products are sold in more than 100 countries.</v>
    <v>14100</v>
    <v>New York Stock Exchange</v>
    <v>XNYS</v>
    <v>XNYS</v>
    <v>10 Sylvan Way, PARSIPPANY, NJ, 07054 US</v>
    <v>182.4299</v>
    <v>Pharmaceuticals</v>
    <v>Stock</v>
    <v>45530.686840798437</v>
    <v>368</v>
    <v>180.52010000000001</v>
    <v>82573075260</v>
    <v>ZOETIS INC.</v>
    <v>ZOETIS INC.</v>
    <v>181.35</v>
    <v>35.624099999999999</v>
    <v>180.9</v>
    <v>182.26</v>
    <v>453051000</v>
    <v>ZTS</v>
    <v>ZOETIS INC. (XNYS:ZTS)</v>
    <v>359742</v>
    <v>1891998</v>
    <v>2012</v>
  </rv>
  <rv s="2">
    <v>369</v>
  </rv>
  <rv s="0">
    <v>https://www.bing.com/financeapi/forcetrigger?t=a1rdzr&amp;q=XNYS%3aDUK&amp;form=skydnc</v>
    <v>Learn more on Bing</v>
  </rv>
  <rv s="1">
    <v>en-US</v>
    <v>a1rdzr</v>
    <v>268435456</v>
    <v>1</v>
    <v>Powered by Refinitiv</v>
    <v>0</v>
    <v>DUKE ENERGY CORPORATION (XNYS:DUK)</v>
    <v>2</v>
    <v>3</v>
    <v>Finance</v>
    <v>4</v>
    <v>116.67</v>
    <v>83.06</v>
    <v>0.45600000000000002</v>
    <v>0.5</v>
    <v>4.45E-3</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27037</v>
    <v>New York Stock Exchange</v>
    <v>XNYS</v>
    <v>XNYS</v>
    <v>525 South Tryon Street, CHARLOTTE, NC, 28202-1803 US</v>
    <v>113.6297</v>
    <v>Electrical Utilities &amp; IPPs</v>
    <v>Stock</v>
    <v>45530.686830995313</v>
    <v>371</v>
    <v>112.01</v>
    <v>87127920000</v>
    <v>DUKE ENERGY CORPORATION</v>
    <v>DUKE ENERGY CORPORATION</v>
    <v>112.64</v>
    <v>19.346499999999999</v>
    <v>112.36</v>
    <v>112.86</v>
    <v>772000000</v>
    <v>DUK</v>
    <v>DUKE ENERGY CORPORATION (XNYS:DUK)</v>
    <v>964748</v>
    <v>3230701</v>
    <v>2005</v>
  </rv>
  <rv s="2">
    <v>372</v>
  </rv>
  <rv s="0">
    <v>https://www.bing.com/financeapi/forcetrigger?t=a1qlnm&amp;q=XNYS%3aCVS&amp;form=skydnc</v>
    <v>Learn more on Bing</v>
  </rv>
  <rv s="1">
    <v>en-US</v>
    <v>a1qlnm</v>
    <v>268435456</v>
    <v>1</v>
    <v>Powered by Refinitiv</v>
    <v>0</v>
    <v>CVS HEALTH CORPORATION (XNYS:CVS)</v>
    <v>2</v>
    <v>3</v>
    <v>Finance</v>
    <v>4</v>
    <v>83.25</v>
    <v>52.770499999999998</v>
    <v>0.53090000000000004</v>
    <v>0.39</v>
    <v>6.6379999999999998E-3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59.79</v>
    <v>Healthcare Providers &amp; Services</v>
    <v>Stock</v>
    <v>45530.686851863284</v>
    <v>374</v>
    <v>58.59</v>
    <v>74396878060</v>
    <v>CVS HEALTH CORPORATION</v>
    <v>CVS HEALTH CORPORATION</v>
    <v>58.674999999999997</v>
    <v>10.5776</v>
    <v>58.75</v>
    <v>59.14</v>
    <v>1257979000</v>
    <v>CVS</v>
    <v>CVS HEALTH CORPORATION (XNYS:CVS)</v>
    <v>2893532</v>
    <v>9127660</v>
    <v>1996</v>
  </rv>
  <rv s="2">
    <v>375</v>
  </rv>
  <rv s="0">
    <v>https://www.bing.com/financeapi/forcetrigger?t=a25xjc&amp;q=XNYS%3aWM&amp;form=skydnc</v>
    <v>Learn more on Bing</v>
  </rv>
  <rv s="1">
    <v>en-US</v>
    <v>a25xjc</v>
    <v>268435456</v>
    <v>1</v>
    <v>Powered by Refinitiv</v>
    <v>0</v>
    <v>WASTE MANAGEMENT, INC. (XNYS:WM)</v>
    <v>2</v>
    <v>3</v>
    <v>Finance</v>
    <v>4</v>
    <v>225</v>
    <v>149.71</v>
    <v>0.75049999999999994</v>
    <v>-0.745</v>
    <v>-3.5479999999999999E-3</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211.3099</v>
    <v>Professional &amp; Commercial Services</v>
    <v>Stock</v>
    <v>45530.686819351562</v>
    <v>377</v>
    <v>209.08</v>
    <v>83969102178</v>
    <v>WASTE MANAGEMENT, INC.</v>
    <v>WASTE MANAGEMENT, INC.</v>
    <v>211.13</v>
    <v>33.531999999999996</v>
    <v>209.98</v>
    <v>209.23500000000001</v>
    <v>401314800</v>
    <v>WM</v>
    <v>WASTE MANAGEMENT, INC. (XNYS:WM)</v>
    <v>289333</v>
    <v>1667815</v>
    <v>1995</v>
  </rv>
  <rv s="2">
    <v>378</v>
  </rv>
  <rv s="0">
    <v>https://www.bing.com/financeapi/forcetrigger?t=a242qh&amp;q=XNYS%3aTDG&amp;form=skydnc</v>
    <v>Learn more on Bing</v>
  </rv>
  <rv s="1">
    <v>en-US</v>
    <v>a242qh</v>
    <v>268435456</v>
    <v>1</v>
    <v>Powered by Refinitiv</v>
    <v>0</v>
    <v>TRANSDIGM GROUP INCORPORATED (XNYS:TDG)</v>
    <v>2</v>
    <v>3</v>
    <v>Finance</v>
    <v>4</v>
    <v>1369.575</v>
    <v>774.00239999999997</v>
    <v>1.4232</v>
    <v>-14.34</v>
    <v>-1.0808999999999999E-2</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1329.21</v>
    <v>Aerospace &amp; Defense</v>
    <v>Stock</v>
    <v>45530.686824721874</v>
    <v>380</v>
    <v>1307.7650000000001</v>
    <v>73637221552</v>
    <v>TRANSDIGM GROUP INCORPORATED</v>
    <v>TRANSDIGM GROUP INCORPORATED</v>
    <v>1325.11</v>
    <v>49.055799999999998</v>
    <v>1326.68</v>
    <v>1312.34</v>
    <v>56111390</v>
    <v>TDG</v>
    <v>TRANSDIGM GROUP INCORPORATED (XNYS:TDG)</v>
    <v>121710</v>
    <v>236516</v>
    <v>2003</v>
  </rv>
  <rv s="2">
    <v>381</v>
  </rv>
  <rv s="0">
    <v>https://www.bing.com/financeapi/forcetrigger?t=a1s4mw&amp;q=XNAS%3aEQIX&amp;form=skydnc</v>
    <v>Learn more on Bing</v>
  </rv>
  <rv s="1">
    <v>en-US</v>
    <v>a1s4mw</v>
    <v>268435456</v>
    <v>1</v>
    <v>Powered by Refinitiv</v>
    <v>0</v>
    <v>EQUINIX, INC. (XNAS:EQIX)</v>
    <v>2</v>
    <v>3</v>
    <v>Finance</v>
    <v>4</v>
    <v>914.93</v>
    <v>677.8</v>
    <v>0.7</v>
    <v>-3.2</v>
    <v>-3.8649999999999999E-3</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13151</v>
    <v>Nasdaq Stock Market</v>
    <v>XNAS</v>
    <v>XNAS</v>
    <v>One Lagoon Drive, REDWOOD CITY, CA, 94065 US</v>
    <v>833</v>
    <v>Residential &amp; Commercial REIT</v>
    <v>Stock</v>
    <v>45530.686786284372</v>
    <v>383</v>
    <v>824.14</v>
    <v>78306829952</v>
    <v>EQUINIX, INC.</v>
    <v>EQUINIX, INC.</v>
    <v>830.39</v>
    <v>75.616600000000005</v>
    <v>827.96</v>
    <v>824.76</v>
    <v>94944990</v>
    <v>EQIX</v>
    <v>EQUINIX, INC. (XNAS:EQIX)</v>
    <v>70772</v>
    <v>473675</v>
    <v>1998</v>
  </rv>
  <rv s="2">
    <v>384</v>
  </rv>
  <rv s="0">
    <v>https://www.bing.com/financeapi/forcetrigger?t=a1px2w&amp;q=XNAS%3aCME&amp;form=skydnc</v>
    <v>Learn more on Bing</v>
  </rv>
  <rv s="1">
    <v>en-US</v>
    <v>a1px2w</v>
    <v>268435456</v>
    <v>1</v>
    <v>Powered by Refinitiv</v>
    <v>0</v>
    <v>CME GROUP INC. (XNAS:CME)</v>
    <v>2</v>
    <v>3</v>
    <v>Finance</v>
    <v>4</v>
    <v>222.63</v>
    <v>190.7</v>
    <v>0.55600000000000005</v>
    <v>0.99</v>
    <v>4.7810000000000005E-3</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energy, agricultural products and metals. It offers futures and options on futures trading through the CME Globex platform, fixed income trading via BrokerTec and foreign exchange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3565</v>
    <v>Nasdaq Stock Market</v>
    <v>XNAS</v>
    <v>XNAS</v>
    <v>20 S. Wacker Dr., CHICAGO, IL, 60606 US</v>
    <v>208.65</v>
    <v>Investment Banking &amp; Investment Services</v>
    <v>Stock</v>
    <v>45530.686768703126</v>
    <v>386</v>
    <v>207.1</v>
    <v>74913872544</v>
    <v>CME GROUP INC.</v>
    <v>CME GROUP INC.</v>
    <v>207.1</v>
    <v>22.829000000000001</v>
    <v>207.05</v>
    <v>208.04</v>
    <v>360093600</v>
    <v>CME</v>
    <v>CME GROUP INC. (XNAS:CME)</v>
    <v>300460</v>
    <v>1693402</v>
    <v>2001</v>
  </rv>
  <rv s="2">
    <v>387</v>
  </rv>
  <rv s="0">
    <v>https://www.bing.com/financeapi/forcetrigger?t=a22xk2&amp;q=XNYS%3aSHW&amp;form=skydnc</v>
    <v>Learn more on Bing</v>
  </rv>
  <rv s="1">
    <v>en-US</v>
    <v>a22xk2</v>
    <v>268435456</v>
    <v>1</v>
    <v>Powered by Refinitiv</v>
    <v>0</v>
    <v>THE SHERWIN-WILLIAMS COMPANY (XNYS:SHW)</v>
    <v>2</v>
    <v>3</v>
    <v>Finance</v>
    <v>4</v>
    <v>363.125</v>
    <v>232.06</v>
    <v>1.1673</v>
    <v>2.65</v>
    <v>7.3870000000000003E-3</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West Prospect Avenue, CLEVELAND, OH, 44115-1075 US</v>
    <v>363.125</v>
    <v>Chemicals</v>
    <v>Stock</v>
    <v>45530.686791365624</v>
    <v>389</v>
    <v>359.33</v>
    <v>91160851488</v>
    <v>THE SHERWIN-WILLIAMS COMPANY</v>
    <v>THE SHERWIN-WILLIAMS COMPANY</v>
    <v>360.5</v>
    <v>36.996699999999997</v>
    <v>358.73</v>
    <v>361.38</v>
    <v>252257600</v>
    <v>SHW</v>
    <v>THE SHERWIN-WILLIAMS COMPANY (XNYS:SHW)</v>
    <v>422865</v>
    <v>1816429</v>
    <v>1884</v>
  </rv>
  <rv s="2">
    <v>390</v>
  </rv>
  <rv s="0">
    <v>https://www.bing.com/financeapi/forcetrigger?t=c4xjc7&amp;q=XNAS%3aCEG&amp;form=skydnc</v>
    <v>Learn more on Bing</v>
  </rv>
  <rv s="1">
    <v>en-US</v>
    <v>c4xjc7</v>
    <v>268435456</v>
    <v>1</v>
    <v>Powered by Refinitiv</v>
    <v>0</v>
    <v>CONSTELLATION ENERGY CORPORATION. (XNAS:CEG)</v>
    <v>2</v>
    <v>3</v>
    <v>Finance</v>
    <v>4</v>
    <v>236.3</v>
    <v>102.405</v>
    <v>0.99299999999999999</v>
    <v>-0.86</v>
    <v>-4.4099999999999999E-3</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197.99</v>
    <v>Electrical Utilities &amp; IPPs</v>
    <v>Stock</v>
    <v>45530.686868171091</v>
    <v>392</v>
    <v>193.5</v>
    <v>60702334983</v>
    <v>CONSTELLATION ENERGY CORPORATION.</v>
    <v>CONSTELLATION ENERGY CORPORATION.</v>
    <v>195.5</v>
    <v>25.997900000000001</v>
    <v>194.99</v>
    <v>194.13</v>
    <v>312689100</v>
    <v>CEG</v>
    <v>CONSTELLATION ENERGY CORPORATION. (XNAS:CEG)</v>
    <v>686158</v>
    <v>3625750</v>
    <v>2021</v>
  </rv>
  <rv s="2">
    <v>393</v>
  </rv>
  <rv s="0">
    <v>https://www.bing.com/financeapi/forcetrigger?t=a1yy2w&amp;q=XNAS%3aNXPI&amp;form=skydnc</v>
    <v>Learn more on Bing</v>
  </rv>
  <rv s="1">
    <v>en-US</v>
    <v>a1yy2w</v>
    <v>268435456</v>
    <v>1</v>
    <v>Powered by Refinitiv</v>
    <v>0</v>
    <v>NXP Semiconductors NV (XNAS:NXPI)</v>
    <v>2</v>
    <v>3</v>
    <v>Finance</v>
    <v>4</v>
    <v>296.08</v>
    <v>167.21019999999999</v>
    <v>1.4992000000000001</v>
    <v>-2.0299999999999998</v>
    <v>-8.0350000000000005E-3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Nasdaq Stock Market</v>
    <v>XNAS</v>
    <v>XNAS</v>
    <v>High Tech Campus 60, EINDHOVEN, NOORD-BRABANT, 5656AG NL</v>
    <v>252.02500000000001</v>
    <v>Semiconductors &amp; Semiconductor Equipment</v>
    <v>Stock</v>
    <v>45530.686792488283</v>
    <v>395</v>
    <v>248.84</v>
    <v>63836064740</v>
    <v>NXP Semiconductors NV</v>
    <v>NXP Semiconductors NV</v>
    <v>251.3</v>
    <v>23.608499999999999</v>
    <v>252.63</v>
    <v>250.6</v>
    <v>254732900</v>
    <v>NXPI</v>
    <v>NXP Semiconductors NV (XNAS:NXPI)</v>
    <v>394508</v>
    <v>2838330</v>
    <v>2010</v>
  </rv>
  <rv s="2">
    <v>396</v>
  </rv>
  <rv s="0">
    <v>https://www.bing.com/financeapi/forcetrigger?t=a1s24c&amp;q=XNYS%3aEOG&amp;form=skydnc</v>
    <v>Learn more on Bing</v>
  </rv>
  <rv s="1">
    <v>en-US</v>
    <v>a1s24c</v>
    <v>268435456</v>
    <v>1</v>
    <v>Powered by Refinitiv</v>
    <v>0</v>
    <v>EOG RESOURCES, INC. (XNYS:EOG)</v>
    <v>2</v>
    <v>3</v>
    <v>Finance</v>
    <v>4</v>
    <v>139.66999999999999</v>
    <v>108.94</v>
    <v>1.2785</v>
    <v>2.72</v>
    <v>2.1434000000000002E-2</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131.18</v>
    <v>Oil &amp; Gas</v>
    <v>Stock</v>
    <v>45530.68675944375</v>
    <v>398</v>
    <v>128.85</v>
    <v>73701867190</v>
    <v>EOG RESOURCES, INC.</v>
    <v>EOG RESOURCES, INC.</v>
    <v>129.59</v>
    <v>9.8058999999999994</v>
    <v>126.9</v>
    <v>129.62</v>
    <v>568599500</v>
    <v>EOG</v>
    <v>EOG RESOURCES, INC. (XNYS:EOG)</v>
    <v>863306</v>
    <v>2854667</v>
    <v>1985</v>
  </rv>
  <rv s="2">
    <v>399</v>
  </rv>
  <rv s="0">
    <v>https://www.bing.com/financeapi/forcetrigger?t=a1sp52&amp;q=XNYS%3aFCX&amp;form=skydnc</v>
    <v>Learn more on Bing</v>
  </rv>
  <rv s="1">
    <v>en-US</v>
    <v>a1sp52</v>
    <v>268435456</v>
    <v>1</v>
    <v>Powered by Refinitiv</v>
    <v>0</v>
    <v>FREEPORT-MCMORAN INC. (XNYS:FCX)</v>
    <v>2</v>
    <v>3</v>
    <v>Finance</v>
    <v>4</v>
    <v>55.234999999999999</v>
    <v>32.825000000000003</v>
    <v>1.8927</v>
    <v>0.40500000000000003</v>
    <v>9.0690000000000007E-3</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46.01</v>
    <v>Metals &amp; Mining</v>
    <v>Stock</v>
    <v>45530.686856932814</v>
    <v>401</v>
    <v>44.965000000000003</v>
    <v>64751915640</v>
    <v>FREEPORT-MCMORAN INC.</v>
    <v>FREEPORT-MCMORAN INC.</v>
    <v>45.56</v>
    <v>33.4983</v>
    <v>44.66</v>
    <v>45.064999999999998</v>
    <v>1436856000</v>
    <v>FCX</v>
    <v>FREEPORT-MCMORAN INC. (XNYS:FCX)</v>
    <v>5204089</v>
    <v>12215922</v>
    <v>1987</v>
  </rv>
  <rv s="2">
    <v>402</v>
  </rv>
  <rv s="0">
    <v>https://www.bing.com/financeapi/forcetrigger?t=a1ock2&amp;q=XNYS%3aBDX&amp;form=skydnc</v>
    <v>Learn more on Bing</v>
  </rv>
  <rv s="1">
    <v>en-US</v>
    <v>a1ock2</v>
    <v>268435456</v>
    <v>1</v>
    <v>Powered by Refinitiv</v>
    <v>0</v>
    <v>BECTON, DICKINSON AND COMPANY (XNYS:BDX)</v>
    <v>2</v>
    <v>3</v>
    <v>Finance</v>
    <v>4</v>
    <v>283.5</v>
    <v>218.75</v>
    <v>0.43049999999999999</v>
    <v>0.92</v>
    <v>3.8920000000000001E-3</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73000</v>
    <v>New York Stock Exchange</v>
    <v>XNYS</v>
    <v>XNYS</v>
    <v>One Becton Drive, FRANKLIN LAKES, NJ, 07417-1880 US</v>
    <v>239.47</v>
    <v>Healthcare Equipment &amp; Supplies</v>
    <v>Stock</v>
    <v>45530.686826642966</v>
    <v>404</v>
    <v>237</v>
    <v>68589761520</v>
    <v>BECTON, DICKINSON AND COMPANY</v>
    <v>BECTON, DICKINSON AND COMPANY</v>
    <v>237.21</v>
    <v>47.147399999999998</v>
    <v>236.38</v>
    <v>237.3</v>
    <v>289042400</v>
    <v>BDX</v>
    <v>BECTON, DICKINSON AND COMPANY (XNYS:BDX)</v>
    <v>342246</v>
    <v>1448867</v>
    <v>1906</v>
  </rv>
  <rv s="2">
    <v>405</v>
  </rv>
  <rv s="0">
    <v>https://www.bing.com/financeapi/forcetrigger?t=a1uhnm&amp;q=XNYS%3aHCA&amp;form=skydnc</v>
    <v>Learn more on Bing</v>
  </rv>
  <rv s="1">
    <v>en-US</v>
    <v>a1uhnm</v>
    <v>268435456</v>
    <v>1</v>
    <v>Powered by Refinitiv</v>
    <v>0</v>
    <v>HCA HEALTHCARE, INC. (XNYS:HCA)</v>
    <v>2</v>
    <v>3</v>
    <v>Finance</v>
    <v>4</v>
    <v>391.34</v>
    <v>215.96</v>
    <v>1.6756</v>
    <v>0.35</v>
    <v>9.0030000000000004E-4</v>
    <v>USD</v>
    <v>HCA Healthcare, Inc. is a health care services company. The Company owns, manages or operates hospitals, freestanding surgery centers, freestanding emergency care facilities, urgent care facilities, walk-in clinics, diagnostic and imaging centers, radiation and oncology therapy centers, comprehensive rehabilitation and physical therapy centers, physician practices, home health, hospice, outpatient physical therapy home and community-based services providers, and various other facilities. It also operates outpatient health care facilities, which include freestanding ambulatory surgery centers (ASCs), freestanding emergency care facilities, urgent care facilities, walk-in clinics, diagnostic and imaging centers, comprehensive rehabilitation and physical therapy centers, radiation and oncology therapy centers, physician practices and other facilities. It operates about 186 hospitals, comprised of 178 general, acute care hospitals, six behavioral hospitals and two rehabilitation hospitals.</v>
    <v>220000</v>
    <v>New York Stock Exchange</v>
    <v>XNYS</v>
    <v>XNYS</v>
    <v>One Park Plaza, NASHVILLE, TN, 37203 US</v>
    <v>391.34</v>
    <v>Healthcare Providers &amp; Services</v>
    <v>Stock</v>
    <v>45530.68661342578</v>
    <v>407</v>
    <v>387.61500000000001</v>
    <v>100424141055</v>
    <v>HCA HEALTHCARE, INC.</v>
    <v>HCA HEALTHCARE, INC.</v>
    <v>389.82</v>
    <v>18.283200000000001</v>
    <v>388.78</v>
    <v>389.13</v>
    <v>258073500</v>
    <v>HCA</v>
    <v>HCA HEALTHCARE, INC. (XNYS:HCA)</v>
    <v>463966</v>
    <v>1158934</v>
    <v>2010</v>
  </rv>
  <rv s="2">
    <v>408</v>
  </rv>
  <rv s="0">
    <v>https://www.bing.com/financeapi/forcetrigger?t=a1tppr&amp;q=XNYS%3aGD&amp;form=skydnc</v>
    <v>Learn more on Bing</v>
  </rv>
  <rv s="1">
    <v>en-US</v>
    <v>a1tppr</v>
    <v>268435456</v>
    <v>1</v>
    <v>Powered by Refinitiv</v>
    <v>0</v>
    <v>GENERAL DYNAMICS CORPORATION (XNYS:GD)</v>
    <v>2</v>
    <v>3</v>
    <v>Finance</v>
    <v>4</v>
    <v>302.74860000000001</v>
    <v>214.53</v>
    <v>0.60389999999999999</v>
    <v>-0.155</v>
    <v>-5.3180000000000002E-4</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293.05259999999998</v>
    <v>Aerospace &amp; Defense</v>
    <v>Stock</v>
    <v>45530.686801735937</v>
    <v>410</v>
    <v>290.42</v>
    <v>80041340992</v>
    <v>GENERAL DYNAMICS CORPORATION</v>
    <v>GENERAL DYNAMICS CORPORATION</v>
    <v>292.77499999999998</v>
    <v>22.738299999999999</v>
    <v>291.45</v>
    <v>291.29500000000002</v>
    <v>274777600</v>
    <v>GD</v>
    <v>GENERAL DYNAMICS CORPORATION (XNYS:GD)</v>
    <v>281567</v>
    <v>1074835</v>
    <v>1952</v>
  </rv>
  <rv s="2">
    <v>411</v>
  </rv>
  <rv s="0">
    <v>https://www.bing.com/financeapi/forcetrigger?t=a1xear&amp;q=XNYS%3aMCO&amp;form=skydnc</v>
    <v>Learn more on Bing</v>
  </rv>
  <rv s="1">
    <v>en-US</v>
    <v>a1xear</v>
    <v>268435456</v>
    <v>1</v>
    <v>Powered by Refinitiv</v>
    <v>0</v>
    <v>MOODY'S CORPORATION (XNYS:MCO)</v>
    <v>2</v>
    <v>3</v>
    <v>Finance</v>
    <v>4</v>
    <v>483.55500000000001</v>
    <v>298.86</v>
    <v>1.2862</v>
    <v>2.25</v>
    <v>4.6940000000000003E-3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15505</v>
    <v>New York Stock Exchange</v>
    <v>XNYS</v>
    <v>XNYS</v>
    <v>7 World Trade Ctr, NEW YORK, NY, 10007-2140 US</v>
    <v>483.21</v>
    <v>Professional &amp; Commercial Services</v>
    <v>Stock</v>
    <v>45530.686848182813</v>
    <v>413</v>
    <v>480.12</v>
    <v>87704823000</v>
    <v>MOODY'S CORPORATION</v>
    <v>MOODY'S CORPORATION</v>
    <v>482.7</v>
    <v>47.155500000000004</v>
    <v>479.38</v>
    <v>481.63</v>
    <v>182100000</v>
    <v>MCO</v>
    <v>MOODY'S CORPORATION (XNYS:MCO)</v>
    <v>112492</v>
    <v>853440</v>
    <v>2000</v>
  </rv>
  <rv s="2">
    <v>414</v>
  </rv>
  <rv s="0">
    <v>https://www.bing.com/financeapi/forcetrigger?t=a246z2&amp;q=XNYS%3aTGT&amp;form=skydnc</v>
    <v>Learn more on Bing</v>
  </rv>
  <rv s="1">
    <v>en-US</v>
    <v>a246z2</v>
    <v>268435456</v>
    <v>1</v>
    <v>Powered by Refinitiv</v>
    <v>0</v>
    <v>TARGET CORPORATION (XNYS:TGT)</v>
    <v>2</v>
    <v>3</v>
    <v>Finance</v>
    <v>4</v>
    <v>181.86</v>
    <v>102.93</v>
    <v>1.2393000000000001</v>
    <v>-0.24</v>
    <v>-1.5140000000000002E-3</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161.84</v>
    <v>Diversified Retail</v>
    <v>Stock</v>
    <v>45530.686823969532</v>
    <v>416</v>
    <v>157.97</v>
    <v>73052847652</v>
    <v>TARGET CORPORATION</v>
    <v>TARGET CORPORATION</v>
    <v>159.19</v>
    <v>16.363900000000001</v>
    <v>158.5</v>
    <v>158.26</v>
    <v>461600200</v>
    <v>TGT</v>
    <v>TARGET CORPORATION (XNYS:TGT)</v>
    <v>1515803</v>
    <v>4994337</v>
    <v>1902</v>
  </rv>
  <rv s="2">
    <v>417</v>
  </rv>
  <rv s="0">
    <v>https://www.bing.com/financeapi/forcetrigger?t=a1vv8m&amp;q=XNYS%3aITW&amp;form=skydnc</v>
    <v>Learn more on Bing</v>
  </rv>
  <rv s="1">
    <v>en-US</v>
    <v>a1vv8m</v>
    <v>268435456</v>
    <v>1</v>
    <v>Powered by Refinitiv</v>
    <v>0</v>
    <v>ILLINOIS TOOL WORKS INC. (XNYS:ITW)</v>
    <v>2</v>
    <v>3</v>
    <v>Finance</v>
    <v>4</v>
    <v>271.14999999999998</v>
    <v>217.5</v>
    <v>1.1123000000000001</v>
    <v>1.075</v>
    <v>4.352E-3</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250.21</v>
    <v>Consumer Goods Conglomerates</v>
    <v>Stock</v>
    <v>45530.686812430467</v>
    <v>419</v>
    <v>247.25</v>
    <v>73650498500</v>
    <v>ILLINOIS TOOL WORKS INC.</v>
    <v>ILLINOIS TOOL WORKS INC.</v>
    <v>248.05500000000001</v>
    <v>24.203700000000001</v>
    <v>246.99</v>
    <v>248.065</v>
    <v>296900000</v>
    <v>ITW</v>
    <v>ILLINOIS TOOL WORKS INC. (XNYS:ITW)</v>
    <v>245743</v>
    <v>916884</v>
    <v>1961</v>
  </rv>
  <rv s="2">
    <v>420</v>
  </rv>
  <rv s="0">
    <v>https://www.bing.com/financeapi/forcetrigger?t=a1qga2&amp;q=XNAS%3aCSX&amp;form=skydnc</v>
    <v>Learn more on Bing</v>
  </rv>
  <rv s="1">
    <v>en-US</v>
    <v>a1qga2</v>
    <v>268435456</v>
    <v>1</v>
    <v>Powered by Refinitiv</v>
    <v>0</v>
    <v>CSX Corporation (XNAS:CSX)</v>
    <v>2</v>
    <v>3</v>
    <v>Finance</v>
    <v>4</v>
    <v>40.119999999999997</v>
    <v>29.03</v>
    <v>1.1900999999999999</v>
    <v>6.5000000000000002E-2</v>
    <v>1.9289999999999999E-3</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23300</v>
    <v>Nasdaq Stock Market</v>
    <v>XNAS</v>
    <v>XNAS</v>
    <v>500 Water Street, 15th Floor, JACKSONVILLE, FL, 32202 US</v>
    <v>33.94</v>
    <v>Freight &amp; Logistics Services</v>
    <v>Stock</v>
    <v>45530.68686517344</v>
    <v>422</v>
    <v>33.61</v>
    <v>65442168700</v>
    <v>CSX Corporation</v>
    <v>CSX Corporation</v>
    <v>33.92</v>
    <v>18.531400000000001</v>
    <v>33.69</v>
    <v>33.755000000000003</v>
    <v>1938740000</v>
    <v>CSX</v>
    <v>CSX Corporation (XNAS:CSX)</v>
    <v>1891330</v>
    <v>11497792</v>
    <v>1978</v>
  </rv>
  <rv s="2">
    <v>423</v>
  </rv>
  <rv s="0">
    <v>https://www.bing.com/financeapi/forcetrigger?t=a1ztzr&amp;q=XNYS%3aPH&amp;form=skydnc</v>
    <v>Learn more on Bing</v>
  </rv>
  <rv s="1">
    <v>en-US</v>
    <v>a1ztzr</v>
    <v>268435456</v>
    <v>1</v>
    <v>Powered by Refinitiv</v>
    <v>0</v>
    <v>PARKER-HANNIFIN CORPORATION (XNYS:PH)</v>
    <v>2</v>
    <v>3</v>
    <v>Finance</v>
    <v>4</v>
    <v>597.33000000000004</v>
    <v>362.49</v>
    <v>1.4314</v>
    <v>-3</v>
    <v>-5.0520000000000001E-3</v>
    <v>USD</v>
    <v>Parker-Hannifin Corporation is a manufacturer of motion and control technologies and systems, providing precision engineered solutions for a range of mobile, industrial and aerospace markets. The Company’s segments include Diversified Industrial and Aerospace Systems. The Diversified Industrial segment is an aggregation of several business units, which manufacture motion-control and fluid power system components for builders and users of various types of manufacturing, packaging, transportation, agricultural, construction, and military vehicles and equipment. This segment offers products, such as aerospace filters and systems and compressed air and gas treatment solutions, among others. The Aerospace Systems segment produces hydraulic, fuel, pneumatic and electro-mechanical systems and components, which are utilized on domestic commercial, military and general aviation aircraft. This segment serves original equipment and maintenance, repair and overhaul customers around the world.</v>
    <v>61120</v>
    <v>New York Stock Exchange</v>
    <v>XNYS</v>
    <v>XNYS</v>
    <v>6035 Parkland Boulevard, CLEVELAND, OH, 44124-4141 US</v>
    <v>597.33000000000004</v>
    <v>Machinery, Equipment &amp; Components</v>
    <v>Stock</v>
    <v>45530.686850428123</v>
    <v>425</v>
    <v>587.36</v>
    <v>75976911474</v>
    <v>PARKER-HANNIFIN CORPORATION</v>
    <v>PARKER-HANNIFIN CORPORATION</v>
    <v>594.48</v>
    <v>27.2469</v>
    <v>593.82000000000005</v>
    <v>590.82000000000005</v>
    <v>128595700</v>
    <v>PH</v>
    <v>PARKER-HANNIFIN CORPORATION (XNYS:PH)</v>
    <v>108324</v>
    <v>714608</v>
    <v>1938</v>
  </rv>
  <rv s="2">
    <v>426</v>
  </rv>
  <rv s="0">
    <v>https://www.bing.com/financeapi/forcetrigger?t=bwvem7&amp;q=XNAS%3aABNB&amp;form=skydnc</v>
    <v>Learn more on Bing</v>
  </rv>
  <rv s="1">
    <v>en-US</v>
    <v>bwvem7</v>
    <v>268435456</v>
    <v>1</v>
    <v>Powered by Refinitiv</v>
    <v>0</v>
    <v>AIRBNB, INC. (XNAS:ABNB)</v>
    <v>2</v>
    <v>3</v>
    <v>Finance</v>
    <v>4</v>
    <v>170.1</v>
    <v>110.38</v>
    <v>1.1702999999999999</v>
    <v>-0.8</v>
    <v>-6.8459999999999997E-3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117.39</v>
    <v>Software &amp; IT Services</v>
    <v>Stock</v>
    <v>45530.686884907031</v>
    <v>428</v>
    <v>115.58</v>
    <v>73392747175</v>
    <v>AIRBNB, INC.</v>
    <v>AIRBNB, INC.</v>
    <v>116.85</v>
    <v>15.9079</v>
    <v>116.85</v>
    <v>116.05</v>
    <v>632423500</v>
    <v>ABNB</v>
    <v>AIRBNB, INC. (XNAS:ABNB)</v>
    <v>1502638</v>
    <v>6000160</v>
    <v>2008</v>
  </rv>
  <rv s="2">
    <v>429</v>
  </rv>
  <rv s="0">
    <v>https://www.bing.com/financeapi/forcetrigger?t=a1xzr7&amp;q=XNYS%3aMSI&amp;form=skydnc</v>
    <v>Learn more on Bing</v>
  </rv>
  <rv s="1">
    <v>en-US</v>
    <v>a1xzr7</v>
    <v>268435456</v>
    <v>1</v>
    <v>Powered by Refinitiv</v>
    <v>0</v>
    <v>MOTOROLA SOLUTIONS, INC. (XNYS:MSI)</v>
    <v>2</v>
    <v>3</v>
    <v>Finance</v>
    <v>4</v>
    <v>433.28</v>
    <v>269.64499999999998</v>
    <v>0.97199999999999998</v>
    <v>2.2000000000000002</v>
    <v>5.1120000000000002E-3</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433.28</v>
    <v>Communications &amp; Networking</v>
    <v>Stock</v>
    <v>45530.68684770781</v>
    <v>431</v>
    <v>430.12</v>
    <v>72175416600</v>
    <v>MOTOROLA SOLUTIONS, INC.</v>
    <v>MOTOROLA SOLUTIONS, INC.</v>
    <v>431.73</v>
    <v>50.374200000000002</v>
    <v>430.4</v>
    <v>432.6</v>
    <v>166841000</v>
    <v>MSI</v>
    <v>MOTOROLA SOLUTIONS, INC. (XNYS:MSI)</v>
    <v>115856</v>
    <v>701483</v>
    <v>1973</v>
  </rv>
  <rv s="2">
    <v>432</v>
  </rv>
  <rv s="0">
    <v>https://www.bing.com/financeapi/forcetrigger?t=a1xvzr&amp;q=XNYS%3aMPC&amp;form=skydnc</v>
    <v>Learn more on Bing</v>
  </rv>
  <rv s="1">
    <v>en-US</v>
    <v>a1xvzr</v>
    <v>268435456</v>
    <v>1</v>
    <v>Powered by Refinitiv</v>
    <v>0</v>
    <v>MARATHON PETROLEUM CORPORATION (XNYS:MPC)</v>
    <v>2</v>
    <v>3</v>
    <v>Finance</v>
    <v>4</v>
    <v>221.11</v>
    <v>139.32</v>
    <v>1.37</v>
    <v>-1.0349999999999999</v>
    <v>-5.9040000000000004E-3</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177.49</v>
    <v>Oil &amp; Gas</v>
    <v>Stock</v>
    <v>45530.686896642968</v>
    <v>434</v>
    <v>173.18</v>
    <v>58327071527</v>
    <v>MARATHON PETROLEUM CORPORATION</v>
    <v>MARATHON PETROLEUM CORPORATION</v>
    <v>177.05</v>
    <v>9.1992999999999991</v>
    <v>175.31</v>
    <v>174.27500000000001</v>
    <v>334684100</v>
    <v>MPC</v>
    <v>MARATHON PETROLEUM CORPORATION (XNYS:MPC)</v>
    <v>555572</v>
    <v>2271154</v>
    <v>2009</v>
  </rv>
  <rv s="2">
    <v>435</v>
  </rv>
  <rv s="0">
    <v>https://www.bing.com/financeapi/forcetrigger?t=a21icw&amp;q=XNAS%3aPYPL&amp;form=skydnc</v>
    <v>Learn more on Bing</v>
  </rv>
  <rv s="1">
    <v>en-US</v>
    <v>a21icw</v>
    <v>268435456</v>
    <v>1</v>
    <v>Powered by Refinitiv</v>
    <v>0</v>
    <v>PAYPAL HOLDINGS, INC. (XNAS:PYPL)</v>
    <v>2</v>
    <v>3</v>
    <v>Finance</v>
    <v>4</v>
    <v>73.25</v>
    <v>50.25</v>
    <v>1.4348000000000001</v>
    <v>1.06</v>
    <v>1.4783999999999999E-2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73.03</v>
    <v>Professional &amp; Commercial Services</v>
    <v>Stock</v>
    <v>45530.686832777341</v>
    <v>437</v>
    <v>71.67</v>
    <v>74384949080</v>
    <v>PAYPAL HOLDINGS, INC.</v>
    <v>PAYPAL HOLDINGS, INC.</v>
    <v>72</v>
    <v>17.364100000000001</v>
    <v>71.7</v>
    <v>72.760000000000005</v>
    <v>1022333000</v>
    <v>PYPL</v>
    <v>PAYPAL HOLDINGS, INC. (XNAS:PYPL)</v>
    <v>4392885</v>
    <v>14006293</v>
    <v>2015</v>
  </rv>
  <rv s="2">
    <v>438</v>
  </rv>
  <rv s="0">
    <v>https://www.bing.com/financeapi/forcetrigger?t=a232mw&amp;q=XNYS%3aSLB&amp;form=skydnc</v>
    <v>Learn more on Bing</v>
  </rv>
  <rv s="1">
    <v>en-US</v>
    <v>a232mw</v>
    <v>268435456</v>
    <v>1</v>
    <v>Powered by Refinitiv</v>
    <v>0</v>
    <v>Schlumberger N.V. (XNYS:SLB)</v>
    <v>2</v>
    <v>3</v>
    <v>Finance</v>
    <v>4</v>
    <v>62.12</v>
    <v>42.61</v>
    <v>1.5323</v>
    <v>0.435</v>
    <v>9.6410000000000003E-3</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111000</v>
    <v>New York Stock Exchange</v>
    <v>XNYS</v>
    <v>XNYS</v>
    <v>5599 San Felipe St Fl 17, HOUSTON, TX, 77056-2790 US</v>
    <v>46.16</v>
    <v>Oil &amp; Gas Related Equipment and Services</v>
    <v>Stock</v>
    <v>45530.686897221873</v>
    <v>440</v>
    <v>45.24</v>
    <v>64688100000</v>
    <v>Schlumberger N.V.</v>
    <v>Schlumberger N.V.</v>
    <v>45.91</v>
    <v>14.762</v>
    <v>45.12</v>
    <v>45.555</v>
    <v>1420000000</v>
    <v>SLB</v>
    <v>Schlumberger N.V. (XNYS:SLB)</v>
    <v>2956429</v>
    <v>8133759</v>
    <v>1956</v>
  </rv>
  <rv s="2">
    <v>441</v>
  </rv>
  <rv s="0">
    <v>https://www.bing.com/financeapi/forcetrigger?t=a1zbvh&amp;q=XNAS%3aORLY&amp;form=skydnc</v>
    <v>Learn more on Bing</v>
  </rv>
  <rv s="1">
    <v>en-US</v>
    <v>a1zbvh</v>
    <v>268435456</v>
    <v>1</v>
    <v>Powered by Refinitiv</v>
    <v>0</v>
    <v>O'Reilly Automotive, Inc. (XNAS:ORLY)</v>
    <v>2</v>
    <v>3</v>
    <v>Finance</v>
    <v>4</v>
    <v>1169.1098999999999</v>
    <v>860.1</v>
    <v>0.92449999999999999</v>
    <v>2.9550000000000001</v>
    <v>2.6459999999999999E-3</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1124.4439</v>
    <v>Specialty Retailers</v>
    <v>Stock</v>
    <v>45530.686589039062</v>
    <v>443</v>
    <v>1115.9849999999999</v>
    <v>64938786511</v>
    <v>O'Reilly Automotive, Inc.</v>
    <v>O'Reilly Automotive, Inc.</v>
    <v>1116.5999999999999</v>
    <v>28.097200000000001</v>
    <v>1116.57</v>
    <v>1119.5250000000001</v>
    <v>58005660</v>
    <v>ORLY</v>
    <v>O'Reilly Automotive, Inc. (XNAS:ORLY)</v>
    <v>64371</v>
    <v>382959</v>
    <v>2010</v>
  </rv>
  <rv s="2">
    <v>444</v>
  </rv>
  <rv s="0">
    <v>https://www.bing.com/financeapi/forcetrigger?t=a1ry3m&amp;q=XNYS%3aEMR&amp;form=skydnc</v>
    <v>Learn more on Bing</v>
  </rv>
  <rv s="1">
    <v>en-US</v>
    <v>a1ry3m</v>
    <v>268435456</v>
    <v>1</v>
    <v>Powered by Refinitiv</v>
    <v>0</v>
    <v>EMERSON ELECTRIC CO. (XNYS:EMR)</v>
    <v>2</v>
    <v>3</v>
    <v>Finance</v>
    <v>4</v>
    <v>119.53</v>
    <v>83.1</v>
    <v>1.2984</v>
    <v>2.8999999999999998E-3</v>
    <v>2.7710000000000001E-5</v>
    <v>USD</v>
    <v>Emerson Electric Co. is a global technology and software company. The Company is a global manufacturer that combines technology and engineering to provide advanced solutions to its customers. The Company operates through six segments under two business groups, such as Intelligent Devices, and Software and Control. Its Intelligent Devices business includes Final Control, Measurement &amp; Analytical, Discrete Automation, and Safety &amp; Productivity. The Software and Control business include Control Systems &amp; Software, AspenTech, and Test &amp; Measurement. Final Control segment includes valves, and actuators &amp; regulators product offerings. Measurement &amp; Analytical segment includes liquid analysis, gas analysis, tank gauging system and others. Discrete Automation segment includes industrial solutions product offerings. Safety &amp; Productivity segment includes tools and home products. AspenTech segment provides asset optimization software that enables industrial manufacturers to maintain operations.</v>
    <v>67000</v>
    <v>New York Stock Exchange</v>
    <v>XNYS</v>
    <v>XNYS</v>
    <v>Po Box 4100, 8000 W Florissant Ave, ST. LOUIS, MO, 63136-8506 US</v>
    <v>105.67</v>
    <v>Machinery, Equipment &amp; Components</v>
    <v>Stock</v>
    <v>45530.686836087501</v>
    <v>446</v>
    <v>104.19</v>
    <v>59928988830</v>
    <v>EMERSON ELECTRIC CO.</v>
    <v>EMERSON ELECTRIC CO.</v>
    <v>105.32</v>
    <v>36.0351</v>
    <v>104.64</v>
    <v>104.6429</v>
    <v>572700000</v>
    <v>EMR</v>
    <v>EMERSON ELECTRIC CO. (XNYS:EMR)</v>
    <v>540881</v>
    <v>2880633</v>
    <v>1890</v>
  </rv>
  <rv s="2">
    <v>447</v>
  </rv>
  <rv s="0">
    <v>https://www.bing.com/financeapi/forcetrigger?t=aa5k8m&amp;q=XASX%3aECL&amp;form=skydnc</v>
    <v>Learn more on Bing</v>
  </rv>
  <rv s="1">
    <v>en-US</v>
    <v>aa5k8m</v>
    <v>268435456</v>
    <v>1</v>
    <v>Powered by Refinitiv</v>
    <v>0</v>
    <v>EXCELSIOR CAPITAL LTD (XASX:ECL)</v>
    <v>2</v>
    <v>14</v>
    <v>Finance</v>
    <v>12</v>
    <v>3.37</v>
    <v>2.56</v>
    <v>0.18290000000000001</v>
    <v>0.15</v>
    <v>4.8076999999999995E-2</v>
    <v>AUD</v>
    <v>Excelsior Capital Limited is an Australia-based company, which is engaged in the design and distribution of electrical components and cables for resource infrastructure applications and the management of an investment portfolio. The Company's segments include electrical components and investment portfolio. The Company's electrical components segment includes two business areas: Electrical Cables, which includes brands, such as XLPE Cables, Hartland Cables and Aflex Cables, and Minto Industrial Products, which specializes in couplers and receptacle products in the mining and construction industry. It supplies electronic equipment for defense, aviation, electrical safety markets and consumer electronic equipment for home use. The Company's investment portfolio segment invests in listed and unlisted equity instruments, hybrid notes, quoted debt instruments and/or investment trusts to achieve long term dividend returns and capital appreciation.</v>
    <v>65</v>
    <v>Australian Securities Exchange</v>
    <v>XASX</v>
    <v>XASX</v>
    <v>Level 29, Chifley Tower, 2 Chifley Square, SYDNEY, NEW SOUTH WALES, 2000 AU</v>
    <v>3.27</v>
    <v>Machinery, Equipment &amp; Components</v>
    <v>Stock</v>
    <v>45530.375</v>
    <v>449</v>
    <v>3.26</v>
    <v>90462740</v>
    <v>EXCELSIOR CAPITAL LTD</v>
    <v>EXCELSIOR CAPITAL LTD</v>
    <v>3.26</v>
    <v>8.83</v>
    <v>3.12</v>
    <v>3.27</v>
    <v>28994470</v>
    <v>ECL</v>
    <v>EXCELSIOR CAPITAL LTD (XASX:ECL)</v>
    <v>158</v>
    <v>40</v>
    <v>1990</v>
  </rv>
  <rv s="2">
    <v>450</v>
  </rv>
  <rv s="0">
    <v>https://www.bing.com/financeapi/forcetrigger?t=a21277&amp;q=XNYS%3aPNC&amp;form=skydnc</v>
    <v>Learn more on Bing</v>
  </rv>
  <rv s="1">
    <v>en-US</v>
    <v>a21277</v>
    <v>268435456</v>
    <v>1</v>
    <v>Powered by Refinitiv</v>
    <v>0</v>
    <v>THE PNC FINANCIAL SERVICES GROUP, INC. (XNYS:PNC)</v>
    <v>2</v>
    <v>3</v>
    <v>Finance</v>
    <v>4</v>
    <v>182.84</v>
    <v>109.4</v>
    <v>1.1285000000000001</v>
    <v>0.73</v>
    <v>4.0990000000000002E-3</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53932</v>
    <v>New York Stock Exchange</v>
    <v>XNYS</v>
    <v>XNYS</v>
    <v>The Tower At Pnc Plaza, 300 Fifth Avenue, PITTSBURGH, PA, 15222-2401 US</v>
    <v>179.83</v>
    <v>Banking Services</v>
    <v>Stock</v>
    <v>45530.686801168747</v>
    <v>452</v>
    <v>178.12</v>
    <v>71084245446</v>
    <v>THE PNC FINANCIAL SERVICES GROUP, INC.</v>
    <v>THE PNC FINANCIAL SERVICES GROUP, INC.</v>
    <v>179.01</v>
    <v>14.923400000000001</v>
    <v>178.1</v>
    <v>178.83</v>
    <v>397496200</v>
    <v>PNC</v>
    <v>THE PNC FINANCIAL SERVICES GROUP, INC. (XNYS:PNC)</v>
    <v>333766</v>
    <v>1782232</v>
    <v>1983</v>
  </rv>
  <rv s="2">
    <v>453</v>
  </rv>
  <rv s="0">
    <v>https://www.bing.com/financeapi/forcetrigger?t=a1qgcw&amp;q=XNAS%3aCTAS&amp;form=skydnc</v>
    <v>Learn more on Bing</v>
  </rv>
  <rv s="1">
    <v>en-US</v>
    <v>a1qgcw</v>
    <v>268435456</v>
    <v>1</v>
    <v>Powered by Refinitiv</v>
    <v>0</v>
    <v>CINTAS CORPORATION (XNAS:CTAS)</v>
    <v>2</v>
    <v>3</v>
    <v>Finance</v>
    <v>4</v>
    <v>793.14</v>
    <v>474.74</v>
    <v>1.3103</v>
    <v>3.98</v>
    <v>5.0480000000000004E-3</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PO Box 625737, 6800 Cintas Blvd, CINCINNATI, OH, 45262 US</v>
    <v>793.14</v>
    <v>Professional &amp; Commercial Services</v>
    <v>Stock</v>
    <v>45530.686777372655</v>
    <v>455</v>
    <v>787.45</v>
    <v>79857337872</v>
    <v>CINTAS CORPORATION</v>
    <v>CINTAS CORPORATION</v>
    <v>790.46</v>
    <v>52.027999999999999</v>
    <v>788.5</v>
    <v>792.48</v>
    <v>100768900</v>
    <v>CTAS</v>
    <v>CINTAS CORPORATION (XNAS:CTAS)</v>
    <v>68485</v>
    <v>381520</v>
    <v>1986</v>
  </rv>
  <rv s="2">
    <v>456</v>
  </rv>
  <rv s="0">
    <v>https://www.bing.com/financeapi/forcetrigger?t=a251gh&amp;q=XNYS%3aUSB&amp;form=skydnc</v>
    <v>Learn more on Bing</v>
  </rv>
  <rv s="1">
    <v>en-US</v>
    <v>a251gh</v>
    <v>268435456</v>
    <v>1</v>
    <v>Powered by Refinitiv</v>
    <v>0</v>
    <v>U.S. BANCORP (XNYS:USB)</v>
    <v>2</v>
    <v>3</v>
    <v>Finance</v>
    <v>4</v>
    <v>45.88</v>
    <v>30.47</v>
    <v>1.0522</v>
    <v>0.15</v>
    <v>3.3050000000000002E-3</v>
    <v>USD</v>
    <v>U.S. Bancorp is a financial service holding company. The Company’s major lines of business are Wealth, Corporate, Commercial and Institutional Banking, Consumer and Business Banking, Payment Services, and Treasury and Corporate Support. The Company provides a range of financial services, including lending and depository services, cash management, capital markets, and trust and investment management services. It also engages in credit card services, merchant and ATM processing, and others.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the Company’s customers principally within its domestic markets, and fund administration services to a range of mutual and other funds.</v>
    <v>70000</v>
    <v>New York Stock Exchange</v>
    <v>XNYS</v>
    <v>XNYS</v>
    <v>800 Nicollet Mall, MINNEAPOLIS, MN, 55402-7020 US</v>
    <v>45.83</v>
    <v>Banking Services</v>
    <v>Stock</v>
    <v>45530.686875960157</v>
    <v>458</v>
    <v>45.424999999999997</v>
    <v>71063348400</v>
    <v>U.S. BANCORP</v>
    <v>U.S. BANCORP</v>
    <v>45.78</v>
    <v>14.383599999999999</v>
    <v>45.39</v>
    <v>45.54</v>
    <v>1560460000</v>
    <v>USB</v>
    <v>U.S. BANCORP (XNYS:USB)</v>
    <v>2133782</v>
    <v>7427990</v>
    <v>1929</v>
  </rv>
  <rv s="2">
    <v>459</v>
  </rv>
  <rv s="0">
    <v>https://www.bing.com/financeapi/forcetrigger?t=a1nl77&amp;q=XNYS%3aAPD&amp;form=skydnc</v>
    <v>Learn more on Bing</v>
  </rv>
  <rv s="1">
    <v>en-US</v>
    <v>a1nl77</v>
    <v>268435456</v>
    <v>1</v>
    <v>Powered by Refinitiv</v>
    <v>0</v>
    <v>AIR PRODUCTS AND CHEMICALS, INC. (XNYS:APD)</v>
    <v>2</v>
    <v>3</v>
    <v>Finance</v>
    <v>4</v>
    <v>307.70999999999998</v>
    <v>212.24</v>
    <v>0.8256</v>
    <v>3.33</v>
    <v>1.2071E-2</v>
    <v>USD</v>
    <v>Air Products and Chemicals, Inc. is an industrial gases company. The Company provides essential industrial gases, related equipment, and applications to customers in various industries, including refining, chemicals, metals, electronics, manufacturing, medical, and food. Its segments include Americas, Asia, Europe, and Middle East and India, and Corporate and other. The Company also designs and manufactures equipment for air separation, hydrocarbon recovery and purification, natural gas liquefaction, and liquid helium and liquid hydrogen transport and storage. The Company distributes gases through its on-site or merchant supply mode. The Company’s industries include aerospace, analytical labs &amp; research/science, automotive, beverages, bioenergy, biotechnology, cement and lime, chemicals, electronics, food, glass and frit, hydrogen energy, hydrogen for mobility, lifting, liquefied natural gas (LNG), medical, metals and materials processing, metals production, medical and others.</v>
    <v>23000</v>
    <v>New York Stock Exchange</v>
    <v>XNYS</v>
    <v>XNYS</v>
    <v>1940 Air Products Blvd., ALLENTOWN, PA, 18106-5500 US</v>
    <v>279.64</v>
    <v>Chemicals</v>
    <v>Stock</v>
    <v>45530.686866539065</v>
    <v>461</v>
    <v>276.34500000000003</v>
    <v>62067985255</v>
    <v>AIR PRODUCTS AND CHEMICALS, INC.</v>
    <v>AIR PRODUCTS AND CHEMICALS, INC.</v>
    <v>276.43</v>
    <v>23.9495</v>
    <v>275.86</v>
    <v>279.19</v>
    <v>222314500</v>
    <v>APD</v>
    <v>AIR PRODUCTS AND CHEMICALS, INC. (XNYS:APD)</v>
    <v>359120</v>
    <v>1406383</v>
    <v>1961</v>
  </rv>
  <rv s="2">
    <v>462</v>
  </rv>
  <rv s="0">
    <v>https://www.bing.com/financeapi/forcetrigger?t=a1yngh&amp;q=XNYS%3aNOC&amp;form=skydnc</v>
    <v>Learn more on Bing</v>
  </rv>
  <rv s="1">
    <v>en-US</v>
    <v>a1yngh</v>
    <v>268435456</v>
    <v>1</v>
    <v>Powered by Refinitiv</v>
    <v>0</v>
    <v>NORTHROP GRUMMAN CORPORATION (XNYS:NOC)</v>
    <v>2</v>
    <v>3</v>
    <v>Finance</v>
    <v>4</v>
    <v>512.33500000000004</v>
    <v>414.56</v>
    <v>0.33510000000000001</v>
    <v>1.615</v>
    <v>3.1709999999999998E-3</v>
    <v>USD</v>
    <v>Northrop Grumman Corporation ist ein weltweit taetiges Unternehmen fuer Luft- und Raumfahrt und Verteidigungstechnologie. Das Unternehmen ist in vier Segmenten taetig: Aeronautics Systems, Defense Systems, Mission Systems und Space Systems. Das Segment Aeronautics Systems befasst sich mit dem Design, der Entwicklung, der Produktion, der Integration, der Instandhaltung und der Modernisierung von fortschrittlichen Flugzeugsystemen fuer die United States Air Force, die United States Navy und internationale Kunden. Das Segment Verteidigungssysteme befasst sich mit dem Design, der Entwicklung, der Produktion, der Integration und der Herstellung von fortschrittlichen taktischen Waffen und Raketenabwehrloesungen und ist ein Anbieter von Wartungs-, Modernisierungs- und Schulungsdienstleistungen fuer bemannte und unbemannte Flugzeuge und Elektroniksysteme. Das Segment Missionssysteme befasst sich mit fortschrittlichen Missionsloesungen und Multifunktionssystemen.</v>
    <v>101000</v>
    <v>New York Stock Exchange</v>
    <v>XNYS</v>
    <v>XNYS</v>
    <v>2980 Fairview Park Drive, FALLS CHURCH, VA, 22042 US</v>
    <v>512.33500000000004</v>
    <v>Aerospace &amp; Defense</v>
    <v>Stock</v>
    <v>45530.686855392967</v>
    <v>464</v>
    <v>508.81</v>
    <v>74724767261</v>
    <v>NORTHROP GRUMMAN CORPORATION</v>
    <v>NORTHROP GRUMMAN CORPORATION</v>
    <v>510.55</v>
    <v>33.374000000000002</v>
    <v>509.34</v>
    <v>510.95499999999998</v>
    <v>146245300</v>
    <v>NOC</v>
    <v>NORTHROP GRUMMAN CORPORATION (XNYS:NOC)</v>
    <v>178397</v>
    <v>824730</v>
    <v>2010</v>
  </rv>
  <rv s="2">
    <v>465</v>
  </rv>
  <rv s="0">
    <v>https://www.bing.com/financeapi/forcetrigger?t=a1xaar&amp;q=XNAS%3aMAR&amp;form=skydnc</v>
    <v>Learn more on Bing</v>
  </rv>
  <rv s="1">
    <v>en-US</v>
    <v>a1xaar</v>
    <v>268435456</v>
    <v>1</v>
    <v>Powered by Refinitiv</v>
    <v>0</v>
    <v>MARRIOTT INTERNATIONAL, INC. (XNAS:MAR)</v>
    <v>2</v>
    <v>3</v>
    <v>Finance</v>
    <v>4</v>
    <v>260.57</v>
    <v>180.75</v>
    <v>1.5878000000000001</v>
    <v>0.59</v>
    <v>2.6190000000000002E-3</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Design Hotels. Classic Select hotel brands include Courtyard, Fairfield, Residence Inn, SpringHill Suites and Protea Hotels. Its Midscale brands include City Express by Marriott and Four Points Express by Sheraton.</v>
    <v>148000</v>
    <v>Nasdaq Stock Market</v>
    <v>XNAS</v>
    <v>XNAS</v>
    <v>7750 WISCONSIN AVENUE, BETHESDA, MD, 20814 US</v>
    <v>228.13</v>
    <v>Hotels &amp; Entertainment Services</v>
    <v>Stock</v>
    <v>45530.686873818748</v>
    <v>467</v>
    <v>225.21</v>
    <v>63581924380</v>
    <v>MARRIOTT INTERNATIONAL, INC.</v>
    <v>MARRIOTT INTERNATIONAL, INC.</v>
    <v>226.57</v>
    <v>22.520900000000001</v>
    <v>225.26</v>
    <v>225.85</v>
    <v>281522800</v>
    <v>MAR</v>
    <v>MARRIOTT INTERNATIONAL, INC. (XNAS:MAR)</v>
    <v>285739</v>
    <v>1684407</v>
    <v>1997</v>
  </rv>
  <rv s="2">
    <v>468</v>
  </rv>
  <rv s="0">
    <v>http://commons.wikimedia.org/wiki/File:2006-06-07_840x1500_chicago_aon_building.jpg</v>
    <v>J. Crocker</v>
  </rv>
  <rv s="0">
    <v>http://es.wikipedia.org/wiki/Aon</v>
    <v>Wikipedia</v>
  </rv>
  <rv s="3">
    <v>470</v>
    <v>471</v>
  </rv>
  <rv s="4">
    <v>9</v>
    <v>https://www.bing.com/th?id=AMMS_7617e91f3c55e615e2b5e1f75761cfe5&amp;qlt=95</v>
    <v>472</v>
    <v>0</v>
    <v>https://www.bing.com/images/search?form=xlimg&amp;q=aon+company</v>
    <v>Image of Aon plc</v>
  </rv>
  <rv s="0">
    <v>https://www.bing.com/financeapi/forcetrigger?t=a1nkgh&amp;q=XNYS%3aAON&amp;form=skydnc</v>
    <v>Learn more on Bing</v>
  </rv>
  <rv s="5">
    <v>en-US</v>
    <v>a1nkgh</v>
    <v>268435456</v>
    <v>1</v>
    <v>Powered by Refinitiv</v>
    <v>5</v>
    <v>Aon plc (XNYS:AON)</v>
    <v>7</v>
    <v>8</v>
    <v>Finance</v>
    <v>4</v>
    <v>344.68</v>
    <v>268.06</v>
    <v>0.91569999999999996</v>
    <v>1.36</v>
    <v>4.0379999999999999E-3</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IRELAND-NA, D01 K0Y8 IE</v>
    <v>339.72</v>
    <v>473</v>
    <v>Insurance</v>
    <v>Stock</v>
    <v>45530.686813830471</v>
    <v>474</v>
    <v>336.19499999999999</v>
    <v>73466967196</v>
    <v>Aon plc</v>
    <v>Aon plc</v>
    <v>338.04</v>
    <v>26.4041</v>
    <v>336.82</v>
    <v>338.18</v>
    <v>217242200</v>
    <v>AON</v>
    <v>Aon plc (XNYS:AON)</v>
    <v>99658</v>
    <v>1176931</v>
    <v>2017</v>
  </rv>
  <rv s="2">
    <v>475</v>
  </rv>
  <rv s="0">
    <v>https://www.bing.com/financeapi/forcetrigger?t=a22777&amp;q=XNYS%3aROP&amp;form=skydnc</v>
    <v>Learn more on Bing</v>
  </rv>
  <rv s="1">
    <v>en-US</v>
    <v>a22777</v>
    <v>268435456</v>
    <v>1</v>
    <v>Powered by Refinitiv</v>
    <v>0</v>
    <v>ROPER TECHNOLOGIES, INC. (XNAS:ROP)</v>
    <v>2</v>
    <v>3</v>
    <v>Finance</v>
    <v>4</v>
    <v>579.1</v>
    <v>474.46</v>
    <v>1.0206</v>
    <v>1.1599999999999999</v>
    <v>2.117E-3</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552.33000000000004</v>
    <v>Software &amp; IT Services</v>
    <v>Stock</v>
    <v>45530.686785462502</v>
    <v>477</v>
    <v>547.94000000000005</v>
    <v>58725570000</v>
    <v>ROPER TECHNOLOGIES, INC.</v>
    <v>ROPER TECHNOLOGIES, INC.</v>
    <v>547.94000000000005</v>
    <v>40.938499999999998</v>
    <v>547.82000000000005</v>
    <v>548.98</v>
    <v>107198700</v>
    <v>ROP</v>
    <v>ROPER TECHNOLOGIES, INC. (XNAS:ROP)</v>
    <v>74341</v>
    <v>546348</v>
    <v>1981</v>
  </rv>
  <rv s="2">
    <v>478</v>
  </rv>
  <rv s="0">
    <v>https://www.bing.com/financeapi/forcetrigger?t=a21d27&amp;q=XNYS%3aPSX&amp;form=skydnc</v>
    <v>Learn more on Bing</v>
  </rv>
  <rv s="1">
    <v>en-US</v>
    <v>a21d27</v>
    <v>268435456</v>
    <v>1</v>
    <v>Powered by Refinitiv</v>
    <v>0</v>
    <v>PHILLIPS 66 (XNYS:PSX)</v>
    <v>2</v>
    <v>3</v>
    <v>Finance</v>
    <v>4</v>
    <v>174.08</v>
    <v>107.851</v>
    <v>1.3222</v>
    <v>-0.57999999999999996</v>
    <v>-4.2849999999999997E-3</v>
    <v>USD</v>
    <v>Phillips 66 is a diversified and integrated downstream energy provider that manufactures, transports and markets products that drive the global economy. The Company’s Midstream segment provides crude oil and refined petroleum product transportation, terminating and processing services, as well as natural gas and natural gas liquids (NGL) transportation, storage, fractionation, gathering, processing and marketing services, mainly in the United States.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and aviation fuels. Its Marketing and Specialties segment purchases for resale and markets refined products. Its Renewable Fuels segment processes renewable feedstocks into renewable products at the Rodeo Renewable Energy Complex.</v>
    <v>14000</v>
    <v>New York Stock Exchange</v>
    <v>XNYS</v>
    <v>XNYS</v>
    <v>2331 Citywest Blvd., HOUSTON, TX, 77042 US</v>
    <v>136.93</v>
    <v>Oil &amp; Gas</v>
    <v>Stock</v>
    <v>45530.686827500002</v>
    <v>480</v>
    <v>134.21</v>
    <v>56418942468</v>
    <v>PHILLIPS 66</v>
    <v>PHILLIPS 66</v>
    <v>136.25</v>
    <v>11.5824</v>
    <v>135.37</v>
    <v>134.79</v>
    <v>418569200</v>
    <v>PSX</v>
    <v>PHILLIPS 66 (XNYS:PSX)</v>
    <v>637607</v>
    <v>2308839</v>
    <v>2011</v>
  </rv>
  <rv s="2">
    <v>481</v>
  </rv>
  <rv s="0">
    <v>https://www.bing.com/financeapi/forcetrigger?t=az6zf2&amp;q=XNYS%3aWELL&amp;form=skydnc</v>
    <v>Learn more on Bing</v>
  </rv>
  <rv s="1">
    <v>en-US</v>
    <v>az6zf2</v>
    <v>268435456</v>
    <v>1</v>
    <v>Powered by Refinitiv</v>
    <v>0</v>
    <v>WELLTOWER INC. (XNYS:WELL)</v>
    <v>2</v>
    <v>3</v>
    <v>Finance</v>
    <v>4</v>
    <v>120.21</v>
    <v>78.38</v>
    <v>1.1993</v>
    <v>-0.115</v>
    <v>-9.634E-4</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120.21</v>
    <v>Residential &amp; Commercial REIT</v>
    <v>Stock</v>
    <v>45530.686769675784</v>
    <v>483</v>
    <v>119.13500000000001</v>
    <v>72643885112</v>
    <v>WELLTOWER INC.</v>
    <v>WELLTOWER INC.</v>
    <v>119.77</v>
    <v>186.7157</v>
    <v>119.37</v>
    <v>119.255</v>
    <v>609147500</v>
    <v>WELL</v>
    <v>WELLTOWER INC. (XNYS:WELL)</v>
    <v>580077</v>
    <v>2605997</v>
    <v>2022</v>
  </rv>
  <rv s="2">
    <v>484</v>
  </rv>
  <rv s="0">
    <v>https://www.bing.com/financeapi/forcetrigger?t=a1sqr7&amp;q=XNYS%3aFDX&amp;form=skydnc</v>
    <v>Learn more on Bing</v>
  </rv>
  <rv s="1">
    <v>en-US</v>
    <v>a1sqr7</v>
    <v>268435456</v>
    <v>1</v>
    <v>Powered by Refinitiv</v>
    <v>0</v>
    <v>FEDEX CORPORATION (XNYS:FDX)</v>
    <v>2</v>
    <v>3</v>
    <v>Finance</v>
    <v>4</v>
    <v>313.83999999999997</v>
    <v>224.69</v>
    <v>1.1820999999999999</v>
    <v>0.44</v>
    <v>1.4810000000000001E-3</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38120-4117 US</v>
    <v>299.31</v>
    <v>Freight &amp; Logistics Services</v>
    <v>Stock</v>
    <v>45530.686842245312</v>
    <v>486</v>
    <v>296.91000000000003</v>
    <v>72905798774</v>
    <v>FEDEX CORPORATION</v>
    <v>FEDEX CORPORATION</v>
    <v>298.36</v>
    <v>17.2408</v>
    <v>297.18</v>
    <v>297.62</v>
    <v>244962700</v>
    <v>FDX</v>
    <v>FEDEX CORPORATION (XNYS:FDX)</v>
    <v>159022</v>
    <v>1317631</v>
    <v>1997</v>
  </rv>
  <rv s="2">
    <v>487</v>
  </rv>
  <rv s="0">
    <v>https://www.bing.com/financeapi/forcetrigger?t=a1n7pr&amp;q=XNYS%3aAJG&amp;form=skydnc</v>
    <v>Learn more on Bing</v>
  </rv>
  <rv s="1">
    <v>en-US</v>
    <v>a1n7pr</v>
    <v>268435456</v>
    <v>1</v>
    <v>Powered by Refinitiv</v>
    <v>0</v>
    <v>ARTHUR J. GALLAGHER &amp; CO. (XNYS:AJG)</v>
    <v>2</v>
    <v>3</v>
    <v>Finance</v>
    <v>4</v>
    <v>292.7638</v>
    <v>218.625</v>
    <v>0.72670000000000001</v>
    <v>-0.39</v>
    <v>-1.3550000000000001E-3</v>
    <v>USD</v>
    <v>Arthur J. Gallagher &amp; Co. and its subsidiaries provide insurance brokerage, consulting and third-party claims settlement and administration services to both domestic and international entities. The Company’s segments include brokerage, risk management and corporate. Its brokerage segment operations provide brokerage and consulting services to entities of all types, including commercial, nonprofit, public sector entities, individuals, in the areas of insurance and reinsurance placements, risk of loss management and management of employer sponsored benefit programs. Its risk management segment operations provide contract claim settlement, claim administration, loss control services and risk management consulting for commercial, nonprofit, captive and public sector entities, and various other organizations that choose to self-insure property/casualty coverages or choose to use a third-party claims management organization rather than the claim services provided by underwriting enterprises.</v>
    <v>52000</v>
    <v>New York Stock Exchange</v>
    <v>XNYS</v>
    <v>XNYS</v>
    <v>2850 Golf Road, ROLLING MEADOWS, IL, 60008-4050 US</v>
    <v>289.08999999999997</v>
    <v>Insurance</v>
    <v>Stock</v>
    <v>45530.68684092578</v>
    <v>489</v>
    <v>287</v>
    <v>62978104000</v>
    <v>ARTHUR J. GALLAGHER &amp; CO.</v>
    <v>ARTHUR J. GALLAGHER &amp; CO.</v>
    <v>288.83999999999997</v>
    <v>55.972499999999997</v>
    <v>287.83</v>
    <v>287.44</v>
    <v>219100000</v>
    <v>AJG</v>
    <v>ARTHUR J. GALLAGHER &amp; CO. (XNYS:AJG)</v>
    <v>122594</v>
    <v>741346</v>
    <v>1972</v>
  </rv>
  <rv s="2">
    <v>490</v>
  </rv>
  <rv s="0">
    <v>https://www.bing.com/financeapi/forcetrigger?t=a1zk27&amp;q=XNAS%3aPCAR&amp;form=skydnc</v>
    <v>Learn more on Bing</v>
  </rv>
  <rv s="1">
    <v>en-US</v>
    <v>a1zk27</v>
    <v>268435456</v>
    <v>1</v>
    <v>Powered by Refinitiv</v>
    <v>0</v>
    <v>PACCAR INC (XNAS:PCAR)</v>
    <v>2</v>
    <v>3</v>
    <v>Finance</v>
    <v>4</v>
    <v>125.5</v>
    <v>80.94</v>
    <v>0.90769999999999995</v>
    <v>-0.59499999999999997</v>
    <v>-6.1679999999999999E-3</v>
    <v>USD</v>
    <v>PACCAR Inc is a multinational company, which has three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 Its other business includes the manufacturing and marketing of industrial winches.</v>
    <v>32400</v>
    <v>Nasdaq Stock Market</v>
    <v>XNAS</v>
    <v>XNAS</v>
    <v>777 106th Avenue NE, BELLEVUE, WA, 98004 US</v>
    <v>97.28</v>
    <v>Machinery, Equipment &amp; Components</v>
    <v>Stock</v>
    <v>45530.686841620314</v>
    <v>492</v>
    <v>95.49</v>
    <v>50254522857</v>
    <v>PACCAR INC</v>
    <v>PACCAR INC</v>
    <v>96.65</v>
    <v>10.2203</v>
    <v>96.46</v>
    <v>95.864999999999995</v>
    <v>524221800</v>
    <v>PCAR</v>
    <v>PACCAR INC (XNAS:PCAR)</v>
    <v>674054</v>
    <v>3165422</v>
    <v>1971</v>
  </rv>
  <rv s="2">
    <v>493</v>
  </rv>
  <rv s="0">
    <v>https://www.bing.com/financeapi/forcetrigger?t=a1xroc&amp;q=XNYS%3aMMM&amp;form=skydnc</v>
    <v>Learn more on Bing</v>
  </rv>
  <rv s="1">
    <v>en-US</v>
    <v>a1xroc</v>
    <v>268435456</v>
    <v>1</v>
    <v>Powered by Refinitiv</v>
    <v>0</v>
    <v>3M COMPANY (XNYS:MMM)</v>
    <v>2</v>
    <v>3</v>
    <v>Finance</v>
    <v>4</v>
    <v>131.57</v>
    <v>71.354799999999997</v>
    <v>0.93259999999999998</v>
    <v>1.2050000000000001</v>
    <v>9.2800000000000001E-3</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131.57</v>
    <v>Consumer Goods Conglomerates</v>
    <v>Stock</v>
    <v>45530.686851712497</v>
    <v>495</v>
    <v>129.6</v>
    <v>71718120000</v>
    <v>3M COMPANY</v>
    <v>3M COMPANY</v>
    <v>129.79</v>
    <v>93.590800000000002</v>
    <v>129.85</v>
    <v>131.05500000000001</v>
    <v>549353600</v>
    <v>MMM</v>
    <v>3M COMPANY (XNYS:MMM)</v>
    <v>1411011</v>
    <v>5191204</v>
    <v>1929</v>
  </rv>
  <rv s="2">
    <v>496</v>
  </rv>
  <rv s="0">
    <v>https://www.bing.com/financeapi/forcetrigger?t=bu3ew7&amp;q=XNYS%3aCARR&amp;form=skydnc</v>
    <v>Learn more on Bing</v>
  </rv>
  <rv s="1">
    <v>en-US</v>
    <v>bu3ew7</v>
    <v>268435456</v>
    <v>1</v>
    <v>Powered by Refinitiv</v>
    <v>0</v>
    <v>CARRIER GLOBAL CORPORATION (XNYS:CARR)</v>
    <v>2</v>
    <v>3</v>
    <v>Finance</v>
    <v>4</v>
    <v>72.17</v>
    <v>45.68</v>
    <v>1.1888000000000001</v>
    <v>0.625</v>
    <v>8.7720000000000003E-3</v>
    <v>USD</v>
    <v>Carrier Global Corp is engaged in intelligent climate and energy solutions with a focus on providing differentiated, digitally enabled lifecycle solutions. It operates through three segments: HVAC, Refrigeration, and Fire &amp; Security. The HVAC segment provides products, controls, services and solutions to meet the heating, cooling and ventilation needs of residential and commercial customers. The Refrigeration segment includes transport refrigeration and monitoring products, services and digital solutions for trucks, trailers, shipping containers, intermodal and rail, as well as commercial refrigeration products. Its Commercial refrigeration solutions include refrigerated cabinets, freezers, systems and controls. Its Fire &amp; Security segment provides a range of residential, commercial and industrial technologies designed to help protect people and property. Its products include fire, flame, gas, smoke and carbon monoxide detection, portable fire extinguishers, and others.</v>
    <v>53000</v>
    <v>New York Stock Exchange</v>
    <v>XNYS</v>
    <v>XNYS</v>
    <v>13995 Pasteur Boulevard, PALM BEACH GARDENS, FL, 33418 US</v>
    <v>72.17</v>
    <v>Machinery, Equipment &amp; Components</v>
    <v>Stock</v>
    <v>45530.686848760939</v>
    <v>498</v>
    <v>71.582499999999996</v>
    <v>64885300000</v>
    <v>CARRIER GLOBAL CORPORATION</v>
    <v>CARRIER GLOBAL CORPORATION</v>
    <v>71.599999999999994</v>
    <v>18.962399999999999</v>
    <v>71.25</v>
    <v>71.875</v>
    <v>902752000</v>
    <v>CARR</v>
    <v>CARRIER GLOBAL CORPORATION (XNYS:CARR)</v>
    <v>1248848</v>
    <v>3450742</v>
    <v>2019</v>
  </rv>
  <rv s="2">
    <v>499</v>
  </rv>
  <rv s="0">
    <v>https://www.bing.com/financeapi/forcetrigger?t=a1tyrw&amp;q=XNYS%3aGM&amp;form=skydnc</v>
    <v>Learn more on Bing</v>
  </rv>
  <rv s="1">
    <v>en-US</v>
    <v>a1tyrw</v>
    <v>268435456</v>
    <v>1</v>
    <v>Powered by Refinitiv</v>
    <v>0</v>
    <v>GENERAL MOTORS COMPANY (XNYS:GM)</v>
    <v>2</v>
    <v>3</v>
    <v>Finance</v>
    <v>4</v>
    <v>50.5</v>
    <v>26.3</v>
    <v>1.4355</v>
    <v>0.27</v>
    <v>5.5589999999999997E-3</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49.17</v>
    <v>Automobiles &amp; Auto Parts</v>
    <v>Stock</v>
    <v>45530.686883680472</v>
    <v>501</v>
    <v>48.64</v>
    <v>54892350480</v>
    <v>GENERAL MOTORS COMPANY</v>
    <v>GENERAL MOTORS COMPANY</v>
    <v>48.91</v>
    <v>5.4592000000000001</v>
    <v>48.57</v>
    <v>48.84</v>
    <v>1123922000</v>
    <v>GM</v>
    <v>GENERAL MOTORS COMPANY (XNYS:GM)</v>
    <v>3845000</v>
    <v>15486214</v>
    <v>2009</v>
  </rv>
  <rv s="2">
    <v>502</v>
  </rv>
  <rv s="0">
    <v>https://www.bing.com/financeapi/forcetrigger?t=a1uqpr&amp;q=XNYS%3aHLT&amp;form=skydnc</v>
    <v>Learn more on Bing</v>
  </rv>
  <rv s="1">
    <v>en-US</v>
    <v>a1uqpr</v>
    <v>268435456</v>
    <v>1</v>
    <v>Powered by Refinitiv</v>
    <v>0</v>
    <v>HILTON WORLDWIDE HOLDINGS INC. (XNYS:HLT)</v>
    <v>2</v>
    <v>3</v>
    <v>Finance</v>
    <v>4</v>
    <v>229.03</v>
    <v>146</v>
    <v>1.3091999999999999</v>
    <v>-1.38</v>
    <v>-6.3570000000000007E-3</v>
    <v>USD</v>
    <v>Hilton Worldwide Holdings Inc. is a global hospitality company that is engaged in managing, franchising, owning and leasing hotels and resorts, and licensing its intellectual property, including brand names, trademarks and service marks. It has a portfolio of approximately 22 brands comprising more than 7,500 properties and more than 1.2 million rooms, in 126 countries and territories. It has two segments: management and franchise and ownership. The management and franchise segment includes all of the hotels it manages for third-party owners, as well as all franchised hotels that licenses its intellectual property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Hilton Hotels &amp; Resorts and DoubleTree by Hilton.</v>
    <v>178000</v>
    <v>New York Stock Exchange</v>
    <v>XNYS</v>
    <v>XNYS</v>
    <v>7930 Jones Branch Dr Ste 1100, MCLEAN, VA, 22102 US</v>
    <v>219.3</v>
    <v>Hotels &amp; Entertainment Services</v>
    <v>Stock</v>
    <v>45530.686802765624</v>
    <v>504</v>
    <v>215.44</v>
    <v>53156789741</v>
    <v>HILTON WORLDWIDE HOLDINGS INC.</v>
    <v>HILTON WORLDWIDE HOLDINGS INC.</v>
    <v>218.14</v>
    <v>45.698900000000002</v>
    <v>217.09</v>
    <v>215.71</v>
    <v>246427100</v>
    <v>HLT</v>
    <v>HILTON WORLDWIDE HOLDINGS INC. (XNYS:HLT)</v>
    <v>323415</v>
    <v>1733415</v>
    <v>2010</v>
  </rv>
  <rv s="2">
    <v>505</v>
  </rv>
  <rv s="0">
    <v>https://www.bing.com/financeapi/forcetrigger?t=a1ser7&amp;q=XNYS%3aEW&amp;form=skydnc</v>
    <v>Learn more on Bing</v>
  </rv>
  <rv s="1">
    <v>en-US</v>
    <v>a1ser7</v>
    <v>268435456</v>
    <v>1</v>
    <v>Powered by Refinitiv</v>
    <v>0</v>
    <v>EDWARDS LIFESCIENCES CORPORATION (XNYS:EW)</v>
    <v>2</v>
    <v>3</v>
    <v>Finance</v>
    <v>4</v>
    <v>96.12</v>
    <v>58.93</v>
    <v>1.1304000000000001</v>
    <v>-1.595</v>
    <v>-2.2503000000000002E-2</v>
    <v>USD</v>
    <v>Edwards Lifesciences Corporation is a manufacturer of heart valve systems and repair products used to replace or repair a patient's diseased or defective heart valve. Its products and technologies are categorized into four main areas: Transcatheter Aortic Valve Replacement, Transcatheter Mitral and Tricuspid Therapies, Surgical Structural Heart, and Critical Care. It also develops hemodynamic and noninvasive brain and tissue oxygenation monitoring systems used to measure a patient's cardiovascular function in the hospital setting. The Edwards SAPIEN family of valves, including the Edwards SAPIEN 3, the Edwards SAPIEN 3 Ultra, and the Edwards SAPIEN 3 Ultra RESILIA systems, are catheter-based approaches for treating severe symptomatic aortic stenosis. It conducts operations worldwide and is managed in various geographical regions, including the United States, Europe, Japan, and Rest of World. It sells products that are used to treat advanced cardiovascular disease in all regions.</v>
    <v>19800</v>
    <v>New York Stock Exchange</v>
    <v>XNYS</v>
    <v>XNYS</v>
    <v>One Edwards Way, IRVINE, CA, 92614 US</v>
    <v>70.877499999999998</v>
    <v>Healthcare Equipment &amp; Supplies</v>
    <v>Stock</v>
    <v>45530.686860635935</v>
    <v>507</v>
    <v>69.239999999999995</v>
    <v>41737284000</v>
    <v>EDWARDS LIFESCIENCES CORPORATION</v>
    <v>EDWARDS LIFESCIENCES CORPORATION</v>
    <v>70.66</v>
    <v>29.638100000000001</v>
    <v>70.88</v>
    <v>69.284999999999997</v>
    <v>602400000</v>
    <v>EW</v>
    <v>EDWARDS LIFESCIENCES CORPORATION (XNYS:EW)</v>
    <v>1997792</v>
    <v>7833704</v>
    <v>1999</v>
  </rv>
  <rv s="2">
    <v>508</v>
  </rv>
  <rv s="0">
    <v>https://www.bing.com/financeapi/forcetrigger?t=a1q3jc&amp;q=XNYS%3aCOF&amp;form=skydnc</v>
    <v>Learn more on Bing</v>
  </rv>
  <rv s="1">
    <v>en-US</v>
    <v>a1q3jc</v>
    <v>268435456</v>
    <v>1</v>
    <v>Powered by Refinitiv</v>
    <v>0</v>
    <v>CAPITAL ONE FINANCIAL CORPORATION (XNYS:COF)</v>
    <v>2</v>
    <v>3</v>
    <v>Finance</v>
    <v>4</v>
    <v>153.35</v>
    <v>88.23</v>
    <v>1.4473</v>
    <v>0.15</v>
    <v>1.052E-3</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52100</v>
    <v>New York Stock Exchange</v>
    <v>XNYS</v>
    <v>XNYS</v>
    <v>Suite 1400, 1680 Capital One Drive, MCLEAN, VA, 22102 US</v>
    <v>144.005</v>
    <v>Banking Services</v>
    <v>Stock</v>
    <v>45530.686881724221</v>
    <v>510</v>
    <v>142.27000000000001</v>
    <v>54493311000</v>
    <v>CAPITAL ONE FINANCIAL CORPORATION</v>
    <v>CAPITAL ONE FINANCIAL CORPORATION</v>
    <v>143.5</v>
    <v>13.4084</v>
    <v>142.54</v>
    <v>142.69</v>
    <v>381900000</v>
    <v>COF</v>
    <v>CAPITAL ONE FINANCIAL CORPORATION (XNYS:COF)</v>
    <v>507145</v>
    <v>2378473</v>
    <v>1994</v>
  </rv>
  <rv s="2">
    <v>511</v>
  </rv>
  <rv s="0">
    <v>https://www.bing.com/financeapi/forcetrigger?t=a1mwoc&amp;q=XNAS%3aADSK&amp;form=skydnc</v>
    <v>Learn more on Bing</v>
  </rv>
  <rv s="1">
    <v>en-US</v>
    <v>a1mwoc</v>
    <v>268435456</v>
    <v>1</v>
    <v>Powered by Refinitiv</v>
    <v>0</v>
    <v>AUTODESK, INC. (XNAS:ADSK)</v>
    <v>2</v>
    <v>3</v>
    <v>Finance</v>
    <v>4</v>
    <v>279.52999999999997</v>
    <v>192.01</v>
    <v>1.4755</v>
    <v>1.87</v>
    <v>7.326E-3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258.82</v>
    <v>Software &amp; IT Services</v>
    <v>Stock</v>
    <v>45530.686851075778</v>
    <v>513</v>
    <v>255.82</v>
    <v>55397887110</v>
    <v>AUTODESK, INC.</v>
    <v>AUTODESK, INC.</v>
    <v>256.93</v>
    <v>55.308500000000002</v>
    <v>255.26</v>
    <v>257.13</v>
    <v>215447000</v>
    <v>ADSK</v>
    <v>AUTODESK, INC. (XNAS:ADSK)</v>
    <v>348551</v>
    <v>1215851</v>
    <v>1994</v>
  </rv>
  <rv s="2">
    <v>514</v>
  </rv>
  <rv s="0">
    <v>https://www.bing.com/financeapi/forcetrigger?t=a1n6f2&amp;q=XNYS%3aAIG&amp;form=skydnc</v>
    <v>Learn more on Bing</v>
  </rv>
  <rv s="1">
    <v>en-US</v>
    <v>a1n6f2</v>
    <v>268435456</v>
    <v>1</v>
    <v>Powered by Refinitiv</v>
    <v>0</v>
    <v>AMERICAN INTERNATIONAL GROUP, INC. (XNYS:AIG)</v>
    <v>2</v>
    <v>3</v>
    <v>Finance</v>
    <v>4</v>
    <v>80.83</v>
    <v>57.45</v>
    <v>1.0766</v>
    <v>-0.28000000000000003</v>
    <v>-3.7169999999999998E-3</v>
    <v>USD</v>
    <v>American International Group, Inc. (AIG) is a global insurance company. The Company provides insurance solutions that help businesses and individuals in approximately 190 countries and jurisdictions protect their assets and manage risks through AIG operations and network partners. The Company operates through three segments: General Insurance, Life and Retirement, and Other Operations. Its General Insurance segment consists of two segments: North America and International. Its Life and Retirement segment consists of four segments: Individual Retirement, Group Retirement, Life Insurance and Institutional Markets. Its North America and International segments consist of two product categories: Commercial Lines, which consists of Liability, Financial Lines, Property and Global Specialty, and Personal Insurance, which consists of Personal Lines, and Accident and Health. Its individual retirement consists of fixed annuities, fixed index annuities and variable annuities.</v>
    <v>25200</v>
    <v>New York Stock Exchange</v>
    <v>XNYS</v>
    <v>XNYS</v>
    <v>1271 Ave Of The Americas, Fl 37, NEW YORK, NY, 10020-1304 US</v>
    <v>75.95</v>
    <v>Insurance</v>
    <v>Stock</v>
    <v>45530.686818321097</v>
    <v>516</v>
    <v>74.849999999999994</v>
    <v>48322113056</v>
    <v>AMERICAN INTERNATIONAL GROUP, INC.</v>
    <v>AMERICAN INTERNATIONAL GROUP, INC.</v>
    <v>75.545000000000002</v>
    <v>18.384</v>
    <v>75.319999999999993</v>
    <v>75.040000000000006</v>
    <v>643951400</v>
    <v>AIG</v>
    <v>AMERICAN INTERNATIONAL GROUP, INC. (XNYS:AIG)</v>
    <v>876534</v>
    <v>4334626</v>
    <v>1967</v>
  </rv>
  <rv s="2">
    <v>517</v>
  </rv>
  <rv s="0">
    <v>https://www.bing.com/financeapi/forcetrigger?t=a1o3tc&amp;q=XNYS%3aAZO&amp;form=skydnc</v>
    <v>Learn more on Bing</v>
  </rv>
  <rv s="1">
    <v>en-US</v>
    <v>a1o3tc</v>
    <v>268435456</v>
    <v>1</v>
    <v>Powered by Refinitiv</v>
    <v>0</v>
    <v>AUTOZONE, INC. (XNYS:AZO)</v>
    <v>2</v>
    <v>3</v>
    <v>Finance</v>
    <v>4</v>
    <v>3256.37</v>
    <v>2375.35</v>
    <v>0.70699999999999996</v>
    <v>35.83</v>
    <v>1.1463000000000001E-2</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3162.6</v>
    <v>Specialty Retailers</v>
    <v>Stock</v>
    <v>45530.686859328125</v>
    <v>519</v>
    <v>3144.38</v>
    <v>54007303815</v>
    <v>AUTOZONE, INC.</v>
    <v>AUTOZONE, INC.</v>
    <v>3147.05</v>
    <v>21.6326</v>
    <v>3125.67</v>
    <v>3161.5</v>
    <v>17082810</v>
    <v>AZO</v>
    <v>AUTOZONE, INC. (XNYS:AZO)</v>
    <v>18109</v>
    <v>115466</v>
    <v>1991</v>
  </rv>
  <rv s="2">
    <v>520</v>
  </rv>
  <rv s="0">
    <v>https://www.bing.com/financeapi/forcetrigger?t=a25e77&amp;q=XNYS%3aVLO&amp;form=skydnc</v>
    <v>Learn more on Bing</v>
  </rv>
  <rv s="1">
    <v>en-US</v>
    <v>a25e77</v>
    <v>268435456</v>
    <v>1</v>
    <v>Powered by Refinitiv</v>
    <v>0</v>
    <v>VALERO ENERGY CORPORATION (XNYS:VLO)</v>
    <v>2</v>
    <v>3</v>
    <v>Finance</v>
    <v>4</v>
    <v>184.79</v>
    <v>119.88</v>
    <v>1.3861000000000001</v>
    <v>-1.6</v>
    <v>-1.0969E-2</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1 Valero Way, SAN ANTONIO, TX, 78249 US</v>
    <v>147.16999999999999</v>
    <v>Oil &amp; Gas</v>
    <v>Stock</v>
    <v>45530.686849131249</v>
    <v>522</v>
    <v>143.18</v>
    <v>46221294735</v>
    <v>VALERO ENERGY CORPORATION</v>
    <v>VALERO ENERGY CORPORATION</v>
    <v>146.99</v>
    <v>8.2256</v>
    <v>145.87</v>
    <v>144.27000000000001</v>
    <v>320380500</v>
    <v>VLO</v>
    <v>VALERO ENERGY CORPORATION (XNYS:VLO)</v>
    <v>866668</v>
    <v>2534484</v>
    <v>1981</v>
  </rv>
  <rv s="2">
    <v>523</v>
  </rv>
  <rv s="0">
    <v>https://www.bing.com/financeapi/forcetrigger?t=a25xm7&amp;q=XNYS%3aWMB&amp;form=skydnc</v>
    <v>Learn more on Bing</v>
  </rv>
  <rv s="1">
    <v>en-US</v>
    <v>a25xm7</v>
    <v>268435456</v>
    <v>1</v>
    <v>Powered by Refinitiv</v>
    <v>0</v>
    <v>THE WILLIAMS COMPANIES, INC. (XNYS:WMB)</v>
    <v>2</v>
    <v>3</v>
    <v>Finance</v>
    <v>4</v>
    <v>45.787999999999997</v>
    <v>32.494999999999997</v>
    <v>1.0775999999999999</v>
    <v>0.24</v>
    <v>5.2990000000000008E-3</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5601</v>
    <v>New York Stock Exchange</v>
    <v>XNYS</v>
    <v>XNYS</v>
    <v>One Williams Ctr, TULSA, OK, 74172 US</v>
    <v>45.787999999999997</v>
    <v>Oil &amp; Gas Related Equipment and Services</v>
    <v>Stock</v>
    <v>45530.686861365626</v>
    <v>525</v>
    <v>45.31</v>
    <v>55497928430</v>
    <v>THE WILLIAMS COMPANIES, INC.</v>
    <v>THE WILLIAMS COMPANIES, INC.</v>
    <v>45.54</v>
    <v>19.511500000000002</v>
    <v>45.29</v>
    <v>45.53</v>
    <v>1218931000</v>
    <v>WMB</v>
    <v>THE WILLIAMS COMPANIES, INC. (XNYS:WMB)</v>
    <v>891991</v>
    <v>6369695</v>
    <v>1987</v>
  </rv>
  <rv s="2">
    <v>526</v>
  </rv>
  <rv s="0">
    <v>https://www.bing.com/financeapi/forcetrigger?t=a1xdvh&amp;q=XNAS%3aMCHP&amp;form=skydnc</v>
    <v>Learn more on Bing</v>
  </rv>
  <rv s="1">
    <v>en-US</v>
    <v>a1xdvh</v>
    <v>268435456</v>
    <v>1</v>
    <v>Powered by Refinitiv</v>
    <v>0</v>
    <v>MICROCHIP TECHNOLOGY INCORPORATED (XNAS:MCHP)</v>
    <v>2</v>
    <v>3</v>
    <v>Finance</v>
    <v>4</v>
    <v>100.565</v>
    <v>68.75</v>
    <v>1.5219</v>
    <v>-1.2549999999999999</v>
    <v>-1.5344E-2</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81.864999999999995</v>
    <v>Semiconductors &amp; Semiconductor Equipment</v>
    <v>Stock</v>
    <v>45530.68686670078</v>
    <v>528</v>
    <v>80.040000000000006</v>
    <v>43207438228</v>
    <v>MICROCHIP TECHNOLOGY INCORPORATED</v>
    <v>MICROCHIP TECHNOLOGY INCORPORATED</v>
    <v>81.48</v>
    <v>32.678100000000001</v>
    <v>81.790000000000006</v>
    <v>80.534999999999997</v>
    <v>536505100</v>
    <v>MCHP</v>
    <v>MICROCHIP TECHNOLOGY INCORPORATED (XNAS:MCHP)</v>
    <v>827691</v>
    <v>7741512</v>
    <v>1989</v>
  </rv>
  <rv s="2">
    <v>529</v>
  </rv>
  <rv s="0">
    <v>https://www.bing.com/financeapi/forcetrigger?t=a227lh&amp;q=XNAS%3aROST&amp;form=skydnc</v>
    <v>Learn more on Bing</v>
  </rv>
  <rv s="1">
    <v>en-US</v>
    <v>a227lh</v>
    <v>268435456</v>
    <v>1</v>
    <v>Powered by Refinitiv</v>
    <v>0</v>
    <v>ROSS STORES, INC. (XNAS:ROST)</v>
    <v>2</v>
    <v>3</v>
    <v>Finance</v>
    <v>4</v>
    <v>163.6</v>
    <v>108.35</v>
    <v>1.0936999999999999</v>
    <v>0.49</v>
    <v>3.1569999999999997E-3</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157.4</v>
    <v>Specialty Retailers</v>
    <v>Stock</v>
    <v>45530.686851365623</v>
    <v>531</v>
    <v>154.69999999999999</v>
    <v>51937611930</v>
    <v>ROSS STORES, INC.</v>
    <v>ROSS STORES, INC.</v>
    <v>155.54</v>
    <v>26.1693</v>
    <v>155.21</v>
    <v>155.69999999999999</v>
    <v>333574900</v>
    <v>ROST</v>
    <v>ROSS STORES, INC. (XNAS:ROST)</v>
    <v>863077</v>
    <v>2067829</v>
    <v>1989</v>
  </rv>
  <rv s="2">
    <v>532</v>
  </rv>
  <rv s="0">
    <v>https://www.bing.com/financeapi/forcetrigger?t=a1yq5r&amp;q=XNYS%3aNSC&amp;form=skydnc</v>
    <v>Learn more on Bing</v>
  </rv>
  <rv s="1">
    <v>en-US</v>
    <v>a1yq5r</v>
    <v>268435456</v>
    <v>1</v>
    <v>Powered by Refinitiv</v>
    <v>0</v>
    <v>NORFOLK SOUTHERN CORPORATION (XNYS:NSC)</v>
    <v>2</v>
    <v>3</v>
    <v>Finance</v>
    <v>4</v>
    <v>263.66000000000003</v>
    <v>183.09</v>
    <v>1.3050999999999999</v>
    <v>2.54</v>
    <v>1.0555000000000002E-2</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20700</v>
    <v>New York Stock Exchange</v>
    <v>XNYS</v>
    <v>XNYS</v>
    <v>650 W Peachtree Street Nw, ATLANTA, GA, 30308 US</v>
    <v>243.905</v>
    <v>Freight &amp; Logistics Services</v>
    <v>Stock</v>
    <v>45530.686869988283</v>
    <v>534</v>
    <v>240.46</v>
    <v>54984383516</v>
    <v>NORFOLK SOUTHERN CORPORATION</v>
    <v>NORFOLK SOUTHERN CORPORATION</v>
    <v>240.9</v>
    <v>30.401</v>
    <v>240.65</v>
    <v>243.19</v>
    <v>226096400</v>
    <v>NSC</v>
    <v>NORFOLK SOUTHERN CORPORATION (XNYS:NSC)</v>
    <v>237575</v>
    <v>1120138</v>
    <v>1980</v>
  </rv>
  <rv s="2">
    <v>535</v>
  </rv>
  <rv s="8">
    <v>en-US</v>
    <v>ccmvww</v>
    <v>268435456</v>
    <v>1</v>
    <v>Powered by Refinitiv</v>
    <v>15</v>
    <v>GE VERNOVA INC. (XNYS:GEV)</v>
    <v>16</v>
    <v>3</v>
    <v>Finance</v>
    <v>4</v>
    <v>190.79990000000001</v>
    <v>115</v>
    <v>0.82399999999999995</v>
    <v>-0.32</v>
    <v>-1.7460000000000002E-3</v>
    <v>USD</v>
    <v>GE Vernova Inc., formerly GE Vernova LLC, is global energy company, with products and services that generate, transfer, orchestrate, convert, and store electricity. It designs, manufactures, delivers, and services technologies to create a sustainable electric power system, enabling electrification and decarbonization. Its Power segment includes design, manufacture, and servicing of gas, nuclear, hydro, and steam technologies, providing a foundation of dispatchable, flexible, stable, and reliable power. Its Wind segment includes its wind generation technologies, inclusive of onshore and offshore wind turbines and blades. Its Electrification segment includes grid solutions, power conversion, solar and storage solutions, and digital technologies required for the transmission, distribution, conversion, storage and orchestration of electricity from point of generation to point of consumption. It sells products directly to customers or at times through or with engineering and other firms.</v>
    <v>80000</v>
    <v>New York Stock Exchange</v>
    <v>XNYS</v>
    <v>XNYS</v>
    <v>58 Charles Street, CAMBRIDGE, MA, 02141 US</v>
    <v>183.27</v>
    <v>Electrical Utilities &amp; IPPs</v>
    <v>Stock</v>
    <v>45530.686799316405</v>
    <v>179.19</v>
    <v>50280521940</v>
    <v>GE VERNOVA INC.</v>
    <v>GE VERNOVA INC.</v>
    <v>181.27</v>
    <v>42.863</v>
    <v>183.29</v>
    <v>182.97</v>
    <v>274802000</v>
    <v>GEV</v>
    <v>GE VERNOVA INC. (XNYS:GEV)</v>
    <v>1217236</v>
    <v>2937388</v>
    <v>2023</v>
  </rv>
  <rv s="2">
    <v>537</v>
  </rv>
  <rv s="0">
    <v>https://www.bing.com/financeapi/forcetrigger?t=a1o8mw&amp;q=XNYS%3aTFC&amp;form=skydnc</v>
    <v>Learn more on Bing</v>
  </rv>
  <rv s="6">
    <v>en-US</v>
    <v>a1o8mw</v>
    <v>268435456</v>
    <v>1</v>
    <v>Powered by Refinitiv</v>
    <v>10</v>
    <v>Truist Financial Corporation (XNYS:TFC)</v>
    <v>2</v>
    <v>13</v>
    <v>Finance</v>
    <v>4</v>
    <v>45.308999999999997</v>
    <v>26.565000000000001</v>
    <v>1.0434000000000001</v>
    <v>0.38500000000000001</v>
    <v>8.7819999999999999E-3</v>
    <v>USD</v>
    <v>Truist Financial Corporation is a financial services company. The Company operates through its commercial bank subsidiary, Truist Bank (the Bank). The Bank provides a range of banking and trust services for clients and its digital platform. The Company’s segments include Consumer Banking and Wealth, Corporate and Commercial Banking, and Insurance Holdings. The Bank provides a range of banking services to commercial and consumer clients, which includes asset management, automobile lending, credit card lending, consumer finance, home equity lending, insurance, investment brokerage services, mobile/online banking, payment solutions, retail deposit products, small business lending and student lending. Its services also include commercial deposit and treasury services, commercial finance, commercial lending, floor plan lending, leasing, investment banking and capital markets services, institutional trust services, international banking, insurance premium finance and supply chain financing.</v>
    <v>49037</v>
    <v>New York Stock Exchange</v>
    <v>XNYS</v>
    <v>XNYS</v>
    <v>214 North Tryon Street, CHARLOTTE, NC, 28202 US</v>
    <v>44.3</v>
    <v>Banking Services</v>
    <v>Stock</v>
    <v>45530.686858703128</v>
    <v>539</v>
    <v>43.92</v>
    <v>58708050000</v>
    <v>Truist Financial Corporation</v>
    <v>Truist Financial Corporation</v>
    <v>44</v>
    <v>43.84</v>
    <v>44.225000000000001</v>
    <v>1339143000</v>
    <v>TFC</v>
    <v>Truist Financial Corporation (XNYS:TFC)</v>
    <v>3035719</v>
    <v>7737808</v>
    <v>1968</v>
  </rv>
  <rv s="2">
    <v>540</v>
  </rv>
  <rv s="0">
    <v>https://www.bing.com/financeapi/forcetrigger?t=a1r5fr&amp;q=XNYS%3aDLR&amp;form=skydnc</v>
    <v>Learn more on Bing</v>
  </rv>
  <rv s="1">
    <v>en-US</v>
    <v>a1r5fr</v>
    <v>268435456</v>
    <v>1</v>
    <v>Powered by Refinitiv</v>
    <v>0</v>
    <v>DIGITAL REALTY TRUST, INC. (XNYS:DLR)</v>
    <v>2</v>
    <v>3</v>
    <v>Finance</v>
    <v>4</v>
    <v>162.58000000000001</v>
    <v>113.9355</v>
    <v>0.62029999999999996</v>
    <v>-0.81</v>
    <v>-5.3229999999999996E-3</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3664</v>
    <v>New York Stock Exchange</v>
    <v>XNYS</v>
    <v>XNYS</v>
    <v>5707 Southwest Parkway, Building 1, Suite 275, AUSTIN, TX, 78735 US</v>
    <v>153.5</v>
    <v>Residential &amp; Commercial REIT</v>
    <v>Stock</v>
    <v>45530.686702001563</v>
    <v>542</v>
    <v>151.24</v>
    <v>49560203070</v>
    <v>DIGITAL REALTY TRUST, INC.</v>
    <v>DIGITAL REALTY TRUST, INC.</v>
    <v>152.77500000000001</v>
    <v>44.625</v>
    <v>152.18</v>
    <v>151.37</v>
    <v>327411000</v>
    <v>DLR</v>
    <v>DIGITAL REALTY TRUST, INC. (XNYS:DLR)</v>
    <v>284044</v>
    <v>1595257</v>
    <v>2004</v>
  </rv>
  <rv s="2">
    <v>543</v>
  </rv>
  <rv s="0">
    <v>https://www.bing.com/financeapi/forcetrigger?t=a1yeec&amp;q=XNYS%3aNEM&amp;form=skydnc</v>
    <v>Learn more on Bing</v>
  </rv>
  <rv s="6">
    <v>en-US</v>
    <v>a1yeec</v>
    <v>268435456</v>
    <v>1</v>
    <v>Powered by Refinitiv</v>
    <v>10</v>
    <v>NEWMONT CORPORATION (XNYS:NEM)</v>
    <v>2</v>
    <v>13</v>
    <v>Finance</v>
    <v>4</v>
    <v>52.61</v>
    <v>29.42</v>
    <v>0.50900000000000001</v>
    <v>0.25009999999999999</v>
    <v>4.8060000000000004E-3</v>
    <v>USD</v>
    <v>Newmont Corporation is a gold company and a producer of copper, zinc, lead, and silver. The Company’s portfolio of assets and prospects is anchored in mining jurisdictions in Africa, Australia, Latin America &amp; Caribbean, North America, and Papua New Guinea. Its African operations include Ahafo and Akyem. Its Australian operations include Boddington, Cadia, Tanami and Telfer.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located in the Ahafo region, approximately 290 kilometers (km) northwest of Accra, Ghana. Boddington is located 130 km southeast of Perth in Western Australia and its project area comprises over 52,506 acres (21,249 hectares) of mining tenure leased from the State of Western Australia.</v>
    <v>21700</v>
    <v>New York Stock Exchange</v>
    <v>XNYS</v>
    <v>XNYS</v>
    <v>6900 E Layton Avenue, Suite 700, DENVER, CO, 80237 US</v>
    <v>52.61</v>
    <v>Metals &amp; Mining</v>
    <v>Stock</v>
    <v>45530.686868171091</v>
    <v>545</v>
    <v>52.085000000000001</v>
    <v>59999177152</v>
    <v>NEWMONT CORPORATION</v>
    <v>NEWMONT CORPORATION</v>
    <v>52.58</v>
    <v>52.04</v>
    <v>52.290100000000002</v>
    <v>1147429000</v>
    <v>NEM</v>
    <v>NEWMONT CORPORATION (XNYS:NEM)</v>
    <v>1855942</v>
    <v>7371813</v>
    <v>2001</v>
  </rv>
  <rv s="2">
    <v>546</v>
  </rv>
  <rv s="0">
    <v>https://www.bing.com/financeapi/forcetrigger?t=a23d6h&amp;q=XNYS%3aSPG&amp;form=skydnc</v>
    <v>Learn more on Bing</v>
  </rv>
  <rv s="1">
    <v>en-US</v>
    <v>a23d6h</v>
    <v>268435456</v>
    <v>1</v>
    <v>Powered by Refinitiv</v>
    <v>0</v>
    <v>SIMON PROPERTY GROUP, INC. (XNYS:SPG)</v>
    <v>2</v>
    <v>3</v>
    <v>Finance</v>
    <v>4</v>
    <v>168.07</v>
    <v>102.11</v>
    <v>1.7685999999999999</v>
    <v>0.49</v>
    <v>2.9429999999999999E-3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195 income-producing properties in the United States, which consists of 93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the Company has ownership in 35 Premium Outlets and Designer Outlet properties primarily located in Asia, Europe, and Canada.</v>
    <v>2500</v>
    <v>New York Stock Exchange</v>
    <v>XNYS</v>
    <v>XNYS</v>
    <v>225 West Washington Street, INDIANAPOLIS, IN, 46204-3438 US</v>
    <v>168.07</v>
    <v>Residential &amp; Commercial REIT</v>
    <v>Stock</v>
    <v>45530.686825508594</v>
    <v>548</v>
    <v>166.45</v>
    <v>54445987366</v>
    <v>SIMON PROPERTY GROUP, INC.</v>
    <v>SIMON PROPERTY GROUP, INC.</v>
    <v>167.47</v>
    <v>17.691199999999998</v>
    <v>166.5</v>
    <v>166.99</v>
    <v>326043400</v>
    <v>SPG</v>
    <v>SIMON PROPERTY GROUP, INC. (XNYS:SPG)</v>
    <v>276259</v>
    <v>1357989</v>
    <v>1998</v>
  </rv>
  <rv s="2">
    <v>549</v>
  </rv>
  <rv s="0">
    <v>https://www.bing.com/financeapi/forcetrigger?t=a1wjz2&amp;q=XNYS%3aKMB&amp;form=skydnc</v>
    <v>Learn more on Bing</v>
  </rv>
  <rv s="1">
    <v>en-US</v>
    <v>a1wjz2</v>
    <v>268435456</v>
    <v>1</v>
    <v>Powered by Refinitiv</v>
    <v>0</v>
    <v>KIMBERLY-CLARK CORPORATION (XNYS:KMB)</v>
    <v>2</v>
    <v>3</v>
    <v>Finance</v>
    <v>4</v>
    <v>145.68</v>
    <v>116.31699999999999</v>
    <v>0.4012</v>
    <v>-0.34</v>
    <v>-2.3680000000000003E-3</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144.1</v>
    <v>Personal &amp; Household Products &amp; Services</v>
    <v>Stock</v>
    <v>45530.686763124999</v>
    <v>551</v>
    <v>143.17500000000001</v>
    <v>48253966388</v>
    <v>KIMBERLY-CLARK CORPORATION</v>
    <v>KIMBERLY-CLARK CORPORATION</v>
    <v>143.69</v>
    <v>21.256900000000002</v>
    <v>143.61000000000001</v>
    <v>143.27000000000001</v>
    <v>336804400</v>
    <v>KMB</v>
    <v>KIMBERLY-CLARK CORPORATION (XNYS:KMB)</v>
    <v>359389</v>
    <v>2314359</v>
    <v>1928</v>
  </rv>
  <rv s="2">
    <v>552</v>
  </rv>
  <rv s="0">
    <v>https://www.bing.com/financeapi/forcetrigger?t=a1q8r7&amp;q=XNAS%3aCPRT&amp;form=skydnc</v>
    <v>Learn more on Bing</v>
  </rv>
  <rv s="1">
    <v>en-US</v>
    <v>a1q8r7</v>
    <v>268435456</v>
    <v>1</v>
    <v>Powered by Refinitiv</v>
    <v>0</v>
    <v>COPART, INC. (XNAS:CPRT)</v>
    <v>2</v>
    <v>3</v>
    <v>Finance</v>
    <v>4</v>
    <v>58.58</v>
    <v>42.41</v>
    <v>1.2726999999999999</v>
    <v>0.11</v>
    <v>2.085E-3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53.23</v>
    <v>Software &amp; IT Services</v>
    <v>Stock</v>
    <v>45530.686851318751</v>
    <v>554</v>
    <v>52.75</v>
    <v>50876674112</v>
    <v>COPART, INC.</v>
    <v>COPART, INC.</v>
    <v>52.88</v>
    <v>47.798499999999997</v>
    <v>52.76</v>
    <v>52.87</v>
    <v>962297600</v>
    <v>CPRT</v>
    <v>COPART, INC. (XNAS:CPRT)</v>
    <v>619658</v>
    <v>3965653</v>
    <v>2012</v>
  </rv>
  <rv s="2">
    <v>555</v>
  </rv>
  <rv s="0">
    <v>https://www.bing.com/financeapi/forcetrigger?t=a24j8m&amp;q=XNYS%3aTRV&amp;form=skydnc</v>
    <v>Learn more on Bing</v>
  </rv>
  <rv s="1">
    <v>en-US</v>
    <v>a24j8m</v>
    <v>268435456</v>
    <v>1</v>
    <v>Powered by Refinitiv</v>
    <v>0</v>
    <v>The Travelers Companies, Inc. (XNYS:TRV)</v>
    <v>2</v>
    <v>3</v>
    <v>Finance</v>
    <v>4</v>
    <v>232.75</v>
    <v>157.33009999999999</v>
    <v>0.62719999999999998</v>
    <v>1.29</v>
    <v>5.816E-3</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33300</v>
    <v>New York Stock Exchange</v>
    <v>XNYS</v>
    <v>XNYS</v>
    <v>385 WASHINGTON ST, SAINT PAUL, MN, 55102 US</v>
    <v>224.905</v>
    <v>Insurance</v>
    <v>Stock</v>
    <v>45530.686768437503</v>
    <v>557</v>
    <v>221.93</v>
    <v>50853774654</v>
    <v>The Travelers Companies, Inc.</v>
    <v>The Travelers Companies, Inc.</v>
    <v>222.75</v>
    <v>14.0436</v>
    <v>221.82</v>
    <v>223.11</v>
    <v>227931400</v>
    <v>TRV</v>
    <v>The Travelers Companies, Inc. (XNYS:TRV)</v>
    <v>165464</v>
    <v>1161751</v>
    <v>1853</v>
  </rv>
  <rv s="2">
    <v>558</v>
  </rv>
  <rv s="0">
    <v>https://www.bing.com/financeapi/forcetrigger?t=a23jjc&amp;q=XNYS%3aSRE&amp;form=skydnc</v>
    <v>Learn more on Bing</v>
  </rv>
  <rv s="1">
    <v>en-US</v>
    <v>a23jjc</v>
    <v>268435456</v>
    <v>1</v>
    <v>Powered by Refinitiv</v>
    <v>0</v>
    <v>SEMPRA (XNYS:SRE)</v>
    <v>2</v>
    <v>3</v>
    <v>Finance</v>
    <v>4</v>
    <v>83.68</v>
    <v>63.75</v>
    <v>0.75919999999999999</v>
    <v>0.59</v>
    <v>7.2480000000000001E-3</v>
    <v>USD</v>
    <v>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16835</v>
    <v>New York Stock Exchange</v>
    <v>XNYS</v>
    <v>XNYS</v>
    <v>488 8Th Avenue, SAN DIEGO, CA, 92101 US</v>
    <v>82.564999999999998</v>
    <v>Multiline Utilities</v>
    <v>Stock</v>
    <v>45530.686832626561</v>
    <v>560</v>
    <v>81.459999999999994</v>
    <v>51887027142</v>
    <v>SEMPRA</v>
    <v>SEMPRA</v>
    <v>81.53</v>
    <v>17.380600000000001</v>
    <v>81.400000000000006</v>
    <v>81.99</v>
    <v>632845800</v>
    <v>SRE</v>
    <v>SEMPRA (XNYS:SRE)</v>
    <v>467124</v>
    <v>2722780</v>
    <v>1996</v>
  </rv>
  <rv s="2">
    <v>561</v>
  </rv>
  <rv s="0">
    <v>https://www.bing.com/financeapi/forcetrigger?t=a1w2cw&amp;q=XNYS%3aJCI&amp;form=skydnc</v>
    <v>Learn more on Bing</v>
  </rv>
  <rv s="1">
    <v>en-US</v>
    <v>a1w2cw</v>
    <v>268435456</v>
    <v>1</v>
    <v>Powered by Refinitiv</v>
    <v>0</v>
    <v>JOHNSON CONTROLS INTERNATIONAL PLC (XNYS:JCI)</v>
    <v>2</v>
    <v>3</v>
    <v>Finance</v>
    <v>4</v>
    <v>75.36</v>
    <v>47.9</v>
    <v>1.2991999999999999</v>
    <v>0.12</v>
    <v>1.684E-3</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100000</v>
    <v>New York Stock Exchange</v>
    <v>XNYS</v>
    <v>XNYS</v>
    <v>One Albert Quay, Albert Quay, CORK, CORK IE</v>
    <v>71.784999999999997</v>
    <v>Machinery, Equipment &amp; Components</v>
    <v>Stock</v>
    <v>45530.686879142966</v>
    <v>563</v>
    <v>71.09</v>
    <v>47669443360</v>
    <v>JOHNSON CONTROLS INTERNATIONAL PLC</v>
    <v>JOHNSON CONTROLS INTERNATIONAL PLC</v>
    <v>71.45</v>
    <v>29.767199999999999</v>
    <v>71.239999999999995</v>
    <v>71.36</v>
    <v>668013500</v>
    <v>JCI</v>
    <v>JOHNSON CONTROLS INTERNATIONAL PLC (XNYS:JCI)</v>
    <v>745975</v>
    <v>5409946</v>
    <v>2014</v>
  </rv>
  <rv s="2">
    <v>564</v>
  </rv>
  <rv s="0">
    <v>http://fr.wikipedia.org/wiki/TE_Connectivity</v>
    <v>Wikipedia</v>
  </rv>
  <rv s="3">
    <v>3</v>
    <v>566</v>
  </rv>
  <rv s="4">
    <v>9</v>
    <v>https://www.bing.com/th?id=AMMS_e83e68f97f5001b753ff93f8a5154da3&amp;qlt=95</v>
    <v>567</v>
    <v>0</v>
    <v>https://www.bing.com/images/search?form=xlimg&amp;q=te+connectivity</v>
    <v>Image of TE Connectivity Ltd</v>
  </rv>
  <rv s="0">
    <v>https://www.bing.com/financeapi/forcetrigger?t=a244dm&amp;q=XNYS%3aTEL&amp;form=skydnc</v>
    <v>Learn more on Bing</v>
  </rv>
  <rv s="5">
    <v>en-US</v>
    <v>a244dm</v>
    <v>268435456</v>
    <v>1</v>
    <v>Powered by Refinitiv</v>
    <v>5</v>
    <v>TE Connectivity Ltd (XNYS:TEL)</v>
    <v>7</v>
    <v>8</v>
    <v>Finance</v>
    <v>4</v>
    <v>159.97999999999999</v>
    <v>114.995</v>
    <v>1.3257000000000001</v>
    <v>-0.25</v>
    <v>-1.6329999999999999E-3</v>
    <v>USD</v>
    <v>TE Connectivity Ltd. is a technology company. The Company designs and manufactures connectivity and sensors solutions. It operates through three segments: Transportation Solutions, Industrial Solutions and Communications Solutions. The Transportation Solutions segment offers connectivity and sensor technologies. Its products are used in the automotive, commercial transportation and sensors markets. It sells primary products, including terminals and connector systems and components, sensors, relays, application tooling, and wire and heat shrink tubing. The Industrial Solutions segment is a supplier of products that connect and distribute power, data and signals. The Industrial Solutions segment offers products, such as terminals and connector systems and components; heat shrink tubing; relays, and wire and cable. The Communications Solutions segment is a supplier of electronic components for the data and devices and appliances markets.</v>
    <v>90000</v>
    <v>New York Stock Exchange</v>
    <v>XNYS</v>
    <v>XNYS</v>
    <v>Muehlenstrasse 26, SCHAFFHAUSEN, SCHAFFHAUSEN, 8200 CH</v>
    <v>154.19999999999999</v>
    <v>568</v>
    <v>Machinery, Equipment &amp; Components</v>
    <v>Stock</v>
    <v>45530.686753738279</v>
    <v>569</v>
    <v>152.37</v>
    <v>46447894921</v>
    <v>TE Connectivity Ltd</v>
    <v>TE Connectivity Ltd</v>
    <v>153.44999999999999</v>
    <v>13.747400000000001</v>
    <v>153.08000000000001</v>
    <v>152.83000000000001</v>
    <v>303918700</v>
    <v>TEL</v>
    <v>TE Connectivity Ltd (XNYS:TEL)</v>
    <v>289888</v>
    <v>1695945</v>
    <v>2009</v>
  </rv>
  <rv s="2">
    <v>570</v>
  </rv>
  <rv s="0">
    <v>https://www.bing.com/financeapi/forcetrigger?t=a1mzjc&amp;q=XNYS%3aAFL&amp;form=skydnc</v>
    <v>Learn more on Bing</v>
  </rv>
  <rv s="1">
    <v>en-US</v>
    <v>a1mzjc</v>
    <v>268435456</v>
    <v>1</v>
    <v>Powered by Refinitiv</v>
    <v>0</v>
    <v>AFLAC INCORPORATED (XNYS:AFL)</v>
    <v>2</v>
    <v>3</v>
    <v>Finance</v>
    <v>4</v>
    <v>108.3</v>
    <v>73.624799999999993</v>
    <v>0.94650000000000001</v>
    <v>0.36</v>
    <v>3.3539999999999998E-3</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12785</v>
    <v>New York Stock Exchange</v>
    <v>XNYS</v>
    <v>XNYS</v>
    <v>1932 Wynnton Rd, COLUMBUS, GA, 31999-0001 US</v>
    <v>108.3</v>
    <v>Insurance</v>
    <v>Stock</v>
    <v>45530.686830786719</v>
    <v>572</v>
    <v>107.34</v>
    <v>60314832510</v>
    <v>AFLAC INCORPORATED</v>
    <v>AFLAC INCORPORATED</v>
    <v>107.55</v>
    <v>11.3559</v>
    <v>107.34</v>
    <v>107.7</v>
    <v>560026300</v>
    <v>AFL</v>
    <v>AFLAC INCORPORATED (XNYS:AFL)</v>
    <v>453057</v>
    <v>2256477</v>
    <v>1973</v>
  </rv>
  <rv s="2">
    <v>573</v>
  </rv>
  <rv s="0">
    <v>https://www.bing.com/financeapi/forcetrigger?t=a1z6nm&amp;q=XNYS%3aOKE&amp;form=skydnc</v>
    <v>Learn more on Bing</v>
  </rv>
  <rv s="1">
    <v>en-US</v>
    <v>a1z6nm</v>
    <v>268435456</v>
    <v>1</v>
    <v>Powered by Refinitiv</v>
    <v>0</v>
    <v>ONEOK, INC. (XNYS:OKE)</v>
    <v>2</v>
    <v>3</v>
    <v>Finance</v>
    <v>4</v>
    <v>89.261200000000002</v>
    <v>60.58</v>
    <v>1.6303000000000001</v>
    <v>0.625</v>
    <v>7.097E-3</v>
    <v>USD</v>
    <v>Oneok, Inc. is a midstream service provider of gathering, processing, fractionation, transportation, storage, and marine export services. Its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4775</v>
    <v>New York Stock Exchange</v>
    <v>XNYS</v>
    <v>XNYS</v>
    <v>100 W 5th St, TULSA, OK, 74103 US</v>
    <v>89.261200000000002</v>
    <v>Oil &amp; Gas Related Equipment and Services</v>
    <v>Stock</v>
    <v>45530.686859351561</v>
    <v>575</v>
    <v>88.35</v>
    <v>51804434560</v>
    <v>ONEOK, INC.</v>
    <v>ONEOK, INC.</v>
    <v>88.83</v>
    <v>19.2058</v>
    <v>88.07</v>
    <v>88.694999999999993</v>
    <v>584073900</v>
    <v>OKE</v>
    <v>ONEOK, INC. (XNYS:OKE)</v>
    <v>444235</v>
    <v>2701727</v>
    <v>1997</v>
  </rv>
  <rv s="2">
    <v>576</v>
  </rv>
  <rv s="0">
    <v>https://www.bing.com/financeapi/forcetrigger?t=a234r7&amp;q=XNAS%3aSMCI&amp;form=skydnc</v>
    <v>Learn more on Bing</v>
  </rv>
  <rv s="1">
    <v>en-US</v>
    <v>a234r7</v>
    <v>268435456</v>
    <v>1</v>
    <v>Powered by Refinitiv</v>
    <v>0</v>
    <v>SUPER MICRO COMPUTER, INC. (XNAS:SMCI)</v>
    <v>2</v>
    <v>3</v>
    <v>Finance</v>
    <v>4</v>
    <v>1229</v>
    <v>226.59</v>
    <v>1.2556</v>
    <v>-45.710099999999997</v>
    <v>-7.4538999999999994E-2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618.17999999999995</v>
    <v>Computers, Phones &amp; Household Electronics</v>
    <v>Stock</v>
    <v>45530.686883205468</v>
    <v>578</v>
    <v>561.44000000000005</v>
    <v>33232581615</v>
    <v>SUPER MICRO COMPUTER, INC.</v>
    <v>SUPER MICRO COMPUTER, INC.</v>
    <v>610</v>
    <v>30.837299999999999</v>
    <v>613.24</v>
    <v>567.5299</v>
    <v>58556530</v>
    <v>SMCI</v>
    <v>SUPER MICRO COMPUTER, INC. (XNAS:SMCI)</v>
    <v>5846901</v>
    <v>7215672</v>
    <v>2006</v>
  </rv>
  <rv s="2">
    <v>579</v>
  </rv>
  <rv s="0">
    <v>https://www.bing.com/financeapi/forcetrigger?t=a218mw&amp;q=XNYS%3aPSA&amp;form=skydnc</v>
    <v>Learn more on Bing</v>
  </rv>
  <rv s="1">
    <v>en-US</v>
    <v>a218mw</v>
    <v>268435456</v>
    <v>1</v>
    <v>Powered by Refinitiv</v>
    <v>0</v>
    <v>PUBLIC STORAGE. (XNYS:PSA)</v>
    <v>2</v>
    <v>3</v>
    <v>Finance</v>
    <v>4</v>
    <v>342.99</v>
    <v>233.18</v>
    <v>0.6855</v>
    <v>-0.72499999999999998</v>
    <v>-2.1260000000000003E-3</v>
    <v>USD</v>
    <v>Public Storage is a real estate investment trust (REIT). The Company is engaged in the ownership, development,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 party property management segments. It has interests in and consolidated approximately 3,044 self-storage facilities (an aggregate of 218 million net rentable square feet of space) operating under the Public Storage name.</v>
    <v>5380</v>
    <v>New York Stock Exchange</v>
    <v>XNYS</v>
    <v>XNYS</v>
    <v>701 Western Avenue, GLENDALE, CA, 91201-2349 US</v>
    <v>342.99</v>
    <v>Residential &amp; Commercial REIT</v>
    <v>Stock</v>
    <v>45530.686795265625</v>
    <v>581</v>
    <v>339.05</v>
    <v>59543884955</v>
    <v>PUBLIC STORAGE.</v>
    <v>PUBLIC STORAGE.</v>
    <v>341.98</v>
    <v>31.892800000000001</v>
    <v>340.94</v>
    <v>340.21499999999997</v>
    <v>175018400</v>
    <v>PSA</v>
    <v>PUBLIC STORAGE. (XNYS:PSA)</v>
    <v>120983</v>
    <v>723029</v>
    <v>2023</v>
  </rv>
  <rv s="2">
    <v>582</v>
  </rv>
  <rv s="0">
    <v>https://www.bing.com/financeapi/forcetrigger?t=a1mybh&amp;q=XNAS%3aAEP&amp;form=skydnc</v>
    <v>Learn more on Bing</v>
  </rv>
  <rv s="1">
    <v>en-US</v>
    <v>a1mybh</v>
    <v>268435456</v>
    <v>1</v>
    <v>Powered by Refinitiv</v>
    <v>0</v>
    <v>AMERICAN ELECTRIC POWER COMPANY, INC. (XNAS:AEP)</v>
    <v>2</v>
    <v>3</v>
    <v>Finance</v>
    <v>4</v>
    <v>104.41</v>
    <v>69.38</v>
    <v>0.53320000000000001</v>
    <v>0.82</v>
    <v>8.3459999999999993E-3</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6,100 MW of renewable energy.</v>
    <v>17250</v>
    <v>Nasdaq Stock Market</v>
    <v>XNAS</v>
    <v>XNAS</v>
    <v>1 Riverside Plz, COLUMBUS, OH, 43215-2355 US</v>
    <v>99.81</v>
    <v>Electrical Utilities &amp; IPPs</v>
    <v>Stock</v>
    <v>45530.68685210625</v>
    <v>584</v>
    <v>98.5</v>
    <v>52717128400</v>
    <v>AMERICAN ELECTRIC POWER COMPANY, INC.</v>
    <v>AMERICAN ELECTRIC POWER COMPANY, INC.</v>
    <v>98.6</v>
    <v>19.6127</v>
    <v>98.25</v>
    <v>99.07</v>
    <v>532120000</v>
    <v>AEP</v>
    <v>AMERICAN ELECTRIC POWER COMPANY, INC. (XNAS:AEP)</v>
    <v>526511</v>
    <v>3190637</v>
    <v>1925</v>
  </rv>
  <rv s="2">
    <v>585</v>
  </rv>
  <rv s="0">
    <v>http://en.wikipedia.org/wiki/Ford_Motor_Company</v>
    <v>Wikipedia</v>
  </rv>
  <rv s="3">
    <v>3</v>
    <v>587</v>
  </rv>
  <rv s="4">
    <v>9</v>
    <v>https://www.bing.com/th?id=AMMS_cf0311a5f2d2dcb3110aca1404330618&amp;qlt=95</v>
    <v>588</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14.85</v>
    <v>9.49</v>
    <v>1.6281000000000001</v>
    <v>-0.16</v>
    <v>-1.4197E-2</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11.37</v>
    <v>589</v>
    <v>Automobiles &amp; Auto Parts</v>
    <v>Stock</v>
    <v>45530.686886735937</v>
    <v>590</v>
    <v>11.07</v>
    <v>44165027500</v>
    <v>FORD MOTOR COMPANY</v>
    <v>FORD MOTOR COMPANY</v>
    <v>11.32</v>
    <v>11.8629</v>
    <v>11.27</v>
    <v>11.11</v>
    <v>3975250000</v>
    <v>F</v>
    <v>FORD MOTOR COMPANY (XNYS:F)</v>
    <v>23902099</v>
    <v>73758390</v>
    <v>1919</v>
  </rv>
  <rv s="2">
    <v>591</v>
  </rv>
  <rv s="0">
    <v>https://www.bing.com/financeapi/forcetrigger?t=a1swsm&amp;q=XNYS%3aFIS&amp;form=skydnc</v>
    <v>Learn more on Bing</v>
  </rv>
  <rv s="1">
    <v>en-US</v>
    <v>a1swsm</v>
    <v>268435456</v>
    <v>1</v>
    <v>Powered by Refinitiv</v>
    <v>0</v>
    <v>FIDELITY NATIONAL INFORMATION SERVICES, INC. (XNYS:FIS)</v>
    <v>2</v>
    <v>3</v>
    <v>Finance</v>
    <v>4</v>
    <v>81</v>
    <v>46.911000000000001</v>
    <v>1.0821000000000001</v>
    <v>1.17</v>
    <v>1.4760000000000001E-2</v>
    <v>USD</v>
    <v>Fidelity National Information Services, Inc. is a provider of financial services technology solutions for financial institutions, businesses and developers. The Company's segments include Banking Solutions (Banking), Capital Market Solutions (Capital Markets), and Corporate and Other. The Banking segment is focused on serving financial institutions of all sizes with core processing software, transaction processing software and complementary applications and services, many of which interact directly with processing software. The Company sells these solutions on either a bundled or stand-alone basis. The Capital Markets segment is focused on serving global financial services clients and corporations with an array of buy-and sell-side, treasury, risk management and lending solutions. Its solutions include a variety of mission-critical buy-and sell-side applications for recordkeeping, data and analytics, trading and financing as well as corporate treasury and risk management applications.</v>
    <v>60000</v>
    <v>New York Stock Exchange</v>
    <v>XNYS</v>
    <v>XNYS</v>
    <v>347 Riverside Avenue, JACKSONVILLE, FL, 32202 US</v>
    <v>81</v>
    <v>Financial Technology (Fintech) &amp; Infrastructure</v>
    <v>Stock</v>
    <v>45530.68677719844</v>
    <v>593</v>
    <v>79.41</v>
    <v>43885320996</v>
    <v>FIDELITY NATIONAL INFORMATION SERVICES, INC.</v>
    <v>FIDELITY NATIONAL INFORMATION SERVICES, INC.</v>
    <v>79.8</v>
    <v>79.663300000000007</v>
    <v>79.27</v>
    <v>80.44</v>
    <v>545565900</v>
    <v>FIS</v>
    <v>FIDELITY NATIONAL INFORMATION SERVICES, INC. (XNYS:FIS)</v>
    <v>860170</v>
    <v>2860717</v>
    <v>2001</v>
  </rv>
  <rv s="2">
    <v>594</v>
  </rv>
  <rv s="0">
    <v>https://www.bing.com/financeapi/forcetrigger?t=a1rgxm&amp;q=XNAS%3aDXCM&amp;form=skydnc</v>
    <v>Learn more on Bing</v>
  </rv>
  <rv s="1">
    <v>en-US</v>
    <v>a1rgxm</v>
    <v>268435456</v>
    <v>1</v>
    <v>Powered by Refinitiv</v>
    <v>0</v>
    <v>DEXCOM, INC. (XNAS:DXCM)</v>
    <v>2</v>
    <v>3</v>
    <v>Finance</v>
    <v>4</v>
    <v>142</v>
    <v>62.34</v>
    <v>1.1822999999999999</v>
    <v>0.59</v>
    <v>7.9649999999999999E-3</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75</v>
    <v>Healthcare Equipment &amp; Supplies</v>
    <v>Stock</v>
    <v>45530.686790751563</v>
    <v>596</v>
    <v>73.61</v>
    <v>29918262888</v>
    <v>DEXCOM, INC.</v>
    <v>DEXCOM, INC.</v>
    <v>73.66</v>
    <v>46.500100000000003</v>
    <v>74.069999999999993</v>
    <v>74.66</v>
    <v>400726800</v>
    <v>DXCM</v>
    <v>DEXCOM, INC. (XNAS:DXCM)</v>
    <v>1176402</v>
    <v>8812324</v>
    <v>1999</v>
  </rv>
  <rv s="2">
    <v>597</v>
  </rv>
  <rv s="0">
    <v>https://www.bing.com/financeapi/forcetrigger?t=a1ojc7&amp;q=XNYS%3aBK&amp;form=skydnc</v>
    <v>Learn more on Bing</v>
  </rv>
  <rv s="1">
    <v>en-US</v>
    <v>a1ojc7</v>
    <v>268435456</v>
    <v>1</v>
    <v>Powered by Refinitiv</v>
    <v>0</v>
    <v>THE BANK OF NEW YORK MELLON CORPORATION (XNYS:BK)</v>
    <v>2</v>
    <v>3</v>
    <v>Finance</v>
    <v>4</v>
    <v>67.31</v>
    <v>39.659999999999997</v>
    <v>1.0671999999999999</v>
    <v>0.54500000000000004</v>
    <v>8.208E-3</v>
    <v>USD</v>
    <v>The Bank of New York Mellon Corporation is a global company. The Company’s businesses are divided into three business segments: Securities Services, Market and Wealth Services and Investment and Wealth Management. The Company also includes Other segment, which includes the leasing portfolio, corporate treasury activities, including its securities portfolio, derivatives and other trading activities, corporate and bank-owned life insurance, renewable energy and other corporate investments. The Company’s two principal United States banking subsidiaries include The Bank of New York Mellon, a New York state-chartered bank, which houses its Securities Services businesses, including asset servicing and issuer services and certain market and Wealth Services businesses, including treasury services and clearance and collateral management, as well as the bank-advised business of investment management and BNY Mellon, National Association, which houses its wealth management business.</v>
    <v>52000</v>
    <v>New York Stock Exchange</v>
    <v>XNYS</v>
    <v>XNYS</v>
    <v>240 Greenwich Street, NEW YORK, NY, 10286 US</v>
    <v>67.31</v>
    <v>Investment Banking &amp; Investment Services</v>
    <v>Stock</v>
    <v>45530.686859501562</v>
    <v>599</v>
    <v>66.45</v>
    <v>49402531364</v>
    <v>THE BANK OF NEW YORK MELLON CORPORATION</v>
    <v>THE BANK OF NEW YORK MELLON CORPORATION</v>
    <v>66.650000000000006</v>
    <v>15.9177</v>
    <v>66.400000000000006</v>
    <v>66.944999999999993</v>
    <v>737957000</v>
    <v>BK</v>
    <v>THE BANK OF NEW YORK MELLON CORPORATION (XNYS:BK)</v>
    <v>807949</v>
    <v>3995087</v>
    <v>2007</v>
  </rv>
  <rv s="2">
    <v>600</v>
  </rv>
  <rv s="0">
    <v>https://www.bing.com/financeapi/forcetrigger?t=bo5fpr&amp;q=XNAS%3aMRNA&amp;form=skydnc</v>
    <v>Learn more on Bing</v>
  </rv>
  <rv s="1">
    <v>en-US</v>
    <v>bo5fpr</v>
    <v>268435456</v>
    <v>1</v>
    <v>Powered by Refinitiv</v>
    <v>0</v>
    <v>MODERNA, INC. (XNAS:MRNA)</v>
    <v>2</v>
    <v>3</v>
    <v>Finance</v>
    <v>4</v>
    <v>170.47</v>
    <v>62.55</v>
    <v>1.6787000000000001</v>
    <v>-0.35</v>
    <v>-4.2459999999999998E-3</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5600</v>
    <v>Nasdaq Stock Market</v>
    <v>XNAS</v>
    <v>XNAS</v>
    <v>325 BINNEY STREET, Cambridge, MA, 02142 US</v>
    <v>83.6738</v>
    <v>Biotechnology &amp; Medical Research</v>
    <v>Stock</v>
    <v>45530.686833657033</v>
    <v>602</v>
    <v>81.73</v>
    <v>31555067640</v>
    <v>MODERNA, INC.</v>
    <v>MODERNA, INC.</v>
    <v>82.62</v>
    <v>0</v>
    <v>82.44</v>
    <v>82.09</v>
    <v>384396000</v>
    <v>MRNA</v>
    <v>MODERNA, INC. (XNAS:MRNA)</v>
    <v>974414</v>
    <v>4291151</v>
    <v>2016</v>
  </rv>
  <rv s="2">
    <v>603</v>
  </rv>
  <rv s="0">
    <v>https://www.bing.com/financeapi/forcetrigger?t=a1z11h&amp;q=XNYS%3aO&amp;form=skydnc</v>
    <v>Learn more on Bing</v>
  </rv>
  <rv s="1">
    <v>en-US</v>
    <v>a1z11h</v>
    <v>268435456</v>
    <v>1</v>
    <v>Powered by Refinitiv</v>
    <v>0</v>
    <v>REALTY INCOME CORPORATION (XNYS:O)</v>
    <v>2</v>
    <v>3</v>
    <v>Finance</v>
    <v>4</v>
    <v>61.99</v>
    <v>45.034999999999997</v>
    <v>0.98770000000000002</v>
    <v>0.69</v>
    <v>1.1294999999999999E-2</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61.99</v>
    <v>Residential &amp; Commercial REIT</v>
    <v>Stock</v>
    <v>45530.686872777347</v>
    <v>605</v>
    <v>61.41</v>
    <v>53802200328</v>
    <v>REALTY INCOME CORPORATION</v>
    <v>REALTY INCOME CORPORATION</v>
    <v>61.5</v>
    <v>57.286999999999999</v>
    <v>61.09</v>
    <v>61.78</v>
    <v>870867600</v>
    <v>O</v>
    <v>REALTY INCOME CORPORATION (XNYS:O)</v>
    <v>1503783</v>
    <v>5192069</v>
    <v>1997</v>
  </rv>
  <rv s="2">
    <v>606</v>
  </rv>
  <rv s="0">
    <v>https://www.bing.com/financeapi/forcetrigger?t=a1nfvh&amp;q=XNYS%3aAMP&amp;form=skydnc</v>
    <v>Learn more on Bing</v>
  </rv>
  <rv s="1">
    <v>en-US</v>
    <v>a1nfvh</v>
    <v>268435456</v>
    <v>1</v>
    <v>Powered by Refinitiv</v>
    <v>0</v>
    <v>AMERIPRISE FINANCIAL, INC. (XNYS:AMP)</v>
    <v>2</v>
    <v>3</v>
    <v>Finance</v>
    <v>4</v>
    <v>449.94</v>
    <v>306.6275</v>
    <v>1.3478000000000001</v>
    <v>2.0150000000000001</v>
    <v>4.5830000000000003E-3</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13800</v>
    <v>New York Stock Exchange</v>
    <v>XNYS</v>
    <v>XNYS</v>
    <v>1099 Ameriprise Financial Center, MINNEAPOLIS, MN, 55474 US</v>
    <v>444.84</v>
    <v>Investment Banking &amp; Investment Services</v>
    <v>Stock</v>
    <v>45530.686154501564</v>
    <v>608</v>
    <v>440.45</v>
    <v>43369440178</v>
    <v>AMERIPRISE FINANCIAL, INC.</v>
    <v>AMERIPRISE FINANCIAL, INC.</v>
    <v>442.89</v>
    <v>15.112</v>
    <v>439.68</v>
    <v>441.69499999999999</v>
    <v>98188660</v>
    <v>AMP</v>
    <v>AMERIPRISE FINANCIAL, INC. (XNYS:AMP)</v>
    <v>76666</v>
    <v>495151</v>
    <v>1983</v>
  </rv>
  <rv s="2">
    <v>609</v>
  </rv>
  <rv s="0">
    <v>https://www.bing.com/financeapi/forcetrigger?t=a24zec&amp;q=XNYS%3aURI&amp;form=skydnc</v>
    <v>Learn more on Bing</v>
  </rv>
  <rv s="1">
    <v>en-US</v>
    <v>a24zec</v>
    <v>268435456</v>
    <v>1</v>
    <v>Powered by Refinitiv</v>
    <v>0</v>
    <v>UNITED RENTALS, INC. (XNYS:URI)</v>
    <v>2</v>
    <v>3</v>
    <v>Finance</v>
    <v>4</v>
    <v>789.79949999999997</v>
    <v>387.01</v>
    <v>1.6841999999999999</v>
    <v>1.2050000000000001</v>
    <v>1.6170000000000002E-3</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1,504 rental locations in North America, 38 in Europe, 23 in Australia and 19 in New Zealand.</v>
    <v>26300</v>
    <v>New York Stock Exchange</v>
    <v>XNYS</v>
    <v>XNYS</v>
    <v>100 First Stamford Place, Suite 700, STAMFORD, CT, 06902 US</v>
    <v>757.85</v>
    <v>Professional &amp; Commercial Services</v>
    <v>Stock</v>
    <v>45530.68676861094</v>
    <v>611</v>
    <v>743.41</v>
    <v>49691736413</v>
    <v>UNITED RENTALS, INC.</v>
    <v>UNITED RENTALS, INC.</v>
    <v>749.88</v>
    <v>19.6694</v>
    <v>745.03</v>
    <v>746.23500000000001</v>
    <v>66589930</v>
    <v>URI</v>
    <v>UNITED RENTALS, INC. (XNYS:URI)</v>
    <v>102758</v>
    <v>543112</v>
    <v>1998</v>
  </rv>
  <rv s="2">
    <v>612</v>
  </rv>
  <rv s="0">
    <v>https://www.bing.com/financeapi/forcetrigger?t=a1xhvh&amp;q=XNYS%3aMET&amp;form=skydnc</v>
    <v>Learn more on Bing</v>
  </rv>
  <rv s="1">
    <v>en-US</v>
    <v>a1xhvh</v>
    <v>268435456</v>
    <v>1</v>
    <v>Powered by Refinitiv</v>
    <v>0</v>
    <v>METLIFE, INC. (XNYS:MET)</v>
    <v>2</v>
    <v>3</v>
    <v>Finance</v>
    <v>4</v>
    <v>79.34</v>
    <v>57.91</v>
    <v>1.0288999999999999</v>
    <v>0.38</v>
    <v>5.1120000000000002E-3</v>
    <v>USD</v>
    <v>MetLife, Inc. is a financial services company. The Company is engaged in providing insurance, annuities, employee benefits and asset management for individual and institutional customers. The Company operates through six segments: Group Benefits; Retirement and Income Solutions (RIS); Asia; Latin America; Europe, the Middle East and Africa (EMEA), and MetLife Holdings. Its Group Benefits segment offers life insurance, dental, group short- and long-term disability, individual disability, accidental death and dismemberment (AD&amp;D) insurance, vision, and accident and health insurance, as well as prepaid legal plans and pet insurance. It also sells administrative services-only (ASO) arrangements to some employers. Its RIS segment provides funding and financing solutions that help institutional customers mitigate and manage liabilities primarily associated with their employee benefit programs using a spectrum of life and annuity-based insurance and investment products.</v>
    <v>45000</v>
    <v>New York Stock Exchange</v>
    <v>XNYS</v>
    <v>XNYS</v>
    <v>200 Park Avenue, NEW YORK, NY, 10166 US</v>
    <v>75.319999999999993</v>
    <v>Insurance</v>
    <v>Stock</v>
    <v>45530.686859513284</v>
    <v>614</v>
    <v>74.495000000000005</v>
    <v>52328269056</v>
    <v>METLIFE, INC.</v>
    <v>METLIFE, INC.</v>
    <v>74.86</v>
    <v>20.024799999999999</v>
    <v>74.34</v>
    <v>74.72</v>
    <v>700324800</v>
    <v>MET</v>
    <v>METLIFE, INC. (XNYS:MET)</v>
    <v>494101</v>
    <v>3503482</v>
    <v>1999</v>
  </rv>
  <rv s="2">
    <v>615</v>
  </rv>
  <rv s="0">
    <v>https://www.bing.com/financeapi/forcetrigger?t=a1uysm&amp;q=XNYS%3aHUM&amp;form=skydnc</v>
    <v>Learn more on Bing</v>
  </rv>
  <rv s="1">
    <v>en-US</v>
    <v>a1uysm</v>
    <v>268435456</v>
    <v>1</v>
    <v>Powered by Refinitiv</v>
    <v>0</v>
    <v>HUMANA INC. (XNYS:HUM)</v>
    <v>2</v>
    <v>3</v>
    <v>Finance</v>
    <v>4</v>
    <v>530.53989999999999</v>
    <v>298.60629999999998</v>
    <v>0.50619999999999998</v>
    <v>0.61</v>
    <v>1.7290000000000001E-3</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356.56880000000001</v>
    <v>Healthcare Providers &amp; Services</v>
    <v>Stock</v>
    <v>45530.686768425781</v>
    <v>617</v>
    <v>353</v>
    <v>42563204967</v>
    <v>HUMANA INC.</v>
    <v>HUMANA INC.</v>
    <v>354.8</v>
    <v>24.831399999999999</v>
    <v>352.9</v>
    <v>353.51</v>
    <v>120401700</v>
    <v>HUM</v>
    <v>HUMANA INC. (XNYS:HUM)</v>
    <v>255161</v>
    <v>1086086</v>
    <v>1964</v>
  </rv>
  <rv s="2">
    <v>618</v>
  </rv>
  <rv s="0">
    <v>https://www.bing.com/financeapi/forcetrigger?t=a23rm7&amp;q=XNYS%3aSTZ&amp;form=skydnc</v>
    <v>Learn more on Bing</v>
  </rv>
  <rv s="1">
    <v>en-US</v>
    <v>a23rm7</v>
    <v>268435456</v>
    <v>1</v>
    <v>Powered by Refinitiv</v>
    <v>0</v>
    <v>CONSTELLATION BRANDS, INC. (XNYS:STZ)</v>
    <v>2</v>
    <v>3</v>
    <v>Finance</v>
    <v>4</v>
    <v>274.87</v>
    <v>227.5</v>
    <v>0.87519999999999998</v>
    <v>-1.1496999999999999</v>
    <v>-4.6889999999999996E-3</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245.68</v>
    <v>Beverages</v>
    <v>Stock</v>
    <v>45530.68682575156</v>
    <v>620</v>
    <v>243.57</v>
    <v>44460466029</v>
    <v>CONSTELLATION BRANDS, INC.</v>
    <v>CONSTELLATION BRANDS, INC.</v>
    <v>245</v>
    <v>18.2605</v>
    <v>245.18</v>
    <v>244.03030000000001</v>
    <v>182192400</v>
    <v>STZ</v>
    <v>CONSTELLATION BRANDS, INC. (XNYS:STZ)</v>
    <v>270988</v>
    <v>961261</v>
    <v>1972</v>
  </rv>
  <rv s="2">
    <v>621</v>
  </rv>
  <rv s="0">
    <v>https://www.bing.com/financeapi/forcetrigger?t=a1uvar&amp;q=XNYS%3aLHX&amp;form=skydnc</v>
    <v>Learn more on Bing</v>
  </rv>
  <rv s="1">
    <v>en-US</v>
    <v>a1uvar</v>
    <v>268435456</v>
    <v>1</v>
    <v>Powered by Refinitiv</v>
    <v>0</v>
    <v>L3HARRIS TECHNOLOGIES, INC. (XNYS:LHX)</v>
    <v>2</v>
    <v>3</v>
    <v>Finance</v>
    <v>4</v>
    <v>245.595</v>
    <v>160.25</v>
    <v>0.72960000000000003</v>
    <v>-1.43</v>
    <v>-6.1989999999999996E-3</v>
    <v>USD</v>
    <v>L3Harris Technologies, Inc. provides end-to-end technology solutions connecting the space, air, land, sea and cyber domains.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 Aerojet Rocketdyne segment includes missile solutions with propulsion technologies for strategic defense, missile defense, and hypersonic and tactical systems, and space propulsion and power systems for national security space.</v>
    <v>50000</v>
    <v>New York Stock Exchange</v>
    <v>XNYS</v>
    <v>XNYS</v>
    <v>1025 W Nasa Blvd, MELBOURNE, FL, 32919-0001 US</v>
    <v>231.9</v>
    <v>Aerospace &amp; Defense</v>
    <v>Stock</v>
    <v>45530.686849617967</v>
    <v>623</v>
    <v>228.72</v>
    <v>43489917100</v>
    <v>L3HARRIS TECHNOLOGIES, INC.</v>
    <v>L3HARRIS TECHNOLOGIES, INC.</v>
    <v>231.18</v>
    <v>36.923699999999997</v>
    <v>230.68</v>
    <v>229.25</v>
    <v>189705200</v>
    <v>LHX</v>
    <v>L3HARRIS TECHNOLOGIES, INC. (XNYS:LHX)</v>
    <v>154131</v>
    <v>913763</v>
    <v>1926</v>
  </rv>
  <rv s="2">
    <v>624</v>
  </rv>
  <rv s="0">
    <v>https://www.bing.com/financeapi/forcetrigger?t=a1nanm&amp;q=XNYS%3aALL&amp;form=skydnc</v>
    <v>Learn more on Bing</v>
  </rv>
  <rv s="1">
    <v>en-US</v>
    <v>a1nanm</v>
    <v>268435456</v>
    <v>1</v>
    <v>Powered by Refinitiv</v>
    <v>0</v>
    <v>THE ALLSTATE CORPORATION (XNYS:ALL)</v>
    <v>2</v>
    <v>3</v>
    <v>Finance</v>
    <v>4</v>
    <v>184.30500000000001</v>
    <v>104.7</v>
    <v>0.47449999999999998</v>
    <v>2.165</v>
    <v>1.1993999999999999E-2</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182.83</v>
    <v>Insurance</v>
    <v>Stock</v>
    <v>45530.68679325156</v>
    <v>626</v>
    <v>180.15</v>
    <v>48233616605</v>
    <v>THE ALLSTATE CORPORATION</v>
    <v>THE ALLSTATE CORPORATION</v>
    <v>180.55</v>
    <v>16.407499999999999</v>
    <v>180.51</v>
    <v>182.67500000000001</v>
    <v>264040600</v>
    <v>ALL</v>
    <v>THE ALLSTATE CORPORATION (XNYS:ALL)</v>
    <v>801359</v>
    <v>1611380</v>
    <v>1992</v>
  </rv>
  <rv s="2">
    <v>627</v>
  </rv>
  <rv s="0">
    <v>https://www.bing.com/financeapi/forcetrigger?t=a1vb5r&amp;q=XNAS%3aIDXX&amp;form=skydnc</v>
    <v>Learn more on Bing</v>
  </rv>
  <rv s="1">
    <v>en-US</v>
    <v>a1vb5r</v>
    <v>268435456</v>
    <v>1</v>
    <v>Powered by Refinitiv</v>
    <v>0</v>
    <v>IDEXX LABORATORIES, INC. (XNAS:IDXX)</v>
    <v>2</v>
    <v>3</v>
    <v>Finance</v>
    <v>4</v>
    <v>583.39</v>
    <v>372.5</v>
    <v>1.3307</v>
    <v>2.0449999999999999</v>
    <v>4.189E-3</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491.505</v>
    <v>Healthcare Equipment &amp; Supplies</v>
    <v>Stock</v>
    <v>45530.686833703126</v>
    <v>629</v>
    <v>486.96</v>
    <v>40344294532</v>
    <v>IDEXX LABORATORIES, INC.</v>
    <v>IDEXX LABORATORIES, INC.</v>
    <v>489.99</v>
    <v>48.387799999999999</v>
    <v>488.13</v>
    <v>490.17500000000001</v>
    <v>82305900</v>
    <v>IDXX</v>
    <v>IDEXX LABORATORIES, INC. (XNAS:IDXX)</v>
    <v>94327</v>
    <v>557730</v>
    <v>1983</v>
  </rv>
  <rv s="2">
    <v>630</v>
  </rv>
  <rv s="0">
    <v>https://www.bing.com/financeapi/forcetrigger?t=a218k2&amp;q=XNYS%3aPRU&amp;form=skydnc</v>
    <v>Learn more on Bing</v>
  </rv>
  <rv s="1">
    <v>en-US</v>
    <v>a218k2</v>
    <v>268435456</v>
    <v>1</v>
    <v>Powered by Refinitiv</v>
    <v>0</v>
    <v>PRUDENTIAL FINANCIAL, INC. (XNYS:PRU)</v>
    <v>2</v>
    <v>3</v>
    <v>Finance</v>
    <v>4</v>
    <v>128.52500000000001</v>
    <v>87.95</v>
    <v>1.2887999999999999</v>
    <v>1.1200000000000001</v>
    <v>9.5389999999999989E-3</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and individual life products.</v>
    <v>40658</v>
    <v>New York Stock Exchange</v>
    <v>XNYS</v>
    <v>XNYS</v>
    <v>751 BROAD ST, NEWARK, NJ, 07102 US</v>
    <v>119.17</v>
    <v>Insurance</v>
    <v>Stock</v>
    <v>45530.686846446093</v>
    <v>632</v>
    <v>117.69</v>
    <v>42315210000</v>
    <v>PRUDENTIAL FINANCIAL, INC.</v>
    <v>PRUDENTIAL FINANCIAL, INC.</v>
    <v>117.81</v>
    <v>15.0716</v>
    <v>117.41</v>
    <v>118.53</v>
    <v>357000000</v>
    <v>PRU</v>
    <v>PRUDENTIAL FINANCIAL, INC. (XNYS:PRU)</v>
    <v>354001</v>
    <v>1762744</v>
    <v>1999</v>
  </rv>
  <rv s="2">
    <v>633</v>
  </rv>
  <rv s="0">
    <v>https://www.bing.com/financeapi/forcetrigger?t=a1r1lh&amp;q=XNYS%3aDHI&amp;form=skydnc</v>
    <v>Learn more on Bing</v>
  </rv>
  <rv s="1">
    <v>en-US</v>
    <v>a1r1lh</v>
    <v>268435456</v>
    <v>1</v>
    <v>Powered by Refinitiv</v>
    <v>0</v>
    <v>D.R. HORTON, INC. (XNYS:DHI)</v>
    <v>2</v>
    <v>3</v>
    <v>Finance</v>
    <v>4</v>
    <v>193.46539999999999</v>
    <v>100.08</v>
    <v>1.7301</v>
    <v>-1.24</v>
    <v>-6.4649999999999994E-3</v>
    <v>USD</v>
    <v>D.R. Horton, Inc. is a homebuilding company. The Company is primarily engaged in the acquisition and development of land and the construction and sale of residential homes. Its segments include Homebuilding, Rental, Forestar, Financial Services, and Other. The Company’s Homebuilding segment designs, builds and sells single-family detached homes on lots they develop and on fully developed lots purchased ready for home construction. The Rental segment consists of single-family and multi-family rental operations. The single-family rental operations primarily construct and lease single-family homes within a community and then market each community for a bulk sale of rental homes. The Forestar segment is a residential lot development company. The Financial services segment provides mortgage financing, title agency services and title insurance to homebuyers in many of the Company’s homebuilding markets. In addition, it also conducts insurance-related operations.</v>
    <v>13450</v>
    <v>New York Stock Exchange</v>
    <v>XNYS</v>
    <v>XNYS</v>
    <v>1341 Horton Cir, ARLINGTON, TX, 76011-4310 US</v>
    <v>193.46539999999999</v>
    <v>Homebuilding &amp; Construction Supplies</v>
    <v>Stock</v>
    <v>45530.68688517344</v>
    <v>635</v>
    <v>189.73500000000001</v>
    <v>62126941055</v>
    <v>D.R. HORTON, INC.</v>
    <v>D.R. HORTON, INC.</v>
    <v>193.45500000000001</v>
    <v>12.8812</v>
    <v>191.79</v>
    <v>190.55</v>
    <v>326040100</v>
    <v>DHI</v>
    <v>D.R. HORTON, INC. (XNYS:DHI)</v>
    <v>753984</v>
    <v>2534323</v>
    <v>1991</v>
  </rv>
  <rv s="2">
    <v>636</v>
  </rv>
  <rv s="0">
    <v>https://www.bing.com/financeapi/forcetrigger?t=a1pcf2&amp;q=XNYS%3aCCI&amp;form=skydnc</v>
    <v>Learn more on Bing</v>
  </rv>
  <rv s="1">
    <v>en-US</v>
    <v>a1pcf2</v>
    <v>268435456</v>
    <v>1</v>
    <v>Powered by Refinitiv</v>
    <v>0</v>
    <v>CROWN CASTLE INC. (XNYS:CCI)</v>
    <v>2</v>
    <v>3</v>
    <v>Finance</v>
    <v>4</v>
    <v>119.5</v>
    <v>84.72</v>
    <v>0.85970000000000002</v>
    <v>0.30499999999999999</v>
    <v>2.7139999999999998E-3</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113.87</v>
    <v>Residential &amp; Commercial REIT</v>
    <v>Stock</v>
    <v>45530.686802719531</v>
    <v>638</v>
    <v>112.58</v>
    <v>48969216200</v>
    <v>CROWN CASTLE INC.</v>
    <v>CROWN CASTLE INC.</v>
    <v>113.04</v>
    <v>41.036900000000003</v>
    <v>112.38</v>
    <v>112.685</v>
    <v>434567300</v>
    <v>CCI</v>
    <v>CROWN CASTLE INC. (XNYS:CCI)</v>
    <v>388443</v>
    <v>2101192</v>
    <v>2014</v>
  </rv>
  <rv s="2">
    <v>639</v>
  </rv>
  <rv s="0">
    <v>https://www.bing.com/financeapi/forcetrigger?t=a1qpw7&amp;q=XNYS%3aD&amp;form=skydnc</v>
    <v>Learn more on Bing</v>
  </rv>
  <rv s="1">
    <v>en-US</v>
    <v>a1qpw7</v>
    <v>268435456</v>
    <v>1</v>
    <v>Powered by Refinitiv</v>
    <v>0</v>
    <v>Dominion Energy, Inc. (XNYS:D)</v>
    <v>2</v>
    <v>3</v>
    <v>Finance</v>
    <v>4</v>
    <v>57.6</v>
    <v>39.18</v>
    <v>0.60289999999999999</v>
    <v>0.04</v>
    <v>7.0830000000000003E-4</v>
    <v>USD</v>
    <v>Dominion Energy, Inc. is a producer and distributor of energy. The Company's segments include Dominion Energy Virginia, Dominion Energy South Carolina, and Contracted Energy. Dominion Energy Virginia segment is composed of Virginia Power’s regulated electric transmission, distribution, and generation (regulated electric utility and its related energy supply) operations, which serve approximately 2.8 million residential, commercial, industrial and governmental customers in Virginia and North Carolina. Dominion Energy South Carolina segment consists of DESC’s generation, transmission, and distribution of electricity to approximately 0.8 million customers in the central, southern and southwestern portions of South Carolina and the distribution of natural gas to approximately 0.4 million residential, commercial and industrial customers in South Carolina. Contracted Energy segment includes the operations of Millstone, and associated energy marketing and price risk activities and others.</v>
    <v>17700</v>
    <v>New York Stock Exchange</v>
    <v>XNYS</v>
    <v>XNYS</v>
    <v>120 Tredegar St, RICHMOND, VA, 23219-4306 US</v>
    <v>56.96</v>
    <v>Electrical Utilities &amp; IPPs</v>
    <v>Stock</v>
    <v>45530.686720555466</v>
    <v>641</v>
    <v>56.36</v>
    <v>47408408984</v>
    <v>Dominion Energy, Inc.</v>
    <v>Dominion Energy, Inc.</v>
    <v>56.65</v>
    <v>24.068100000000001</v>
    <v>56.47</v>
    <v>56.51</v>
    <v>838938400</v>
    <v>D</v>
    <v>Dominion Energy, Inc. (XNYS:D)</v>
    <v>975002</v>
    <v>3562806</v>
    <v>1983</v>
  </rv>
  <rv s="2">
    <v>642</v>
  </rv>
  <rv s="0">
    <v>https://www.bing.com/financeapi/forcetrigger?t=a21gh7&amp;q=XNYS%3aPWR&amp;form=skydnc</v>
    <v>Learn more on Bing</v>
  </rv>
  <rv s="1">
    <v>en-US</v>
    <v>a21gh7</v>
    <v>268435456</v>
    <v>1</v>
    <v>Powered by Refinitiv</v>
    <v>0</v>
    <v>QUANTA SERVICES, INC. (XNYS:PWR)</v>
    <v>2</v>
    <v>3</v>
    <v>Finance</v>
    <v>4</v>
    <v>286.87</v>
    <v>153.74</v>
    <v>1.0115000000000001</v>
    <v>-1.2250000000000001</v>
    <v>-4.4840000000000001E-3</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77008-1044 US</v>
    <v>276.25</v>
    <v>Construction &amp; Engineering</v>
    <v>Stock</v>
    <v>45530.68685439766</v>
    <v>644</v>
    <v>270.37</v>
    <v>40065602461</v>
    <v>QUANTA SERVICES, INC.</v>
    <v>QUANTA SERVICES, INC.</v>
    <v>273.64</v>
    <v>51.242100000000001</v>
    <v>273.17</v>
    <v>271.94499999999999</v>
    <v>147329800</v>
    <v>PWR</v>
    <v>QUANTA SERVICES, INC. (XNYS:PWR)</v>
    <v>135664</v>
    <v>922796</v>
    <v>1997</v>
  </rv>
  <rv s="2">
    <v>645</v>
  </rv>
  <rv s="0">
    <v>https://www.bing.com/financeapi/forcetrigger?t=a1udz2&amp;q=XNYS%3aGWW&amp;form=skydnc</v>
    <v>Learn more on Bing</v>
  </rv>
  <rv s="1">
    <v>en-US</v>
    <v>a1udz2</v>
    <v>268435456</v>
    <v>1</v>
    <v>Powered by Refinitiv</v>
    <v>0</v>
    <v>W.W. GRAINGER, INC. (XNYS:GWW)</v>
    <v>2</v>
    <v>3</v>
    <v>Finance</v>
    <v>4</v>
    <v>1034.18</v>
    <v>674.41</v>
    <v>1.1616</v>
    <v>-10.411</v>
    <v>-1.0599000000000001E-2</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988.53</v>
    <v>Machinery, Equipment &amp; Components</v>
    <v>Stock</v>
    <v>45530.686817800779</v>
    <v>647</v>
    <v>969.82</v>
    <v>47449742948</v>
    <v>W.W. GRAINGER, INC.</v>
    <v>W.W. GRAINGER, INC.</v>
    <v>988.53</v>
    <v>26.430299999999999</v>
    <v>982.23</v>
    <v>971.81899999999996</v>
    <v>48825700</v>
    <v>GWW</v>
    <v>W.W. GRAINGER, INC. (XNYS:GWW)</v>
    <v>54116</v>
    <v>234128</v>
    <v>1928</v>
  </rv>
  <rv s="2">
    <v>648</v>
  </rv>
  <rv s="0">
    <v>https://www.bing.com/financeapi/forcetrigger?t=a1xwnm&amp;q=XNAS%3aMPWR&amp;form=skydnc</v>
    <v>Learn more on Bing</v>
  </rv>
  <rv s="1">
    <v>en-US</v>
    <v>a1xwnm</v>
    <v>268435456</v>
    <v>1</v>
    <v>Powered by Refinitiv</v>
    <v>0</v>
    <v>MONOLITHIC POWER SYSTEMS, INC. (XNAS:MPWR)</v>
    <v>2</v>
    <v>3</v>
    <v>Finance</v>
    <v>4</v>
    <v>956.62990000000002</v>
    <v>392.1</v>
    <v>1.1195999999999999</v>
    <v>-14.92</v>
    <v>-1.5934999999999998E-2</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98033-7350 US</v>
    <v>929.21</v>
    <v>Semiconductors &amp; Semiconductor Equipment</v>
    <v>Stock</v>
    <v>45530.68676118047</v>
    <v>650</v>
    <v>913.99</v>
    <v>44918630240</v>
    <v>MONOLITHIC POWER SYSTEMS, INC.</v>
    <v>MONOLITHIC POWER SYSTEMS, INC.</v>
    <v>928.65</v>
    <v>111.361</v>
    <v>936.29</v>
    <v>921.37</v>
    <v>48752000</v>
    <v>MPWR</v>
    <v>MONOLITHIC POWER SYSTEMS, INC. (XNAS:MPWR)</v>
    <v>128706</v>
    <v>633328</v>
    <v>2004</v>
  </rv>
  <rv s="2">
    <v>651</v>
  </rv>
  <rv s="0">
    <v>https://www.bing.com/financeapi/forcetrigger?t=a1zez2&amp;q=XNYS%3aOXY&amp;form=skydnc</v>
    <v>Learn more on Bing</v>
  </rv>
  <rv s="1">
    <v>en-US</v>
    <v>a1zez2</v>
    <v>268435456</v>
    <v>1</v>
    <v>Powered by Refinitiv</v>
    <v>0</v>
    <v>OCCIDENTAL PETROLEUM CORPORATION (XNYS:OXY)</v>
    <v>2</v>
    <v>3</v>
    <v>Finance</v>
    <v>4</v>
    <v>71.185000000000002</v>
    <v>55.04</v>
    <v>1.6067</v>
    <v>0.185</v>
    <v>3.2320000000000001E-3</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58.47</v>
    <v>Oil &amp; Gas</v>
    <v>Stock</v>
    <v>45530.686851747654</v>
    <v>653</v>
    <v>57.23</v>
    <v>52612635695</v>
    <v>OCCIDENTAL PETROLEUM CORPORATION</v>
    <v>OCCIDENTAL PETROLEUM CORPORATION</v>
    <v>58.16</v>
    <v>14.801500000000001</v>
    <v>57.24</v>
    <v>57.424999999999997</v>
    <v>916197400</v>
    <v>OXY</v>
    <v>OCCIDENTAL PETROLEUM CORPORATION (XNYS:OXY)</v>
    <v>6417882</v>
    <v>10365318</v>
    <v>1986</v>
  </rv>
  <rv s="2">
    <v>654</v>
  </rv>
  <rv s="0">
    <v>https://www.bing.com/financeapi/forcetrigger?t=a1zhcw&amp;q=XNAS%3aPAYX&amp;form=skydnc</v>
    <v>Learn more on Bing</v>
  </rv>
  <rv s="1">
    <v>en-US</v>
    <v>a1zhcw</v>
    <v>268435456</v>
    <v>1</v>
    <v>Powered by Refinitiv</v>
    <v>0</v>
    <v>PAYCHEX, INC. (XNAS:PAYX)</v>
    <v>2</v>
    <v>3</v>
    <v>Finance</v>
    <v>4</v>
    <v>131.48500000000001</v>
    <v>106.27</v>
    <v>0.99229999999999996</v>
    <v>0.95</v>
    <v>7.3080000000000003E-3</v>
    <v>USD</v>
    <v>Paychex, Inc. is a provider of human capital management solutions for human resources (HR), payroll, benefits and insurance services for small-to-medium-sized businesses and their employees across the United States and parts of Europe. The Company offers a portfolio of HCM technology and HR advisory solutions that help its clients navigate the challenges of HR. Its clients have the option of doing payroll online using its software as a service (SaaS) technology, outsourcing to its payroll specialists, or using a combination of those solutions. Payroll is integrated with HCM software modules for clients who have more complex HR needs. It also provides comprehensive HR outsourcing through its administrative services organization and PEO solutions. The Company's HCM SaaS platform is Paychex Flex, which provides workforce management throughout the employee life cycle from recruiting and hiring to retirement, including recruiting, onboarding, HR, time and attendance and employee benefits.</v>
    <v>16500</v>
    <v>Nasdaq Stock Market</v>
    <v>XNAS</v>
    <v>XNAS</v>
    <v>911 Panorama Trail S, ROCHESTER, NY, 14625-0397 US</v>
    <v>131.48500000000001</v>
    <v>Professional &amp; Commercial Services</v>
    <v>Stock</v>
    <v>45530.686784895312</v>
    <v>656</v>
    <v>130.33000000000001</v>
    <v>47158617554</v>
    <v>PAYCHEX, INC.</v>
    <v>PAYCHEX, INC.</v>
    <v>130.63999999999999</v>
    <v>27.8462</v>
    <v>130</v>
    <v>130.94999999999999</v>
    <v>360126900</v>
    <v>PAYX</v>
    <v>PAYCHEX, INC. (XNAS:PAYX)</v>
    <v>857182</v>
    <v>1708640</v>
    <v>1979</v>
  </rv>
  <rv s="2">
    <v>657</v>
  </rv>
  <rv s="0">
    <v>https://www.bing.com/financeapi/forcetrigger?t=a1ultc&amp;q=XNYS%3aHES&amp;form=skydnc</v>
    <v>Learn more on Bing</v>
  </rv>
  <rv s="1">
    <v>en-US</v>
    <v>a1ultc</v>
    <v>268435456</v>
    <v>1</v>
    <v>Powered by Refinitiv</v>
    <v>0</v>
    <v>HESS CORPORATION (XNYS:HES)</v>
    <v>2</v>
    <v>3</v>
    <v>Finance</v>
    <v>4</v>
    <v>167.75</v>
    <v>130.35</v>
    <v>1.1646000000000001</v>
    <v>-0.2</v>
    <v>-1.4469999999999999E-3</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140.55000000000001</v>
    <v>Oil &amp; Gas</v>
    <v>Stock</v>
    <v>45530.686808402344</v>
    <v>659</v>
    <v>137.9</v>
    <v>42513693902</v>
    <v>HESS CORPORATION</v>
    <v>HESS CORPORATION</v>
    <v>139.82499999999999</v>
    <v>16.113399999999999</v>
    <v>138.18</v>
    <v>137.97999999999999</v>
    <v>308114900</v>
    <v>HES</v>
    <v>HESS CORPORATION (XNYS:HES)</v>
    <v>280435</v>
    <v>1751392</v>
    <v>1920</v>
  </rv>
  <rv s="2">
    <v>660</v>
  </rv>
  <rv s="0">
    <v>https://www.bing.com/financeapi/forcetrigger?t=a1mnrw&amp;q=XNYS%3aA&amp;form=skydnc</v>
    <v>Learn more on Bing</v>
  </rv>
  <rv s="1">
    <v>en-US</v>
    <v>a1mnrw</v>
    <v>268435456</v>
    <v>1</v>
    <v>Powered by Refinitiv</v>
    <v>0</v>
    <v>AGILENT TECHNOLOGIES, INC. (XNYS:A)</v>
    <v>2</v>
    <v>3</v>
    <v>Finance</v>
    <v>4</v>
    <v>155.35</v>
    <v>96.8</v>
    <v>1.0551999999999999</v>
    <v>-0.78500000000000003</v>
    <v>-5.5729999999999998E-3</v>
    <v>USD</v>
    <v>Agilent Technologies, Inc. is engaged in providing application focused solutions that include instruments, software, services and consumables for the entire laboratory workflow. It operates in the life sciences, diagnostics and applied chemical markets. Its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genomics, nucleic acid contract manufacturing and research and development, pathology, companion diagnostics, reagent partnership and biomolecular analysis businesses. The Agilent CrossLab segment offers services portfolio, which includes repairs, parts, maintenance, installations, training, compliance support, software as a service, asset management, consulting and various other custom services to support the laboratory operations.</v>
    <v>17600</v>
    <v>New York Stock Exchange</v>
    <v>XNYS</v>
    <v>XNYS</v>
    <v>5301 Stevens Creek Blvd, SANTA CLARA, CA, 95051 US</v>
    <v>141.18</v>
    <v>Healthcare Equipment &amp; Supplies</v>
    <v>Stock</v>
    <v>45530.686855763284</v>
    <v>662</v>
    <v>140</v>
    <v>40278584016</v>
    <v>AGILENT TECHNOLOGIES, INC.</v>
    <v>AGILENT TECHNOLOGIES, INC.</v>
    <v>140.87</v>
    <v>29.173200000000001</v>
    <v>140.87</v>
    <v>140.08500000000001</v>
    <v>287529600</v>
    <v>A</v>
    <v>AGILENT TECHNOLOGIES, INC. (XNYS:A)</v>
    <v>266528</v>
    <v>1655703</v>
    <v>1999</v>
  </rv>
  <rv s="2">
    <v>663</v>
  </rv>
  <rv s="0">
    <v>https://www.bing.com/financeapi/forcetrigger?t=a1mptc&amp;q=XNYS%3aABC&amp;form=skydnc</v>
    <v>Learn more on Bing</v>
  </rv>
  <rv s="1">
    <v>en-US</v>
    <v>a1mptc</v>
    <v>268435456</v>
    <v>1</v>
    <v>Powered by Refinitiv</v>
    <v>0</v>
    <v>Cencora, Inc. (XNYS:COR)</v>
    <v>2</v>
    <v>3</v>
    <v>Finance</v>
    <v>4</v>
    <v>247.66</v>
    <v>171.65</v>
    <v>0.44019999999999998</v>
    <v>-2.4700000000000002</v>
    <v>-1.039E-2</v>
    <v>USD</v>
    <v>Cencora, Inc. is a global pharmaceutical sourcing and distribution services company. The Company is focused on improving the lives of people and animals around the world. It is engaged in the delivery of pharmaceuticals, healthcare products, and solutions.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236.99</v>
    <v>Healthcare Equipment &amp; Supplies</v>
    <v>Stock</v>
    <v>45530.686868865625</v>
    <v>665</v>
    <v>233.44</v>
    <v>46359200636</v>
    <v>Cencora, Inc.</v>
    <v>Cencora, Inc.</v>
    <v>234.16</v>
    <v>25.553599999999999</v>
    <v>237.74</v>
    <v>235.27</v>
    <v>197046800</v>
    <v>COR</v>
    <v>Cencora, Inc. (XNYS:COR)</v>
    <v>519817</v>
    <v>1314173</v>
    <v>2001</v>
  </rv>
  <rv s="2">
    <v>666</v>
  </rv>
  <rv s="0">
    <v>https://www.bing.com/financeapi/forcetrigger?t=a1ne3m&amp;q=XNYS%3aAME&amp;form=skydnc</v>
    <v>Learn more on Bing</v>
  </rv>
  <rv s="1">
    <v>en-US</v>
    <v>a1ne3m</v>
    <v>268435456</v>
    <v>1</v>
    <v>Powered by Refinitiv</v>
    <v>0</v>
    <v>AMETEK, INC. (XNYS:AME)</v>
    <v>2</v>
    <v>3</v>
    <v>Finance</v>
    <v>4</v>
    <v>186.32499999999999</v>
    <v>136.88999999999999</v>
    <v>1.1742999999999999</v>
    <v>0.98</v>
    <v>5.855E-3</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169.58</v>
    <v>Machinery, Equipment &amp; Components</v>
    <v>Stock</v>
    <v>45530.686794131252</v>
    <v>668</v>
    <v>166.85</v>
    <v>38983716320</v>
    <v>AMETEK, INC.</v>
    <v>AMETEK, INC.</v>
    <v>168.74</v>
    <v>29.14</v>
    <v>167.39</v>
    <v>168.37</v>
    <v>231536000</v>
    <v>AME</v>
    <v>AMETEK, INC. (XNYS:AME)</v>
    <v>271430</v>
    <v>1501102</v>
    <v>1986</v>
  </rv>
  <rv s="2">
    <v>669</v>
  </rv>
  <rv s="0">
    <v>https://www.bing.com/financeapi/forcetrigger?t=bu3f2w&amp;q=XNYS%3aOTIS&amp;form=skydnc</v>
    <v>Learn more on Bing</v>
  </rv>
  <rv s="1">
    <v>en-US</v>
    <v>bu3f2w</v>
    <v>268435456</v>
    <v>1</v>
    <v>Powered by Refinitiv</v>
    <v>0</v>
    <v>OTIS WORLDWIDE CORPORATION (XNYS:OTIS)</v>
    <v>2</v>
    <v>3</v>
    <v>Finance</v>
    <v>4</v>
    <v>100.84</v>
    <v>73.319999999999993</v>
    <v>0.93</v>
    <v>-0.67</v>
    <v>-7.1130000000000004E-3</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71000</v>
    <v>New York Stock Exchange</v>
    <v>XNYS</v>
    <v>XNYS</v>
    <v>One Carrier Place, FARMINGTON, CT, 06032 US</v>
    <v>94.72</v>
    <v>Machinery, Equipment &amp; Components</v>
    <v>Stock</v>
    <v>45530.686674189063</v>
    <v>671</v>
    <v>93.3</v>
    <v>37463890444</v>
    <v>OTIS WORLDWIDE CORPORATION</v>
    <v>OTIS WORLDWIDE CORPORATION</v>
    <v>94.36</v>
    <v>26.289400000000001</v>
    <v>94.2</v>
    <v>93.53</v>
    <v>400554800</v>
    <v>OTIS</v>
    <v>OTIS WORLDWIDE CORPORATION (XNYS:OTIS)</v>
    <v>323413</v>
    <v>2301102</v>
    <v>2019</v>
  </rv>
  <rv s="2">
    <v>672</v>
  </rv>
  <rv s="0">
    <v>https://www.bing.com/financeapi/forcetrigger?t=a229ec&amp;q=XNYS%3aRSG&amp;form=skydnc</v>
    <v>Learn more on Bing</v>
  </rv>
  <rv s="1">
    <v>en-US</v>
    <v>a229ec</v>
    <v>268435456</v>
    <v>1</v>
    <v>Powered by Refinitiv</v>
    <v>0</v>
    <v>REPUBLIC SERVICES, INC. (XNYS:RSG)</v>
    <v>2</v>
    <v>3</v>
    <v>Finance</v>
    <v>4</v>
    <v>208.62</v>
    <v>140.22999999999999</v>
    <v>0.70440000000000003</v>
    <v>0.65</v>
    <v>3.1509999999999997E-3</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208.62</v>
    <v>Professional &amp; Commercial Services</v>
    <v>Stock</v>
    <v>45530.686878020315</v>
    <v>674</v>
    <v>206.3</v>
    <v>64987012635</v>
    <v>REPUBLIC SERVICES, INC.</v>
    <v>REPUBLIC SERVICES, INC.</v>
    <v>206.3</v>
    <v>34.557000000000002</v>
    <v>206.27</v>
    <v>206.92</v>
    <v>314068300</v>
    <v>RSG</v>
    <v>REPUBLIC SERVICES, INC. (XNYS:RSG)</v>
    <v>214492</v>
    <v>1205954</v>
    <v>1996</v>
  </rv>
  <rv s="2">
    <v>675</v>
  </rv>
  <rv s="0">
    <v>https://www.bing.com/financeapi/forcetrigger?t=a25jnm&amp;q=XNAS%3aVRSK&amp;form=skydnc</v>
    <v>Learn more on Bing</v>
  </rv>
  <rv s="1">
    <v>en-US</v>
    <v>a25jnm</v>
    <v>268435456</v>
    <v>1</v>
    <v>Powered by Refinitiv</v>
    <v>0</v>
    <v>VERISK ANALYTICS, INC. (XNAS:VRSK)</v>
    <v>2</v>
    <v>3</v>
    <v>Finance</v>
    <v>4</v>
    <v>287.13</v>
    <v>215.32</v>
    <v>0.86040000000000005</v>
    <v>0.78</v>
    <v>2.9090000000000001E-3</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Blvd, JERSEY CITY, NJ, 07310-1607 US</v>
    <v>271.16000000000003</v>
    <v>Software &amp; IT Services</v>
    <v>Stock</v>
    <v>45530.686858738278</v>
    <v>677</v>
    <v>268.39</v>
    <v>38302032534</v>
    <v>VERISK ANALYTICS, INC.</v>
    <v>VERISK ANALYTICS, INC.</v>
    <v>268.83999999999997</v>
    <v>43.135199999999998</v>
    <v>268.14999999999998</v>
    <v>268.93</v>
    <v>142423800</v>
    <v>VRSK</v>
    <v>VERISK ANALYTICS, INC. (XNAS:VRSK)</v>
    <v>114942</v>
    <v>731452</v>
    <v>2008</v>
  </rv>
  <rv s="2">
    <v>678</v>
  </rv>
  <rv s="0">
    <v>https://www.bing.com/financeapi/forcetrigger?t=aw2c52&amp;q=XNYS%3aIQV&amp;form=skydnc</v>
    <v>Learn more on Bing</v>
  </rv>
  <rv s="1">
    <v>en-US</v>
    <v>aw2c52</v>
    <v>268435456</v>
    <v>1</v>
    <v>Powered by Refinitiv</v>
    <v>0</v>
    <v>IQVIA HOLDINGS INC (XNYS:IQV)</v>
    <v>2</v>
    <v>3</v>
    <v>Finance</v>
    <v>4</v>
    <v>261.73</v>
    <v>167.42</v>
    <v>1.496</v>
    <v>-0.9</v>
    <v>-3.6149999999999997E-3</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249.97</v>
    <v>Biotechnology &amp; Medical Research</v>
    <v>Stock</v>
    <v>45530.686856990622</v>
    <v>680</v>
    <v>247.84</v>
    <v>45215869000</v>
    <v>IQVIA HOLDINGS INC</v>
    <v>IQVIA HOLDINGS INC</v>
    <v>249.5</v>
    <v>32.231400000000001</v>
    <v>248.93</v>
    <v>248.03</v>
    <v>182300000</v>
    <v>IQV</v>
    <v>IQVIA HOLDINGS INC (XNYS:IQV)</v>
    <v>101691</v>
    <v>1065105</v>
    <v>2016</v>
  </rv>
  <rv s="2">
    <v>681</v>
  </rv>
  <rv s="0">
    <v>https://www.bing.com/financeapi/forcetrigger?t=bpifbh&amp;q=XNYS%3aDOW&amp;form=skydnc</v>
    <v>Learn more on Bing</v>
  </rv>
  <rv s="1">
    <v>en-US</v>
    <v>bpifbh</v>
    <v>268435456</v>
    <v>1</v>
    <v>Powered by Refinitiv</v>
    <v>0</v>
    <v>Dow Inc. (XNYS:DOW)</v>
    <v>2</v>
    <v>3</v>
    <v>Finance</v>
    <v>4</v>
    <v>60.69</v>
    <v>47.26</v>
    <v>1.2171000000000001</v>
    <v>0.63500000000000001</v>
    <v>1.1862999999999999E-2</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35900</v>
    <v>New York Stock Exchange</v>
    <v>XNYS</v>
    <v>XNYS</v>
    <v>2211 H H Dow Way, MIDLAND, MI, 48642-4815 US</v>
    <v>54.56</v>
    <v>Chemicals</v>
    <v>Stock</v>
    <v>45530.686811828127</v>
    <v>683</v>
    <v>54.012</v>
    <v>37965385965</v>
    <v>Dow Inc.</v>
    <v>Dow Inc.</v>
    <v>54.12</v>
    <v>33.120899999999999</v>
    <v>53.53</v>
    <v>54.164999999999999</v>
    <v>700921000</v>
    <v>DOW</v>
    <v>Dow Inc. (XNYS:DOW)</v>
    <v>1000380</v>
    <v>3868811</v>
    <v>2018</v>
  </rv>
  <rv s="2">
    <v>684</v>
  </rv>
  <rv s="0">
    <v>https://www.bing.com/financeapi/forcetrigger?t=a1tpyc&amp;q=XNYS%3aIR&amp;form=skydnc</v>
    <v>Learn more on Bing</v>
  </rv>
  <rv s="1">
    <v>en-US</v>
    <v>a1tpyc</v>
    <v>268435456</v>
    <v>1</v>
    <v>Powered by Refinitiv</v>
    <v>0</v>
    <v>INGERSOLL RAND INC. (XNYS:IR)</v>
    <v>2</v>
    <v>3</v>
    <v>Finance</v>
    <v>4</v>
    <v>101.3</v>
    <v>59.2</v>
    <v>1.4236</v>
    <v>-0.4</v>
    <v>-4.365E-3</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92.25</v>
    <v>Machinery, Equipment &amp; Components</v>
    <v>Stock</v>
    <v>45530.686902488284</v>
    <v>686</v>
    <v>91.015000000000001</v>
    <v>36813898408</v>
    <v>INGERSOLL RAND INC.</v>
    <v>INGERSOLL RAND INC.</v>
    <v>92.25</v>
    <v>45.3367</v>
    <v>91.64</v>
    <v>91.24</v>
    <v>403484200</v>
    <v>IR</v>
    <v>INGERSOLL RAND INC. (XNYS:IR)</v>
    <v>372883</v>
    <v>2628864</v>
    <v>2013</v>
  </rv>
  <rv s="2">
    <v>687</v>
  </rv>
  <rv s="0">
    <v>https://www.bing.com/financeapi/forcetrigger?t=a1ythw&amp;q=XNYS%3aNUE&amp;form=skydnc</v>
    <v>Learn more on Bing</v>
  </rv>
  <rv s="1">
    <v>en-US</v>
    <v>a1ythw</v>
    <v>268435456</v>
    <v>1</v>
    <v>Powered by Refinitiv</v>
    <v>0</v>
    <v>NUCOR CORPORATION (XNYS:NUE)</v>
    <v>2</v>
    <v>3</v>
    <v>Finance</v>
    <v>4</v>
    <v>203</v>
    <v>139.41</v>
    <v>1.5636000000000001</v>
    <v>3.8250000000000002</v>
    <v>2.5891999999999998E-2</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152.5479</v>
    <v>Metals &amp; Mining</v>
    <v>Stock</v>
    <v>45530.686824050783</v>
    <v>689</v>
    <v>149.12</v>
    <v>35969760590</v>
    <v>NUCOR CORPORATION</v>
    <v>NUCOR CORPORATION</v>
    <v>150</v>
    <v>10.6356</v>
    <v>147.72999999999999</v>
    <v>151.55500000000001</v>
    <v>237338000</v>
    <v>NUE</v>
    <v>NUCOR CORPORATION (XNYS:NUE)</v>
    <v>548704</v>
    <v>1443675</v>
    <v>1958</v>
  </rv>
  <rv s="2">
    <v>690</v>
  </rv>
  <rv s="0">
    <v>https://www.bing.com/financeapi/forcetrigger?t=a1wkbh&amp;q=XNYS%3aKMI&amp;form=skydnc</v>
    <v>Learn more on Bing</v>
  </rv>
  <rv s="1">
    <v>en-US</v>
    <v>a1wkbh</v>
    <v>268435456</v>
    <v>1</v>
    <v>Powered by Refinitiv</v>
    <v>0</v>
    <v>KINDER MORGAN, INC. (XNYS:KMI)</v>
    <v>2</v>
    <v>3</v>
    <v>Finance</v>
    <v>4</v>
    <v>21.86</v>
    <v>15.89</v>
    <v>0.92059999999999997</v>
    <v>0.17</v>
    <v>7.9890000000000013E-3</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21.5</v>
    <v>Oil &amp; Gas Related Equipment and Services</v>
    <v>Stock</v>
    <v>45530.68689262656</v>
    <v>692</v>
    <v>21.35</v>
    <v>47607481350</v>
    <v>KINDER MORGAN, INC.</v>
    <v>KINDER MORGAN, INC.</v>
    <v>21.45</v>
    <v>19.438199999999998</v>
    <v>21.28</v>
    <v>21.45</v>
    <v>2219463000</v>
    <v>KMI</v>
    <v>KINDER MORGAN, INC. (XNYS:KMI)</v>
    <v>3444687</v>
    <v>13657062</v>
    <v>2006</v>
  </rv>
  <rv s="2">
    <v>693</v>
  </rv>
  <rv s="0">
    <v>https://www.bing.com/financeapi/forcetrigger?t=a26em7&amp;q=XNYS%3aYUM&amp;form=skydnc</v>
    <v>Learn more on Bing</v>
  </rv>
  <rv s="1">
    <v>en-US</v>
    <v>a26em7</v>
    <v>268435456</v>
    <v>1</v>
    <v>Powered by Refinitiv</v>
    <v>0</v>
    <v>YUM! BRANDS, INC. (XNYS:YUM)</v>
    <v>2</v>
    <v>3</v>
    <v>Finance</v>
    <v>4</v>
    <v>143.19999999999999</v>
    <v>115.52500000000001</v>
    <v>1.0805</v>
    <v>-0.19</v>
    <v>-1.4019999999999998E-3</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136.30000000000001</v>
    <v>Hotels &amp; Entertainment Services</v>
    <v>Stock</v>
    <v>45530.686805277343</v>
    <v>695</v>
    <v>135.07</v>
    <v>38050059450</v>
    <v>YUM! BRANDS, INC.</v>
    <v>YUM! BRANDS, INC.</v>
    <v>135.66</v>
    <v>24.736599999999999</v>
    <v>135.52000000000001</v>
    <v>135.33000000000001</v>
    <v>281165000</v>
    <v>YUM</v>
    <v>YUM! BRANDS, INC. (XNYS:YUM)</v>
    <v>536973</v>
    <v>1849953</v>
    <v>1997</v>
  </rv>
  <rv s="2">
    <v>696</v>
  </rv>
  <rv s="0">
    <v>http://zh.wikipedia.org/wiki/太平洋瓦電公司</v>
    <v>Wikipedia</v>
  </rv>
  <rv s="3">
    <v>3</v>
    <v>698</v>
  </rv>
  <rv s="4">
    <v>9</v>
    <v>https://www.bing.com/th?id=AMMS_d7c2863336a8698ebd1054cdf3b7bcff&amp;qlt=95</v>
    <v>699</v>
    <v>0</v>
    <v>https://www.bing.com/images/search?form=xlimg&amp;q=pacific+gas+and+electric+company</v>
    <v>Image of PG&amp;E CORPORATION</v>
  </rv>
  <rv s="0">
    <v>https://www.bing.com/financeapi/forcetrigger?t=a1zkar&amp;q=XNYS%3aPCG&amp;form=skydnc</v>
    <v>Learn more on Bing</v>
  </rv>
  <rv s="5">
    <v>en-US</v>
    <v>a1zkar</v>
    <v>268435456</v>
    <v>1</v>
    <v>Powered by Refinitiv</v>
    <v>5</v>
    <v>PG&amp;E CORPORATION (XNYS:PCG)</v>
    <v>7</v>
    <v>8</v>
    <v>Finance</v>
    <v>4</v>
    <v>19.11</v>
    <v>14.71</v>
    <v>1.0116000000000001</v>
    <v>0.27500000000000002</v>
    <v>1.4628E-2</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19.11</v>
    <v>700</v>
    <v>Electrical Utilities &amp; IPPs</v>
    <v>Stock</v>
    <v>45530.686859524998</v>
    <v>701</v>
    <v>18.829999999999998</v>
    <v>49885035375</v>
    <v>PG&amp;E CORPORATION</v>
    <v>PG&amp;E CORPORATION</v>
    <v>18.855</v>
    <v>15.9589</v>
    <v>18.8</v>
    <v>19.074999999999999</v>
    <v>2615205000</v>
    <v>PCG</v>
    <v>PG&amp;E CORPORATION (XNYS:PCG)</v>
    <v>4418304</v>
    <v>10904104</v>
    <v>1995</v>
  </rv>
  <rv s="2">
    <v>702</v>
  </rv>
  <rv s="0">
    <v>https://www.bing.com/financeapi/forcetrigger?t=a1tvzr&amp;q=XNYS%3aGIS&amp;form=skydnc</v>
    <v>Learn more on Bing</v>
  </rv>
  <rv s="1">
    <v>en-US</v>
    <v>a1tvzr</v>
    <v>268435456</v>
    <v>1</v>
    <v>Powered by Refinitiv</v>
    <v>0</v>
    <v>GENERAL MILLS, INC. (XNYS:GIS)</v>
    <v>2</v>
    <v>3</v>
    <v>Finance</v>
    <v>4</v>
    <v>74.45</v>
    <v>60.33</v>
    <v>8.9200000000000002E-2</v>
    <v>0.30499999999999999</v>
    <v>4.3059999999999999E-3</v>
    <v>USD</v>
    <v>General Mills, Inc. is a global manufacturer and marketer of branded consumer foods with more than 100 brands in 100 countries across six continents. Its segments include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Its product categories include super-premium ice cream and frozen desserts, meal kits and others. The Pet segment includes pet food products sold primarily in the United States and Canada in national pet superstore chains, e-commerce retailers, mass merchandisers, and veterinary clinics and hospitals. The North America Foodservice segment consists of foodservice businesses in the United States and Canada.</v>
    <v>34000</v>
    <v>New York Stock Exchange</v>
    <v>XNYS</v>
    <v>XNYS</v>
    <v>Number One General Mills Blvd, MINNEAPOLIS, MN, 55426 US</v>
    <v>71.555000000000007</v>
    <v>Food &amp; Tobacco</v>
    <v>Stock</v>
    <v>45530.686885474221</v>
    <v>704</v>
    <v>70.67</v>
    <v>39595142359</v>
    <v>GENERAL MILLS, INC.</v>
    <v>GENERAL MILLS, INC.</v>
    <v>70.75</v>
    <v>16.4467</v>
    <v>70.83</v>
    <v>71.135000000000005</v>
    <v>556619700</v>
    <v>GIS</v>
    <v>GENERAL MILLS, INC. (XNYS:GIS)</v>
    <v>558239</v>
    <v>3278603</v>
    <v>1928</v>
  </rv>
  <rv s="2">
    <v>705</v>
  </rv>
  <rv s="0">
    <v>https://www.bing.com/financeapi/forcetrigger?t=a1xz1h&amp;q=XNYS%3aMSCI&amp;form=skydnc</v>
    <v>Learn more on Bing</v>
  </rv>
  <rv s="1">
    <v>en-US</v>
    <v>a1xz1h</v>
    <v>268435456</v>
    <v>1</v>
    <v>Powered by Refinitiv</v>
    <v>0</v>
    <v>MSCI INC. (XNYS:MSCI)</v>
    <v>2</v>
    <v>3</v>
    <v>Finance</v>
    <v>4</v>
    <v>617.39</v>
    <v>439.95</v>
    <v>1.1068</v>
    <v>3.75</v>
    <v>6.5649999999999997E-3</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6059</v>
    <v>New York Stock Exchange</v>
    <v>XNYS</v>
    <v>XNYS</v>
    <v>7 World Trade Center, 250 Greenwich Street, 49th Floor, NEW YORK, NY, 10007 US</v>
    <v>578.52</v>
    <v>Professional &amp; Commercial Services</v>
    <v>Stock</v>
    <v>45530.68684929375</v>
    <v>707</v>
    <v>572.29999999999995</v>
    <v>45219019501</v>
    <v>MSCI INC.</v>
    <v>MSCI INC.</v>
    <v>574.54999999999995</v>
    <v>38.298499999999997</v>
    <v>571.19000000000005</v>
    <v>574.94000000000005</v>
    <v>78649980</v>
    <v>MSCI</v>
    <v>MSCI INC. (XNYS:MSCI)</v>
    <v>79378</v>
    <v>541193</v>
    <v>1998</v>
  </rv>
  <rv s="2">
    <v>708</v>
  </rv>
  <rv s="0">
    <v>https://www.bing.com/financeapi/forcetrigger?t=a1tg3m&amp;q=XNAS%3aFTNT&amp;form=skydnc</v>
    <v>Learn more on Bing</v>
  </rv>
  <rv s="1">
    <v>en-US</v>
    <v>a1tg3m</v>
    <v>268435456</v>
    <v>1</v>
    <v>Powered by Refinitiv</v>
    <v>0</v>
    <v>FORTINET, INC. (XNAS:FTNT)</v>
    <v>2</v>
    <v>3</v>
    <v>Finance</v>
    <v>4</v>
    <v>76.31</v>
    <v>44.12</v>
    <v>0.99019999999999997</v>
    <v>0.43</v>
    <v>5.7540000000000004E-3</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13527</v>
    <v>Nasdaq Stock Market</v>
    <v>XNAS</v>
    <v>XNAS</v>
    <v>909 Kifer Road, SUNNYVALE, CA, 94086 US</v>
    <v>75.39</v>
    <v>Software &amp; IT Services</v>
    <v>Stock</v>
    <v>45530.68681405078</v>
    <v>710</v>
    <v>74.805000000000007</v>
    <v>57490485280</v>
    <v>FORTINET, INC.</v>
    <v>FORTINET, INC.</v>
    <v>74.98</v>
    <v>44.156199999999998</v>
    <v>74.73</v>
    <v>75.16</v>
    <v>764908000</v>
    <v>FTNT</v>
    <v>FORTINET, INC. (XNAS:FTNT)</v>
    <v>828360</v>
    <v>6261596</v>
    <v>2000</v>
  </rv>
  <rv s="2">
    <v>711</v>
  </rv>
  <rv s="0">
    <v>https://www.bing.com/financeapi/forcetrigger?t=a1mscw&amp;q=XNAS%3aACGL&amp;form=skydnc</v>
    <v>Learn more on Bing</v>
  </rv>
  <rv s="1">
    <v>en-US</v>
    <v>a1mscw</v>
    <v>268435456</v>
    <v>1</v>
    <v>Powered by Refinitiv</v>
    <v>0</v>
    <v>ARCH CAPITAL GROUP LTD. (XNAS:ACGL)</v>
    <v>2</v>
    <v>3</v>
    <v>Finance</v>
    <v>4</v>
    <v>110.12</v>
    <v>72.849999999999994</v>
    <v>0.5927</v>
    <v>0.42</v>
    <v>3.8529999999999997E-3</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6400</v>
    <v>Nasdaq Stock Market</v>
    <v>XNAS</v>
    <v>XNAS</v>
    <v>WATERLOO HOUSE, GROUND FLOOR, 100 PITTS BAY ROAD, PEMBROKE, HM 08 BM</v>
    <v>110.12</v>
    <v>Insurance</v>
    <v>Stock</v>
    <v>45530.686885358591</v>
    <v>713</v>
    <v>108.84</v>
    <v>41155765632</v>
    <v>ARCH CAPITAL GROUP LTD.</v>
    <v>ARCH CAPITAL GROUP LTD.</v>
    <v>108.99</v>
    <v>7.6738</v>
    <v>109.02</v>
    <v>109.44</v>
    <v>376057800</v>
    <v>ACGL</v>
    <v>ARCH CAPITAL GROUP LTD. (XNAS:ACGL)</v>
    <v>327746</v>
    <v>1323253</v>
    <v>2000</v>
  </rv>
  <rv s="2">
    <v>714</v>
  </rv>
  <rv s="0">
    <v>https://www.bing.com/financeapi/forcetrigger?t=a1pxec&amp;q=XNYS%3aCMI&amp;form=skydnc</v>
    <v>Learn more on Bing</v>
  </rv>
  <rv s="1">
    <v>en-US</v>
    <v>a1pxec</v>
    <v>268435456</v>
    <v>1</v>
    <v>Powered by Refinitiv</v>
    <v>0</v>
    <v>CUMMINS INC. (XNYS:CMI)</v>
    <v>2</v>
    <v>3</v>
    <v>Finance</v>
    <v>4</v>
    <v>322.83</v>
    <v>212.8</v>
    <v>0.97589999999999999</v>
    <v>0.87490000000000001</v>
    <v>2.8289999999999999E-3</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312.14</v>
    <v>Automobiles &amp; Auto Parts</v>
    <v>Stock</v>
    <v>45530.686821863281</v>
    <v>716</v>
    <v>308.666</v>
    <v>42510127119</v>
    <v>CUMMINS INC.</v>
    <v>CUMMINS INC.</v>
    <v>310.95999999999998</v>
    <v>22.444500000000001</v>
    <v>309.31</v>
    <v>310.18490000000003</v>
    <v>137047700</v>
    <v>CMI</v>
    <v>CUMMINS INC. (XNYS:CMI)</v>
    <v>109395</v>
    <v>793757</v>
    <v>1919</v>
  </rv>
  <rv s="2">
    <v>717</v>
  </rv>
  <rv s="0">
    <v>https://www.bing.com/financeapi/forcetrigger?t=a1sl52&amp;q=XNAS%3aFAST&amp;form=skydnc</v>
    <v>Learn more on Bing</v>
  </rv>
  <rv s="1">
    <v>en-US</v>
    <v>a1sl52</v>
    <v>268435456</v>
    <v>1</v>
    <v>Powered by Refinitiv</v>
    <v>0</v>
    <v>Fastenal Company (XNAS:FAST)</v>
    <v>2</v>
    <v>3</v>
    <v>Finance</v>
    <v>4</v>
    <v>79.040000000000006</v>
    <v>53.494500000000002</v>
    <v>1.0006999999999999</v>
    <v>-0.09</v>
    <v>-1.322E-3</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21249</v>
    <v>Nasdaq Stock Market</v>
    <v>XNAS</v>
    <v>XNAS</v>
    <v>2001 Theurer Blvd, WINONA, MN, 55987 US</v>
    <v>68.62</v>
    <v>Machinery, Equipment &amp; Components</v>
    <v>Stock</v>
    <v>45530.686807164064</v>
    <v>719</v>
    <v>67.930000000000007</v>
    <v>38945661261</v>
    <v>Fastenal Company</v>
    <v>Fastenal Company</v>
    <v>68.42</v>
    <v>33.902700000000003</v>
    <v>68.099999999999994</v>
    <v>68.010000000000005</v>
    <v>572646100</v>
    <v>FAST</v>
    <v>Fastenal Company (XNAS:FAST)</v>
    <v>329579</v>
    <v>2456210</v>
    <v>1968</v>
  </rv>
  <rv s="2">
    <v>720</v>
  </rv>
  <rv s="0">
    <v>http://de.wikipedia.org/wiki/Lennar</v>
    <v>Wikipedia</v>
  </rv>
  <rv s="3">
    <v>3</v>
    <v>722</v>
  </rv>
  <rv s="4">
    <v>9</v>
    <v>https://www.bing.com/th?id=AMMS_53583359b2caf7766f03578d319fe529&amp;qlt=95</v>
    <v>723</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186.61</v>
    <v>102.9</v>
    <v>1.6119000000000001</v>
    <v>-0.59</v>
    <v>-3.189E-3</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12284</v>
    <v>New York Stock Exchange</v>
    <v>XNYS</v>
    <v>XNYS</v>
    <v>5505 WATERFORD DISTRICT DRIVE, MIAMI, FL, 33126 US</v>
    <v>186.61</v>
    <v>724</v>
    <v>Homebuilding &amp; Construction Supplies</v>
    <v>Stock</v>
    <v>45530.686869652345</v>
    <v>725</v>
    <v>183.62</v>
    <v>50437350000</v>
    <v>LENNAR CORPORATION</v>
    <v>LENNAR CORPORATION</v>
    <v>186.61</v>
    <v>12.5619</v>
    <v>185.02</v>
    <v>184.43</v>
    <v>274986600</v>
    <v>LEN</v>
    <v>LENNAR CORPORATION (XNYS:LEN)</v>
    <v>497664</v>
    <v>1937758</v>
    <v>1991</v>
  </rv>
  <rv s="2">
    <v>726</v>
  </rv>
  <rv s="0">
    <v>https://www.bing.com/financeapi/forcetrigger?t=bq89dm&amp;q=XNYS%3aCTVA&amp;form=skydnc</v>
    <v>Learn more on Bing</v>
  </rv>
  <rv s="1">
    <v>en-US</v>
    <v>bq89dm</v>
    <v>268435456</v>
    <v>1</v>
    <v>Powered by Refinitiv</v>
    <v>0</v>
    <v>CORTEVA, INC. (XNYS:CTVA)</v>
    <v>2</v>
    <v>3</v>
    <v>Finance</v>
    <v>4</v>
    <v>58.76</v>
    <v>43.22</v>
    <v>0.77010000000000001</v>
    <v>0.03</v>
    <v>5.398E-4</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56.274999999999999</v>
    <v>Chemicals</v>
    <v>Stock</v>
    <v>45530.686872881248</v>
    <v>728</v>
    <v>55.48</v>
    <v>38495855670</v>
    <v>CORTEVA, INC.</v>
    <v>CORTEVA, INC.</v>
    <v>55.87</v>
    <v>44.188299999999998</v>
    <v>55.58</v>
    <v>55.61</v>
    <v>692247000</v>
    <v>CTVA</v>
    <v>CORTEVA, INC. (XNYS:CTVA)</v>
    <v>483218</v>
    <v>2655136</v>
    <v>2018</v>
  </rv>
  <rv s="2">
    <v>729</v>
  </rv>
  <rv s="0">
    <v>https://www.bing.com/financeapi/forcetrigger?t=a1zo52&amp;q=XNYS%3aPEG&amp;form=skydnc</v>
    <v>Learn more on Bing</v>
  </rv>
  <rv s="1">
    <v>en-US</v>
    <v>a1zo52</v>
    <v>268435456</v>
    <v>1</v>
    <v>Powered by Refinitiv</v>
    <v>0</v>
    <v>PUBLIC SERVICE ENTERPRISE GROUP INCORPORATED (XNYS:PEG)</v>
    <v>2</v>
    <v>3</v>
    <v>Finance</v>
    <v>4</v>
    <v>81.89</v>
    <v>53.71</v>
    <v>0.62339999999999995</v>
    <v>0.06</v>
    <v>7.404E-4</v>
    <v>USD</v>
    <v>Public Service Enterprise Group Incorporated is a regulated infrastructure company focused on a clean energy future. The Company principally conducts its business through two wholly owned subsidiaries, Public Service Electric and Gas Company (PSE&amp;G) and PSEG Power LLC (PSEG Power). The Company’s segments include PSE&amp;G and PSEG Power. The PSE&amp;G segment is engaged principally in the transmission of electricity and distribution of electricity and natural gas in certain areas of New Jersey. The PSE&amp;G segment also invests in regulated solar generation projects and energy efficiency (EE) and related programs in New Jersey. The PSEG Power segment integrates the operations of its merchant nuclear generating assets with its fuel supply functions through energy sales via its principal direct wholly owned subsidiaries. The Company’s other wholly owned subsidiaries are PSEG Long Island LLC (PSEG LI), PSEG Energy Holdings L.L.C. (Energy Holdings), and PSEG Services Corporation (Services).</v>
    <v>12543</v>
    <v>New York Stock Exchange</v>
    <v>XNYS</v>
    <v>XNYS</v>
    <v>Corporate Accounting Services, 80 Park Plaza, 9Th Floor, NEWARK, NJ, 07102-4194 US</v>
    <v>81.540000000000006</v>
    <v>Multiline Utilities</v>
    <v>Stock</v>
    <v>45530.686848437501</v>
    <v>731</v>
    <v>80.92</v>
    <v>40400913870</v>
    <v>PUBLIC SERVICE ENTERPRISE GROUP INCORPORATED</v>
    <v>PUBLIC SERVICE ENTERPRISE GROUP INCORPORATED</v>
    <v>81.459999999999994</v>
    <v>24.556000000000001</v>
    <v>81.040000000000006</v>
    <v>81.099999999999994</v>
    <v>498161700</v>
    <v>PEG</v>
    <v>PUBLIC SERVICE ENTERPRISE GROUP INCORPORATED (XNYS:PEG)</v>
    <v>428457</v>
    <v>2741488</v>
    <v>1985</v>
  </rv>
  <rv s="2">
    <v>732</v>
  </rv>
  <rv s="0">
    <v>https://www.bing.com/financeapi/forcetrigger?t=a23wlh&amp;q=XNYS%3aSYY&amp;form=skydnc</v>
    <v>Learn more on Bing</v>
  </rv>
  <rv s="1">
    <v>en-US</v>
    <v>a23wlh</v>
    <v>268435456</v>
    <v>1</v>
    <v>Powered by Refinitiv</v>
    <v>0</v>
    <v>SYSCO CORPORATION. (XNYS:SYY)</v>
    <v>2</v>
    <v>3</v>
    <v>Finance</v>
    <v>4</v>
    <v>82.89</v>
    <v>62.234999999999999</v>
    <v>1.1992</v>
    <v>-5.0000000000000001E-3</v>
    <v>-6.4800000000000003E-5</v>
    <v>USD</v>
    <v>Sysco Corporation is engaged in selling, marketing and distributing food products to restaurants, healthcare and educational facilities, lodging establishments and other customers who prepare meals away from home. The Company's segments include U.S. Foodservice Operations, International Foodservice Operations, SYGMA and Others. The U.S. Foodservice Operations segment includes its United States broadline operations, which distributes a full line of food products, including custom-cut meat, seafood, produce, specialty Italian, specialty imports and a variety of non-food products. The International Foodservice Operations segment includes operations outside of the United States, which distribute a full line of food products and a variety of non-food products. The SYGMA segment includes its United States customized distribution operations serving quick-service chain restaurant customer locations. Its Other segment primarily includes its hotel supply operations.</v>
    <v>72000</v>
    <v>New York Stock Exchange</v>
    <v>XNYS</v>
    <v>XNYS</v>
    <v>1390 Enclave Pkwy, HOUSTON, TX, 77077 US</v>
    <v>77.75</v>
    <v>Food &amp; Drug Retailing</v>
    <v>Stock</v>
    <v>45530.686876631247</v>
    <v>734</v>
    <v>77.135000000000005</v>
    <v>37941603921</v>
    <v>SYSCO CORPORATION.</v>
    <v>SYSCO CORPORATION.</v>
    <v>77.459999999999994</v>
    <v>19.8308</v>
    <v>77.16</v>
    <v>77.155000000000001</v>
    <v>491758200</v>
    <v>SYY</v>
    <v>SYSCO CORPORATION. (XNYS:SYY)</v>
    <v>547576</v>
    <v>2961607</v>
    <v>1969</v>
  </rv>
  <rv s="2">
    <v>735</v>
  </rv>
  <rv s="0">
    <v>https://www.bing.com/financeapi/forcetrigger?t=a1x6m7&amp;q=XNAS%3aLULU&amp;form=skydnc</v>
    <v>Learn more on Bing</v>
  </rv>
  <rv s="1">
    <v>en-US</v>
    <v>a1x6m7</v>
    <v>268435456</v>
    <v>1</v>
    <v>Powered by Refinitiv</v>
    <v>0</v>
    <v>LULULEMON ATHLETICA INC. (XNAS:LULU)</v>
    <v>2</v>
    <v>3</v>
    <v>Finance</v>
    <v>4</v>
    <v>516.39</v>
    <v>226.01</v>
    <v>1.2557</v>
    <v>5.45</v>
    <v>2.0294E-2</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38000</v>
    <v>Nasdaq Stock Market</v>
    <v>XNAS</v>
    <v>XNAS</v>
    <v>1818 Cornwall Ave, 400 - 1818 CORNWALL AVENUE, VANCOUVER, BC, V6J 1C7 CA</v>
    <v>274.39999999999998</v>
    <v>Textiles &amp; Apparel</v>
    <v>Stock</v>
    <v>45530.686845937496</v>
    <v>737</v>
    <v>269.26</v>
    <v>32848873600</v>
    <v>LULULEMON ATHLETICA INC.</v>
    <v>LULULEMON ATHLETICA INC.</v>
    <v>272.14999999999998</v>
    <v>21.520199999999999</v>
    <v>268.55</v>
    <v>274</v>
    <v>119886400</v>
    <v>LULU</v>
    <v>LULULEMON ATHLETICA INC. (XNAS:LULU)</v>
    <v>1116391</v>
    <v>2314231</v>
    <v>2005</v>
  </rv>
  <rv s="2">
    <v>738</v>
  </rv>
  <rv s="0">
    <v>https://www.bing.com/financeapi/forcetrigger?t=a1r9cw&amp;q=XNAS%3aKDP&amp;form=skydnc</v>
    <v>Learn more on Bing</v>
  </rv>
  <rv s="1">
    <v>en-US</v>
    <v>a1r9cw</v>
    <v>268435456</v>
    <v>1</v>
    <v>Powered by Refinitiv</v>
    <v>0</v>
    <v>KEURIG DR PEPPER INC. (XNAS:KDP)</v>
    <v>2</v>
    <v>3</v>
    <v>Finance</v>
    <v>4</v>
    <v>36.24</v>
    <v>27.655000000000001</v>
    <v>0.61609999999999998</v>
    <v>0.39500000000000002</v>
    <v>1.1054999999999999E-2</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36.24</v>
    <v>Beverages</v>
    <v>Stock</v>
    <v>45530.686885810159</v>
    <v>740</v>
    <v>35.75</v>
    <v>48988606750</v>
    <v>KEURIG DR PEPPER INC.</v>
    <v>KEURIG DR PEPPER INC.</v>
    <v>35.799999999999997</v>
    <v>22.779699999999998</v>
    <v>35.729999999999997</v>
    <v>36.125</v>
    <v>1356086000</v>
    <v>KDP</v>
    <v>KEURIG DR PEPPER INC. (XNAS:KDP)</v>
    <v>1006827</v>
    <v>7826151</v>
    <v>2007</v>
  </rv>
  <rv s="2">
    <v>741</v>
  </rv>
  <rv s="0">
    <v>https://www.bing.com/financeapi/forcetrigger?t=a21rw7&amp;q=XNYS%3aRCL&amp;form=skydnc</v>
    <v>Learn more on Bing</v>
  </rv>
  <rv s="1">
    <v>en-US</v>
    <v>a21rw7</v>
    <v>268435456</v>
    <v>1</v>
    <v>Powered by Refinitiv</v>
    <v>0</v>
    <v>ROYAL CARIBBEAN CRUISES LTD. (XNYS:RCL)</v>
    <v>2</v>
    <v>3</v>
    <v>Finance</v>
    <v>4</v>
    <v>173.37</v>
    <v>78.349999999999994</v>
    <v>2.6208</v>
    <v>-0.46500000000000002</v>
    <v>-2.8510000000000002E-3</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4,770 berths, including Silver Endeavour brand.</v>
    <v>98200</v>
    <v>New York Stock Exchange</v>
    <v>XNYS</v>
    <v>XNYS</v>
    <v>1050 Caribbean Way, MIAMI, FL, 33132 US</v>
    <v>163.03</v>
    <v>Hotels &amp; Entertainment Services</v>
    <v>Stock</v>
    <v>45530.68687195547</v>
    <v>743</v>
    <v>161.43010000000001</v>
    <v>41860402084</v>
    <v>ROYAL CARIBBEAN CRUISES LTD.</v>
    <v>ROYAL CARIBBEAN CRUISES LTD.</v>
    <v>162.94999999999999</v>
    <v>18.2864</v>
    <v>163.08000000000001</v>
    <v>162.61500000000001</v>
    <v>257420300</v>
    <v>RCL</v>
    <v>ROYAL CARIBBEAN CRUISES LTD. (XNYS:RCL)</v>
    <v>424611</v>
    <v>3016055</v>
    <v>1985</v>
  </rv>
  <rv s="2">
    <v>744</v>
  </rv>
  <rv s="8">
    <v>en-US</v>
    <v>c8ki6h</v>
    <v>268435456</v>
    <v>1</v>
    <v>Powered by Refinitiv</v>
    <v>15</v>
    <v>KENVUE INC. (XNYS:KVUE)</v>
    <v>16</v>
    <v>3</v>
    <v>Finance</v>
    <v>4</v>
    <v>23.33</v>
    <v>17.670000000000002</v>
    <v>0.68200000000000005</v>
    <v>0.115</v>
    <v>5.2700000000000004E-3</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22.045000000000002</v>
    <v>Personal &amp; Household Products &amp; Services</v>
    <v>Stock</v>
    <v>45530.68688539297</v>
    <v>21.805</v>
    <v>42009188145</v>
    <v>KENVUE INC.</v>
    <v>KENVUE INC.</v>
    <v>21.89</v>
    <v>37.431399999999996</v>
    <v>21.82</v>
    <v>21.934999999999999</v>
    <v>1915167000</v>
    <v>KVUE</v>
    <v>KENVUE INC. (XNYS:KVUE)</v>
    <v>3403463</v>
    <v>16482240</v>
    <v>2022</v>
  </rv>
  <rv s="2">
    <v>746</v>
  </rv>
  <rv s="0">
    <v>https://www.bing.com/financeapi/forcetrigger?t=a1pzfr&amp;q=XNYS%3aCNC&amp;form=skydnc</v>
    <v>Learn more on Bing</v>
  </rv>
  <rv s="1">
    <v>en-US</v>
    <v>a1pzfr</v>
    <v>268435456</v>
    <v>1</v>
    <v>Powered by Refinitiv</v>
    <v>0</v>
    <v>CENTENE CORPORATION (XNYS:CNC)</v>
    <v>2</v>
    <v>3</v>
    <v>Finance</v>
    <v>4</v>
    <v>81.415000000000006</v>
    <v>60.83</v>
    <v>0.48070000000000002</v>
    <v>-0.3</v>
    <v>-3.8190000000000003E-3</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67700</v>
    <v>New York Stock Exchange</v>
    <v>XNYS</v>
    <v>XNYS</v>
    <v>7700 Forsyth Blvd, ST. LOUIS, MO, 63105-1807 US</v>
    <v>79.075000000000003</v>
    <v>Healthcare Providers &amp; Services</v>
    <v>Stock</v>
    <v>45530.686843772659</v>
    <v>748</v>
    <v>78.14</v>
    <v>41161847500</v>
    <v>CENTENE CORPORATION</v>
    <v>CENTENE CORPORATION</v>
    <v>78.56</v>
    <v>14.8972</v>
    <v>78.55</v>
    <v>78.25</v>
    <v>526030000</v>
    <v>CNC</v>
    <v>CENTENE CORPORATION (XNYS:CNC)</v>
    <v>588409</v>
    <v>3827276</v>
    <v>2001</v>
  </rv>
  <rv s="2">
    <v>749</v>
  </rv>
  <rv s="0">
    <v>https://www.bing.com/financeapi/forcetrigger?t=a1xth7&amp;q=XNAS%3aMNST&amp;form=skydnc</v>
    <v>Learn more on Bing</v>
  </rv>
  <rv s="1">
    <v>en-US</v>
    <v>a1xth7</v>
    <v>268435456</v>
    <v>1</v>
    <v>Powered by Refinitiv</v>
    <v>0</v>
    <v>MONSTER BEVERAGE CORPORATION (XNAS:MNST)</v>
    <v>2</v>
    <v>3</v>
    <v>Finance</v>
    <v>4</v>
    <v>61.225000000000001</v>
    <v>43.32</v>
    <v>0.7369</v>
    <v>0.64</v>
    <v>1.3718999999999999E-2</v>
    <v>USD</v>
    <v>Monster Beverage 1990 Corporation is a holding company. Through its subsidiaries, it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6003</v>
    <v>Nasdaq Stock Market</v>
    <v>XNAS</v>
    <v>XNAS</v>
    <v>1 Monster Way, CORONA, CA, 92879-7101 US</v>
    <v>47.68</v>
    <v>Beverages</v>
    <v>Stock</v>
    <v>45530.686881376561</v>
    <v>751</v>
    <v>46.78</v>
    <v>46504040200</v>
    <v>MONSTER BEVERAGE CORPORATION</v>
    <v>MONSTER BEVERAGE CORPORATION</v>
    <v>46.9</v>
    <v>29.041899999999998</v>
    <v>46.65</v>
    <v>47.29</v>
    <v>983380000</v>
    <v>MNST</v>
    <v>MONSTER BEVERAGE CORPORATION (XNAS:MNST)</v>
    <v>1366185</v>
    <v>6961964</v>
    <v>2014</v>
  </rv>
  <rv s="2">
    <v>752</v>
  </rv>
  <rv s="0">
    <v>https://www.bing.com/financeapi/forcetrigger?t=a1svnm&amp;q=XNYS%3aFICO&amp;form=skydnc</v>
    <v>Learn more on Bing</v>
  </rv>
  <rv s="1">
    <v>en-US</v>
    <v>a1svnm</v>
    <v>268435456</v>
    <v>1</v>
    <v>Powered by Refinitiv</v>
    <v>0</v>
    <v>FAIR ISAAC CORPORATION (XNYS:FICO)</v>
    <v>2</v>
    <v>3</v>
    <v>Finance</v>
    <v>4</v>
    <v>1818.02</v>
    <v>811.99</v>
    <v>1.3428</v>
    <v>-15.02</v>
    <v>-8.6060000000000008E-3</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3588</v>
    <v>New York Stock Exchange</v>
    <v>XNYS</v>
    <v>XNYS</v>
    <v>5 West Mendenhall, Suites 105, BOZEMAN, MT, 59715 US</v>
    <v>1749.0898999999999</v>
    <v>Software &amp; IT Services</v>
    <v>Stock</v>
    <v>45530.686756805466</v>
    <v>754</v>
    <v>1718.09</v>
    <v>42425883570</v>
    <v>FAIR ISAAC CORPORATION</v>
    <v>FAIR ISAAC CORPORATION</v>
    <v>1746</v>
    <v>90.765900000000002</v>
    <v>1745.38</v>
    <v>1730.36</v>
    <v>24518530</v>
    <v>FICO</v>
    <v>FAIR ISAAC CORPORATION (XNYS:FICO)</v>
    <v>32873</v>
    <v>164827</v>
    <v>1987</v>
  </rv>
  <rv s="2">
    <v>755</v>
  </rv>
  <rv s="0">
    <v>https://www.bing.com/financeapi/forcetrigger?t=a1vtoc&amp;q=XNYS%3aIT&amp;form=skydnc</v>
    <v>Learn more on Bing</v>
  </rv>
  <rv s="1">
    <v>en-US</v>
    <v>a1vtoc</v>
    <v>268435456</v>
    <v>1</v>
    <v>Powered by Refinitiv</v>
    <v>0</v>
    <v>GARTNER, INC. (XNYS:IT)</v>
    <v>2</v>
    <v>3</v>
    <v>Finance</v>
    <v>4</v>
    <v>509.15</v>
    <v>323.61</v>
    <v>1.3243</v>
    <v>1.2549999999999999</v>
    <v>2.6099999999999999E-3</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20495</v>
    <v>New York Stock Exchange</v>
    <v>XNYS</v>
    <v>XNYS</v>
    <v>56 Top Gallant Rd, P O Box 10212, STAMFORD, CT, 06904-2212 US</v>
    <v>484.71</v>
    <v>Software &amp; IT Services</v>
    <v>Stock</v>
    <v>45530.686848553123</v>
    <v>757</v>
    <v>481.59</v>
    <v>37151545663</v>
    <v>GARTNER, INC.</v>
    <v>GARTNER, INC.</v>
    <v>484.11</v>
    <v>45.802500000000002</v>
    <v>480.86</v>
    <v>482.11500000000001</v>
    <v>77059510</v>
    <v>IT</v>
    <v>GARTNER, INC. (XNYS:IT)</v>
    <v>37301</v>
    <v>382164</v>
    <v>1990</v>
  </rv>
  <rv s="2">
    <v>758</v>
  </rv>
  <rv s="0">
    <v>https://www.bing.com/financeapi/forcetrigger?t=a1shjc&amp;q=XNAS%3aEXC&amp;form=skydnc</v>
    <v>Learn more on Bing</v>
  </rv>
  <rv s="1">
    <v>en-US</v>
    <v>a1shjc</v>
    <v>268435456</v>
    <v>1</v>
    <v>Powered by Refinitiv</v>
    <v>0</v>
    <v>EXELON CORPORATION (XNAS:EXC)</v>
    <v>2</v>
    <v>3</v>
    <v>Finance</v>
    <v>4</v>
    <v>42.155000000000001</v>
    <v>33.344999999999999</v>
    <v>0.52059999999999995</v>
    <v>0.19</v>
    <v>5.0280000000000004E-3</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PO BOX 805398, CHICAGO, IL, 60680-5398 US</v>
    <v>38.18</v>
    <v>Electrical Utilities &amp; IPPs</v>
    <v>Stock</v>
    <v>45530.686831932813</v>
    <v>760</v>
    <v>37.9</v>
    <v>37980000000</v>
    <v>EXELON CORPORATION</v>
    <v>EXELON CORPORATION</v>
    <v>37.97</v>
    <v>15.9246</v>
    <v>37.79</v>
    <v>37.979999999999997</v>
    <v>1000000000</v>
    <v>EXC</v>
    <v>EXELON CORPORATION (XNAS:EXC)</v>
    <v>632472</v>
    <v>6059410</v>
    <v>1999</v>
  </rv>
  <rv s="2">
    <v>761</v>
  </rv>
  <rv s="0">
    <v>https://www.bing.com/financeapi/forcetrigger?t=a1rfsm&amp;q=XNYS%3aDD&amp;form=skydnc</v>
    <v>Learn more on Bing</v>
  </rv>
  <rv s="1">
    <v>en-US</v>
    <v>a1rfsm</v>
    <v>268435456</v>
    <v>1</v>
    <v>Powered by Refinitiv</v>
    <v>0</v>
    <v>DuPont de Nemours, Inc. (XNYS:DD)</v>
    <v>2</v>
    <v>3</v>
    <v>Finance</v>
    <v>4</v>
    <v>85.12</v>
    <v>61.14</v>
    <v>1.3243</v>
    <v>0.44</v>
    <v>5.4250000000000001E-3</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82.099900000000005</v>
    <v>Chemicals</v>
    <v>Stock</v>
    <v>45530.686873378909</v>
    <v>763</v>
    <v>81.150000000000006</v>
    <v>34042550454</v>
    <v>DuPont de Nemours, Inc.</v>
    <v>DuPont de Nemours, Inc.</v>
    <v>81.56</v>
    <v>112.38039999999999</v>
    <v>81.099999999999994</v>
    <v>81.540000000000006</v>
    <v>417495100</v>
    <v>DD</v>
    <v>DuPont de Nemours, Inc. (XNYS:DD)</v>
    <v>343721</v>
    <v>1960378</v>
    <v>2015</v>
  </rv>
  <rv s="2">
    <v>764</v>
  </rv>
  <rv s="0">
    <v>https://www.bing.com/financeapi/forcetrigger?t=a1xp2w&amp;q=XNYS%3aMLM&amp;form=skydnc</v>
    <v>Learn more on Bing</v>
  </rv>
  <rv s="1">
    <v>en-US</v>
    <v>a1xp2w</v>
    <v>268435456</v>
    <v>1</v>
    <v>Powered by Refinitiv</v>
    <v>0</v>
    <v>MARTIN MARIETTA MATERIALS, INC. (XNYS:MLM)</v>
    <v>2</v>
    <v>3</v>
    <v>Finance</v>
    <v>4</v>
    <v>626.66999999999996</v>
    <v>389.9</v>
    <v>0.91400000000000003</v>
    <v>-5.39</v>
    <v>-9.6779999999999991E-3</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564.19000000000005</v>
    <v>Construction Materials</v>
    <v>Stock</v>
    <v>45530.686861782029</v>
    <v>766</v>
    <v>551.53</v>
    <v>33707886586</v>
    <v>MARTIN MARIETTA MATERIALS, INC.</v>
    <v>MARTIN MARIETTA MATERIALS, INC.</v>
    <v>559.26</v>
    <v>16.775099999999998</v>
    <v>556.91999999999996</v>
    <v>551.53</v>
    <v>61117050</v>
    <v>MLM</v>
    <v>MARTIN MARIETTA MATERIALS, INC. (XNYS:MLM)</v>
    <v>145079</v>
    <v>494327</v>
    <v>1993</v>
  </rv>
  <rv s="2">
    <v>767</v>
  </rv>
  <rv s="0">
    <v>https://www.bing.com/financeapi/forcetrigger?t=a25f6h&amp;q=XNYS%3aVMC&amp;form=skydnc</v>
    <v>Learn more on Bing</v>
  </rv>
  <rv s="1">
    <v>en-US</v>
    <v>a25f6h</v>
    <v>268435456</v>
    <v>1</v>
    <v>Powered by Refinitiv</v>
    <v>0</v>
    <v>VULCAN MATERIALS COMPANY (XNYS:VMC)</v>
    <v>2</v>
    <v>3</v>
    <v>Finance</v>
    <v>4</v>
    <v>278.79000000000002</v>
    <v>190.505</v>
    <v>0.82020000000000004</v>
    <v>-1.33</v>
    <v>-5.2180000000000004E-3</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 BIRMINGHAM, AL, 35242 US</v>
    <v>257.54000000000002</v>
    <v>Construction Materials</v>
    <v>Stock</v>
    <v>45530.686806678124</v>
    <v>769</v>
    <v>253.36</v>
    <v>33485133600</v>
    <v>VULCAN MATERIALS COMPANY</v>
    <v>VULCAN MATERIALS COMPANY</v>
    <v>257</v>
    <v>36.802199999999999</v>
    <v>254.89</v>
    <v>253.56</v>
    <v>132060000</v>
    <v>VMC</v>
    <v>VULCAN MATERIALS COMPANY (XNYS:VMC)</v>
    <v>103143</v>
    <v>978098</v>
    <v>2007</v>
  </rv>
  <rv s="2">
    <v>770</v>
  </rv>
  <rv s="0">
    <v>https://www.bing.com/financeapi/forcetrigger?t=a1wmu2&amp;q=XNYS%3aKR&amp;form=skydnc</v>
    <v>Learn more on Bing</v>
  </rv>
  <rv s="1">
    <v>en-US</v>
    <v>a1wmu2</v>
    <v>268435456</v>
    <v>1</v>
    <v>Powered by Refinitiv</v>
    <v>0</v>
    <v>THE KROGER CO. (XNYS:KR)</v>
    <v>2</v>
    <v>3</v>
    <v>Finance</v>
    <v>4</v>
    <v>58.3399</v>
    <v>42.094999999999999</v>
    <v>0.46179999999999999</v>
    <v>0.74</v>
    <v>1.4244000000000001E-2</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52.905000000000001</v>
    <v>Food &amp; Drug Retailing</v>
    <v>Stock</v>
    <v>45530.686808517967</v>
    <v>772</v>
    <v>52.03</v>
    <v>38031157252</v>
    <v>THE KROGER CO.</v>
    <v>THE KROGER CO.</v>
    <v>52.18</v>
    <v>17.695</v>
    <v>51.95</v>
    <v>52.69</v>
    <v>721790800</v>
    <v>KR</v>
    <v>THE KROGER CO. (XNYS:KR)</v>
    <v>978432</v>
    <v>3765755</v>
    <v>1902</v>
  </rv>
  <rv s="2">
    <v>773</v>
  </rv>
  <rv s="0">
    <v>https://www.bing.com/financeapi/forcetrigger?t=a1skmw&amp;q=XNAS%3aFANG&amp;form=skydnc</v>
    <v>Learn more on Bing</v>
  </rv>
  <rv s="1">
    <v>en-US</v>
    <v>a1skmw</v>
    <v>268435456</v>
    <v>1</v>
    <v>Powered by Refinitiv</v>
    <v>0</v>
    <v>DIAMONDBACK ENERGY, INC. (XNAS:FANG)</v>
    <v>2</v>
    <v>3</v>
    <v>Finance</v>
    <v>4</v>
    <v>214.5</v>
    <v>143.08000000000001</v>
    <v>1.8733</v>
    <v>0.54</v>
    <v>2.7660000000000002E-3</v>
    <v>USD</v>
    <v>Diamondback Energy, Inc. is an independent oil and natural gas company focused on the acquisition, development, exploration and exploitation of unconventional, onshore oil and natural gas reserves primarily in the Permian Basin in West Texas. The Company's activities are primarily focused on horizontal development of the Spraberry and Wolfcamp formations of the Midland Basin and the Wolfcamp and Bone Spring formations of the Delaware Basin, both of which are part of the larger Permian Basin in West Texas and New Mexico. Its total acreage position in the Permian Basin includes approximately 607,877 gross (493,769 net) acres, which consists primarily of 428,324 gross (349,707 net) acres in the Midland Basin and 174,828 gross (143,742 net) acres in the Delaware Basin. The Company is also engaged in midstream gathering, compression, water handling, disposal and treatment operations. Its subsidiary Viper Energy, Inc., also owns mineral interests in the Permian Basin.</v>
    <v>1023</v>
    <v>Nasdaq Stock Market</v>
    <v>XNAS</v>
    <v>XNAS</v>
    <v>SUITE 1210, 500 WEST TEXAS, MIDLAND, TX, 79701 US</v>
    <v>199.2551</v>
    <v>Oil &amp; Gas</v>
    <v>Stock</v>
    <v>45530.686853703126</v>
    <v>775</v>
    <v>194.43</v>
    <v>34826160000</v>
    <v>DIAMONDBACK ENERGY, INC.</v>
    <v>DIAMONDBACK ENERGY, INC.</v>
    <v>197.67</v>
    <v>10.0909</v>
    <v>195.22</v>
    <v>195.76</v>
    <v>178394500</v>
    <v>FANG</v>
    <v>DIAMONDBACK ENERGY, INC. (XNAS:FANG)</v>
    <v>461645</v>
    <v>1293515</v>
    <v>2011</v>
  </rv>
  <rv s="2">
    <v>776</v>
  </rv>
  <rv s="0">
    <v>https://www.bing.com/financeapi/forcetrigger?t=a1rjec&amp;q=XNAS%3aEA&amp;form=skydnc</v>
    <v>Learn more on Bing</v>
  </rv>
  <rv s="1">
    <v>en-US</v>
    <v>a1rjec</v>
    <v>268435456</v>
    <v>1</v>
    <v>Powered by Refinitiv</v>
    <v>0</v>
    <v>ELECTRONIC ARTS INC. (XNAS:EA)</v>
    <v>2</v>
    <v>3</v>
    <v>Finance</v>
    <v>4</v>
    <v>153.505</v>
    <v>117.47</v>
    <v>0.79100000000000004</v>
    <v>1.39</v>
    <v>9.4160000000000008E-3</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149.37</v>
    <v>Software &amp; IT Services</v>
    <v>Stock</v>
    <v>45530.686831909377</v>
    <v>778</v>
    <v>147.47999999999999</v>
    <v>39368427099</v>
    <v>ELECTRONIC ARTS INC.</v>
    <v>ELECTRONIC ARTS INC.</v>
    <v>147.68</v>
    <v>35.059600000000003</v>
    <v>147.62</v>
    <v>149.01</v>
    <v>264199900</v>
    <v>EA</v>
    <v>ELECTRONIC ARTS INC. (XNAS:EA)</v>
    <v>446399</v>
    <v>2160969</v>
    <v>1991</v>
  </rv>
  <rv s="2">
    <v>779</v>
  </rv>
  <rv s="0">
    <v>https://www.bing.com/financeapi/forcetrigger?t=a1sioc&amp;q=XNYS%3aEXR&amp;form=skydnc</v>
    <v>Learn more on Bing</v>
  </rv>
  <rv s="1">
    <v>en-US</v>
    <v>a1sioc</v>
    <v>268435456</v>
    <v>1</v>
    <v>Powered by Refinitiv</v>
    <v>0</v>
    <v>EXTRA SPACE STORAGE INC. (XNYS:EXR)</v>
    <v>2</v>
    <v>3</v>
    <v>Finance</v>
    <v>4</v>
    <v>179.23240000000001</v>
    <v>101.19</v>
    <v>0.86819999999999997</v>
    <v>-0.83</v>
    <v>-4.6569999999999997E-3</v>
    <v>USD</v>
    <v>Extra Space Storage Inc. is a self-administered and self-managed real estate investment trust (REIT). The Company owns, operates, manages, provides lending to acquire, develop and redevelop self-storage properties. It offers customers a selection of located storage units across the country, including boat storage, recreational vehicle (RV) storage and business storage. The Company owns and/or operates 3,714 self-storage stores in 42 states and Washington, D.C. The Company operates through two segments: self-storage operations, and tenant reinsurance. Its self-storage operations activities include rental operations of wholly owned stores. Tenant reinsurance activities include the reinsurance of risks relating to the loss of goods stored by tenants in its stores. The Company’s stores comprise approximately 2.6 million units and approximately 283.0 million square feet of rentable space operating under the Extra Space, Life Storage and Storage Express brands.</v>
    <v>7618</v>
    <v>New York Stock Exchange</v>
    <v>XNYS</v>
    <v>XNYS</v>
    <v>2795 Cottonwood Parkway, Suite 400, SALT LAKE CITY, UT, 84121 US</v>
    <v>179.23240000000001</v>
    <v>Residential &amp; Commercial REIT</v>
    <v>Stock</v>
    <v>45530.686869814061</v>
    <v>781</v>
    <v>177.2</v>
    <v>37594032093</v>
    <v>EXTRA SPACE STORAGE INC.</v>
    <v>EXTRA SPACE STORAGE INC.</v>
    <v>179.14</v>
    <v>46.568800000000003</v>
    <v>178.22</v>
    <v>177.39</v>
    <v>211928700</v>
    <v>EXR</v>
    <v>EXTRA SPACE STORAGE INC. (XNYS:EXR)</v>
    <v>166546</v>
    <v>914165</v>
    <v>2004</v>
  </rv>
  <rv s="2">
    <v>782</v>
  </rv>
  <rv s="0">
    <v>https://www.bing.com/financeapi/forcetrigger?t=a26c9c&amp;q=XNYS%3aXYL&amp;form=skydnc</v>
    <v>Learn more on Bing</v>
  </rv>
  <rv s="1">
    <v>en-US</v>
    <v>a26c9c</v>
    <v>268435456</v>
    <v>1</v>
    <v>Powered by Refinitiv</v>
    <v>0</v>
    <v>XYLEM INC. (XNYS:XYL)</v>
    <v>2</v>
    <v>3</v>
    <v>Finance</v>
    <v>4</v>
    <v>146.08000000000001</v>
    <v>87.59</v>
    <v>1.0371999999999999</v>
    <v>-0.22</v>
    <v>-1.6070000000000001E-3</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138.47</v>
    <v>Machinery, Equipment &amp; Components</v>
    <v>Stock</v>
    <v>45530.686839258597</v>
    <v>784</v>
    <v>136.6</v>
    <v>33203459429</v>
    <v>XYLEM INC.</v>
    <v>XYLEM INC.</v>
    <v>137.44999999999999</v>
    <v>43.436599999999999</v>
    <v>136.91999999999999</v>
    <v>136.69999999999999</v>
    <v>242892900</v>
    <v>XYL</v>
    <v>XYLEM INC. (XNYS:XYL)</v>
    <v>351984</v>
    <v>1279011</v>
    <v>2011</v>
  </rv>
  <rv s="2">
    <v>785</v>
  </rv>
  <rv s="8">
    <v>en-US</v>
    <v>c8bc4c</v>
    <v>268435456</v>
    <v>1</v>
    <v>Powered by Refinitiv</v>
    <v>15</v>
    <v>GE HealthCare Technologies Inc. (XNAS:GEHC)</v>
    <v>16</v>
    <v>3</v>
    <v>Finance</v>
    <v>4</v>
    <v>94.5</v>
    <v>62.35</v>
    <v>1.0169999999999999</v>
    <v>-0.29499999999999998</v>
    <v>-3.4799999999999996E-3</v>
    <v>USD</v>
    <v>GE HealthCare Technologies Inc. is a medical technology, pharmaceutical diagnostics, and digital solutions company. It develops, manufactures, and markets a portfolio of products, services, and complementary digital solutions used in the diagnosis, treatment, and monitoring of patients.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Its PCS segment portfolio is comprised of patient monitoring, anesthesia delivery and respiratory care, diagnostic cardiology, maternal infant care, and consumables and services. Its PDx segment is comprised of two business lines: contrast media and molecular imaging.</v>
    <v>51000</v>
    <v>Nasdaq Stock Market</v>
    <v>XNAS</v>
    <v>XNAS</v>
    <v>500 West Monroe Street, CHICAGO, IL, 60661 US</v>
    <v>85.42</v>
    <v>Healthcare Equipment &amp; Supplies</v>
    <v>Stock</v>
    <v>45530.686731921094</v>
    <v>84.331000000000003</v>
    <v>38581114415</v>
    <v>GE HealthCare Technologies Inc.</v>
    <v>GE HealthCare Technologies Inc.</v>
    <v>84.64</v>
    <v>24.540600000000001</v>
    <v>84.78</v>
    <v>84.484999999999999</v>
    <v>456662300</v>
    <v>GEHC</v>
    <v>GE HealthCare Technologies Inc. (XNAS:GEHC)</v>
    <v>272373</v>
    <v>2452662</v>
    <v>2022</v>
  </rv>
  <rv s="2">
    <v>787</v>
  </rv>
  <rv s="0">
    <v>https://www.bing.com/financeapi/forcetrigger?t=a1qhz2&amp;q=XNAS%3aCTSH&amp;form=skydnc</v>
    <v>Learn more on Bing</v>
  </rv>
  <rv s="1">
    <v>en-US</v>
    <v>a1qhz2</v>
    <v>268435456</v>
    <v>1</v>
    <v>Powered by Refinitiv</v>
    <v>0</v>
    <v>COGNIZANT TECHNOLOGY SOLUTIONS CORPORATION (XNAS:CTSH)</v>
    <v>2</v>
    <v>3</v>
    <v>Finance</v>
    <v>4</v>
    <v>80.27</v>
    <v>62.14</v>
    <v>1.048</v>
    <v>0.32</v>
    <v>4.1729999999999996E-3</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336300</v>
    <v>Nasdaq Stock Market</v>
    <v>XNAS</v>
    <v>XNAS</v>
    <v>300 Frank W. Burr Blvd., Ste. 36, 6 Fl., TEANECK, NJ, 07666 US</v>
    <v>77.45</v>
    <v>Software &amp; IT Services</v>
    <v>Stock</v>
    <v>45530.68689192109</v>
    <v>789</v>
    <v>76.78</v>
    <v>38165666000</v>
    <v>COGNIZANT TECHNOLOGY SOLUTIONS CORPORATION</v>
    <v>COGNIZANT TECHNOLOGY SOLUTIONS CORPORATION</v>
    <v>76.88</v>
    <v>17.4817</v>
    <v>76.680000000000007</v>
    <v>77</v>
    <v>495658000</v>
    <v>CTSH</v>
    <v>COGNIZANT TECHNOLOGY SOLUTIONS CORPORATION (XNAS:CTSH)</v>
    <v>356090</v>
    <v>3931603</v>
    <v>1988</v>
  </rv>
  <rv s="2">
    <v>790</v>
  </rv>
  <rv s="0">
    <v>https://www.bing.com/financeapi/forcetrigger?t=a1ohur&amp;q=XNAS%3aBIIB&amp;form=skydnc</v>
    <v>Learn more on Bing</v>
  </rv>
  <rv s="1">
    <v>en-US</v>
    <v>a1ohur</v>
    <v>268435456</v>
    <v>1</v>
    <v>Powered by Refinitiv</v>
    <v>0</v>
    <v>BIOGEN INC. (XNAS:BIIB)</v>
    <v>2</v>
    <v>3</v>
    <v>Finance</v>
    <v>4</v>
    <v>270.5</v>
    <v>189.44</v>
    <v>-5.5399999999999998E-2</v>
    <v>0</v>
    <v>0</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206.23</v>
    <v>Pharmaceuticals</v>
    <v>Stock</v>
    <v>45530.686763113285</v>
    <v>792</v>
    <v>204.09</v>
    <v>29860640000</v>
    <v>BIOGEN INC.</v>
    <v>BIOGEN INC.</v>
    <v>206.23</v>
    <v>25.826799999999999</v>
    <v>205</v>
    <v>205</v>
    <v>145661600</v>
    <v>BIIB</v>
    <v>BIOGEN INC. (XNAS:BIIB)</v>
    <v>164161</v>
    <v>1083420</v>
    <v>1997</v>
  </rv>
  <rv s="2">
    <v>793</v>
  </rv>
  <rv s="0">
    <v>https://www.bing.com/financeapi/forcetrigger?t=a1ogsm&amp;q=XNAS%3aBKR&amp;form=skydnc</v>
    <v>Learn more on Bing</v>
  </rv>
  <rv s="1">
    <v>en-US</v>
    <v>a1ogsm</v>
    <v>268435456</v>
    <v>1</v>
    <v>Powered by Refinitiv</v>
    <v>0</v>
    <v>BAKER HUGHES COMPANY (XNAS:BKR)</v>
    <v>2</v>
    <v>3</v>
    <v>Finance</v>
    <v>4</v>
    <v>39.049999999999997</v>
    <v>28.32</v>
    <v>1.3694999999999999</v>
    <v>0.06</v>
    <v>1.704E-3</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35.825099999999999</v>
    <v>Oil &amp; Gas Related Equipment and Services</v>
    <v>Stock</v>
    <v>45530.686859733592</v>
    <v>795</v>
    <v>35.15</v>
    <v>35047988136</v>
    <v>BAKER HUGHES COMPANY</v>
    <v>BAKER HUGHES COMPANY</v>
    <v>35.64</v>
    <v>17.8263</v>
    <v>35.22</v>
    <v>35.28</v>
    <v>993423700</v>
    <v>BKR</v>
    <v>BAKER HUGHES COMPANY (XNAS:BKR)</v>
    <v>571836</v>
    <v>6419429</v>
    <v>2016</v>
  </rv>
  <rv s="2">
    <v>796</v>
  </rv>
  <rv s="0">
    <v>https://www.bing.com/financeapi/forcetrigger?t=a1y2ec&amp;q=XNYS%3aMTD&amp;form=skydnc</v>
    <v>Learn more on Bing</v>
  </rv>
  <rv s="1">
    <v>en-US</v>
    <v>a1y2ec</v>
    <v>268435456</v>
    <v>1</v>
    <v>Powered by Refinitiv</v>
    <v>0</v>
    <v>METTLER-TOLEDO INTERNATIONAL INC. (XNYS:MTD)</v>
    <v>2</v>
    <v>3</v>
    <v>Finance</v>
    <v>4</v>
    <v>1546.93</v>
    <v>928.495</v>
    <v>1.1418999999999999</v>
    <v>-17.559999999999999</v>
    <v>-1.2229E-2</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1440</v>
    <v>Healthcare Equipment &amp; Supplies</v>
    <v>Stock</v>
    <v>45530.686396376565</v>
    <v>798</v>
    <v>1418.01</v>
    <v>30096917263</v>
    <v>METTLER-TOLEDO INTERNATIONAL INC.</v>
    <v>METTLER-TOLEDO INTERNATIONAL INC.</v>
    <v>1440</v>
    <v>39.428899999999999</v>
    <v>1435.94</v>
    <v>1418.38</v>
    <v>21219220</v>
    <v>MTD</v>
    <v>METTLER-TOLEDO INTERNATIONAL INC. (XNYS:MTD)</v>
    <v>12780</v>
    <v>123617</v>
    <v>1991</v>
  </rv>
  <rv s="2">
    <v>799</v>
  </rv>
  <rv s="0">
    <v>https://www.bing.com/financeapi/forcetrigger?t=a1mvm7&amp;q=XNYS%3aADM&amp;form=skydnc</v>
    <v>Learn more on Bing</v>
  </rv>
  <rv s="1">
    <v>en-US</v>
    <v>a1mvm7</v>
    <v>268435456</v>
    <v>1</v>
    <v>Powered by Refinitiv</v>
    <v>0</v>
    <v>ARCHER-DANIELS-MIDLAND COMPANY. (XNYS:ADM)</v>
    <v>2</v>
    <v>3</v>
    <v>Finance</v>
    <v>4</v>
    <v>81.87</v>
    <v>50.72</v>
    <v>0.71640000000000004</v>
    <v>-0.14000000000000001</v>
    <v>-2.3140000000000001E-3</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61.03</v>
    <v>Food &amp; Tobacco</v>
    <v>Stock</v>
    <v>45530.686884397655</v>
    <v>801</v>
    <v>60.32</v>
    <v>28860651120</v>
    <v>ARCHER-DANIELS-MIDLAND COMPANY.</v>
    <v>ARCHER-DANIELS-MIDLAND COMPANY.</v>
    <v>60.82</v>
    <v>12.1531</v>
    <v>60.5</v>
    <v>60.36</v>
    <v>478142000</v>
    <v>ADM</v>
    <v>ARCHER-DANIELS-MIDLAND COMPANY. (XNYS:ADM)</v>
    <v>469916</v>
    <v>2691230</v>
    <v>1923</v>
  </rv>
  <rv s="2">
    <v>802</v>
  </rv>
  <rv s="0">
    <v>https://www.bing.com/financeapi/forcetrigger?t=a1qqbh&amp;q=XNYS%3aDAL&amp;form=skydnc</v>
    <v>Learn more on Bing</v>
  </rv>
  <rv s="1">
    <v>en-US</v>
    <v>a1qqbh</v>
    <v>268435456</v>
    <v>1</v>
    <v>Powered by Refinitiv</v>
    <v>0</v>
    <v>DELTA AIR LINES, INC. (XNYS:DAL)</v>
    <v>2</v>
    <v>3</v>
    <v>Finance</v>
    <v>4</v>
    <v>53.86</v>
    <v>30.6</v>
    <v>1.3481000000000001</v>
    <v>-0.36</v>
    <v>-8.6999999999999994E-3</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41.95</v>
    <v>Passenger Transportation Services</v>
    <v>Stock</v>
    <v>45530.686820219533</v>
    <v>804</v>
    <v>40.869999999999997</v>
    <v>26475099686</v>
    <v>DELTA AIR LINES, INC.</v>
    <v>DELTA AIR LINES, INC.</v>
    <v>41.67</v>
    <v>5.9154999999999998</v>
    <v>41.38</v>
    <v>41.02</v>
    <v>645419300</v>
    <v>DAL</v>
    <v>DELTA AIR LINES, INC. (XNYS:DAL)</v>
    <v>2389268</v>
    <v>8458684</v>
    <v>1967</v>
  </rv>
  <rv s="2">
    <v>805</v>
  </rv>
  <rv s="0">
    <v>http://en.wikipedia.org/wiki/Hewlett-Packard</v>
    <v>Wikipedia</v>
  </rv>
  <rv s="3">
    <v>3</v>
    <v>807</v>
  </rv>
  <rv s="4">
    <v>9</v>
    <v>https://www.bing.com/th?id=AMMS_98757b1e7b158827481b7c629463c21b&amp;qlt=95</v>
    <v>808</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39.520000000000003</v>
    <v>25.22</v>
    <v>1.083</v>
    <v>-0.17499999999999999</v>
    <v>-4.9069999999999999E-3</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36.159999999999997</v>
    <v>809</v>
    <v>Computers, Phones &amp; Household Electronics</v>
    <v>Stock</v>
    <v>45530.686840404691</v>
    <v>810</v>
    <v>35.340000000000003</v>
    <v>34724187406</v>
    <v>HP INC.</v>
    <v>HP INC.</v>
    <v>35.79</v>
    <v>12.0092</v>
    <v>35.659999999999997</v>
    <v>35.484999999999999</v>
    <v>978559600</v>
    <v>HPQ</v>
    <v>HP INC. (XNYS:HPQ)</v>
    <v>1839050</v>
    <v>6270332</v>
    <v>1998</v>
  </rv>
  <rv s="2">
    <v>811</v>
  </rv>
  <rv s="0">
    <v>https://www.bing.com/financeapi/forcetrigger?t=a1qyk2&amp;q=XNYS%3aDFS&amp;form=skydnc</v>
    <v>Learn more on Bing</v>
  </rv>
  <rv s="1">
    <v>en-US</v>
    <v>a1qyk2</v>
    <v>268435456</v>
    <v>1</v>
    <v>Powered by Refinitiv</v>
    <v>0</v>
    <v>DISCOVER FINANCIAL SERVICES (XNYS:DFS)</v>
    <v>2</v>
    <v>3</v>
    <v>Finance</v>
    <v>4</v>
    <v>147.61000000000001</v>
    <v>79.040000000000006</v>
    <v>1.4094</v>
    <v>0.05</v>
    <v>3.7609999999999998E-4</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21100</v>
    <v>New York Stock Exchange</v>
    <v>XNYS</v>
    <v>XNYS</v>
    <v>2500 Lake Cook Rd, RIVERWOODS, IL, 60015 US</v>
    <v>134.33000000000001</v>
    <v>Banking Services</v>
    <v>Stock</v>
    <v>45530.68652377266</v>
    <v>813</v>
    <v>132.60749999999999</v>
    <v>33387488069</v>
    <v>DISCOVER FINANCIAL SERVICES</v>
    <v>DISCOVER FINANCIAL SERVICES</v>
    <v>133.44</v>
    <v>11.7743</v>
    <v>132.93</v>
    <v>132.97999999999999</v>
    <v>251071500</v>
    <v>DFS</v>
    <v>DISCOVER FINANCIAL SERVICES (XNYS:DFS)</v>
    <v>202922</v>
    <v>1125527</v>
    <v>1960</v>
  </rv>
  <rv s="2">
    <v>814</v>
  </rv>
  <rv s="0">
    <v>https://www.bing.com/financeapi/forcetrigger?t=a1nqw7&amp;q=XNYS%3aHWM&amp;form=skydnc</v>
    <v>Learn more on Bing</v>
  </rv>
  <rv s="1">
    <v>en-US</v>
    <v>a1nqw7</v>
    <v>268435456</v>
    <v>1</v>
    <v>Powered by Refinitiv</v>
    <v>0</v>
    <v>HOWMET AEROSPACE INC. (XNYS:HWM)</v>
    <v>2</v>
    <v>3</v>
    <v>Finance</v>
    <v>4</v>
    <v>97.86</v>
    <v>42.935000000000002</v>
    <v>1.47</v>
    <v>0.29499999999999998</v>
    <v>3.039E-3</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97.86</v>
    <v>Aerospace &amp; Defense</v>
    <v>Stock</v>
    <v>45530.686726145315</v>
    <v>816</v>
    <v>96.734999999999999</v>
    <v>39743275175</v>
    <v>HOWMET AEROSPACE INC.</v>
    <v>HOWMET AEROSPACE INC.</v>
    <v>97.025000000000006</v>
    <v>42.929200000000002</v>
    <v>97.08</v>
    <v>97.375</v>
    <v>408146600</v>
    <v>HWM</v>
    <v>HOWMET AEROSPACE INC. (XNYS:HWM)</v>
    <v>461041</v>
    <v>3092238</v>
    <v>2017</v>
  </rv>
  <rv s="2">
    <v>817</v>
  </rv>
  <rv s="0">
    <v>https://www.bing.com/financeapi/forcetrigger?t=a24jvh&amp;q=XNAS%3aTSCO&amp;form=skydnc</v>
    <v>Learn more on Bing</v>
  </rv>
  <rv s="1">
    <v>en-US</v>
    <v>a24jvh</v>
    <v>268435456</v>
    <v>1</v>
    <v>Powered by Refinitiv</v>
    <v>0</v>
    <v>TRACTOR SUPPLY COMPANY (XNAS:TSCO)</v>
    <v>2</v>
    <v>3</v>
    <v>Finance</v>
    <v>4</v>
    <v>290.38</v>
    <v>185</v>
    <v>0.79579999999999995</v>
    <v>5.0599999999999996</v>
    <v>1.8874999999999999E-2</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274.33</v>
    <v>Specialty Retailers</v>
    <v>Stock</v>
    <v>45530.686880335154</v>
    <v>819</v>
    <v>268.45999999999998</v>
    <v>29036140000</v>
    <v>TRACTOR SUPPLY COMPANY</v>
    <v>TRACTOR SUPPLY COMPANY</v>
    <v>269.58999999999997</v>
    <v>25.970800000000001</v>
    <v>268.08</v>
    <v>273.14</v>
    <v>107868900</v>
    <v>TSCO</v>
    <v>TRACTOR SUPPLY COMPANY (XNAS:TSCO)</v>
    <v>204982</v>
    <v>846075</v>
    <v>1982</v>
  </rv>
  <rv s="2">
    <v>820</v>
  </rv>
  <rv s="0">
    <v>https://www.bing.com/financeapi/forcetrigger?t=a1rmkr&amp;q=XNYS%3aED&amp;form=skydnc</v>
    <v>Learn more on Bing</v>
  </rv>
  <rv s="1">
    <v>en-US</v>
    <v>a1rmkr</v>
    <v>268435456</v>
    <v>1</v>
    <v>Powered by Refinitiv</v>
    <v>0</v>
    <v>CONSOLIDATED EDISON, INC. (XNYS:ED)</v>
    <v>2</v>
    <v>3</v>
    <v>Finance</v>
    <v>4</v>
    <v>105.99</v>
    <v>80.459999999999994</v>
    <v>0.34849999999999998</v>
    <v>0.45</v>
    <v>4.4729999999999995E-3</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101.715</v>
    <v>Electrical Utilities &amp; IPPs</v>
    <v>Stock</v>
    <v>45530.686808113278</v>
    <v>822</v>
    <v>100.6991</v>
    <v>34946596435</v>
    <v>CONSOLIDATED EDISON, INC.</v>
    <v>CONSOLIDATED EDISON, INC.</v>
    <v>101.03</v>
    <v>19.5823</v>
    <v>100.6</v>
    <v>101.05</v>
    <v>345834700</v>
    <v>ED</v>
    <v>CONSOLIDATED EDISON, INC. (XNYS:ED)</v>
    <v>251871</v>
    <v>1879628</v>
    <v>1997</v>
  </rv>
  <rv s="2">
    <v>823</v>
  </rv>
  <rv s="0">
    <v>https://www.bing.com/financeapi/forcetrigger?t=a223r7&amp;q=XNYS%3aRMD&amp;form=skydnc</v>
    <v>Learn more on Bing</v>
  </rv>
  <rv s="1">
    <v>en-US</v>
    <v>a223r7</v>
    <v>268435456</v>
    <v>1</v>
    <v>Powered by Refinitiv</v>
    <v>0</v>
    <v>RESMED INC. (XNYS:RMD)</v>
    <v>2</v>
    <v>3</v>
    <v>Finance</v>
    <v>4</v>
    <v>231.5</v>
    <v>132.24</v>
    <v>0.68300000000000005</v>
    <v>0.16</v>
    <v>7.0599999999999992E-4</v>
    <v>USD</v>
    <v>ResMed Inc. is a holding company. The Company, through its subsidiaries, is engaged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The Company’s segments include Sleep and Respiratory Care and Software as a Service. SDB includes obstructive sleep apnea and other respiratory disorders that occur during sleep. Its cloud-based digital software health applications, along with its devices, are designed to provide connected care to improve patient outcomes. Its portfolio of products includes devices, diagnostic products, mask systems, headgear and other accessories, dental devices, and cloud-based software and informatics solutions. Its comprehensive out-of-hospital software platforms support the professionals and caregivers.</v>
    <v>9980</v>
    <v>New York Stock Exchange</v>
    <v>XNYS</v>
    <v>XNYS</v>
    <v>9001 Spectrum Center Blvd, SAN DIEGO, CA, 92123 US</v>
    <v>227.16</v>
    <v>Healthcare Equipment &amp; Supplies</v>
    <v>Stock</v>
    <v>45530.686712638279</v>
    <v>825</v>
    <v>224.779</v>
    <v>33324200280</v>
    <v>RESMED INC.</v>
    <v>RESMED INC.</v>
    <v>225.505</v>
    <v>32.744900000000001</v>
    <v>226.64</v>
    <v>226.8</v>
    <v>146932100</v>
    <v>RMD</v>
    <v>RESMED INC. (XNYS:RMD)</v>
    <v>105901</v>
    <v>1035444</v>
    <v>1994</v>
  </rv>
  <rv s="2">
    <v>826</v>
  </rv>
  <rv s="0">
    <v>https://www.bing.com/financeapi/forcetrigger?t=a1z3h7&amp;q=XNAS%3aODFL&amp;form=skydnc</v>
    <v>Learn more on Bing</v>
  </rv>
  <rv s="1">
    <v>en-US</v>
    <v>a1z3h7</v>
    <v>268435456</v>
    <v>1</v>
    <v>Powered by Refinitiv</v>
    <v>0</v>
    <v>OLD DOMINION FREIGHT LINE, INC. (XNAS:ODFL)</v>
    <v>2</v>
    <v>3</v>
    <v>Finance</v>
    <v>4</v>
    <v>227.8</v>
    <v>165.49</v>
    <v>0.99680000000000002</v>
    <v>-4.625</v>
    <v>-2.2696999999999998E-2</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22796</v>
    <v>Nasdaq Stock Market</v>
    <v>XNAS</v>
    <v>XNAS</v>
    <v>500 Old Dominion Way, THOMASVILLE, NC, 27360 US</v>
    <v>204.94</v>
    <v>Freight &amp; Logistics Services</v>
    <v>Stock</v>
    <v>45530.686866631251</v>
    <v>828</v>
    <v>198.71</v>
    <v>42676096407</v>
    <v>OLD DOMINION FREIGHT LINE, INC.</v>
    <v>OLD DOMINION FREIGHT LINE, INC.</v>
    <v>204.16</v>
    <v>34.935699999999997</v>
    <v>203.77</v>
    <v>199.14500000000001</v>
    <v>214296600</v>
    <v>ODFL</v>
    <v>OLD DOMINION FREIGHT LINE, INC. (XNAS:ODFL)</v>
    <v>285424</v>
    <v>1628602</v>
    <v>1950</v>
  </rv>
  <rv s="2">
    <v>829</v>
  </rv>
  <rv s="0">
    <v>https://www.bing.com/financeapi/forcetrigger?t=a1pf4c&amp;q=XNAS%3aCDW&amp;form=skydnc</v>
    <v>Learn more on Bing</v>
  </rv>
  <rv s="1">
    <v>en-US</v>
    <v>a1pf4c</v>
    <v>268435456</v>
    <v>1</v>
    <v>Powered by Refinitiv</v>
    <v>0</v>
    <v>CDW CORPORATION (XNAS:CDW)</v>
    <v>2</v>
    <v>3</v>
    <v>Finance</v>
    <v>4</v>
    <v>263.37</v>
    <v>185.04</v>
    <v>1.0349999999999999</v>
    <v>0.44</v>
    <v>1.92E-3</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231.38</v>
    <v>Integrated Hardware &amp; Software</v>
    <v>Stock</v>
    <v>45530.686752140624</v>
    <v>831</v>
    <v>229.19</v>
    <v>30687650000</v>
    <v>CDW CORPORATION</v>
    <v>CDW CORPORATION</v>
    <v>229.6</v>
    <v>28.151700000000002</v>
    <v>229.12</v>
    <v>229.56</v>
    <v>133575600</v>
    <v>CDW</v>
    <v>CDW CORPORATION (XNAS:CDW)</v>
    <v>706777</v>
    <v>1030811</v>
    <v>2007</v>
  </rv>
  <rv s="2">
    <v>832</v>
  </rv>
  <rv s="0">
    <v>https://www.bing.com/financeapi/forcetrigger?t=a1uou2&amp;q=XNYS%3aHIG&amp;form=skydnc</v>
    <v>Learn more on Bing</v>
  </rv>
  <rv s="1">
    <v>en-US</v>
    <v>a1uou2</v>
    <v>268435456</v>
    <v>1</v>
    <v>Powered by Refinitiv</v>
    <v>0</v>
    <v>THE HARTFORD FINANCIAL SERVICES GROUP, INC. (XNYS:HIG)</v>
    <v>2</v>
    <v>3</v>
    <v>Finance</v>
    <v>4</v>
    <v>113.845</v>
    <v>68.819999999999993</v>
    <v>0.92310000000000003</v>
    <v>0.38</v>
    <v>3.3739999999999998E-3</v>
    <v>USD</v>
    <v>The Hartford Financial Services Group, Inc. is a holding company. The Company's segments include Commercial Lines, Personal Lines, Property &amp; Casualty Other Operations, Group Benefits and Hartford Funds. The Commercial Lines segment provides a variety of insurance products and risk management services in the United States and internationally. Personal Lines segment provides automobile, homeowners and personal umbrella coverage to individuals across the United States. The Property &amp; Casualty Other Operations segment includes certain property and casualty operations. The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18700</v>
    <v>New York Stock Exchange</v>
    <v>XNYS</v>
    <v>XNYS</v>
    <v>1 Hartford Plz, HARTFORD, CT, 06155-0001 US</v>
    <v>113.845</v>
    <v>Insurance</v>
    <v>Stock</v>
    <v>45530.686890196092</v>
    <v>834</v>
    <v>112.5</v>
    <v>33110627200</v>
    <v>THE HARTFORD FINANCIAL SERVICES GROUP, INC.</v>
    <v>THE HARTFORD FINANCIAL SERVICES GROUP, INC.</v>
    <v>113.2</v>
    <v>11.8371</v>
    <v>112.62</v>
    <v>113</v>
    <v>293014400</v>
    <v>HIG</v>
    <v>THE HARTFORD FINANCIAL SERVICES GROUP, INC. (XNYS:HIG)</v>
    <v>163336</v>
    <v>1433338</v>
    <v>1985</v>
  </rv>
  <rv s="2">
    <v>835</v>
  </rv>
  <rv s="0">
    <v>https://www.bing.com/financeapi/forcetrigger?t=a1tym7&amp;q=XNYS%3aGLW&amp;form=skydnc</v>
    <v>Learn more on Bing</v>
  </rv>
  <rv s="1">
    <v>en-US</v>
    <v>a1tym7</v>
    <v>268435456</v>
    <v>1</v>
    <v>Powered by Refinitiv</v>
    <v>0</v>
    <v>CORNING INCORPORATED (XNYS:GLW)</v>
    <v>2</v>
    <v>3</v>
    <v>Finance</v>
    <v>4</v>
    <v>46.39</v>
    <v>25.26</v>
    <v>1.036</v>
    <v>0.41499999999999998</v>
    <v>9.895000000000001E-3</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14831-0001 US</v>
    <v>42.37</v>
    <v>Electronic Equipment &amp; Parts</v>
    <v>Stock</v>
    <v>45530.686863125004</v>
    <v>837</v>
    <v>41.93</v>
    <v>36243207384</v>
    <v>CORNING INCORPORATED</v>
    <v>CORNING INCORPORATED</v>
    <v>41.94</v>
    <v>59.451099999999997</v>
    <v>41.94</v>
    <v>42.354999999999997</v>
    <v>855700800</v>
    <v>GLW</v>
    <v>CORNING INCORPORATED (XNYS:GLW)</v>
    <v>912210</v>
    <v>6855977</v>
    <v>1936</v>
  </rv>
  <rv s="2">
    <v>838</v>
  </rv>
  <rv s="0">
    <v>https://www.bing.com/financeapi/forcetrigger?t=a1z8jc&amp;q=XNAS%3aON&amp;form=skydnc</v>
    <v>Learn more on Bing</v>
  </rv>
  <rv s="1">
    <v>en-US</v>
    <v>a1z8jc</v>
    <v>268435456</v>
    <v>1</v>
    <v>Powered by Refinitiv</v>
    <v>0</v>
    <v>ON SEMICONDUCTOR CORPORATION (XNAS:ON)</v>
    <v>2</v>
    <v>3</v>
    <v>Finance</v>
    <v>4</v>
    <v>101.3</v>
    <v>59.34</v>
    <v>1.6573</v>
    <v>-1.21</v>
    <v>-1.5845999999999999E-2</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76.25</v>
    <v>Semiconductors &amp; Semiconductor Equipment</v>
    <v>Stock</v>
    <v>45530.686821758594</v>
    <v>840</v>
    <v>74.38</v>
    <v>32190960915</v>
    <v>ON SEMICONDUCTOR CORPORATION</v>
    <v>ON SEMICONDUCTOR CORPORATION</v>
    <v>76.22</v>
    <v>17.380600000000001</v>
    <v>76.36</v>
    <v>75.150000000000006</v>
    <v>428356100</v>
    <v>ON</v>
    <v>ON SEMICONDUCTOR CORPORATION (XNAS:ON)</v>
    <v>1271416</v>
    <v>8153902</v>
    <v>2000</v>
  </rv>
  <rv s="2">
    <v>841</v>
  </rv>
  <rv s="0">
    <v>https://www.bing.com/financeapi/forcetrigger?t=a214h7&amp;q=XNYS%3aPPG&amp;form=skydnc</v>
    <v>Learn more on Bing</v>
  </rv>
  <rv s="1">
    <v>en-US</v>
    <v>a214h7</v>
    <v>268435456</v>
    <v>1</v>
    <v>Powered by Refinitiv</v>
    <v>0</v>
    <v>PPG INDUSTRIES, INC. (XNYS:PPG)</v>
    <v>2</v>
    <v>3</v>
    <v>Finance</v>
    <v>4</v>
    <v>151.16</v>
    <v>118.07</v>
    <v>1.2508999999999999</v>
    <v>0.66710000000000003</v>
    <v>5.2719999999999998E-3</v>
    <v>USD</v>
    <v>PPG Industries, Inc. manufactures and distributes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pavement marking products, paint strippers, stains and related chemicals, transparencies, transparent armor, and paint films. The Industrial Coatings segment primarily supplies a variety of protective and decorative coatings and finishes along with adhesives, sealants, metal pretreatment products, optical monomers and coatings, low-friction coatings, precipitated silicas, and other specialty materials. The Company’s Performance Coatings brands include PPG, GLIDDEN, COMEX, OLYMPIC, DULUX, SIGMA, HISTOR, SEIGNEURIE, PEINTURES GAUTHIER, and JOHNSTONE'S, among others. Its Industrial Coatings brands include PPG and TESLIN.</v>
    <v>53000</v>
    <v>New York Stock Exchange</v>
    <v>XNYS</v>
    <v>XNYS</v>
    <v>One Ppg Pl 40 East, PITTSBURGH, PA, 15272 US</v>
    <v>127.95</v>
    <v>Chemicals</v>
    <v>Stock</v>
    <v>45530.686859339847</v>
    <v>843</v>
    <v>126.55</v>
    <v>29675083430</v>
    <v>PPG INDUSTRIES, INC.</v>
    <v>PPG INDUSTRIES, INC.</v>
    <v>127.05</v>
    <v>20.7319</v>
    <v>126.53</v>
    <v>127.19710000000001</v>
    <v>233300000</v>
    <v>PPG</v>
    <v>PPG INDUSTRIES, INC. (XNYS:PPG)</v>
    <v>158734</v>
    <v>1515135</v>
    <v>1883</v>
  </rv>
  <rv s="2">
    <v>844</v>
  </rv>
  <rv s="0">
    <v>https://www.bing.com/financeapi/forcetrigger?t=a226jc&amp;q=XNYS%3aROK&amp;form=skydnc</v>
    <v>Learn more on Bing</v>
  </rv>
  <rv s="1">
    <v>en-US</v>
    <v>a226jc</v>
    <v>268435456</v>
    <v>1</v>
    <v>Powered by Refinitiv</v>
    <v>0</v>
    <v>ROCKWELL AUTOMATION, INC. (XNYS:ROK)</v>
    <v>2</v>
    <v>3</v>
    <v>Finance</v>
    <v>4</v>
    <v>317.74</v>
    <v>242.81</v>
    <v>1.3656999999999999</v>
    <v>-1.62</v>
    <v>-5.9779999999999998E-3</v>
    <v>USD</v>
    <v>Rockwell Automation, Inc. is engaged in providing industrial automation and digital transformation products and services. The Company operates through three segments: Intelligent Devices, Software and Control, and Lifecycle Services. The Intelligent Devices segment includes drives, motion, advanced material handling, safety, sensing, industrial components and configured-to-order products. The Software and Control segment includes control and visualization software and hardware, digital twin, simulation and information software, and network and security infrastructure. The Lifecycle Services segment includes digital consulting, professional services including engineered-to-order solutions, recurring services, including cybersecurity, safety, remote monitoring, asset management and the Sensia joint venture. Its hardware and software products include condition monitoring, connection devices, industrial control products, FactoryTalk Logix Echo, Emulate3D Digital Twin and Arena Simulation.</v>
    <v>29000</v>
    <v>New York Stock Exchange</v>
    <v>XNYS</v>
    <v>XNYS</v>
    <v>1201 South 2Nd Street, MILWAUKEE, WI, 53204 US</v>
    <v>273.64</v>
    <v>Machinery, Equipment &amp; Components</v>
    <v>Stock</v>
    <v>45530.686863356248</v>
    <v>846</v>
    <v>268.245</v>
    <v>30563578864</v>
    <v>ROCKWELL AUTOMATION, INC.</v>
    <v>ROCKWELL AUTOMATION, INC.</v>
    <v>272.94</v>
    <v>30.576499999999999</v>
    <v>270.98</v>
    <v>269.36</v>
    <v>113467400</v>
    <v>ROK</v>
    <v>ROCKWELL AUTOMATION, INC. (XNYS:ROK)</v>
    <v>137505</v>
    <v>723156</v>
    <v>1996</v>
  </rv>
  <rv s="2">
    <v>847</v>
  </rv>
  <rv s="0">
    <v>https://www.bing.com/financeapi/forcetrigger?t=a1rrh7&amp;q=XNYS%3aEFX&amp;form=skydnc</v>
    <v>Learn more on Bing</v>
  </rv>
  <rv s="1">
    <v>en-US</v>
    <v>a1rrh7</v>
    <v>268435456</v>
    <v>1</v>
    <v>Powered by Refinitiv</v>
    <v>0</v>
    <v>EQUIFAX INC. (XNYS:EFX)</v>
    <v>2</v>
    <v>3</v>
    <v>Finance</v>
    <v>4</v>
    <v>306.88</v>
    <v>159.94999999999999</v>
    <v>1.5792999999999999</v>
    <v>1.05</v>
    <v>3.4749999999999998E-3</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306.88</v>
    <v>Professional &amp; Commercial Services</v>
    <v>Stock</v>
    <v>45530.686818760936</v>
    <v>849</v>
    <v>301.39</v>
    <v>37519351208</v>
    <v>EQUIFAX INC.</v>
    <v>EQUIFAX INC.</v>
    <v>302.95</v>
    <v>64.604699999999994</v>
    <v>302.17</v>
    <v>303.22000000000003</v>
    <v>123736400</v>
    <v>EFX</v>
    <v>EQUIFAX INC. (XNYS:EFX)</v>
    <v>121750</v>
    <v>809105</v>
    <v>1913</v>
  </rv>
  <rv s="2">
    <v>850</v>
  </rv>
  <rv s="0">
    <v>https://www.bing.com/financeapi/forcetrigger?t=a1qeh7&amp;q=XNAS%3aCSGP&amp;form=skydnc</v>
    <v>Learn more on Bing</v>
  </rv>
  <rv s="1">
    <v>en-US</v>
    <v>a1qeh7</v>
    <v>268435456</v>
    <v>1</v>
    <v>Powered by Refinitiv</v>
    <v>0</v>
    <v>COSTAR GROUP, INC. (XNAS:CSGP)</v>
    <v>2</v>
    <v>3</v>
    <v>Finance</v>
    <v>4</v>
    <v>100.38</v>
    <v>67.349999999999994</v>
    <v>0.81499999999999995</v>
    <v>1.0649999999999999</v>
    <v>1.3833E-2</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 NW, WASHINGTON, DC, 20005 US</v>
    <v>78.59</v>
    <v>Software &amp; IT Services</v>
    <v>Stock</v>
    <v>45530.686872071092</v>
    <v>852</v>
    <v>77.45</v>
    <v>31988258129</v>
    <v>COSTAR GROUP, INC.</v>
    <v>COSTAR GROUP, INC.</v>
    <v>77.45</v>
    <v>147.2732</v>
    <v>76.989999999999995</v>
    <v>78.055000000000007</v>
    <v>409816900</v>
    <v>CSGP</v>
    <v>COSTAR GROUP, INC. (XNAS:CSGP)</v>
    <v>440800</v>
    <v>2439432</v>
    <v>1998</v>
  </rv>
  <rv s="2">
    <v>853</v>
  </rv>
  <rv s="0">
    <v>https://www.bing.com/financeapi/forcetrigger?t=a1ufm7&amp;q=XNYS%3aHAL&amp;form=skydnc</v>
    <v>Learn more on Bing</v>
  </rv>
  <rv s="1">
    <v>en-US</v>
    <v>a1ufm7</v>
    <v>268435456</v>
    <v>1</v>
    <v>Powered by Refinitiv</v>
    <v>0</v>
    <v>HALLIBURTON COMPANY (XNYS:HAL)</v>
    <v>2</v>
    <v>3</v>
    <v>Finance</v>
    <v>4</v>
    <v>43.85</v>
    <v>30.305</v>
    <v>1.9077999999999999</v>
    <v>6.5000000000000002E-2</v>
    <v>2.0469999999999998E-3</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49000</v>
    <v>New York Stock Exchange</v>
    <v>XNYS</v>
    <v>XNYS</v>
    <v>3000 North Sam Houston Parkway East, HOUSTON, TX, 77032 US</v>
    <v>32.445799999999998</v>
    <v>Oil &amp; Gas Related Equipment and Services</v>
    <v>Stock</v>
    <v>45530.686863575778</v>
    <v>855</v>
    <v>31.67</v>
    <v>28096017012</v>
    <v>HALLIBURTON COMPANY</v>
    <v>HALLIBURTON COMPANY</v>
    <v>32.33</v>
    <v>10.5448</v>
    <v>31.76</v>
    <v>31.824999999999999</v>
    <v>882828500</v>
    <v>HAL</v>
    <v>HALLIBURTON COMPANY (XNYS:HAL)</v>
    <v>2373289</v>
    <v>7771922</v>
    <v>1996</v>
  </rv>
  <rv s="2">
    <v>856</v>
  </rv>
  <rv s="0">
    <v>https://www.bing.com/financeapi/forcetrigger?t=a25l52&amp;q=XNYS%3aVST&amp;form=skydnc</v>
    <v>Learn more on Bing</v>
  </rv>
  <rv s="1">
    <v>en-US</v>
    <v>a25l52</v>
    <v>268435456</v>
    <v>1</v>
    <v>Powered by Refinitiv</v>
    <v>0</v>
    <v>VISTRA CORP. (XNYS:VST)</v>
    <v>2</v>
    <v>3</v>
    <v>Finance</v>
    <v>4</v>
    <v>107.24</v>
    <v>29.84</v>
    <v>1.0999000000000001</v>
    <v>-0.46</v>
    <v>-5.3629999999999997E-3</v>
    <v>USD</v>
    <v>Vistra Corp. is an integrated retail and electric power generation company. The Company operates in six business segments: Retail, Texas, East, West, Sunset and Asset Closure. The Retail segment represents its retail sales of electricity and natural gas to residential, small business and commercial and industrial customers. The Texas and East segments are engaged in electricity generation, wholesale energy sales and purchases, commodity risk management activities, fuel production and fuel logistics management. The East segment includes operations in the PJM, ISO-NE and NYISO markets. The West segment represents results from the CAISO market, including its battery ESS projects at its Moss Landing power plant site. The Sunset segment represents generation plants with announced retirement plans. The Asset Closure segment is engaged in the decommissioning and reclamation of retired plants and mines. The Company operates in approximately 41,000 megawatts of installed generation capacity.</v>
    <v>4870</v>
    <v>New York Stock Exchange</v>
    <v>XNYS</v>
    <v>XNYS</v>
    <v>6555 Sierra Drive, IRVING, TX, 75039 US</v>
    <v>87.89</v>
    <v>Electrical Utilities &amp; IPPs</v>
    <v>Stock</v>
    <v>45530.686851921091</v>
    <v>858</v>
    <v>84.18</v>
    <v>29309223034</v>
    <v>VISTRA CORP.</v>
    <v>VISTRA CORP.</v>
    <v>86.54</v>
    <v>66.871899999999997</v>
    <v>85.77</v>
    <v>85.31</v>
    <v>343561400</v>
    <v>VST</v>
    <v>VISTRA CORP. (XNYS:VST)</v>
    <v>1963017</v>
    <v>6572152</v>
    <v>2016</v>
  </rv>
  <rv s="2">
    <v>859</v>
  </rv>
  <rv s="0">
    <v>https://www.bing.com/financeapi/forcetrigger?t=a1rew7&amp;q=XNYS%3aDVN&amp;form=skydnc</v>
    <v>Learn more on Bing</v>
  </rv>
  <rv s="1">
    <v>en-US</v>
    <v>a1rew7</v>
    <v>268435456</v>
    <v>1</v>
    <v>Powered by Refinitiv</v>
    <v>0</v>
    <v>DEVON ENERGY CORPORATION (XNYS:DVN)</v>
    <v>2</v>
    <v>3</v>
    <v>Finance</v>
    <v>4</v>
    <v>55.09</v>
    <v>40.47</v>
    <v>2.0802</v>
    <v>0.44</v>
    <v>9.8429999999999993E-3</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46.04</v>
    <v>Oil &amp; Gas</v>
    <v>Stock</v>
    <v>45530.686880138281</v>
    <v>861</v>
    <v>45.015000000000001</v>
    <v>28266668000</v>
    <v>DEVON ENERGY CORPORATION</v>
    <v>DEVON ENERGY CORPORATION</v>
    <v>45.5</v>
    <v>8.1050000000000004</v>
    <v>44.7</v>
    <v>45.14</v>
    <v>626200000</v>
    <v>DVN</v>
    <v>DEVON ENERGY CORPORATION (XNYS:DVN)</v>
    <v>2290318</v>
    <v>6716762</v>
    <v>1999</v>
  </rv>
  <rv s="2">
    <v>862</v>
  </rv>
  <rv s="0">
    <v>https://www.bing.com/financeapi/forcetrigger?t=a25omw&amp;q=XNYS%3aWAB&amp;form=skydnc</v>
    <v>Learn more on Bing</v>
  </rv>
  <rv s="1">
    <v>en-US</v>
    <v>a25omw</v>
    <v>268435456</v>
    <v>1</v>
    <v>Powered by Refinitiv</v>
    <v>0</v>
    <v>WESTINGHOUSE AIR BRAKE TECHNOLOGIES CORPORATION (XNYS:WAB)</v>
    <v>2</v>
    <v>3</v>
    <v>Finance</v>
    <v>4</v>
    <v>170.83</v>
    <v>98.7</v>
    <v>1.2719</v>
    <v>-2.33</v>
    <v>-1.4009000000000001E-2</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167.5</v>
    <v>Machinery, Equipment &amp; Components</v>
    <v>Stock</v>
    <v>45530.686823263284</v>
    <v>864</v>
    <v>163.63</v>
    <v>28728292968</v>
    <v>WESTINGHOUSE AIR BRAKE TECHNOLOGIES CORPORATION</v>
    <v>WESTINGHOUSE AIR BRAKE TECHNOLOGIES CORPORATION</v>
    <v>167.05</v>
    <v>28.710599999999999</v>
    <v>166.32</v>
    <v>163.99</v>
    <v>175183200</v>
    <v>WAB</v>
    <v>WESTINGHOUSE AIR BRAKE TECHNOLOGIES CORPORATION (XNYS:WAB)</v>
    <v>806238</v>
    <v>1322019</v>
    <v>1989</v>
  </rv>
  <rv s="2">
    <v>865</v>
  </rv>
  <rv s="0">
    <v>https://www.bing.com/financeapi/forcetrigger?t=ay4lu2&amp;q=XNAS%3aXEL&amp;form=skydnc</v>
    <v>Learn more on Bing</v>
  </rv>
  <rv s="1">
    <v>en-US</v>
    <v>ay4lu2</v>
    <v>268435456</v>
    <v>1</v>
    <v>Powered by Refinitiv</v>
    <v>0</v>
    <v>Xcel Energy Inc. (XNAS:XEL)</v>
    <v>2</v>
    <v>3</v>
    <v>Finance</v>
    <v>4</v>
    <v>64.245000000000005</v>
    <v>46.79</v>
    <v>0.39600000000000002</v>
    <v>1.385</v>
    <v>2.3037000000000002E-2</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61.534999999999997</v>
    <v>Electrical Utilities &amp; IPPs</v>
    <v>Stock</v>
    <v>45530.686842060153</v>
    <v>867</v>
    <v>60.59</v>
    <v>34289080553</v>
    <v>Xcel Energy Inc.</v>
    <v>Xcel Energy Inc.</v>
    <v>60.79</v>
    <v>17.972000000000001</v>
    <v>60.12</v>
    <v>61.505000000000003</v>
    <v>557500700</v>
    <v>XEL</v>
    <v>Xcel Energy Inc. (XNAS:XEL)</v>
    <v>849064</v>
    <v>3155827</v>
    <v>1909</v>
  </rv>
  <rv s="2">
    <v>868</v>
  </rv>
  <rv s="0">
    <v>https://www.bing.com/financeapi/forcetrigger?t=aythxm&amp;q=XNYS%3aVICI&amp;form=skydnc</v>
    <v>Learn more on Bing</v>
  </rv>
  <rv s="1">
    <v>en-US</v>
    <v>aythxm</v>
    <v>268435456</v>
    <v>1</v>
    <v>Powered by Refinitiv</v>
    <v>0</v>
    <v>VICI PROPERTIES INC. (XNYS:VICI)</v>
    <v>2</v>
    <v>3</v>
    <v>Finance</v>
    <v>4</v>
    <v>33.244999999999997</v>
    <v>26.625</v>
    <v>0.95720000000000005</v>
    <v>0.32500000000000001</v>
    <v>9.8779999999999996E-3</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33.244999999999997</v>
    <v>Residential &amp; Commercial REIT</v>
    <v>Stock</v>
    <v>45530.686867453122</v>
    <v>870</v>
    <v>32.97</v>
    <v>34792322925</v>
    <v>VICI PROPERTIES INC.</v>
    <v>VICI PROPERTIES INC.</v>
    <v>33.03</v>
    <v>12.9238</v>
    <v>32.9</v>
    <v>33.225000000000001</v>
    <v>1047173000</v>
    <v>VICI</v>
    <v>VICI PROPERTIES INC. (XNYS:VICI)</v>
    <v>1102761</v>
    <v>4552422</v>
    <v>2017</v>
  </rv>
  <rv s="2">
    <v>871</v>
  </rv>
  <rv s="0">
    <v>https://www.bing.com/financeapi/forcetrigger?t=a1nyw7&amp;q=XNYS%3aAVB&amp;form=skydnc</v>
    <v>Learn more on Bing</v>
  </rv>
  <rv s="1">
    <v>en-US</v>
    <v>a1nyw7</v>
    <v>268435456</v>
    <v>1</v>
    <v>Powered by Refinitiv</v>
    <v>0</v>
    <v>AVALONBAY COMMUNITIES, INC. (XNYS:AVB)</v>
    <v>2</v>
    <v>3</v>
    <v>Finance</v>
    <v>4</v>
    <v>222.39500000000001</v>
    <v>160.44999999999999</v>
    <v>0.98380000000000001</v>
    <v>-1.29</v>
    <v>-5.8180000000000003E-3</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222.39500000000001</v>
    <v>Residential &amp; Commercial REIT</v>
    <v>Stock</v>
    <v>45530.68675295078</v>
    <v>873</v>
    <v>220.23</v>
    <v>31350271392</v>
    <v>AVALONBAY COMMUNITIES, INC.</v>
    <v>AVALONBAY COMMUNITIES, INC.</v>
    <v>222.3</v>
    <v>37.487299999999998</v>
    <v>221.73</v>
    <v>220.44</v>
    <v>142216800</v>
    <v>AVB</v>
    <v>AVALONBAY COMMUNITIES, INC. (XNYS:AVB)</v>
    <v>101610</v>
    <v>650936</v>
    <v>1995</v>
  </rv>
  <rv s="2">
    <v>874</v>
  </rv>
  <rv s="0">
    <v>https://www.bing.com/financeapi/forcetrigger?t=a1rk52&amp;q=XNAS%3aEBAY&amp;form=skydnc</v>
    <v>Learn more on Bing</v>
  </rv>
  <rv s="1">
    <v>en-US</v>
    <v>a1rk52</v>
    <v>268435456</v>
    <v>1</v>
    <v>Powered by Refinitiv</v>
    <v>0</v>
    <v>EBAY INC. (XNAS:EBAY)</v>
    <v>2</v>
    <v>3</v>
    <v>Finance</v>
    <v>4</v>
    <v>59.47</v>
    <v>37.17</v>
    <v>1.3101</v>
    <v>0.43</v>
    <v>7.3029999999999996E-3</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59.47</v>
    <v>Software &amp; IT Services</v>
    <v>Stock</v>
    <v>45530.686852985935</v>
    <v>876</v>
    <v>58.65</v>
    <v>29002590000</v>
    <v>EBAY INC.</v>
    <v>EBAY INC.</v>
    <v>58.9</v>
    <v>11.440799999999999</v>
    <v>58.88</v>
    <v>59.31</v>
    <v>489000000</v>
    <v>EBAY</v>
    <v>EBAY INC. (XNAS:EBAY)</v>
    <v>1214354</v>
    <v>4647777</v>
    <v>1998</v>
  </rv>
  <rv s="2">
    <v>877</v>
  </rv>
  <rv s="0">
    <v>http://de.wikipedia.org/wiki/Ansys_(Software)</v>
    <v>Wikipedia</v>
  </rv>
  <rv s="3">
    <v>3</v>
    <v>879</v>
  </rv>
  <rv s="4">
    <v>9</v>
    <v>https://www.bing.com/th?id=AMMS_f3897dd33ba834ff757faa162430cee7&amp;qlt=95</v>
    <v>880</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364.31</v>
    <v>258.01</v>
    <v>1.1165</v>
    <v>-2.63</v>
    <v>-8.1310000000000011E-3</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323</v>
    <v>881</v>
    <v>Software &amp; IT Services</v>
    <v>Stock</v>
    <v>45530.686831388281</v>
    <v>882</v>
    <v>318.11500000000001</v>
    <v>28035381844</v>
    <v>ANSYS, INC.</v>
    <v>ANSYS, INC.</v>
    <v>322.89</v>
    <v>57.232399999999998</v>
    <v>323.45</v>
    <v>320.82</v>
    <v>87386640</v>
    <v>ANSS</v>
    <v>ANSYS, INC. (XNAS:ANSS)</v>
    <v>79792</v>
    <v>392569</v>
    <v>1994</v>
  </rv>
  <rv s="2">
    <v>883</v>
  </rv>
  <rv s="0">
    <v>https://www.bing.com/financeapi/forcetrigger?t=a1tdvh&amp;q=XNAS%3aFSLR&amp;form=skydnc</v>
    <v>Learn more on Bing</v>
  </rv>
  <rv s="1">
    <v>en-US</v>
    <v>a1tdvh</v>
    <v>268435456</v>
    <v>1</v>
    <v>Powered by Refinitiv</v>
    <v>0</v>
    <v>FIRST SOLAR, INC. (XNAS:FSLR)</v>
    <v>2</v>
    <v>3</v>
    <v>Finance</v>
    <v>4</v>
    <v>306.76990000000001</v>
    <v>129.215</v>
    <v>1.4372</v>
    <v>9.7589000000000006</v>
    <v>4.2234000000000001E-2</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244.21</v>
    <v>Renewable Energy</v>
    <v>Stock</v>
    <v>45530.686795196096</v>
    <v>885</v>
    <v>236</v>
    <v>25779451940</v>
    <v>FIRST SOLAR, INC.</v>
    <v>FIRST SOLAR, INC.</v>
    <v>236</v>
    <v>20.6358</v>
    <v>231.065</v>
    <v>240.82390000000001</v>
    <v>107046900</v>
    <v>FSLR</v>
    <v>FIRST SOLAR, INC. (XNAS:FSLR)</v>
    <v>1545720</v>
    <v>2009679</v>
    <v>2003</v>
  </rv>
  <rv s="2">
    <v>886</v>
  </rv>
  <rv s="0">
    <v>https://www.bing.com/financeapi/forcetrigger?t=a1utqh&amp;q=XNYS%3aHPE&amp;form=skydnc</v>
    <v>Learn more on Bing</v>
  </rv>
  <rv s="1">
    <v>en-US</v>
    <v>a1utqh</v>
    <v>268435456</v>
    <v>1</v>
    <v>Powered by Refinitiv</v>
    <v>0</v>
    <v>HEWLETT PACKARD ENTERPRISE COMPANY (XNYS:HPE)</v>
    <v>2</v>
    <v>3</v>
    <v>Finance</v>
    <v>4</v>
    <v>22.82</v>
    <v>14.465</v>
    <v>1.2065999999999999</v>
    <v>-7.4099999999999999E-2</v>
    <v>-3.8569999999999998E-3</v>
    <v>USD</v>
    <v>Hewlett Packard Enterprise Company is a global technology company. Its segments include Server, Hybrid Cloud, Intelligent Edge, Financial Services, and Corporate Investments and Other. Server segment consists of general-purpose servers for multi-workload computing and workload-optimized servers to deliver performance for demanding applications and integrated systems. Hybrid Cloud segment offers a variety of cloud-native and hybrid solutions across storage, private cloud and the infrastructure software-as-a-service space. Its Intelligent Edge segment offers wired and wireless local area networks, campus, branch, and data center switching, software-defined wide-area-networks, private and public cellular network software, network security, and associated services. Its Financial Services segment provides flexible investment solutions, such as leasing, financing, IT consumption, utility programs, and asset management services, for customers that facilitate technology deployment models.</v>
    <v>62000</v>
    <v>New York Stock Exchange</v>
    <v>XNYS</v>
    <v>XNYS</v>
    <v>1701 E MOSSY OAKS ROAD, SPRING, TX, 77389 US</v>
    <v>19.48</v>
    <v>Computers, Phones &amp; Household Electronics</v>
    <v>Stock</v>
    <v>45530.686798032031</v>
    <v>888</v>
    <v>19.100000000000001</v>
    <v>24870412560</v>
    <v>HEWLETT PACKARD ENTERPRISE COMPANY</v>
    <v>HEWLETT PACKARD ENTERPRISE COMPANY</v>
    <v>19.21</v>
    <v>13.9596</v>
    <v>19.21</v>
    <v>19.135899999999999</v>
    <v>1299673000</v>
    <v>HPE</v>
    <v>HEWLETT PACKARD ENTERPRISE COMPANY (XNYS:HPE)</v>
    <v>3267828</v>
    <v>10611101</v>
    <v>2015</v>
  </rv>
  <rv s="2">
    <v>889</v>
  </rv>
  <rv s="0">
    <v>https://www.bing.com/financeapi/forcetrigger?t=a1qyvh&amp;q=XNYS%3aDG&amp;form=skydnc</v>
    <v>Learn more on Bing</v>
  </rv>
  <rv s="1">
    <v>en-US</v>
    <v>a1qyvh</v>
    <v>268435456</v>
    <v>1</v>
    <v>Powered by Refinitiv</v>
    <v>0</v>
    <v>DOLLAR GENERAL CORPORATION (XNYS:DG)</v>
    <v>2</v>
    <v>3</v>
    <v>Finance</v>
    <v>4</v>
    <v>168.07</v>
    <v>101.09</v>
    <v>0.4662</v>
    <v>0.7</v>
    <v>5.6630000000000005E-3</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125.25</v>
    <v>Diversified Retail</v>
    <v>Stock</v>
    <v>45530.686819536721</v>
    <v>891</v>
    <v>124.09</v>
    <v>27332911210</v>
    <v>DOLLAR GENERAL CORPORATION</v>
    <v>DOLLAR GENERAL CORPORATION</v>
    <v>124.74</v>
    <v>18.000699999999998</v>
    <v>123.6</v>
    <v>124.3</v>
    <v>219894700</v>
    <v>DG</v>
    <v>DOLLAR GENERAL CORPORATION (XNYS:DG)</v>
    <v>636138</v>
    <v>2163652</v>
    <v>1998</v>
  </rv>
  <rv s="2">
    <v>892</v>
  </rv>
  <rv s="0">
    <v>https://www.bing.com/financeapi/forcetrigger?t=a24gur&amp;q=XNYS%3aTRGP&amp;form=skydnc</v>
    <v>Learn more on Bing</v>
  </rv>
  <rv s="1">
    <v>en-US</v>
    <v>a24gur</v>
    <v>268435456</v>
    <v>1</v>
    <v>Powered by Refinitiv</v>
    <v>0</v>
    <v>TARGA RESOURCES CORP. (XNYS:TRGP)</v>
    <v>2</v>
    <v>3</v>
    <v>Finance</v>
    <v>4</v>
    <v>146.21</v>
    <v>77.97</v>
    <v>2.2524000000000002</v>
    <v>0.54500000000000004</v>
    <v>3.7810000000000001E-3</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3182</v>
    <v>New York Stock Exchange</v>
    <v>XNYS</v>
    <v>XNYS</v>
    <v>1000 LOUISIANA STREET, SUITE 4300, TARGA RESOURCES PARTNERS LP, HOUSTON, TX, 77002 US</v>
    <v>146.21</v>
    <v>Oil &amp; Gas Related Equipment and Services</v>
    <v>Stock</v>
    <v>45530.686642233595</v>
    <v>894</v>
    <v>143.71</v>
    <v>31695355597</v>
    <v>TARGA RESOURCES CORP.</v>
    <v>TARGA RESOURCES CORP.</v>
    <v>145.85</v>
    <v>30.2849</v>
    <v>144.13</v>
    <v>144.67500000000001</v>
    <v>219079700</v>
    <v>TRGP</v>
    <v>TARGA RESOURCES CORP. (XNYS:TRGP)</v>
    <v>370205</v>
    <v>1752189</v>
    <v>2005</v>
  </rv>
  <rv s="2">
    <v>895</v>
  </rv>
  <rv s="0">
    <v>https://www.bing.com/financeapi/forcetrigger?t=a1uwu2&amp;q=XNYS%3aHSY&amp;form=skydnc</v>
    <v>Learn more on Bing</v>
  </rv>
  <rv s="1">
    <v>en-US</v>
    <v>a1uwu2</v>
    <v>268435456</v>
    <v>1</v>
    <v>Powered by Refinitiv</v>
    <v>0</v>
    <v>THE HERSHEY COMPANY (XNYS:HSY)</v>
    <v>2</v>
    <v>3</v>
    <v>Finance</v>
    <v>4</v>
    <v>219.92</v>
    <v>178.82</v>
    <v>0.3619</v>
    <v>0.4</v>
    <v>2.0369999999999997E-3</v>
    <v>USD</v>
    <v>The Hershey Company is a confectionery company. The Company offers a branded portfolio of chocolate, sweets, mints and other snacks. The Company operates through three segments, which include North America Confectionery, North America Salty Snacks and International. The North America Confectionery segment includes its business in chocolate and non-chocolate confectionery, gum and refreshment products, protein bars, spreads, snack bites and mixes, as well as pantry and food service lines. The North America Salty Snacks segment offers salty snacking products in the United States. This includes ready-to-eat popcorn, baked and trans fat-free snacks, pretzels and other snacks. The international segment has operations and manufactures products in Mexico, Brazil, India and Malaysia, primarily for consumers in these regions, and also distributes and sell confectionery products in export markets of Asia, Latin America, the Middle East, Europe, Africa and other regions.</v>
    <v>18650</v>
    <v>New York Stock Exchange</v>
    <v>XNYS</v>
    <v>XNYS</v>
    <v>19 East Chocolate Avenue, External Rptg &amp; Compliance, HERSHEY, PA, 17033 US</v>
    <v>198.87</v>
    <v>Food &amp; Tobacco</v>
    <v>Stock</v>
    <v>45530.686872349215</v>
    <v>897</v>
    <v>196.69</v>
    <v>39796078894</v>
    <v>THE HERSHEY COMPANY</v>
    <v>THE HERSHEY COMPANY</v>
    <v>197</v>
    <v>21.811800000000002</v>
    <v>196.33</v>
    <v>196.73</v>
    <v>202287800</v>
    <v>HSY</v>
    <v>THE HERSHEY COMPANY (XNYS:HSY)</v>
    <v>259575</v>
    <v>1602743</v>
    <v>1927</v>
  </rv>
  <rv s="2">
    <v>898</v>
  </rv>
  <rv s="0">
    <v>https://www.bing.com/financeapi/forcetrigger?t=a1pokr&amp;q=XNAS%3aCHTR&amp;form=skydnc</v>
    <v>Learn more on Bing</v>
  </rv>
  <rv s="1">
    <v>en-US</v>
    <v>a1pokr</v>
    <v>268435456</v>
    <v>1</v>
    <v>Powered by Refinitiv</v>
    <v>0</v>
    <v>CHARTER COMMUNICATIONS, INC. (XNAS:CHTR)</v>
    <v>2</v>
    <v>3</v>
    <v>Finance</v>
    <v>4</v>
    <v>458.3</v>
    <v>236.08</v>
    <v>1.0528999999999999</v>
    <v>6.4749999999999996</v>
    <v>1.8567E-2</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12405 Powerscourt Drive, ST. LOUIS, MO, 63131 US</v>
    <v>357.21</v>
    <v>Telecommunications Services</v>
    <v>Stock</v>
    <v>45530.686789548439</v>
    <v>900</v>
    <v>349.22</v>
    <v>50702387946</v>
    <v>CHARTER COMMUNICATIONS, INC.</v>
    <v>CHARTER COMMUNICATIONS, INC.</v>
    <v>349.22</v>
    <v>11.131600000000001</v>
    <v>348.73</v>
    <v>355.20499999999998</v>
    <v>142741200</v>
    <v>CHTR</v>
    <v>CHARTER COMMUNICATIONS, INC. (XNAS:CHTR)</v>
    <v>220979</v>
    <v>1313591</v>
    <v>2003</v>
  </rv>
  <rv s="2">
    <v>901</v>
  </rv>
  <rv s="0">
    <v>https://www.bing.com/financeapi/forcetrigger?t=a1ru6h&amp;q=XNYS%3aEIX&amp;form=skydnc</v>
    <v>Learn more on Bing</v>
  </rv>
  <rv s="1">
    <v>en-US</v>
    <v>a1ru6h</v>
    <v>268435456</v>
    <v>1</v>
    <v>Powered by Refinitiv</v>
    <v>0</v>
    <v>EDISON INTERNATIONAL (XNYS:EIX)</v>
    <v>2</v>
    <v>3</v>
    <v>Finance</v>
    <v>4</v>
    <v>85.96</v>
    <v>58.82</v>
    <v>0.91969999999999996</v>
    <v>0.86</v>
    <v>1.0145999999999999E-2</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PO Box 800, 2244 Walnut Grove Ave, ROSEMEAD, CA, 91770 US</v>
    <v>85.96</v>
    <v>Electrical Utilities &amp; IPPs</v>
    <v>Stock</v>
    <v>45530.686832626561</v>
    <v>903</v>
    <v>84.82</v>
    <v>33064457616</v>
    <v>EDISON INTERNATIONAL</v>
    <v>EDISON INTERNATIONAL</v>
    <v>84.99</v>
    <v>34.100299999999997</v>
    <v>84.76</v>
    <v>85.62</v>
    <v>386176800</v>
    <v>EIX</v>
    <v>EDISON INTERNATIONAL (XNYS:EIX)</v>
    <v>240733</v>
    <v>1869543</v>
    <v>1987</v>
  </rv>
  <rv s="2">
    <v>904</v>
  </rv>
  <rv s="0">
    <v>https://www.bing.com/financeapi/forcetrigger?t=a1pl8m&amp;q=XNYS%3aCHD&amp;form=skydnc</v>
    <v>Learn more on Bing</v>
  </rv>
  <rv s="1">
    <v>en-US</v>
    <v>a1pl8m</v>
    <v>268435456</v>
    <v>1</v>
    <v>Powered by Refinitiv</v>
    <v>0</v>
    <v>CHURCH &amp; DWIGHT CO., INC. (XNYS:CHD)</v>
    <v>2</v>
    <v>3</v>
    <v>Finance</v>
    <v>4</v>
    <v>110.31</v>
    <v>82.25</v>
    <v>0.5373</v>
    <v>-0.02</v>
    <v>-1.9579999999999999E-4</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5550</v>
    <v>New York Stock Exchange</v>
    <v>XNYS</v>
    <v>XNYS</v>
    <v>500 Charles Ewing Blvd, EWING, NJ, 08628-3448 US</v>
    <v>102.75</v>
    <v>Personal &amp; Household Products &amp; Services</v>
    <v>Stock</v>
    <v>45530.686822546093</v>
    <v>906</v>
    <v>101.855</v>
    <v>25005404100</v>
    <v>CHURCH &amp; DWIGHT CO., INC.</v>
    <v>CHURCH &amp; DWIGHT CO., INC.</v>
    <v>101.94</v>
    <v>31.462499999999999</v>
    <v>102.16</v>
    <v>102.14</v>
    <v>244815000</v>
    <v>CHD</v>
    <v>CHURCH &amp; DWIGHT CO., INC. (XNYS:CHD)</v>
    <v>195951</v>
    <v>1580972</v>
    <v>1925</v>
  </rv>
  <rv s="2">
    <v>907</v>
  </rv>
  <rv s="0">
    <v>https://www.bing.com/financeapi/forcetrigger?t=a1yrar&amp;q=XNAS%3aNTAP&amp;form=skydnc</v>
    <v>Learn more on Bing</v>
  </rv>
  <rv s="1">
    <v>en-US</v>
    <v>a1yrar</v>
    <v>268435456</v>
    <v>1</v>
    <v>Powered by Refinitiv</v>
    <v>0</v>
    <v>NETAPP, INC. (XNAS:NTAP)</v>
    <v>2</v>
    <v>3</v>
    <v>Finance</v>
    <v>4</v>
    <v>135.01</v>
    <v>70.819999999999993</v>
    <v>1.2276</v>
    <v>-0.88</v>
    <v>-6.6110000000000006E-3</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133.75450000000001</v>
    <v>Computers, Phones &amp; Household Electronics</v>
    <v>Stock</v>
    <v>45530.686776678122</v>
    <v>909</v>
    <v>131.75</v>
    <v>27364770000</v>
    <v>NETAPP, INC.</v>
    <v>NETAPP, INC.</v>
    <v>132.66999999999999</v>
    <v>28.666899999999998</v>
    <v>133.12</v>
    <v>132.24</v>
    <v>205564600</v>
    <v>NTAP</v>
    <v>NETAPP, INC. (XNAS:NTAP)</v>
    <v>329331</v>
    <v>1476119</v>
    <v>2001</v>
  </rv>
  <rv s="2">
    <v>910</v>
  </rv>
  <rv s="0">
    <v>https://www.bing.com/financeapi/forcetrigger?t=azetdm&amp;q=XNYS%3aCBRE&amp;form=skydnc</v>
    <v>Learn more on Bing</v>
  </rv>
  <rv s="1">
    <v>en-US</v>
    <v>azetdm</v>
    <v>268435456</v>
    <v>1</v>
    <v>Powered by Refinitiv</v>
    <v>0</v>
    <v>CBRE GROUP, INC. (XNYS:CBRE)</v>
    <v>2</v>
    <v>3</v>
    <v>Finance</v>
    <v>4</v>
    <v>118.39</v>
    <v>64.63</v>
    <v>1.4008</v>
    <v>-0.12</v>
    <v>-1.0249999999999999E-3</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130000</v>
    <v>New York Stock Exchange</v>
    <v>XNYS</v>
    <v>XNYS</v>
    <v>2121 North Pearl Street, Suite 300, DALLAS, TX, 75201 US</v>
    <v>118.39</v>
    <v>Real Estate Operations</v>
    <v>Stock</v>
    <v>45530.686815312503</v>
    <v>912</v>
    <v>116.73</v>
    <v>35824894974</v>
    <v>CBRE GROUP, INC.</v>
    <v>CBRE GROUP, INC.</v>
    <v>117.7</v>
    <v>39.213900000000002</v>
    <v>117.03</v>
    <v>116.91</v>
    <v>306431400</v>
    <v>CBRE</v>
    <v>CBRE GROUP, INC. (XNYS:CBRE)</v>
    <v>322862</v>
    <v>1726634</v>
    <v>2001</v>
  </rv>
  <rv s="2">
    <v>913</v>
  </rv>
  <rv s="0">
    <v>https://www.bing.com/financeapi/forcetrigger?t=a25xgh&amp;q=XNAS%3aWTW&amp;form=skydnc</v>
    <v>Learn more on Bing</v>
  </rv>
  <rv s="1">
    <v>en-US</v>
    <v>a25xgh</v>
    <v>268435456</v>
    <v>1</v>
    <v>Powered by Refinitiv</v>
    <v>0</v>
    <v>Willis Towers Watson Public Limited Company (XNAS:WTW)</v>
    <v>2</v>
    <v>3</v>
    <v>Finance</v>
    <v>4</v>
    <v>286.61</v>
    <v>201.03</v>
    <v>0.74129999999999996</v>
    <v>2.72</v>
    <v>9.6640000000000007E-3</v>
    <v>USD</v>
    <v>Willis Towers Watson Public Limited Company is a global advisory, broking and solutions company that provides data-driven, insight-led solutions in the areas of people, risk and capital. The Company’s segments include Health, Wealth &amp; Career (HWC) and Risk &amp; Broking (R&amp;B).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(HR)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48000</v>
    <v>Nasdaq Stock Market</v>
    <v>XNAS</v>
    <v>XNAS</v>
    <v>51 Lime Street, LONDON, UNITED KINGDOM-NA, EC3M 7DQ GB</v>
    <v>284.63499999999999</v>
    <v>Insurance</v>
    <v>Stock</v>
    <v>45530.686826700781</v>
    <v>915</v>
    <v>282</v>
    <v>28860155662</v>
    <v>Willis Towers Watson Public Limited Company</v>
    <v>Willis Towers Watson Public Limited Company</v>
    <v>282.27999999999997</v>
    <v>26.729600000000001</v>
    <v>281.45999999999998</v>
    <v>284.18</v>
    <v>101555900</v>
    <v>WTW</v>
    <v>Willis Towers Watson Public Limited Company (XNAS:WTW)</v>
    <v>109403</v>
    <v>420719</v>
    <v>2009</v>
  </rv>
  <rv s="2">
    <v>916</v>
  </rv>
  <rv s="0">
    <v>http://it.wikipedia.org/wiki/T._Rowe_Price</v>
    <v>Wikipedia</v>
  </rv>
  <rv s="3">
    <v>3</v>
    <v>918</v>
  </rv>
  <rv s="4">
    <v>9</v>
    <v>https://www.bing.com/th?id=AMMS_4c600be848f66590834841f27e6f786d&amp;qlt=95</v>
    <v>919</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122.27</v>
    <v>87.43</v>
    <v>1.4319</v>
    <v>0.14000000000000001</v>
    <v>1.2770000000000001E-3</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P.O. Box 89000, 100 East Pratt Street, BALTIMORE, MD, 21289-0320 US</v>
    <v>110.8</v>
    <v>920</v>
    <v>Investment Banking &amp; Investment Services</v>
    <v>Stock</v>
    <v>45530.686728622655</v>
    <v>921</v>
    <v>109.64</v>
    <v>24432334528</v>
    <v>T. ROWE PRICE GROUP, INC.</v>
    <v>T. ROWE PRICE GROUP, INC.</v>
    <v>110.6</v>
    <v>12.9497</v>
    <v>109.62</v>
    <v>109.76</v>
    <v>222597800</v>
    <v>TROW</v>
    <v>T. ROWE PRICE GROUP, INC. (XNAS:TROW)</v>
    <v>198006</v>
    <v>1156227</v>
    <v>2000</v>
  </rv>
  <rv s="2">
    <v>922</v>
  </rv>
  <rv s="0">
    <v>https://www.bing.com/financeapi/forcetrigger?t=a1wi77&amp;q=XNAS%3aKHC&amp;form=skydnc</v>
    <v>Learn more on Bing</v>
  </rv>
  <rv s="1">
    <v>en-US</v>
    <v>a1wi77</v>
    <v>268435456</v>
    <v>1</v>
    <v>Powered by Refinitiv</v>
    <v>0</v>
    <v>THE KRAFT HEINZ COMPANY (XNAS:KHC)</v>
    <v>2</v>
    <v>3</v>
    <v>Finance</v>
    <v>4</v>
    <v>38.96</v>
    <v>30.68</v>
    <v>0.48149999999999998</v>
    <v>0.35899999999999999</v>
    <v>9.9970000000000007E-3</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36.319000000000003</v>
    <v>Food &amp; Tobacco</v>
    <v>Stock</v>
    <v>45530.686879941408</v>
    <v>924</v>
    <v>35.979999999999997</v>
    <v>43852086251</v>
    <v>THE KRAFT HEINZ COMPANY</v>
    <v>THE KRAFT HEINZ COMPANY</v>
    <v>36</v>
    <v>22.9618</v>
    <v>35.909999999999997</v>
    <v>36.268999999999998</v>
    <v>1209079000</v>
    <v>KHC</v>
    <v>THE KRAFT HEINZ COMPANY (XNAS:KHC)</v>
    <v>2085738</v>
    <v>8256089</v>
    <v>2013</v>
  </rv>
  <rv s="2">
    <v>925</v>
  </rv>
  <rv s="0">
    <v>https://www.bing.com/financeapi/forcetrigger?t=a1qvp2&amp;q=XNYS%3aDECK&amp;form=skydnc</v>
    <v>Learn more on Bing</v>
  </rv>
  <rv s="1">
    <v>en-US</v>
    <v>a1qvp2</v>
    <v>268435456</v>
    <v>1</v>
    <v>Powered by Refinitiv</v>
    <v>0</v>
    <v>DECKERS OUTDOOR CORPORATION (XNYS:DECK)</v>
    <v>2</v>
    <v>3</v>
    <v>Finance</v>
    <v>4</v>
    <v>1106.8898999999999</v>
    <v>484.02</v>
    <v>1.054</v>
    <v>-21.91</v>
    <v>-2.2482000000000002E-2</v>
    <v>USD</v>
    <v>Deckers Outdoor Corporation designs, markets, and distributes footwear, apparel, and accessories developed for both everyday casual lifestyle use and high-performance activities. Its segments include UGG brand, HOKA brand, Teva brand, and Other brands, as well as Direct-to-Consumer (DTC). The UGG brand segment provides premium footwear, apparel and accessories with expanded product offerings. The HOKA brand segment’s products include running, trail, hiking, fitness and lifestyle footwear offerings, as well as select apparel and accessories. The Teva brand segment includes a variety of footwear options, from classic sandals and shoes to boots, all crafted for the demands of the outdoors. Its Other brands segment consists primarily of the Koolaburra brand, as well as the AHNU brand. The Koolaburra brand is a casual footwear fashion line that uses plush materials. The DTC segment encompasses all of its brands and consists of its e-commerce Websites and retail stores.</v>
    <v>4800</v>
    <v>New York Stock Exchange</v>
    <v>XNYS</v>
    <v>XNYS</v>
    <v>250 Coromar Drive, GOLETA, CA, 93117 US</v>
    <v>973.43</v>
    <v>Textiles &amp; Apparel</v>
    <v>Stock</v>
    <v>45530.686704108593</v>
    <v>927</v>
    <v>950.71</v>
    <v>24207379510</v>
    <v>DECKERS OUTDOOR CORPORATION</v>
    <v>DECKERS OUTDOOR CORPORATION</v>
    <v>970.94</v>
    <v>30.309699999999999</v>
    <v>974.56</v>
    <v>952.65</v>
    <v>25410570</v>
    <v>DECK</v>
    <v>DECKERS OUTDOOR CORPORATION (XNYS:DECK)</v>
    <v>72046</v>
    <v>374211</v>
    <v>1993</v>
  </rv>
  <rv s="2">
    <v>928</v>
  </rv>
  <rv s="0">
    <v>https://www.bing.com/financeapi/forcetrigger?t=a1vrec&amp;q=XNYS%3aIRM&amp;form=skydnc</v>
    <v>Learn more on Bing</v>
  </rv>
  <rv s="1">
    <v>en-US</v>
    <v>a1vrec</v>
    <v>268435456</v>
    <v>1</v>
    <v>Powered by Refinitiv</v>
    <v>0</v>
    <v>IRON MOUNTAIN INCORPORATED (XNYS:IRM)</v>
    <v>2</v>
    <v>3</v>
    <v>Finance</v>
    <v>4</v>
    <v>114.786</v>
    <v>56.51</v>
    <v>1.0243</v>
    <v>0.02</v>
    <v>1.7640000000000001E-4</v>
    <v>USD</v>
    <v>Iron Mountain Inc is a provider of information management services. The Company offers a range of services, including digital transformation, data centers, secure records storage, information management, asset lifecycle management, secure destruction, and art storage and logistics. The Company helps businesses to unlock value and intelligence from their stored digital and physical assets. It serves to protect its customers’ work. Its segments include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27000</v>
    <v>New York Stock Exchange</v>
    <v>XNYS</v>
    <v>XNYS</v>
    <v>85 New Hampshire Avenue, Suite 150, Pease International Tradeport, PORTSMOUTH, NH, 03801 US</v>
    <v>114.786</v>
    <v>Residential &amp; Commercial REIT</v>
    <v>Stock</v>
    <v>45530.68687774297</v>
    <v>930</v>
    <v>113.23</v>
    <v>33255479646</v>
    <v>IRON MOUNTAIN INCORPORATED</v>
    <v>IRON MOUNTAIN INCORPORATED</v>
    <v>114.23</v>
    <v>145.74090000000001</v>
    <v>113.35</v>
    <v>113.37</v>
    <v>293335800</v>
    <v>IRM</v>
    <v>IRON MOUNTAIN INCORPORATED (XNYS:IRM)</v>
    <v>433057</v>
    <v>1958513</v>
    <v>2014</v>
  </rv>
  <rv s="2">
    <v>931</v>
  </rv>
  <rv s="0">
    <v>https://www.bing.com/financeapi/forcetrigger?t=a1tgqh&amp;q=XNYS%3aFTV&amp;form=skydnc</v>
    <v>Learn more on Bing</v>
  </rv>
  <rv s="1">
    <v>en-US</v>
    <v>a1tgqh</v>
    <v>268435456</v>
    <v>1</v>
    <v>Powered by Refinitiv</v>
    <v>0</v>
    <v>FORTIVE CORPORATION (XNYS:FTV)</v>
    <v>2</v>
    <v>3</v>
    <v>Finance</v>
    <v>4</v>
    <v>87.1</v>
    <v>63.05</v>
    <v>1.119</v>
    <v>0</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73.8</v>
    <v>Machinery, Equipment &amp; Components</v>
    <v>Stock</v>
    <v>45530.686812267966</v>
    <v>933</v>
    <v>73.13</v>
    <v>25711577363</v>
    <v>FORTIVE CORPORATION</v>
    <v>FORTIVE CORPORATION</v>
    <v>73.739999999999995</v>
    <v>29.438400000000001</v>
    <v>73.39</v>
    <v>73.39</v>
    <v>350341700</v>
    <v>FTV</v>
    <v>FORTIVE CORPORATION (XNYS:FTV)</v>
    <v>347079</v>
    <v>2401984</v>
    <v>2015</v>
  </rv>
  <rv s="2">
    <v>934</v>
  </rv>
  <rv s="0">
    <v>https://www.bing.com/financeapi/forcetrigger?t=a1ruc7&amp;q=XNYS%3aEL&amp;form=skydnc</v>
    <v>Learn more on Bing</v>
  </rv>
  <rv s="1">
    <v>en-US</v>
    <v>a1ruc7</v>
    <v>268435456</v>
    <v>1</v>
    <v>Powered by Refinitiv</v>
    <v>0</v>
    <v>THE ESTEE LAUDER COMPANIES INC. (XNYS:EL)</v>
    <v>2</v>
    <v>3</v>
    <v>Finance</v>
    <v>4</v>
    <v>165.76499999999999</v>
    <v>86.05</v>
    <v>1</v>
    <v>1.7549999999999999</v>
    <v>1.873E-2</v>
    <v>USD</v>
    <v>The Estee Lauder Companies Inc. is a manufacturer, marketer and seller of skin care, makeup, fragrance and hair care products.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acne and oil correctors, facial masks, and sun care products. Its makeup products include lipsticks, lip glosses, mascaras, foundations and others.</v>
    <v>62000</v>
    <v>New York Stock Exchange</v>
    <v>XNYS</v>
    <v>XNYS</v>
    <v>767 5th Ave, NEW YORK, NY, 10153 US</v>
    <v>95.64</v>
    <v>Personal &amp; Household Products &amp; Services</v>
    <v>Stock</v>
    <v>45530.686895925784</v>
    <v>936</v>
    <v>93.02</v>
    <v>34241541236</v>
    <v>THE ESTEE LAUDER COMPANIES INC.</v>
    <v>THE ESTEE LAUDER COMPANIES INC.</v>
    <v>93.84</v>
    <v>87.887600000000006</v>
    <v>93.7</v>
    <v>95.454999999999998</v>
    <v>358719200</v>
    <v>EL</v>
    <v>THE ESTEE LAUDER COMPANIES INC. (XNYS:EL)</v>
    <v>1167710</v>
    <v>4410433</v>
    <v>1976</v>
  </rv>
  <rv s="2">
    <v>937</v>
  </rv>
  <rv s="0">
    <v>http://en.wikipedia.org/wiki/Western_Digital</v>
    <v>Wikipedia</v>
  </rv>
  <rv s="3">
    <v>3</v>
    <v>939</v>
  </rv>
  <rv s="4">
    <v>9</v>
    <v>https://www.bing.com/th?id=AMMS_b9efb984265253a027f300c3dcbbcbc0&amp;qlt=95</v>
    <v>940</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81.55</v>
    <v>35.619999999999997</v>
    <v>1.3813</v>
    <v>-1.43</v>
    <v>-2.2221999999999999E-2</v>
    <v>USD</v>
    <v>Western Digital Corporation (Western Digital) is a developer, manufacturer, and provider of data storage devices and solutions based on both NAND flash and hard disk drive technologies. It sells data storage devices and solutions in the United States and in foreign countries through its sales personnel, dealers, distributors, retailers, and subsidiaries. It has two segments: flash-based products (Flash) and hard disk drives (HDD). Flash products provide non-volatile data storage based on flash technology. It develops and manufactures solid state storage products for a variety of applications including enterprise or cloud storage, client storage, automotive, mobile devices, and removable memory devices. HDD products provide non-volatile data storage by recording magnetic information on a rotating disk. It develops and manufactures substantially all the recording heads and magnetic media used in its HDD products. Its portfolio of technology and products address multiple end markets.</v>
    <v>51000</v>
    <v>Nasdaq Stock Market</v>
    <v>XNAS</v>
    <v>XNAS</v>
    <v>5601 Great Oaks Parkway, SAN JOSE, CA, 95119 US</v>
    <v>64.290000000000006</v>
    <v>941</v>
    <v>Computers, Phones &amp; Household Electronics</v>
    <v>Stock</v>
    <v>45530.686851191407</v>
    <v>942</v>
    <v>62.52</v>
    <v>21609974672</v>
    <v>WESTERN DIGITAL CORPORATION</v>
    <v>WESTERN DIGITAL CORPORATION</v>
    <v>63.89</v>
    <v>0</v>
    <v>64.349999999999994</v>
    <v>62.92</v>
    <v>343451600</v>
    <v>WDC</v>
    <v>WESTERN DIGITAL CORPORATION (XNAS:WDC)</v>
    <v>1545300</v>
    <v>7520553</v>
    <v>2000</v>
  </rv>
  <rv s="2">
    <v>943</v>
  </rv>
  <rv s="0">
    <v>https://www.bing.com/financeapi/forcetrigger?t=a1r8ur&amp;q=XNYS%3aDOV&amp;form=skydnc</v>
    <v>Learn more on Bing</v>
  </rv>
  <rv s="1">
    <v>en-US</v>
    <v>a1r8ur</v>
    <v>268435456</v>
    <v>1</v>
    <v>Powered by Refinitiv</v>
    <v>0</v>
    <v>DOVER CORPORATION (XNYS:DOV)</v>
    <v>2</v>
    <v>3</v>
    <v>Finance</v>
    <v>4</v>
    <v>192.31</v>
    <v>127.25</v>
    <v>1.2191000000000001</v>
    <v>-1.1950000000000001</v>
    <v>-6.4720000000000003E-3</v>
    <v>USD</v>
    <v>Dover Corporation is a diversified global manufacturer and solutions provider. Its Engineered Products segment provides a range of equipment, components, software, solutions and services to the vehicle aftermarket, waste handling, and aerospace and defense.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186.11</v>
    <v>Machinery, Equipment &amp; Components</v>
    <v>Stock</v>
    <v>45530.686589328128</v>
    <v>945</v>
    <v>183.065</v>
    <v>25215909432</v>
    <v>DOVER CORPORATION</v>
    <v>DOVER CORPORATION</v>
    <v>185.43</v>
    <v>17.211400000000001</v>
    <v>184.64</v>
    <v>183.44499999999999</v>
    <v>137457600</v>
    <v>DOV</v>
    <v>DOVER CORPORATION (XNYS:DOV)</v>
    <v>180409</v>
    <v>886602</v>
    <v>1947</v>
  </rv>
  <rv s="2">
    <v>946</v>
  </rv>
  <rv s="0">
    <v>https://www.bing.com/financeapi/forcetrigger?t=a1p58m&amp;q=XNYS%3aCAH&amp;form=skydnc</v>
    <v>Learn more on Bing</v>
  </rv>
  <rv s="1">
    <v>en-US</v>
    <v>a1p58m</v>
    <v>268435456</v>
    <v>1</v>
    <v>Powered by Refinitiv</v>
    <v>0</v>
    <v>CARDINAL HEALTH, INC. (XNYS:CAH)</v>
    <v>2</v>
    <v>3</v>
    <v>Finance</v>
    <v>4</v>
    <v>116.04</v>
    <v>85.82</v>
    <v>0.61519999999999997</v>
    <v>-7.0000000000000007E-2</v>
    <v>-6.3960000000000004E-4</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(PSS) and Global Medical Products and Distribution (GMPD). The PSS segment distributes branded and generic pharmaceutical, specialty pharmaceutical and over-the-counter healthcare and consumer products in the United States. The GMPD segment manufactures, sources and distributes Cardinal Health branded medical, surgical and laboratory products, which are sold in the United States, Canada, Europe, Asia and other markets. It connects patients, providers, payers, pharmacists and manufacturers for integrated care coordination. It also offers Olathe medical devices.</v>
    <v>48900</v>
    <v>New York Stock Exchange</v>
    <v>XNYS</v>
    <v>XNYS</v>
    <v>7000 Cardinal Pl, DUBLIN, OH, 43017 US</v>
    <v>109.96</v>
    <v>Pharmaceuticals</v>
    <v>Stock</v>
    <v>45530.686832256251</v>
    <v>948</v>
    <v>109.08</v>
    <v>26669360461</v>
    <v>CARDINAL HEALTH, INC.</v>
    <v>CARDINAL HEALTH, INC.</v>
    <v>109.76</v>
    <v>31.4999</v>
    <v>109.44</v>
    <v>109.37</v>
    <v>243845300</v>
    <v>CAH</v>
    <v>CARDINAL HEALTH, INC. (XNYS:CAH)</v>
    <v>325061</v>
    <v>1847751</v>
    <v>1979</v>
  </rv>
  <rv s="2">
    <v>949</v>
  </rv>
  <rv s="0">
    <v>https://www.bing.com/financeapi/forcetrigger?t=a1o1jc&amp;q=XNYS%3aAWK&amp;form=skydnc</v>
    <v>Learn more on Bing</v>
  </rv>
  <rv s="1">
    <v>en-US</v>
    <v>a1o1jc</v>
    <v>268435456</v>
    <v>1</v>
    <v>Powered by Refinitiv</v>
    <v>0</v>
    <v>AMERICAN WATER WORKS COMPANY, INC. (XNYS:AWK)</v>
    <v>2</v>
    <v>3</v>
    <v>Finance</v>
    <v>4</v>
    <v>149</v>
    <v>113.34</v>
    <v>0.68899999999999995</v>
    <v>0.85</v>
    <v>6.0529999999999994E-3</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6500</v>
    <v>New York Stock Exchange</v>
    <v>XNYS</v>
    <v>XNYS</v>
    <v>1 Water Street, CAMDEN, NJ, 08102-1658 US</v>
    <v>142.25</v>
    <v>Water Utilities</v>
    <v>Stock</v>
    <v>45530.686828772654</v>
    <v>951</v>
    <v>140.51</v>
    <v>27528296010</v>
    <v>AMERICAN WATER WORKS COMPANY, INC.</v>
    <v>AMERICAN WATER WORKS COMPANY, INC.</v>
    <v>140.97999999999999</v>
    <v>28.658100000000001</v>
    <v>140.41999999999999</v>
    <v>141.27000000000001</v>
    <v>194863000</v>
    <v>AWK</v>
    <v>AMERICAN WATER WORKS COMPANY, INC. (XNYS:AWK)</v>
    <v>126225</v>
    <v>832794</v>
    <v>1936</v>
  </rv>
  <rv s="2">
    <v>952</v>
  </rv>
  <rv s="0">
    <v>https://www.bing.com/financeapi/forcetrigger?t=a25sk2&amp;q=XNYS%3aWEC&amp;form=skydnc</v>
    <v>Learn more on Bing</v>
  </rv>
  <rv s="1">
    <v>en-US</v>
    <v>a25sk2</v>
    <v>268435456</v>
    <v>1</v>
    <v>Powered by Refinitiv</v>
    <v>0</v>
    <v>WEC ENERGY GROUP, INC. (XNYS:WEC)</v>
    <v>2</v>
    <v>3</v>
    <v>Finance</v>
    <v>4</v>
    <v>93.56</v>
    <v>75.126000000000005</v>
    <v>0.43390000000000001</v>
    <v>0.23</v>
    <v>2.4819999999999998E-3</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7000</v>
    <v>New York Stock Exchange</v>
    <v>XNYS</v>
    <v>XNYS</v>
    <v>PO Box 1331, 231 W Michigan St, MILWAUKEE, WI, 53201-1331 US</v>
    <v>93.56</v>
    <v>Electrical Utilities &amp; IPPs</v>
    <v>Stock</v>
    <v>45530.686892221878</v>
    <v>954</v>
    <v>92.78</v>
    <v>29360615466</v>
    <v>WEC ENERGY GROUP, INC.</v>
    <v>WEC ENERGY GROUP, INC.</v>
    <v>93.01</v>
    <v>21.3948</v>
    <v>92.66</v>
    <v>92.89</v>
    <v>316079400</v>
    <v>WEC</v>
    <v>WEC ENERGY GROUP, INC. (XNYS:WEC)</v>
    <v>365314</v>
    <v>2782895</v>
    <v>1981</v>
  </rv>
  <rv s="2">
    <v>955</v>
  </rv>
  <rv s="0">
    <v>https://www.bing.com/financeapi/forcetrigger?t=a1u6sm&amp;q=XNYS%3aGRMN&amp;form=skydnc</v>
    <v>Learn more on Bing</v>
  </rv>
  <rv s="1">
    <v>en-US</v>
    <v>a1u6sm</v>
    <v>268435456</v>
    <v>1</v>
    <v>Powered by Refinitiv</v>
    <v>0</v>
    <v>Garmin Ltd (XNYS:GRMN)</v>
    <v>2</v>
    <v>3</v>
    <v>Finance</v>
    <v>4</v>
    <v>181.26</v>
    <v>99.61</v>
    <v>1.0077</v>
    <v>-0.245</v>
    <v>-1.3630000000000001E-3</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181.26</v>
    <v>Communications &amp; Networking</v>
    <v>Stock</v>
    <v>45530.686889964847</v>
    <v>957</v>
    <v>178.95</v>
    <v>34505260307</v>
    <v>Garmin Ltd</v>
    <v>Garmin Ltd</v>
    <v>180.45</v>
    <v>25.152999999999999</v>
    <v>179.76</v>
    <v>179.51499999999999</v>
    <v>192213800</v>
    <v>GRMN</v>
    <v>Garmin Ltd (XNYS:GRMN)</v>
    <v>129923</v>
    <v>801415</v>
    <v>2010</v>
  </rv>
  <rv s="2">
    <v>958</v>
  </rv>
  <rv s="0">
    <v>https://www.bing.com/financeapi/forcetrigger?t=a24mnm&amp;q=XNAS%3aTTWO&amp;form=skydnc</v>
    <v>Learn more on Bing</v>
  </rv>
  <rv s="1">
    <v>en-US</v>
    <v>a24mnm</v>
    <v>268435456</v>
    <v>1</v>
    <v>Powered by Refinitiv</v>
    <v>0</v>
    <v>TAKE-TWO INTERACTIVE SOFTWARE, INC. (XNAS:TTWO)</v>
    <v>2</v>
    <v>3</v>
    <v>Finance</v>
    <v>4</v>
    <v>171.59</v>
    <v>130.34</v>
    <v>0.85560000000000003</v>
    <v>1.49</v>
    <v>9.3480000000000004E-3</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161.02000000000001</v>
    <v>Software &amp; IT Services</v>
    <v>Stock</v>
    <v>45530.686837395311</v>
    <v>960</v>
    <v>159.70500000000001</v>
    <v>28199496864</v>
    <v>TAKE-TWO INTERACTIVE SOFTWARE, INC.</v>
    <v>TAKE-TWO INTERACTIVE SOFTWARE, INC.</v>
    <v>159.94</v>
    <v>0</v>
    <v>159.38999999999999</v>
    <v>160.88</v>
    <v>175282800</v>
    <v>TTWO</v>
    <v>TAKE-TWO INTERACTIVE SOFTWARE, INC. (XNAS:TTWO)</v>
    <v>187411</v>
    <v>1744227</v>
    <v>1993</v>
  </rv>
  <rv s="2">
    <v>961</v>
  </rv>
  <rv s="0">
    <v>https://www.bing.com/financeapi/forcetrigger?t=a1vcgh&amp;q=XNYS%3aIFF&amp;form=skydnc</v>
    <v>Learn more on Bing</v>
  </rv>
  <rv s="6">
    <v>en-US</v>
    <v>a1vcgh</v>
    <v>268435456</v>
    <v>1</v>
    <v>Powered by Refinitiv</v>
    <v>10</v>
    <v>INTERNATIONAL FLAVORS &amp; FRAGRANCES INC. (XNYS:IFF)</v>
    <v>2</v>
    <v>13</v>
    <v>Finance</v>
    <v>4</v>
    <v>101.89</v>
    <v>62.28</v>
    <v>1.2345999999999999</v>
    <v>0.72</v>
    <v>7.1940000000000007E-3</v>
    <v>USD</v>
    <v>International Flavors &amp; Fragrances Inc. is a creator and manufacturer of food, beverage, health and biosciences, scent and pharma solutions, and complementary adjacent products. The Company operates through four segments. The Nourish segment consists of a portfolio of natural-based ingredients to enhance nutritional value, texture and functionality in a range of beverage, dairy, bakery, confectionery and culinary applications and consists of ingredients, flavors and food designs. The Health &amp; Biosciences segment consists of the development and production of an advanced biotechnology-derived portfolio of enzymes, food cultures, probiotics and specialty ingredients for food and non-food applications. The Scent segment creates fragrance compounds and fragrance ingredients. The Pharma Solutions segment produces a portfolio that includes cellulosics and seaweed-based pharmaceutical excipients, used to improve the functionality and delivery of active pharmaceutical ingredients.</v>
    <v>21500</v>
    <v>New York Stock Exchange</v>
    <v>XNYS</v>
    <v>XNYS</v>
    <v>521 W 57TH ST, NEW YORK, NY, 10019 US</v>
    <v>101.85</v>
    <v>Food &amp; Tobacco</v>
    <v>Stock</v>
    <v>45530.686806642967</v>
    <v>963</v>
    <v>100.065</v>
    <v>25770447360</v>
    <v>INTERNATIONAL FLAVORS &amp; FRAGRANCES INC.</v>
    <v>INTERNATIONAL FLAVORS &amp; FRAGRANCES INC.</v>
    <v>100.6</v>
    <v>100.08</v>
    <v>100.8</v>
    <v>255659200</v>
    <v>IFF</v>
    <v>INTERNATIONAL FLAVORS &amp; FRAGRANCES INC. (XNYS:IFF)</v>
    <v>211414</v>
    <v>1376842</v>
    <v>1909</v>
  </rv>
  <rv s="2">
    <v>964</v>
  </rv>
  <rv s="0">
    <v>https://www.bing.com/financeapi/forcetrigger?t=a1sx7w&amp;q=XNAS%3aFITB&amp;form=skydnc</v>
    <v>Learn more on Bing</v>
  </rv>
  <rv s="1">
    <v>en-US</v>
    <v>a1sx7w</v>
    <v>268435456</v>
    <v>1</v>
    <v>Powered by Refinitiv</v>
    <v>0</v>
    <v>FIFTH THIRD BANCORP (XNAS:FITB)</v>
    <v>2</v>
    <v>3</v>
    <v>Finance</v>
    <v>4</v>
    <v>42.91</v>
    <v>22.49</v>
    <v>1.2386999999999999</v>
    <v>-9.5000000000000001E-2</v>
    <v>-2.2550000000000001E-3</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18607</v>
    <v>Nasdaq Stock Market</v>
    <v>XNAS</v>
    <v>XNAS</v>
    <v>38 Fountain Square Plaza, CINCINNATI, OH, 45263 US</v>
    <v>42.45</v>
    <v>Banking Services</v>
    <v>Stock</v>
    <v>45530.686820428127</v>
    <v>966</v>
    <v>41.924999999999997</v>
    <v>28442410735</v>
    <v>FIFTH THIRD BANCORP</v>
    <v>FIFTH THIRD BANCORP</v>
    <v>42.33</v>
    <v>13.4476</v>
    <v>42.12</v>
    <v>42.024999999999999</v>
    <v>676797400</v>
    <v>FITB</v>
    <v>FIFTH THIRD BANCORP (XNAS:FITB)</v>
    <v>775859</v>
    <v>4170810</v>
    <v>1974</v>
  </rv>
  <rv s="2">
    <v>967</v>
  </rv>
  <rv s="0">
    <v>https://www.bing.com/financeapi/forcetrigger?t=a1y1w7&amp;q=XNYS%3aMTB&amp;form=skydnc</v>
    <v>Learn more on Bing</v>
  </rv>
  <rv s="1">
    <v>en-US</v>
    <v>a1y1w7</v>
    <v>268435456</v>
    <v>1</v>
    <v>Powered by Refinitiv</v>
    <v>0</v>
    <v>M&amp;T BANK CORPORATION (XNYS:MTB)</v>
    <v>2</v>
    <v>3</v>
    <v>Finance</v>
    <v>4</v>
    <v>176.44</v>
    <v>108.53</v>
    <v>0.74519999999999997</v>
    <v>-1.26</v>
    <v>-7.4700000000000001E-3</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22110</v>
    <v>New York Stock Exchange</v>
    <v>XNYS</v>
    <v>XNYS</v>
    <v>One M&amp;T Plaza, BUFFALO, NY, 14203 US</v>
    <v>169.95</v>
    <v>Banking Services</v>
    <v>Stock</v>
    <v>45530.686788622654</v>
    <v>969</v>
    <v>167.31</v>
    <v>27959257193</v>
    <v>M&amp;T BANK CORPORATION</v>
    <v>M&amp;T BANK CORPORATION</v>
    <v>169.95</v>
    <v>12.5449</v>
    <v>168.68</v>
    <v>167.42</v>
    <v>167000700</v>
    <v>MTB</v>
    <v>M&amp;T BANK CORPORATION (XNYS:MTB)</v>
    <v>167374</v>
    <v>925773</v>
    <v>1969</v>
  </rv>
  <rv s="2">
    <v>970</v>
  </rv>
  <rv s="0">
    <v>https://www.bing.com/financeapi/forcetrigger?t=a1x8c7&amp;q=XNYS%3aLYB&amp;form=skydnc</v>
    <v>Learn more on Bing</v>
  </rv>
  <rv s="1">
    <v>en-US</v>
    <v>a1x8c7</v>
    <v>268435456</v>
    <v>1</v>
    <v>Powered by Refinitiv</v>
    <v>0</v>
    <v>LyondellBasell Industries NV (XNYS:LYB)</v>
    <v>2</v>
    <v>3</v>
    <v>Finance</v>
    <v>4</v>
    <v>107.02</v>
    <v>88.46</v>
    <v>1.0647</v>
    <v>1.1950000000000001</v>
    <v>1.2325999999999998E-2</v>
    <v>USD</v>
    <v>LyondellBasell Industries N.V. is a chemical company creating solutions for everyday sustainable living. Its segments include Olefins and Polyolefins-Americas (O&amp;P-Americas), Olefins and Polyolefins-Europe, Asia, International (O&amp;P-EAI), Intermediates and Derivatives (I&amp;D), Advanced Polymer Solutions (APS), Refining, and Technology. The O&amp;P-Americas and O&amp;P-EAI segments produce and market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Refining segment refines heavy, high-sulfur crude oil and other crude oils of various types. The Technology segment develops and licenses chemical and polyolefin process technologies.</v>
    <v>20000</v>
    <v>New York Stock Exchange</v>
    <v>XNYS</v>
    <v>XNYS</v>
    <v>4th Floor, One Vine Street, LONDON, UNITED KINGDOM-NA, W1J0AH GB</v>
    <v>99.36</v>
    <v>Chemicals</v>
    <v>Stock</v>
    <v>45530.686849930469</v>
    <v>972</v>
    <v>97.534700000000001</v>
    <v>31953020000</v>
    <v>LyondellBasell Industries NV</v>
    <v>LyondellBasell Industries NV</v>
    <v>97.91</v>
    <v>13.8096</v>
    <v>96.95</v>
    <v>98.144999999999996</v>
    <v>325089200</v>
    <v>LYB</v>
    <v>LyondellBasell Industries NV (XNYS:LYB)</v>
    <v>494454</v>
    <v>1569793</v>
    <v>2009</v>
  </rv>
  <rv s="2">
    <v>973</v>
  </rv>
  <rv s="0">
    <v>https://www.bing.com/financeapi/forcetrigger?t=a1u4zr&amp;q=XNYS%3aGPN&amp;form=skydnc</v>
    <v>Learn more on Bing</v>
  </rv>
  <rv s="1">
    <v>en-US</v>
    <v>a1u4zr</v>
    <v>268435456</v>
    <v>1</v>
    <v>Powered by Refinitiv</v>
    <v>0</v>
    <v>GLOBAL PAYMENTS INC. (XNYS:GPN)</v>
    <v>2</v>
    <v>3</v>
    <v>Finance</v>
    <v>4</v>
    <v>141.77500000000001</v>
    <v>91.6</v>
    <v>0.98860000000000003</v>
    <v>0.34</v>
    <v>3.0769999999999999E-3</v>
    <v>USD</v>
    <v>Global Payments Inc. is a payments technology company that delivers software and services. It operates through two segments: Merchant Solutions, Issuer Solutions and Business. Through its Merchant Solutions segment, the Company provides payments technology and software solutions to customers. Its segment offerings include authorization, settlement and funding services, customer support, chargeback resolution, terminal rental, sales and deployment, payment security services, consolidated billing and reporting. In addition, it offers an array of enterprise software solutions that streamline business operations to customers in numerous vertical markets. Through its Issuer Solutions segment, the Company provide solutions that enable financial institutions and other financial service providers to manage their card portfolios. It also provides commercial payments, accounts payable and electronic payment alternatives solutions that support B2B payment processes for businesses and governments.</v>
    <v>27000</v>
    <v>New York Stock Exchange</v>
    <v>XNYS</v>
    <v>XNYS</v>
    <v>3550 Lenox Road, ATLANTA, GA, 30326 US</v>
    <v>112.12</v>
    <v>Professional &amp; Commercial Services</v>
    <v>Stock</v>
    <v>45530.686854803127</v>
    <v>975</v>
    <v>110.6708</v>
    <v>28199252710</v>
    <v>GLOBAL PAYMENTS INC.</v>
    <v>GLOBAL PAYMENTS INC.</v>
    <v>111.355</v>
    <v>20.280100000000001</v>
    <v>110.49</v>
    <v>110.83</v>
    <v>254437000</v>
    <v>GPN</v>
    <v>GLOBAL PAYMENTS INC. (XNYS:GPN)</v>
    <v>283049</v>
    <v>1998712</v>
    <v>2000</v>
  </rv>
  <rv s="2">
    <v>976</v>
  </rv>
  <rv s="0">
    <v>https://www.bing.com/financeapi/forcetrigger?t=a1yw1h&amp;q=XNYS%3aNVR&amp;form=skydnc</v>
    <v>Learn more on Bing</v>
  </rv>
  <rv s="1">
    <v>en-US</v>
    <v>a1yw1h</v>
    <v>268435456</v>
    <v>1</v>
    <v>Powered by Refinitiv</v>
    <v>0</v>
    <v>NVR, Inc. (XNYS:NVR)</v>
    <v>2</v>
    <v>3</v>
    <v>Finance</v>
    <v>4</v>
    <v>9359.3799999999992</v>
    <v>5210.49</v>
    <v>1.1880999999999999</v>
    <v>-112.26</v>
    <v>-1.2043E-2</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operates in 36 metropolitan areas in 15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operates in Maryland, Virginia, West Virginia, Delaware and Washington, District of Columbia (D.C.). Its North East division operates in New Jersey and Eastern Pennsylvania.</v>
    <v>6300</v>
    <v>New York Stock Exchange</v>
    <v>XNYS</v>
    <v>XNYS</v>
    <v>SUITE 500, 11700 PLAZA AMERICA DR., RESTON, VA, 20190 US</v>
    <v>9359.3799999999992</v>
    <v>Homebuilding &amp; Construction Supplies</v>
    <v>Stock</v>
    <v>45530.686752418747</v>
    <v>978</v>
    <v>9192.64</v>
    <v>28687080000</v>
    <v>NVR, Inc.</v>
    <v>NVR, Inc.</v>
    <v>9335.2000000000007</v>
    <v>19.264399999999998</v>
    <v>9321.27</v>
    <v>9209.01</v>
    <v>3077590</v>
    <v>NVR</v>
    <v>NVR, Inc. (XNYS:NVR)</v>
    <v>4540</v>
    <v>20291</v>
    <v>1993</v>
  </rv>
  <rv s="2">
    <v>979</v>
  </rv>
  <rv s="0">
    <v>https://www.bing.com/financeapi/forcetrigger?t=a262jc&amp;q=XNYS%3aWST&amp;form=skydnc</v>
    <v>Learn more on Bing</v>
  </rv>
  <rv s="1">
    <v>en-US</v>
    <v>a262jc</v>
    <v>268435456</v>
    <v>1</v>
    <v>Powered by Refinitiv</v>
    <v>0</v>
    <v>WEST PHARMACEUTICAL SERVICES, INC. (XNYS:WST)</v>
    <v>2</v>
    <v>3</v>
    <v>Finance</v>
    <v>4</v>
    <v>415.73</v>
    <v>265</v>
    <v>1.0072000000000001</v>
    <v>0.74</v>
    <v>2.444E-3</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305.74</v>
    <v>Healthcare Equipment &amp; Supplies</v>
    <v>Stock</v>
    <v>45530.686683784377</v>
    <v>981</v>
    <v>300.83999999999997</v>
    <v>22017823396</v>
    <v>WEST PHARMACEUTICAL SERVICES, INC.</v>
    <v>WEST PHARMACEUTICAL SERVICES, INC.</v>
    <v>305.05</v>
    <v>43.04</v>
    <v>302.77999999999997</v>
    <v>303.52</v>
    <v>72541590</v>
    <v>WST</v>
    <v>WEST PHARMACEUTICAL SERVICES, INC. (XNYS:WST)</v>
    <v>76604</v>
    <v>749759</v>
    <v>1923</v>
  </rv>
  <rv s="2">
    <v>982</v>
  </rv>
  <rv s="0">
    <v>https://www.bing.com/financeapi/forcetrigger?t=a1wh7w&amp;q=XNYS%3aKEYS&amp;form=skydnc</v>
    <v>Learn more on Bing</v>
  </rv>
  <rv s="1">
    <v>en-US</v>
    <v>a1wh7w</v>
    <v>268435456</v>
    <v>1</v>
    <v>Powered by Refinitiv</v>
    <v>0</v>
    <v>KEYSIGHT TECHNOLOGIES, INC. (XNYS:KEYS)</v>
    <v>2</v>
    <v>3</v>
    <v>Finance</v>
    <v>4</v>
    <v>162.51</v>
    <v>118.57</v>
    <v>0.97289999999999999</v>
    <v>-0.19</v>
    <v>-1.2260000000000001E-3</v>
    <v>USD</v>
    <v>Keysight Technologies, Inc. is a technology company. The Company is primarily engaged in providing electronic design and test solutions. It operates through two segments: Communications Solutions Group (CSG) and Electronics Industrial Solutions Group (EISG). Its CSG segment serves customers, including commercial communications and aerospace, defense, and government end markets. Its CSG’s solutions consist of electronic design and test software, electronic measurement instruments, systems and related services. The Company’s EISG segment provides test and measurement solutions and related services across a set of electronic industrial end markets, focusing on applications in the automotive and energy industries and measurement solutions for consumer electronics, education, general electronics design and manufacturing, and semiconductor design and manufacturing. The Company also offers customization, consulting and optimization services throughout the product development lifecycle.</v>
    <v>15400</v>
    <v>New York Stock Exchange</v>
    <v>XNYS</v>
    <v>XNYS</v>
    <v>1400 Fountaingrove Pkwy, SANTA ROSA, CA, 95403 US</v>
    <v>155.81</v>
    <v>Electronic Equipment &amp; Parts</v>
    <v>Stock</v>
    <v>45530.686827325779</v>
    <v>984</v>
    <v>154.37</v>
    <v>26861270000</v>
    <v>KEYSIGHT TECHNOLOGIES, INC.</v>
    <v>KEYSIGHT TECHNOLOGIES, INC.</v>
    <v>155.05000000000001</v>
    <v>29.908200000000001</v>
    <v>155.01</v>
    <v>154.82</v>
    <v>173500000</v>
    <v>KEYS</v>
    <v>KEYSIGHT TECHNOLOGIES, INC. (XNYS:KEYS)</v>
    <v>262413</v>
    <v>1541406</v>
    <v>2013</v>
  </rv>
  <rv s="2">
    <v>985</v>
  </rv>
  <rv s="0">
    <v>https://www.bing.com/financeapi/forcetrigger?t=a1zutc&amp;q=XNYS%3aPHM&amp;form=skydnc</v>
    <v>Learn more on Bing</v>
  </rv>
  <rv s="1">
    <v>en-US</v>
    <v>a1zutc</v>
    <v>268435456</v>
    <v>1</v>
    <v>Powered by Refinitiv</v>
    <v>0</v>
    <v>PULTEGROUP, INC. (XNYS:PHM)</v>
    <v>2</v>
    <v>3</v>
    <v>Finance</v>
    <v>4</v>
    <v>136.71</v>
    <v>68.8</v>
    <v>1.6309</v>
    <v>-0.38</v>
    <v>-2.8120000000000003E-3</v>
    <v>USD</v>
    <v>PulteGroup, Inc. is a homebuilder in the United States. The Company's segments include Homebuilding and Financial Services. The Homebuilding operations are engaged in the acquisition and development of land primarily for residential purposes within the United States and the construction of housing on such land. The Financial Services segment consist principally of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brands, such as Centex, Pulte Homes, Del Webb, DiVosta Homes, John Wieland Homes and Neighborhoods, and American West offers variety of home designs with varying levels of options and amenities to its customer groups.</v>
    <v>6382</v>
    <v>New York Stock Exchange</v>
    <v>XNYS</v>
    <v>XNYS</v>
    <v>3350 Peachtree Road Northeast, Suite 1500, ATLANTA, GA, 30326 US</v>
    <v>136.71</v>
    <v>Homebuilding &amp; Construction Supplies</v>
    <v>Stock</v>
    <v>45530.686762858597</v>
    <v>987</v>
    <v>133.79</v>
    <v>27963859000</v>
    <v>PULTEGROUP, INC.</v>
    <v>PULTEGROUP, INC.</v>
    <v>136.71</v>
    <v>10.299300000000001</v>
    <v>135.13</v>
    <v>134.75</v>
    <v>207524000</v>
    <v>PHM</v>
    <v>PULTEGROUP, INC. (XNYS:PHM)</v>
    <v>471628</v>
    <v>2057998</v>
    <v>1987</v>
  </rv>
  <rv s="2">
    <v>988</v>
  </rv>
  <rv s="0">
    <v>https://www.bing.com/financeapi/forcetrigger?t=a1ossm&amp;q=XNYS%3aBR&amp;form=skydnc</v>
    <v>Learn more on Bing</v>
  </rv>
  <rv s="1">
    <v>en-US</v>
    <v>a1ossm</v>
    <v>268435456</v>
    <v>1</v>
    <v>Powered by Refinitiv</v>
    <v>0</v>
    <v>BROADRIDGE FINANCIAL SOLUTIONS, INC. (XNYS:BR)</v>
    <v>2</v>
    <v>3</v>
    <v>Finance</v>
    <v>4</v>
    <v>223.81</v>
    <v>166.73</v>
    <v>1.0569</v>
    <v>1.1100000000000001</v>
    <v>5.3100000000000005E-3</v>
    <v>USD</v>
    <v>Broadridge Financial Solutions, Inc. is a financial technology company. It provides investor communications and technology-driven solutions to banks, broker-dealers, asset and wealth managers, public companies, investors, and mutual funds. Its segments include Investor Communication Solutions (ICS) and Global Technology and Operations (GTO).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GTO business provides solutions that automate the front-to-back transaction lifecycle of equity, mutual fund, foreign exchange, and exchange-traded derivatives, from order capture and execution through trade confirmation, margin, reconciliations, and others. It also offers asset management and wealth management firms with data products.</v>
    <v>14600</v>
    <v>New York Stock Exchange</v>
    <v>XNYS</v>
    <v>XNYS</v>
    <v>5 Dakota Drive, LAKE SUCCESS, NY, 11042 US</v>
    <v>211.32</v>
    <v>Professional &amp; Commercial Services</v>
    <v>Stock</v>
    <v>45530.686647707815</v>
    <v>990</v>
    <v>208.8</v>
    <v>24395650000</v>
    <v>BROADRIDGE FINANCIAL SOLUTIONS, INC.</v>
    <v>BROADRIDGE FINANCIAL SOLUTIONS, INC.</v>
    <v>209.285</v>
    <v>35.834499999999998</v>
    <v>209.03</v>
    <v>210.14</v>
    <v>116708800</v>
    <v>BR</v>
    <v>BROADRIDGE FINANCIAL SOLUTIONS, INC. (XNYS:BR)</v>
    <v>193134</v>
    <v>625259</v>
    <v>2006</v>
  </rv>
  <rv s="2">
    <v>991</v>
  </rv>
  <rv s="0">
    <v>https://www.bing.com/financeapi/forcetrigger?t=a1s4yc&amp;q=XNYS%3aEQR&amp;form=skydnc</v>
    <v>Learn more on Bing</v>
  </rv>
  <rv s="1">
    <v>en-US</v>
    <v>a1s4yc</v>
    <v>268435456</v>
    <v>1</v>
    <v>Powered by Refinitiv</v>
    <v>0</v>
    <v>EQUITY RESIDENTIAL (XNYS:EQR)</v>
    <v>2</v>
    <v>3</v>
    <v>Finance</v>
    <v>4</v>
    <v>73.834999999999994</v>
    <v>52.57</v>
    <v>0.90859999999999996</v>
    <v>-0.255</v>
    <v>-3.4629999999999999E-3</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302 properties located in 10 states and the District of Columbia consisting of 80,191 apartment units. ERP Operating Limited Partnership (ERPOP) conducts the multifamily residential property business of Equity Residential.</v>
    <v>2400</v>
    <v>New York Stock Exchange</v>
    <v>XNYS</v>
    <v>XNYS</v>
    <v>Two North Riverside Plaza, Suite 400, CHICAGO, IL, 60606 US</v>
    <v>73.709999999999994</v>
    <v>Residential &amp; Commercial REIT</v>
    <v>Stock</v>
    <v>45530.686853217187</v>
    <v>993</v>
    <v>73.075000000000003</v>
    <v>27815501287</v>
    <v>EQUITY RESIDENTIAL</v>
    <v>EQUITY RESIDENTIAL</v>
    <v>73.36</v>
    <v>29.3185</v>
    <v>73.63</v>
    <v>73.375</v>
    <v>379086900</v>
    <v>EQR</v>
    <v>EQUITY RESIDENTIAL (XNYS:EQR)</v>
    <v>581575</v>
    <v>1942812</v>
    <v>1992</v>
  </rv>
  <rv s="2">
    <v>994</v>
  </rv>
  <rv s="0">
    <v>https://www.bing.com/financeapi/forcetrigger?t=a244ur&amp;q=XNAS%3aTER&amp;form=skydnc</v>
    <v>Learn more on Bing</v>
  </rv>
  <rv s="1">
    <v>en-US</v>
    <v>a244ur</v>
    <v>268435456</v>
    <v>1</v>
    <v>Powered by Refinitiv</v>
    <v>0</v>
    <v>TERADYNE, INC. (XNAS:TER)</v>
    <v>2</v>
    <v>3</v>
    <v>Finance</v>
    <v>4</v>
    <v>163.20500000000001</v>
    <v>81.075000000000003</v>
    <v>1.4938</v>
    <v>-2.4300000000000002</v>
    <v>-1.7876E-2</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135.79</v>
    <v>Semiconductors &amp; Semiconductor Equipment</v>
    <v>Stock</v>
    <v>45530.68674623828</v>
    <v>996</v>
    <v>132.6</v>
    <v>21785641111</v>
    <v>TERADYNE, INC.</v>
    <v>TERADYNE, INC.</v>
    <v>135.46</v>
    <v>44.746499999999997</v>
    <v>135.94</v>
    <v>133.51</v>
    <v>163176100</v>
    <v>TER</v>
    <v>TERADYNE, INC. (XNAS:TER)</v>
    <v>224424</v>
    <v>2335011</v>
    <v>1960</v>
  </rv>
  <rv s="2">
    <v>997</v>
  </rv>
  <rv s="0">
    <v>https://www.bing.com/financeapi/forcetrigger?t=a1rcp2&amp;q=XNYS%3aDTE&amp;form=skydnc</v>
    <v>Learn more on Bing</v>
  </rv>
  <rv s="1">
    <v>en-US</v>
    <v>a1rcp2</v>
    <v>268435456</v>
    <v>1</v>
    <v>Powered by Refinitiv</v>
    <v>0</v>
    <v>DTE ENERGY COMPANY (XNYS:DTE)</v>
    <v>2</v>
    <v>3</v>
    <v>Finance</v>
    <v>4</v>
    <v>126.76</v>
    <v>90.14</v>
    <v>0.68669999999999998</v>
    <v>0.96499999999999997</v>
    <v>7.7939999999999997E-3</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9950</v>
    <v>New York Stock Exchange</v>
    <v>XNYS</v>
    <v>XNYS</v>
    <v>One Energy Plaza, DETROIT, MI, 48226 US</v>
    <v>125.51</v>
    <v>Electrical Utilities &amp; IPPs</v>
    <v>Stock</v>
    <v>45530.686864571093</v>
    <v>999</v>
    <v>123.7</v>
    <v>25833003178</v>
    <v>DTE ENERGY COMPANY</v>
    <v>DTE ENERGY COMPANY</v>
    <v>124.23</v>
    <v>18.470700000000001</v>
    <v>123.82</v>
    <v>124.785</v>
    <v>207020100</v>
    <v>DTE</v>
    <v>DTE ENERGY COMPANY (XNYS:DTE)</v>
    <v>103269</v>
    <v>957120</v>
    <v>1995</v>
  </rv>
  <rv s="2">
    <v>1000</v>
  </rv>
  <rv s="0">
    <v>https://www.bing.com/financeapi/forcetrigger?t=a1saoc&amp;q=XNYS%3aETR&amp;form=skydnc</v>
    <v>Learn more on Bing</v>
  </rv>
  <rv s="1">
    <v>en-US</v>
    <v>a1saoc</v>
    <v>268435456</v>
    <v>1</v>
    <v>Powered by Refinitiv</v>
    <v>0</v>
    <v>ENTERGY CORPORATION (XNYS:ETR)</v>
    <v>2</v>
    <v>3</v>
    <v>Finance</v>
    <v>4</v>
    <v>123.61</v>
    <v>87.1</v>
    <v>0.72299999999999998</v>
    <v>0.77500000000000002</v>
    <v>6.5239999999999994E-3</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120.1</v>
    <v>Electrical Utilities &amp; IPPs</v>
    <v>Stock</v>
    <v>45530.686851885941</v>
    <v>1002</v>
    <v>118.8758</v>
    <v>25566163345</v>
    <v>ENTERGY CORPORATION</v>
    <v>ENTERGY CORPORATION</v>
    <v>119.13</v>
    <v>14.2112</v>
    <v>118.8</v>
    <v>119.575</v>
    <v>213808600</v>
    <v>ETR</v>
    <v>ENTERGY CORPORATION (XNYS:ETR)</v>
    <v>962746</v>
    <v>1531800</v>
    <v>1992</v>
  </rv>
  <rv s="2">
    <v>1003</v>
  </rv>
  <rv s="0">
    <v>http://zh.wikipedia.org/wiki/OMX</v>
    <v>Wikipedia</v>
  </rv>
  <rv s="3">
    <v>3</v>
    <v>1005</v>
  </rv>
  <rv s="4">
    <v>9</v>
    <v>https://www.bing.com/th?id=AMMS_ca29f5ea4bb769bc6f9c17b9fef790ab&amp;qlt=95</v>
    <v>1006</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70.98</v>
    <v>46.88</v>
    <v>0.95899999999999996</v>
    <v>0.1</v>
    <v>1.421E-3</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8658</v>
    <v>Nasdaq Stock Market</v>
    <v>XNAS</v>
    <v>XNAS</v>
    <v>151 W. 42ND STREET, NEW YORK, NY, 10036 US</v>
    <v>70.8</v>
    <v>1007</v>
    <v>Investment Banking &amp; Investment Services</v>
    <v>Stock</v>
    <v>45530.686871539059</v>
    <v>1008</v>
    <v>70.284999999999997</v>
    <v>40575001180</v>
    <v>NASDAQ, INC.</v>
    <v>NASDAQ, INC.</v>
    <v>70.569999999999993</v>
    <v>40.428699999999999</v>
    <v>70.349999999999994</v>
    <v>70.45</v>
    <v>575940400</v>
    <v>NDAQ</v>
    <v>NASDAQ, INC. (XNAS:NDAQ)</v>
    <v>383376</v>
    <v>3874726</v>
    <v>1979</v>
  </rv>
  <rv s="2">
    <v>1009</v>
  </rv>
  <rv s="0">
    <v>https://www.bing.com/financeapi/forcetrigger?t=a22227&amp;q=XNYS%3aRJF&amp;form=skydnc</v>
    <v>Learn more on Bing</v>
  </rv>
  <rv s="1">
    <v>en-US</v>
    <v>a22227</v>
    <v>268435456</v>
    <v>1</v>
    <v>Powered by Refinitiv</v>
    <v>0</v>
    <v>RAYMOND JAMES FINANCIAL, INC. (XNYS:RJF)</v>
    <v>2</v>
    <v>3</v>
    <v>Finance</v>
    <v>4</v>
    <v>131.19</v>
    <v>91.67</v>
    <v>1.03</v>
    <v>1.48</v>
    <v>1.2672000000000001E-2</v>
    <v>USD</v>
    <v>Raymond James Financial, Inc. is a diversified financial services company providing private client group (PCG), capital markets, asset management, banking and other services to individuals, corporations and municipalities. The Company's PCG services include financial planning, investment advisory and securities transaction services, which are provided to clients through financial advisors. Its capital markets services include investment banking, institutional sales, securities trading, equity research, and the syndication and management of investments in low-income housing funds and funds of a similar nature. Its asset management services include asset management, portfolio management and related administrative services that are provided to retail and institutional clients. Its banking services provide various types of loans, including securities-based loans, corporate loans (commercial and industrial, and commercial real estate), residential mortgage loans and tax-exempt loans.</v>
    <v>18000</v>
    <v>New York Stock Exchange</v>
    <v>XNYS</v>
    <v>XNYS</v>
    <v>880 Carillon Pkwy, ST PETERSBURG, FL, 33716 US</v>
    <v>118.45</v>
    <v>Investment Banking &amp; Investment Services</v>
    <v>Stock</v>
    <v>45530.68686134219</v>
    <v>1011</v>
    <v>116.86</v>
    <v>24356925918</v>
    <v>RAYMOND JAMES FINANCIAL, INC.</v>
    <v>RAYMOND JAMES FINANCIAL, INC.</v>
    <v>117.455</v>
    <v>13.179399999999999</v>
    <v>116.79</v>
    <v>118.27</v>
    <v>205943400</v>
    <v>RJF</v>
    <v>RAYMOND JAMES FINANCIAL, INC. (XNYS:RJF)</v>
    <v>160109</v>
    <v>1372870</v>
    <v>1974</v>
  </rv>
  <rv s="2">
    <v>1012</v>
  </rv>
  <rv s="0">
    <v>https://www.bing.com/financeapi/forcetrigger?t=a26fim&amp;q=XNYS%3aZBH&amp;form=skydnc</v>
    <v>Learn more on Bing</v>
  </rv>
  <rv s="1">
    <v>en-US</v>
    <v>a26fim</v>
    <v>268435456</v>
    <v>1</v>
    <v>Powered by Refinitiv</v>
    <v>0</v>
    <v>ZIMMER BIOMET HOLDINGS, INC. (XNYS:ZBH)</v>
    <v>2</v>
    <v>3</v>
    <v>Finance</v>
    <v>4</v>
    <v>133.9</v>
    <v>102</v>
    <v>1.03</v>
    <v>0.17</v>
    <v>1.4779999999999999E-3</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116.37</v>
    <v>Healthcare Equipment &amp; Supplies</v>
    <v>Stock</v>
    <v>45530.686933147656</v>
    <v>1014</v>
    <v>115.17</v>
    <v>23464829528</v>
    <v>ZIMMER BIOMET HOLDINGS, INC.</v>
    <v>ZIMMER BIOMET HOLDINGS, INC.</v>
    <v>115.37</v>
    <v>23.9756</v>
    <v>115.05</v>
    <v>115.22</v>
    <v>203652400</v>
    <v>ZBH</v>
    <v>ZIMMER BIOMET HOLDINGS, INC. (XNYS:ZBH)</v>
    <v>234781</v>
    <v>1336939</v>
    <v>2001</v>
  </rv>
  <rv s="2">
    <v>1015</v>
  </rv>
  <rv s="0">
    <v>https://www.bing.com/financeapi/forcetrigger?t=a1r63m&amp;q=XNAS%3aDLTR&amp;form=skydnc</v>
    <v>Learn more on Bing</v>
  </rv>
  <rv s="1">
    <v>en-US</v>
    <v>a1r63m</v>
    <v>268435456</v>
    <v>1</v>
    <v>Powered by Refinitiv</v>
    <v>0</v>
    <v>DOLLAR TREE, INC. (XNAS:DLTR)</v>
    <v>2</v>
    <v>3</v>
    <v>Finance</v>
    <v>4</v>
    <v>151.215</v>
    <v>91.4</v>
    <v>0.8851</v>
    <v>-0.68</v>
    <v>-7.0099999999999997E-3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98.19</v>
    <v>Diversified Retail</v>
    <v>Stock</v>
    <v>45530.686887916403</v>
    <v>1017</v>
    <v>96.14</v>
    <v>20703406080</v>
    <v>DOLLAR TREE, INC.</v>
    <v>DOLLAR TREE, INC.</v>
    <v>98.01</v>
    <v>0</v>
    <v>97</v>
    <v>96.32</v>
    <v>214944000</v>
    <v>DLTR</v>
    <v>DOLLAR TREE, INC. (XNAS:DLTR)</v>
    <v>527040</v>
    <v>2333043</v>
    <v>2008</v>
  </rv>
  <rv s="2">
    <v>1018</v>
  </rv>
  <rv s="8">
    <v>en-US</v>
    <v>caydcw</v>
    <v>268435456</v>
    <v>1</v>
    <v>Powered by Refinitiv</v>
    <v>15</v>
    <v>VERALTO CORPORATION (XNYS:VLTO)</v>
    <v>16</v>
    <v>3</v>
    <v>Finance</v>
    <v>4</v>
    <v>112.22</v>
    <v>65.510000000000005</v>
    <v>0.70799999999999996</v>
    <v>-0.46</v>
    <v>-4.1149999999999997E-3</v>
    <v>USD</v>
    <v>Veralto Corporation provides essential technology solutions that monitor, enhance, and protect key resources around the globe. The Company operates through two segments: Water Quality and Product Quality &amp; Innovation. Water Quality segment provides one of the most comprehensive portfolios of water analytics and differentiated water treatment solutions that enable the reliable delivery of safe drinking water by public and private utilities from source water to the consumer and back into the water cycle. It provides proprietary precision instrumentation and advanced water treatment technologies under Hach, Trojan Technologies, ChemTreat, and other globally recognized WQbrand. Its Product Quality &amp;Innovation segment provides a broad set of solutions for brand owners and consumer packaged goods companies that enable speed to market as well as traceability and quality control of their products. The brands under this segment include Videojet, Linx, Esko, X-Rite, Pantone and other.</v>
    <v>16000</v>
    <v>New York Stock Exchange</v>
    <v>XNYS</v>
    <v>XNYS</v>
    <v>225 Wyman St., Suite 250, WALTHAM, MA, 02451 US</v>
    <v>112.22</v>
    <v>Professional &amp; Commercial Services</v>
    <v>Stock</v>
    <v>45530.686886423435</v>
    <v>111.27</v>
    <v>27507884448</v>
    <v>VERALTO CORPORATION</v>
    <v>VERALTO CORPORATION</v>
    <v>112.01</v>
    <v>34.962000000000003</v>
    <v>111.78</v>
    <v>111.32</v>
    <v>247106400</v>
    <v>VLTO</v>
    <v>VERALTO CORPORATION (XNYS:VLTO)</v>
    <v>337985</v>
    <v>1350929</v>
    <v>2022</v>
  </rv>
  <rv s="2">
    <v>1020</v>
  </rv>
  <rv s="0">
    <v>https://www.bing.com/financeapi/forcetrigger?t=a23r27&amp;q=XNYS%3aSTT&amp;form=skydnc</v>
    <v>Learn more on Bing</v>
  </rv>
  <rv s="1">
    <v>en-US</v>
    <v>a23r27</v>
    <v>268435456</v>
    <v>1</v>
    <v>Powered by Refinitiv</v>
    <v>0</v>
    <v>STATE STREET CORPORATION (XNYS:STT)</v>
    <v>2</v>
    <v>3</v>
    <v>Finance</v>
    <v>4</v>
    <v>86.25</v>
    <v>62.78</v>
    <v>1.4973000000000001</v>
    <v>0.63</v>
    <v>7.4960000000000001E-3</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State Street Alpha, and State Street Digital,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It offers a breadth of services and solutions, including ESG investing, defined contribution products, Global Fiduciary Solutions, and others.</v>
    <v>52568</v>
    <v>New York Stock Exchange</v>
    <v>XNYS</v>
    <v>XNYS</v>
    <v>1 Congress Street, Suite 1, BOSTON, MA, 02114 US</v>
    <v>85.21</v>
    <v>Investment Banking &amp; Investment Services</v>
    <v>Stock</v>
    <v>45530.686871307815</v>
    <v>1022</v>
    <v>84.16</v>
    <v>25284155400</v>
    <v>STATE STREET CORPORATION</v>
    <v>STATE STREET CORPORATION</v>
    <v>84.375</v>
    <v>15.772</v>
    <v>84.04</v>
    <v>84.67</v>
    <v>298620000</v>
    <v>STT</v>
    <v>STATE STREET CORPORATION (XNYS:STT)</v>
    <v>434878</v>
    <v>1742219</v>
    <v>1969</v>
  </rv>
  <rv s="2">
    <v>1023</v>
  </rv>
  <rv s="0">
    <v>https://www.bing.com/financeapi/forcetrigger?t=a1ou77&amp;q=XNYS%3aBRO&amp;form=skydnc</v>
    <v>Learn more on Bing</v>
  </rv>
  <rv s="1">
    <v>en-US</v>
    <v>a1ou77</v>
    <v>268435456</v>
    <v>1</v>
    <v>Powered by Refinitiv</v>
    <v>0</v>
    <v>BROWN &amp; BROWN, INC. (XNYS:BRO)</v>
    <v>2</v>
    <v>3</v>
    <v>Finance</v>
    <v>4</v>
    <v>103.87</v>
    <v>66.73</v>
    <v>0.82540000000000002</v>
    <v>0.255</v>
    <v>2.5000000000000001E-3</v>
    <v>USD</v>
    <v>Brown &amp; Brown, Inc. is an insurance brokerage company engaged in delivering risk management solutions to individuals and businesses. The Company markets and sells insurance products and services, primarily in the property, casualty, and employee benefits areas. Its segments include Retail, National Programs, Wholesale Brokerage and Services. The Retail segment provides a broad range of insurance products and services to commercial, public and quasi-public, professional and individual insured customers, and non-insurance services and products through its automobile dealer services F&amp;I businesses. The National Programs segment, which acts as a managing general agent, provides professional liability and related package products for certain professionals. The Wholesale Brokerage segment markets and sells excess and surplus commercial and personal lines insurance. The Services segment provides insurance-related services, including third-party claims administration and adjusting services.</v>
    <v>16152</v>
    <v>New York Stock Exchange</v>
    <v>XNYS</v>
    <v>XNYS</v>
    <v>300 N. Beach Street, DAYTONA BEACH, FL, 32114 US</v>
    <v>102.55500000000001</v>
    <v>Insurance</v>
    <v>Stock</v>
    <v>45530.686909722222</v>
    <v>1025</v>
    <v>101.73</v>
    <v>29169363555</v>
    <v>BROWN &amp; BROWN, INC.</v>
    <v>BROWN &amp; BROWN, INC.</v>
    <v>102.05</v>
    <v>29.3569</v>
    <v>102</v>
    <v>102.255</v>
    <v>285261000</v>
    <v>BRO</v>
    <v>BROWN &amp; BROWN, INC. (XNYS:BRO)</v>
    <v>241764</v>
    <v>1247108</v>
    <v>1959</v>
  </rv>
  <rv s="2">
    <v>1026</v>
  </rv>
  <rv s="0">
    <v>https://www.bing.com/financeapi/forcetrigger?t=a23ocw&amp;q=XNYS%3aSTE&amp;form=skydnc</v>
    <v>Learn more on Bing</v>
  </rv>
  <rv s="1">
    <v>en-US</v>
    <v>a23ocw</v>
    <v>268435456</v>
    <v>1</v>
    <v>Powered by Refinitiv</v>
    <v>0</v>
    <v>STERIS PUBLIC LIMITED COMPANY (XNYS:STE)</v>
    <v>2</v>
    <v>3</v>
    <v>Finance</v>
    <v>4</v>
    <v>243.37</v>
    <v>195.47</v>
    <v>0.83499999999999996</v>
    <v>0.75</v>
    <v>3.1780000000000003E-3</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IRELAND-NA IE</v>
    <v>237.75</v>
    <v>Healthcare Equipment &amp; Supplies</v>
    <v>Stock</v>
    <v>45530.686606527343</v>
    <v>1028</v>
    <v>235.93469999999999</v>
    <v>23348499362</v>
    <v>STERIS PUBLIC LIMITED COMPANY</v>
    <v>STERIS PUBLIC LIMITED COMPANY</v>
    <v>236.29</v>
    <v>41.248199999999997</v>
    <v>236.01</v>
    <v>236.76</v>
    <v>98616740</v>
    <v>STE</v>
    <v>STERIS PUBLIC LIMITED COMPANY (XNYS:STE)</v>
    <v>74077</v>
    <v>446761</v>
    <v>2016</v>
  </rv>
  <rv s="2">
    <v>1029</v>
  </rv>
  <rv s="0">
    <v>https://www.bing.com/financeapi/forcetrigger?t=by6rm7&amp;q=XLON%3a0LWG&amp;form=skydnc</v>
    <v>Learn more on Bing</v>
  </rv>
  <rv s="9">
    <v>en-US</v>
    <v>by6rm7</v>
    <v>268435456</v>
    <v>1</v>
    <v>Powered by Refinitiv</v>
    <v>17</v>
    <v>WEYERHAEUSER COMPANY (XLON:0LWG)</v>
    <v>2</v>
    <v>18</v>
    <v>Finance</v>
    <v>19</v>
    <v>36.25</v>
    <v>26.75</v>
    <v>1.4118999999999999</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London Stock Exchange</v>
    <v>XLON</v>
    <v>XLON</v>
    <v>220 Occidental Avenue South, SEATTLE, WA, 98104 US</v>
    <v>Residential &amp; Commercial REIT</v>
    <v>Stock</v>
    <v>45530.674884142965</v>
    <v>1031</v>
    <v>22808600000</v>
    <v>WEYERHAEUSER COMPANY</v>
    <v>WEYERHAEUSER COMPANY</v>
    <v>30.802399999999999</v>
    <v>31.14</v>
    <v>727315000</v>
    <v>0LWG</v>
    <v>WEYERHAEUSER COMPANY (XLON:0LWG)</v>
    <v>373</v>
    <v>3579650</v>
    <v>1900</v>
  </rv>
  <rv s="2">
    <v>1032</v>
  </rv>
  <rv s="0">
    <v>https://www.bing.com/financeapi/forcetrigger?t=a1uyk2&amp;q=XNYS%3aHUBB&amp;form=skydnc</v>
    <v>Learn more on Bing</v>
  </rv>
  <rv s="1">
    <v>en-US</v>
    <v>a1uyk2</v>
    <v>268435456</v>
    <v>1</v>
    <v>Powered by Refinitiv</v>
    <v>0</v>
    <v>HUBBELL INCORPORATED (XNYS:HUBB)</v>
    <v>2</v>
    <v>3</v>
    <v>Finance</v>
    <v>4</v>
    <v>429.61</v>
    <v>248.37</v>
    <v>0.8962</v>
    <v>0.17499999999999999</v>
    <v>4.5359999999999997E-4</v>
    <v>USD</v>
    <v>Hubbell Incorporated is a manufacturer of utility and electrical solutions. It has two segments: Utility Solutions and Electrical Solutions. Utility Solutions segment designs, manufactures and sells a range of electrical distribution, transmission, substation and telecommunications products. This includes utility transmission and distribution components, such as arresters, insulators, connectors, anchors, bushings, enclosures, cutouts and switches. Electrical Solutions segment comprises businesses, which sell stock and custom products, including standard and special application wiring device products, rough-in electrical products, connector and grounding products, and lighting fixtures, as well as other electrical equipment. Its products are either sourced completely, manufactured or assembled by subsidiaries in the United States, Canada, Puerto Rico, Mexico, the People's Republic of China, the United Kingdom, Brazil, Australia, Spain, Ireland and the Republic of the Philippines.</v>
    <v>18317</v>
    <v>New York Stock Exchange</v>
    <v>XNYS</v>
    <v>XNYS</v>
    <v>40 Waterview Dr, SHELTON, CT, 06484-1000 US</v>
    <v>391.435</v>
    <v>Machinery, Equipment &amp; Components</v>
    <v>Stock</v>
    <v>45530.686891214842</v>
    <v>1034</v>
    <v>384.08</v>
    <v>20718423338</v>
    <v>HUBBELL INCORPORATED</v>
    <v>HUBBELL INCORPORATED</v>
    <v>389.73</v>
    <v>28.521100000000001</v>
    <v>385.78</v>
    <v>385.95499999999998</v>
    <v>53680930</v>
    <v>HUBB</v>
    <v>HUBBELL INCORPORATED (XNYS:HUBB)</v>
    <v>94806</v>
    <v>457839</v>
    <v>1905</v>
  </rv>
  <rv s="2">
    <v>1035</v>
  </rv>
  <rv s="0">
    <v>https://www.bing.com/financeapi/forcetrigger?t=a1mpc7&amp;q=XNAS%3aAXON&amp;form=skydnc</v>
    <v>Learn more on Bing</v>
  </rv>
  <rv s="1">
    <v>en-US</v>
    <v>a1mpc7</v>
    <v>268435456</v>
    <v>1</v>
    <v>Powered by Refinitiv</v>
    <v>0</v>
    <v>AXON ENTERPRISE, INC. (XNAS:AXON)</v>
    <v>2</v>
    <v>3</v>
    <v>Finance</v>
    <v>4</v>
    <v>378.89</v>
    <v>189.1199</v>
    <v>0.93310000000000004</v>
    <v>-10.18</v>
    <v>-2.7462E-2</v>
    <v>USD</v>
    <v>Axon Enterprise, Inc. is a provider of law enforcement technology solutions. The Company is engaged in building the public safety operating system by integrating hardware devices and cloud software solutions that lead modern policing, defense and security. Its ecosystem includes TASER energy devices, body-worn cameras, in-car cameras, cloud-hosted digital evidence management solutions, productivity software, real-time operations capabilities and third-party integrations through its partner network. The Company's TASER segment offers manufacture and sale of conducted electrical devices, batteries, accessories, extended warranties, and other products and services. Software and Sensors segment development, manufacture and sale of fully integrated hardware and cloud-based software solutions that enable law enforcement to capture, store, manage, share and analyze video, and other digital evidence. The Company is also engaged in offering real-time crime center (RTCC) technology.</v>
    <v>3330</v>
    <v>Nasdaq Stock Market</v>
    <v>XNAS</v>
    <v>XNAS</v>
    <v>17800 N 85th St, SCOTTSDALE, AZ, 85255-6311 US</v>
    <v>370.61500000000001</v>
    <v>Aerospace &amp; Defense</v>
    <v>Stock</v>
    <v>45530.686822395313</v>
    <v>1037</v>
    <v>358.99</v>
    <v>27246061056</v>
    <v>AXON ENTERPRISE, INC.</v>
    <v>AXON ENTERPRISE, INC.</v>
    <v>369.11</v>
    <v>97.888800000000003</v>
    <v>370.7</v>
    <v>360.52</v>
    <v>75574340</v>
    <v>AXON</v>
    <v>AXON ENTERPRISE, INC. (XNAS:AXON)</v>
    <v>229429</v>
    <v>708603</v>
    <v>2001</v>
  </rv>
  <rv s="2">
    <v>1038</v>
  </rv>
  <rv s="0">
    <v>https://www.bing.com/financeapi/forcetrigger?t=a22i27&amp;q=XNAS%3aSBAC&amp;form=skydnc</v>
    <v>Learn more on Bing</v>
  </rv>
  <rv s="1">
    <v>en-US</v>
    <v>a22i27</v>
    <v>268435456</v>
    <v>1</v>
    <v>Powered by Refinitiv</v>
    <v>0</v>
    <v>SBA Communications Corporation (XNAS:SBAC)</v>
    <v>2</v>
    <v>3</v>
    <v>Finance</v>
    <v>4</v>
    <v>258.76</v>
    <v>183.64</v>
    <v>0.66090000000000004</v>
    <v>0.53</v>
    <v>2.3319999999999999E-3</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229.9</v>
    <v>Residential &amp; Commercial REIT</v>
    <v>Stock</v>
    <v>45530.686832546096</v>
    <v>1040</v>
    <v>227.62</v>
    <v>24426340000</v>
    <v>SBA Communications Corporation</v>
    <v>SBA Communications Corporation</v>
    <v>228.06</v>
    <v>47.882800000000003</v>
    <v>227.28</v>
    <v>227.81</v>
    <v>107472500</v>
    <v>SBAC</v>
    <v>SBA Communications Corporation (XNAS:SBAC)</v>
    <v>111904</v>
    <v>927830</v>
    <v>2016</v>
  </rv>
  <rv s="2">
    <v>1041</v>
  </rv>
  <rv s="0">
    <v>https://www.bing.com/financeapi/forcetrigger?t=a214vh&amp;q=XNYS%3aPPL&amp;form=skydnc</v>
    <v>Learn more on Bing</v>
  </rv>
  <rv s="1">
    <v>en-US</v>
    <v>a214vh</v>
    <v>268435456</v>
    <v>1</v>
    <v>Powered by Refinitiv</v>
    <v>0</v>
    <v>PPL CORPORATION (XNYS:PPL)</v>
    <v>2</v>
    <v>3</v>
    <v>Finance</v>
    <v>4</v>
    <v>32.015000000000001</v>
    <v>22.2</v>
    <v>0.83630000000000004</v>
    <v>0.105</v>
    <v>3.3029999999999999E-3</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and natural gas distribution operations of Rhode Island Energy (RIE).</v>
    <v>6629</v>
    <v>New York Stock Exchange</v>
    <v>XNYS</v>
    <v>XNYS</v>
    <v>Two N Ninth St, ALLENTOWN, PA, 18101-1179 US</v>
    <v>32.015000000000001</v>
    <v>Multiline Utilities</v>
    <v>Stock</v>
    <v>45530.686882939066</v>
    <v>1043</v>
    <v>31.82</v>
    <v>23530242816</v>
    <v>PPL CORPORATION</v>
    <v>PPL CORPORATION</v>
    <v>31.86</v>
    <v>27.950700000000001</v>
    <v>31.79</v>
    <v>31.895</v>
    <v>737740800</v>
    <v>PPL</v>
    <v>PPL CORPORATION (XNYS:PPL)</v>
    <v>1369710</v>
    <v>5323848</v>
    <v>1994</v>
  </rv>
  <rv s="2">
    <v>1044</v>
  </rv>
  <rv s="0">
    <v>https://www.bing.com/financeapi/forcetrigger?t=a21d7w&amp;q=XNAS%3aPTC&amp;form=skydnc</v>
    <v>Learn more on Bing</v>
  </rv>
  <rv s="1">
    <v>en-US</v>
    <v>a21d7w</v>
    <v>268435456</v>
    <v>1</v>
    <v>Powered by Refinitiv</v>
    <v>0</v>
    <v>PTC INC. (XNAS:PTC)</v>
    <v>2</v>
    <v>3</v>
    <v>Finance</v>
    <v>4</v>
    <v>194.24</v>
    <v>134.6122</v>
    <v>1.1771</v>
    <v>-1.03</v>
    <v>-5.8089999999999999E-3</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7231</v>
    <v>Nasdaq Stock Market</v>
    <v>XNAS</v>
    <v>XNAS</v>
    <v>121 Seaport Blvd., BOSTON, MA, 02210 US</v>
    <v>178.29</v>
    <v>Software &amp; IT Services</v>
    <v>Stock</v>
    <v>45530.686803981247</v>
    <v>1046</v>
    <v>176.04</v>
    <v>21301180000</v>
    <v>PTC INC.</v>
    <v>PTC INC.</v>
    <v>178</v>
    <v>72.350800000000007</v>
    <v>177.31</v>
    <v>176.28</v>
    <v>120135200</v>
    <v>PTC</v>
    <v>PTC INC. (XNAS:PTC)</v>
    <v>82259</v>
    <v>761260</v>
    <v>1985</v>
  </rv>
  <rv s="2">
    <v>1047</v>
  </rv>
  <rv s="0">
    <v>https://www.bing.com/financeapi/forcetrigger?t=a1vn8m&amp;q=XNYS%3aINVH&amp;form=skydnc</v>
    <v>Learn more on Bing</v>
  </rv>
  <rv s="1">
    <v>en-US</v>
    <v>a1vn8m</v>
    <v>268435456</v>
    <v>1</v>
    <v>Powered by Refinitiv</v>
    <v>0</v>
    <v>INVITATION HOMES INC. (XNYS:INVH)</v>
    <v>2</v>
    <v>3</v>
    <v>Finance</v>
    <v>4</v>
    <v>36.914999999999999</v>
    <v>28.49</v>
    <v>1.0039</v>
    <v>-0.45500000000000002</v>
    <v>-1.2586E-2</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1555</v>
    <v>New York Stock Exchange</v>
    <v>XNYS</v>
    <v>XNYS</v>
    <v>5420 Lbj Freeway, Suite 600, DALLAS, TX, 75240 US</v>
    <v>36.3033</v>
    <v>Residential &amp; Commercial REIT</v>
    <v>Stock</v>
    <v>45530.686850346872</v>
    <v>1049</v>
    <v>35.630000000000003</v>
    <v>21866546399</v>
    <v>INVITATION HOMES INC.</v>
    <v>INVITATION HOMES INC.</v>
    <v>36.200000000000003</v>
    <v>46.597099999999998</v>
    <v>36.15</v>
    <v>35.695</v>
    <v>612594100</v>
    <v>INVH</v>
    <v>INVITATION HOMES INC. (XNYS:INVH)</v>
    <v>583396</v>
    <v>3664549</v>
    <v>2017</v>
  </rv>
  <rv s="2">
    <v>1050</v>
  </rv>
  <rv s="0">
    <v>https://www.bing.com/financeapi/forcetrigger?t=a23rjc&amp;q=XNAS%3aSTX&amp;form=skydnc</v>
    <v>Learn more on Bing</v>
  </rv>
  <rv s="1">
    <v>en-US</v>
    <v>a23rjc</v>
    <v>268435456</v>
    <v>1</v>
    <v>Powered by Refinitiv</v>
    <v>0</v>
    <v>SEAGATE TECHNOLOGY HOLDINGS PUBLIC LIMITED COMPANY (XNAS:STX)</v>
    <v>2</v>
    <v>3</v>
    <v>Finance</v>
    <v>4</v>
    <v>113.57</v>
    <v>62.43</v>
    <v>1.0628</v>
    <v>0.47</v>
    <v>4.5009999999999998E-3</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105.005</v>
    <v>Computers, Phones &amp; Household Electronics</v>
    <v>Stock</v>
    <v>45530.686818738279</v>
    <v>1052</v>
    <v>102.95</v>
    <v>22023593880</v>
    <v>SEAGATE TECHNOLOGY HOLDINGS PUBLIC LIMITED COMPANY</v>
    <v>SEAGATE TECHNOLOGY HOLDINGS PUBLIC LIMITED COMPANY</v>
    <v>103.75</v>
    <v>71.362200000000001</v>
    <v>104.41</v>
    <v>104.88</v>
    <v>209988500</v>
    <v>STX</v>
    <v>SEAGATE TECHNOLOGY HOLDINGS PUBLIC LIMITED COMPANY (XNAS:STX)</v>
    <v>484599</v>
    <v>2812429</v>
    <v>2021</v>
  </rv>
  <rv s="2">
    <v>1053</v>
  </rv>
  <rv s="0">
    <v>https://www.bing.com/financeapi/forcetrigger?t=a1s6ww&amp;q=XNYS%3aES&amp;form=skydnc</v>
    <v>Learn more on Bing</v>
  </rv>
  <rv s="6">
    <v>en-US</v>
    <v>a1s6ww</v>
    <v>268435456</v>
    <v>1</v>
    <v>Powered by Refinitiv</v>
    <v>10</v>
    <v>Eversource Energy (XNYS:ES)</v>
    <v>2</v>
    <v>13</v>
    <v>Finance</v>
    <v>4</v>
    <v>68.72</v>
    <v>52.03</v>
    <v>0.61880000000000002</v>
    <v>0.35</v>
    <v>5.241E-3</v>
    <v>USD</v>
    <v>Eversource Energy is a utility holding company, which is engaged in the energy delivery business through its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The Electric Transmission segment own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over 241,000 residential, commercial, industrial, municipal and fire protection and other customers, in 72 towns and cities in Connecticut, Massachusetts and New Hampshire.</v>
    <v>10171</v>
    <v>New York Stock Exchange</v>
    <v>XNYS</v>
    <v>XNYS</v>
    <v>300 Cadwell Dr, SPRINGFIELD, MA, 01104-1742 US</v>
    <v>67.23</v>
    <v>Electrical Utilities &amp; IPPs</v>
    <v>Stock</v>
    <v>45530.686831053128</v>
    <v>1055</v>
    <v>66.650000000000006</v>
    <v>23646891576</v>
    <v>Eversource Energy</v>
    <v>Eversource Energy</v>
    <v>67.06</v>
    <v>66.78</v>
    <v>67.13</v>
    <v>352255200</v>
    <v>ES</v>
    <v>Eversource Energy (XNYS:ES)</v>
    <v>347545</v>
    <v>2527460</v>
    <v>1927</v>
  </rv>
  <rv s="2">
    <v>1056</v>
  </rv>
  <rv s="0">
    <v>https://www.bing.com/financeapi/forcetrigger?t=a25m77&amp;q=XNYS%3aVTR&amp;form=skydnc</v>
    <v>Learn more on Bing</v>
  </rv>
  <rv s="6">
    <v>en-US</v>
    <v>a25m77</v>
    <v>268435456</v>
    <v>1</v>
    <v>Powered by Refinitiv</v>
    <v>10</v>
    <v>VENTAS, INC. (XNYS:VTR)</v>
    <v>2</v>
    <v>13</v>
    <v>Finance</v>
    <v>4</v>
    <v>60.07</v>
    <v>39.33</v>
    <v>1.3835</v>
    <v>0.3</v>
    <v>5.0349999999999995E-3</v>
    <v>USD</v>
    <v>Ventas, Inc. is a real estate investment trust (REIT). The Company’s portfolio includes senior housing communities, which provide valuable services to residents. The Company leverages its operational expertise and data-driven insights from its Ventas Operational Insights platform. The Company’s portfolio consists of approximately 1,400 properties. The Company’s portfolio also includes outpatient medical buildings, research centers and healthcare facilities in North America and the United Kingdom. The Company, through its Senior Housing Operating Portfolio segment, invests in senior housing communities. Through its Outpatient Medical and Research Portfolio segment, it primarily acquires, owns, develops, leases, and manages outpatient medical buildings and research centers. Through its Triple-Net Leased Properties segment, it invests in and owns senior housing communities, skilled nursing facilities (SNFs), long-term acute care facilities (LTACs), and other healthcare facilities.</v>
    <v>486</v>
    <v>New York Stock Exchange</v>
    <v>XNYS</v>
    <v>XNYS</v>
    <v>SUITE 3300, 353 N. CLARK STREET, CHICAGO, IL, 60654 US</v>
    <v>60.07</v>
    <v>Residential &amp; Commercial REIT</v>
    <v>Stock</v>
    <v>45530.686763437501</v>
    <v>1058</v>
    <v>59.54</v>
    <v>24739649544</v>
    <v>VENTAS, INC.</v>
    <v>VENTAS, INC.</v>
    <v>59.72</v>
    <v>59.58</v>
    <v>59.88</v>
    <v>413153800</v>
    <v>VTR</v>
    <v>VENTAS, INC. (XNYS:VTR)</v>
    <v>327168</v>
    <v>2292729</v>
    <v>1987</v>
  </rv>
  <rv s="2">
    <v>1059</v>
  </rv>
  <rv s="0">
    <v>https://www.bing.com/financeapi/forcetrigger?t=a1q44c&amp;q=XNYS%3aCTRA&amp;form=skydnc</v>
    <v>Learn more on Bing</v>
  </rv>
  <rv s="1">
    <v>en-US</v>
    <v>a1q44c</v>
    <v>268435456</v>
    <v>1</v>
    <v>Powered by Refinitiv</v>
    <v>0</v>
    <v>Coterra Energy Inc. (XNYS:CTRA)</v>
    <v>2</v>
    <v>3</v>
    <v>Finance</v>
    <v>4</v>
    <v>29.89</v>
    <v>23.18</v>
    <v>0.20930000000000001</v>
    <v>0.13500000000000001</v>
    <v>5.5879999999999992E-3</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24.62</v>
    <v>Oil &amp; Gas</v>
    <v>Stock</v>
    <v>45530.686850185157</v>
    <v>1061</v>
    <v>24.195</v>
    <v>17960673977</v>
    <v>Coterra Energy Inc.</v>
    <v>Coterra Energy Inc.</v>
    <v>24.53</v>
    <v>14.0122</v>
    <v>24.16</v>
    <v>24.295000000000002</v>
    <v>739274500</v>
    <v>CTRA</v>
    <v>Coterra Energy Inc. (XNYS:CTRA)</v>
    <v>1213880</v>
    <v>5860338</v>
    <v>1989</v>
  </rv>
  <rv s="2">
    <v>1062</v>
  </rv>
  <rv s="0">
    <v>https://www.bing.com/financeapi/forcetrigger?t=a24poc&amp;q=XNYS%3aTYL&amp;form=skydnc</v>
    <v>Learn more on Bing</v>
  </rv>
  <rv s="1">
    <v>en-US</v>
    <v>a24poc</v>
    <v>268435456</v>
    <v>1</v>
    <v>Powered by Refinitiv</v>
    <v>0</v>
    <v>TYLER TECHNOLOGIES, INC. (XNYS:TYL)</v>
    <v>2</v>
    <v>3</v>
    <v>Finance</v>
    <v>4</v>
    <v>593.5</v>
    <v>361.15699999999998</v>
    <v>0.77649999999999997</v>
    <v>2.83</v>
    <v>4.9499999999999995E-3</v>
    <v>USD</v>
    <v>Tyler Technologies, Inc. is a provider of integrated software and technology management solutions for the public sector. The Company's segments include Enterprise Software (ES) and Platform Technologies (PT). Its ES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PT segment provides public sector entities with software solutions to platform and transformative solutions including digital solutions, payment processing, streamline data processing, and improve operations and workflows. Its solutions deliver mission-critical technology to support the essential functions of government, including public safety, justice, public health, taxation and budgeting, infrastructure and land use, K-12 education, and social services.</v>
    <v>7360</v>
    <v>New York Stock Exchange</v>
    <v>XNYS</v>
    <v>XNYS</v>
    <v>5101 Tennyson Pkwy, PLANO, TX, 75024 US</v>
    <v>575.27</v>
    <v>Software &amp; IT Services</v>
    <v>Stock</v>
    <v>45530.686853957814</v>
    <v>1064</v>
    <v>570.79840000000002</v>
    <v>24518003529</v>
    <v>TYLER TECHNOLOGIES, INC.</v>
    <v>TYLER TECHNOLOGIES, INC.</v>
    <v>571.73</v>
    <v>118.4447</v>
    <v>571.73</v>
    <v>574.55999999999995</v>
    <v>42672660</v>
    <v>TYL</v>
    <v>TYLER TECHNOLOGIES, INC. (XNYS:TYL)</v>
    <v>68945</v>
    <v>252490</v>
    <v>1989</v>
  </rv>
  <rv s="2">
    <v>1065</v>
  </rv>
  <rv s="0">
    <v>https://www.bing.com/financeapi/forcetrigger?t=a1squ2&amp;q=XNYS%3aFE&amp;form=skydnc</v>
    <v>Learn more on Bing</v>
  </rv>
  <rv s="1">
    <v>en-US</v>
    <v>a1squ2</v>
    <v>268435456</v>
    <v>1</v>
    <v>Powered by Refinitiv</v>
    <v>0</v>
    <v>FIRSTENERGY CORP. (XNYS:FE)</v>
    <v>2</v>
    <v>3</v>
    <v>Finance</v>
    <v>4</v>
    <v>43.65</v>
    <v>32.18</v>
    <v>0.48849999999999999</v>
    <v>0.28499999999999998</v>
    <v>6.5990000000000007E-3</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43.594999999999999</v>
    <v>Electrical Utilities &amp; IPPs</v>
    <v>Stock</v>
    <v>45530.686793078123</v>
    <v>1067</v>
    <v>43.21</v>
    <v>25038226340</v>
    <v>FIRSTENERGY CORP.</v>
    <v>FIRSTENERGY CORP.</v>
    <v>43.25</v>
    <v>27.765599999999999</v>
    <v>43.19</v>
    <v>43.475000000000001</v>
    <v>575922400</v>
    <v>FE</v>
    <v>FIRSTENERGY CORP. (XNYS:FE)</v>
    <v>361749</v>
    <v>2855432</v>
    <v>1996</v>
  </rv>
  <rv s="2">
    <v>1068</v>
  </rv>
  <rv s="0">
    <v>https://www.bing.com/financeapi/forcetrigger?t=awagjc&amp;q=XNYS%3aAPTV&amp;form=skydnc</v>
    <v>Learn more on Bing</v>
  </rv>
  <rv s="1">
    <v>en-US</v>
    <v>awagjc</v>
    <v>268435456</v>
    <v>1</v>
    <v>Powered by Refinitiv</v>
    <v>0</v>
    <v>APTIV PLC (XNYS:APTV)</v>
    <v>2</v>
    <v>3</v>
    <v>Finance</v>
    <v>4</v>
    <v>104.72</v>
    <v>65.13</v>
    <v>1.7948999999999999</v>
    <v>0.185</v>
    <v>2.5590000000000001E-3</v>
    <v>USD</v>
    <v>Aptiv PLC is a technology and mobility architecture company. The Company designs and manufactures vehicle components and provides electrical, electronic, and active safety technology solutions to the global automotive and commercial vehicle markets. Its segments include Signal and Power Solutions and Advanced Safety and User Experience. The Signal and Power Solutions segment provides complete design, manufacture, and assembly of the vehicle’s electrical architecture, including engineered component products, connectors, wiring assemblies and harnesses, cable management, electrical centers and hybrid high voltage and safety distribution systems. The Advanced Safety and User Experience provides critical technologies and services, including sensing and perception systems, electronic control units, multi-domain controllers, vehicle connectivity systems, cloud-native software platforms, application software, autonomous driving technologies and end-to-end DevOps tools.</v>
    <v>154000</v>
    <v>New York Stock Exchange</v>
    <v>XNYS</v>
    <v>XNYS</v>
    <v>5 Hanover Quay, Grand Canal Dock, DUBLIN, DUBLIN, D02 VY79 IE</v>
    <v>73.78</v>
    <v>Automobiles &amp; Auto Parts</v>
    <v>Stock</v>
    <v>45530.686868055469</v>
    <v>1070</v>
    <v>72.28</v>
    <v>19260963247</v>
    <v>APTIV PLC</v>
    <v>APTIV PLC</v>
    <v>72.63</v>
    <v>5.4599000000000002</v>
    <v>72.290000000000006</v>
    <v>72.474999999999994</v>
    <v>265760100</v>
    <v>APTV</v>
    <v>APTIV PLC (XNYS:APTV)</v>
    <v>1939575</v>
    <v>3562186</v>
    <v>2011</v>
  </rv>
  <rv s="2">
    <v>1071</v>
  </rv>
  <rv s="0">
    <v>https://www.bing.com/financeapi/forcetrigger?t=a1wt7w&amp;q=XNYS%3aLDOS&amp;form=skydnc</v>
    <v>Learn more on Bing</v>
  </rv>
  <rv s="1">
    <v>en-US</v>
    <v>a1wt7w</v>
    <v>268435456</v>
    <v>1</v>
    <v>Powered by Refinitiv</v>
    <v>0</v>
    <v>LEIDOS HOLDINGS, INC. (XNYS:LDOS)</v>
    <v>2</v>
    <v>3</v>
    <v>Finance</v>
    <v>4</v>
    <v>156.19999999999999</v>
    <v>89.22</v>
    <v>0.70020000000000004</v>
    <v>0.18</v>
    <v>1.1620000000000001E-3</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156.19999999999999</v>
    <v>Software &amp; IT Services</v>
    <v>Stock</v>
    <v>45530.686912001562</v>
    <v>1073</v>
    <v>154.905</v>
    <v>20891400596</v>
    <v>LEIDOS HOLDINGS, INC.</v>
    <v>LEIDOS HOLDINGS, INC.</v>
    <v>155.37</v>
    <v>49.4908</v>
    <v>154.9</v>
    <v>155.08000000000001</v>
    <v>134713700</v>
    <v>LDOS</v>
    <v>LEIDOS HOLDINGS, INC. (XNYS:LDOS)</v>
    <v>106329</v>
    <v>901826</v>
    <v>2005</v>
  </rv>
  <rv s="2">
    <v>1074</v>
  </rv>
  <rv s="0">
    <v>https://www.bing.com/financeapi/forcetrigger?t=a1q1tc&amp;q=XNYS%3aCNP&amp;form=skydnc</v>
    <v>Learn more on Bing</v>
  </rv>
  <rv s="1">
    <v>en-US</v>
    <v>a1q1tc</v>
    <v>268435456</v>
    <v>1</v>
    <v>Powered by Refinitiv</v>
    <v>0</v>
    <v>CENTERPOINT ENERGY, INC. (XNYS:CNP)</v>
    <v>2</v>
    <v>3</v>
    <v>Finance</v>
    <v>4</v>
    <v>31.565000000000001</v>
    <v>25.41</v>
    <v>0.91559999999999997</v>
    <v>0.28999999999999998</v>
    <v>1.0832999999999999E-2</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8827</v>
    <v>New York Stock Exchange</v>
    <v>XNYS</v>
    <v>XNYS</v>
    <v>1111 Louisiana St., HOUSTON, TX, 77002 US</v>
    <v>27.094999999999999</v>
    <v>Multiline Utilities</v>
    <v>Stock</v>
    <v>45530.686783796096</v>
    <v>1076</v>
    <v>26.875</v>
    <v>17635575672</v>
    <v>CENTERPOINT ENERGY, INC.</v>
    <v>CENTERPOINT ENERGY, INC.</v>
    <v>26.93</v>
    <v>16.564499999999999</v>
    <v>26.77</v>
    <v>27.06</v>
    <v>651721200</v>
    <v>CNP</v>
    <v>CENTERPOINT ENERGY, INC. (XNYS:CNP)</v>
    <v>2282715</v>
    <v>7853757</v>
    <v>2001</v>
  </rv>
  <rv s="2">
    <v>1077</v>
  </rv>
  <rv s="0">
    <v>https://www.bing.com/financeapi/forcetrigger?t=a1u4fr&amp;q=XNYS%3aGPC&amp;form=skydnc</v>
    <v>Learn more on Bing</v>
  </rv>
  <rv s="1">
    <v>en-US</v>
    <v>a1u4fr</v>
    <v>268435456</v>
    <v>1</v>
    <v>Powered by Refinitiv</v>
    <v>0</v>
    <v>GENUINE PARTS COMPANY (XNYS:GPC)</v>
    <v>2</v>
    <v>3</v>
    <v>Finance</v>
    <v>4</v>
    <v>164.45</v>
    <v>126.35</v>
    <v>0.91610000000000003</v>
    <v>0.64</v>
    <v>4.5000000000000005E-3</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144.49</v>
    <v>Automobiles &amp; Auto Parts</v>
    <v>Stock</v>
    <v>45530.686861515627</v>
    <v>1079</v>
    <v>142.66</v>
    <v>19812380000</v>
    <v>GENUINE PARTS COMPANY</v>
    <v>GENUINE PARTS COMPANY</v>
    <v>143.36000000000001</v>
    <v>16.4451</v>
    <v>142.21</v>
    <v>142.85</v>
    <v>139317700</v>
    <v>GPC</v>
    <v>GENUINE PARTS COMPANY (XNYS:GPC)</v>
    <v>120603</v>
    <v>919843</v>
    <v>1928</v>
  </rv>
  <rv s="2">
    <v>1080</v>
  </rv>
  <rv s="0">
    <v>https://www.bing.com/financeapi/forcetrigger?t=a1oma2&amp;q=XNYS%3aBALL&amp;form=skydnc</v>
    <v>Learn more on Bing</v>
  </rv>
  <rv s="1">
    <v>en-US</v>
    <v>a1oma2</v>
    <v>268435456</v>
    <v>1</v>
    <v>Powered by Refinitiv</v>
    <v>0</v>
    <v>BALL CORPORATION (XNYS:BALL)</v>
    <v>2</v>
    <v>3</v>
    <v>Finance</v>
    <v>4</v>
    <v>71.319999999999993</v>
    <v>42.81</v>
    <v>0.87619999999999998</v>
    <v>-0.12</v>
    <v>-1.8590000000000002E-3</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21000</v>
    <v>New York Stock Exchange</v>
    <v>XNYS</v>
    <v>XNYS</v>
    <v>9200 W. 108th Circle, P.O. Box 5000, WESTMINSTER, CO, 80021-2510 US</v>
    <v>65.099999999999994</v>
    <v>Containers &amp; Packaging</v>
    <v>Stock</v>
    <v>45530.686852291408</v>
    <v>1082</v>
    <v>64.400000000000006</v>
    <v>19561754376</v>
    <v>BALL CORPORATION</v>
    <v>BALL CORPORATION</v>
    <v>64.61</v>
    <v>34.3827</v>
    <v>64.56</v>
    <v>64.44</v>
    <v>303565400</v>
    <v>BALL</v>
    <v>BALL CORPORATION (XNYS:BALL)</v>
    <v>245493</v>
    <v>1496755</v>
    <v>1922</v>
  </rv>
  <rv s="2">
    <v>1083</v>
  </rv>
  <rv s="0">
    <v>https://www.bing.com/financeapi/forcetrigger?t=a23p6h&amp;q=XNAS%3aSTLD&amp;form=skydnc</v>
    <v>Learn more on Bing</v>
  </rv>
  <rv s="1">
    <v>en-US</v>
    <v>a23p6h</v>
    <v>268435456</v>
    <v>1</v>
    <v>Powered by Refinitiv</v>
    <v>0</v>
    <v>STEEL DYNAMICS, INC. (XNAS:STLD)</v>
    <v>2</v>
    <v>3</v>
    <v>Finance</v>
    <v>4</v>
    <v>151.34</v>
    <v>95.525000000000006</v>
    <v>1.3324</v>
    <v>2.34</v>
    <v>1.9358E-2</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124.13</v>
    <v>Metals &amp; Mining</v>
    <v>Stock</v>
    <v>45530.686851863284</v>
    <v>1085</v>
    <v>121.935</v>
    <v>19013154050</v>
    <v>STEEL DYNAMICS, INC.</v>
    <v>STEEL DYNAMICS, INC.</v>
    <v>122.19</v>
    <v>9.6931999999999992</v>
    <v>120.88</v>
    <v>123.22</v>
    <v>154302500</v>
    <v>STLD</v>
    <v>STEEL DYNAMICS, INC. (XNAS:STLD)</v>
    <v>321359</v>
    <v>1143780</v>
    <v>1994</v>
  </rv>
  <rv s="2">
    <v>1086</v>
  </rv>
  <rv s="0">
    <v>https://www.bing.com/financeapi/forcetrigger?t=a24war&amp;q=XNAS%3aULTA&amp;form=skydnc</v>
    <v>Learn more on Bing</v>
  </rv>
  <rv s="1">
    <v>en-US</v>
    <v>a24war</v>
    <v>268435456</v>
    <v>1</v>
    <v>Powered by Refinitiv</v>
    <v>0</v>
    <v>ULTA BEAUTY, INC. (XNAS:ULTA)</v>
    <v>2</v>
    <v>3</v>
    <v>Finance</v>
    <v>4</v>
    <v>574.76</v>
    <v>318.17</v>
    <v>1.3178000000000001</v>
    <v>-2.93</v>
    <v>-7.7380000000000001E-3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381.17</v>
    <v>Specialty Retailers</v>
    <v>Stock</v>
    <v>45530.686795068752</v>
    <v>1088</v>
    <v>373.85</v>
    <v>17927994536</v>
    <v>ULTA BEAUTY, INC.</v>
    <v>ULTA BEAUTY, INC.</v>
    <v>377.33</v>
    <v>14.776199999999999</v>
    <v>378.65</v>
    <v>375.72</v>
    <v>47716370</v>
    <v>ULTA</v>
    <v>ULTA BEAUTY, INC. (XNAS:ULTA)</v>
    <v>393397</v>
    <v>1286510</v>
    <v>2016</v>
  </rv>
  <rv s="2">
    <v>1089</v>
  </rv>
  <rv s="0">
    <v>https://www.bing.com/financeapi/forcetrigger?t=a1r9lh&amp;q=XNYS%3aDPZ&amp;form=skydnc</v>
    <v>Learn more on Bing</v>
  </rv>
  <rv s="1">
    <v>en-US</v>
    <v>a1r9lh</v>
    <v>268435456</v>
    <v>1</v>
    <v>Powered by Refinitiv</v>
    <v>0</v>
    <v>DOMINO'S PIZZA, INC. (XNYS:DPZ)</v>
    <v>2</v>
    <v>3</v>
    <v>Finance</v>
    <v>4</v>
    <v>542.74990000000003</v>
    <v>330.05</v>
    <v>0.86219999999999997</v>
    <v>2.6796000000000002</v>
    <v>6.3010000000000002E-3</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11200</v>
    <v>New York Stock Exchange</v>
    <v>XNYS</v>
    <v>XNYS</v>
    <v>30 Frank Lloyd Wright Drive, ANN ARBOR, MI, 48105 US</v>
    <v>431.12</v>
    <v>Hotels &amp; Entertainment Services</v>
    <v>Stock</v>
    <v>45530.686868043747</v>
    <v>1091</v>
    <v>423.43</v>
    <v>14967103843</v>
    <v>DOMINO'S PIZZA, INC.</v>
    <v>DOMINO'S PIZZA, INC.</v>
    <v>425.06</v>
    <v>26.270800000000001</v>
    <v>425.28</v>
    <v>427.95960000000002</v>
    <v>34973170</v>
    <v>DPZ</v>
    <v>DOMINO'S PIZZA, INC. (XNYS:DPZ)</v>
    <v>282664</v>
    <v>757173</v>
    <v>2002</v>
  </rv>
  <rv s="2">
    <v>1092</v>
  </rv>
  <rv s="0">
    <v>https://www.bing.com/financeapi/forcetrigger?t=a1olgh&amp;q=XNYS%3aBLDR&amp;form=skydnc</v>
    <v>Learn more on Bing</v>
  </rv>
  <rv s="1">
    <v>en-US</v>
    <v>a1olgh</v>
    <v>268435456</v>
    <v>1</v>
    <v>Powered by Refinitiv</v>
    <v>0</v>
    <v>BUILDERS FIRSTSOURCE, INC. (XNYS:BLDR)</v>
    <v>2</v>
    <v>3</v>
    <v>Finance</v>
    <v>4</v>
    <v>214.7</v>
    <v>105.235</v>
    <v>2.0670000000000002</v>
    <v>-5.54</v>
    <v>-3.0404E-2</v>
    <v>USD</v>
    <v>Builders FirstSource, Inc. is a supplier and manufacturer of building materials, manufactured components and construction services to professional homebuilders, sub-contractors, remodelers, and consumers. The Company offer an integrated solution to its customers by providing manufacturing, supply, and installation of a full range of structural and related building products. Its manufactured products include its factory-built roof and floor trusses, wall panels, vinyl windows, custom millwork, and trim, as well as engineered wood that it designs, cuts, and assembles specifically for each home. The Company’s full range of construction-related services include professional installation, turn-key framing, and shell constructions. The Company also assembles interior and exterior doors into pre-hung units. It supplies its customers with a broad offering of professional grade building products, such as dimensional lumber and lumber sheet goods and various window, and more.</v>
    <v>29000</v>
    <v>New York Stock Exchange</v>
    <v>XNYS</v>
    <v>XNYS</v>
    <v>6031 CONNECTION DR., STE. 400, IRVING, TX, 75039 US</v>
    <v>185.2</v>
    <v>Homebuilding &amp; Construction Supplies</v>
    <v>Stock</v>
    <v>45530.686864478907</v>
    <v>1094</v>
    <v>176.27</v>
    <v>20573998848</v>
    <v>BUILDERS FIRSTSOURCE, INC.</v>
    <v>BUILDERS FIRSTSOURCE, INC.</v>
    <v>183.71</v>
    <v>15.8306</v>
    <v>182.21</v>
    <v>176.67</v>
    <v>116454400</v>
    <v>BLDR</v>
    <v>BUILDERS FIRSTSOURCE, INC. (XNYS:BLDR)</v>
    <v>637432</v>
    <v>1748843</v>
    <v>1998</v>
  </rv>
  <rv s="2">
    <v>1095</v>
  </rv>
  <rv s="0">
    <v>https://www.bing.com/financeapi/forcetrigger?t=a1o1ar&amp;q=XNYS%3aAVY&amp;form=skydnc</v>
    <v>Learn more on Bing</v>
  </rv>
  <rv s="1">
    <v>en-US</v>
    <v>a1o1ar</v>
    <v>268435456</v>
    <v>1</v>
    <v>Powered by Refinitiv</v>
    <v>0</v>
    <v>AVERY DENNISON CORPORATION (XNYS:AVY)</v>
    <v>2</v>
    <v>3</v>
    <v>Finance</v>
    <v>4</v>
    <v>233.47499999999999</v>
    <v>165.21119999999999</v>
    <v>0.89339999999999997</v>
    <v>0.08</v>
    <v>3.6519999999999999E-4</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221.05500000000001</v>
    <v>Containers &amp; Packaging</v>
    <v>Stock</v>
    <v>45530.686840312497</v>
    <v>1097</v>
    <v>218.76</v>
    <v>17644139426</v>
    <v>AVERY DENNISON CORPORATION</v>
    <v>AVERY DENNISON CORPORATION</v>
    <v>220.24</v>
    <v>28.120899999999999</v>
    <v>219.05</v>
    <v>219.13</v>
    <v>80519050</v>
    <v>AVY</v>
    <v>AVERY DENNISON CORPORATION (XNYS:AVY)</v>
    <v>57400</v>
    <v>504102</v>
    <v>1977</v>
  </rv>
  <rv s="2">
    <v>1098</v>
  </rv>
  <rv s="0">
    <v>https://www.bing.com/financeapi/forcetrigger?t=a1s9dm&amp;q=XNYS%3aESS&amp;form=skydnc</v>
    <v>Learn more on Bing</v>
  </rv>
  <rv s="1">
    <v>en-US</v>
    <v>a1s9dm</v>
    <v>268435456</v>
    <v>1</v>
    <v>Powered by Refinitiv</v>
    <v>0</v>
    <v>ESSEX PROPERTY TRUST, INC. (XNYS:ESS)</v>
    <v>2</v>
    <v>3</v>
    <v>Finance</v>
    <v>4</v>
    <v>297.97000000000003</v>
    <v>203.85</v>
    <v>0.89349999999999996</v>
    <v>-1.96</v>
    <v>-6.62E-3</v>
    <v>USD</v>
    <v>Essex Property Trust, Inc. is a self-administered and self-managed real estate investment trust. The Company is engaged primarily in the ownership, operation, management, acquisition, development and redevelopment of predominantly apartment communities, located along the West Coast of the United States. The Company operates through three segments: California, Northern California and Seattle Metro. The Company owns approximately interests in 256 operating apartment communities, aggregating 63,480 apartment homes. The Company owns all of its interest in its real estate and other investments directly or indirectly through Essex Portfolio, L.P. The Company invests primarily in apartment communities that are located in predominantly coastal markets within Southern California, Northern California, and the Seattle metropolitan area. The Company focuses on acquiring and developing apartment communities in supply constrained markets and redeveloping its existing communities.</v>
    <v>1750</v>
    <v>New York Stock Exchange</v>
    <v>XNYS</v>
    <v>XNYS</v>
    <v>Suite 200, 1100 Park Place, SAN MATEO, CA, 94403 US</v>
    <v>297.97000000000003</v>
    <v>Residential &amp; Commercial REIT</v>
    <v>Stock</v>
    <v>45530.686766203122</v>
    <v>1100</v>
    <v>294.005</v>
    <v>18886231423</v>
    <v>ESSEX PROPERTY TRUST, INC.</v>
    <v>ESSEX PROPERTY TRUST, INC.</v>
    <v>297.97000000000003</v>
    <v>36.674700000000001</v>
    <v>296.08999999999997</v>
    <v>294.13</v>
    <v>64210490</v>
    <v>ESS</v>
    <v>ESSEX PROPERTY TRUST, INC. (XNYS:ESS)</v>
    <v>32743</v>
    <v>396438</v>
    <v>1994</v>
  </rv>
  <rv s="2">
    <v>1101</v>
  </rv>
  <rv s="0">
    <v>https://www.bing.com/financeapi/forcetrigger?t=a1ra3m&amp;q=XNYS%3aDRI&amp;form=skydnc</v>
    <v>Learn more on Bing</v>
  </rv>
  <rv s="1">
    <v>en-US</v>
    <v>a1ra3m</v>
    <v>268435456</v>
    <v>1</v>
    <v>Powered by Refinitiv</v>
    <v>0</v>
    <v>DARDEN RESTAURANTS, INC. (XNYS:DRI)</v>
    <v>2</v>
    <v>3</v>
    <v>Finance</v>
    <v>4</v>
    <v>176.83500000000001</v>
    <v>133.36000000000001</v>
    <v>1.2996000000000001</v>
    <v>1.87</v>
    <v>1.2137E-2</v>
    <v>USD</v>
    <v>Darden Restaurants, Inc. is a full-service restaurant company. It owns and operates approximately 2,031 restaurants through subsidiaries in the United States and Canada. It also owns 146 restaurants operated by independent third parties pursuant to area development and franchise agreements and four restaurants operating under contractual agreements. Its segments include Olive Garden, LongHorn Steakhouse, Fine Dining, and Other Businesses. Olive Garden is an internally-developed brand and a full-service Italian dining restaurant operator in the United States. Olive Garden offers a variety of Italian foods. LongHorn Steakhouse is a full-service steakhouse restaurant, which features a variety of menu items including signature fresh steaks and chicken, as well as salmon, shrimp, ribs, pork chops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157.11000000000001</v>
    <v>Hotels &amp; Entertainment Services</v>
    <v>Stock</v>
    <v>45530.686769941407</v>
    <v>1103</v>
    <v>154.38999999999999</v>
    <v>18473244972</v>
    <v>DARDEN RESTAURANTS, INC.</v>
    <v>DARDEN RESTAURANTS, INC.</v>
    <v>155</v>
    <v>18.048999999999999</v>
    <v>154.07</v>
    <v>155.94</v>
    <v>118463800</v>
    <v>DRI</v>
    <v>DARDEN RESTAURANTS, INC. (XNYS:DRI)</v>
    <v>265811</v>
    <v>1333892</v>
    <v>1995</v>
  </rv>
  <rv s="2">
    <v>1104</v>
  </rv>
  <rv s="0">
    <v>https://creativecommons.org/licenses/by-sa/4.0</v>
    <v>CC BY-SA 4.0</v>
  </rv>
  <rv s="0">
    <v>http://en.wikipedia.org/wiki/Fleetcor</v>
    <v>Wikipedia</v>
  </rv>
  <rv s="3">
    <v>1106</v>
    <v>1107</v>
  </rv>
  <rv s="4">
    <v>9</v>
    <v>https://www.bing.com/th?id=AMMS_10f3aca41262dec4fa8e7ae778ea9a00&amp;qlt=95</v>
    <v>1108</v>
    <v>0</v>
    <v>https://www.bing.com/images/search?form=xlimg&amp;q=fleetcor</v>
    <v>Image of CORPAY, INC.</v>
  </rv>
  <rv s="0">
    <v>https://www.bing.com/financeapi/forcetrigger?t=a1t377&amp;q=XNYS%3aFLT&amp;form=skydnc</v>
    <v>Learn more on Bing</v>
  </rv>
  <rv s="5">
    <v>en-US</v>
    <v>a1t377</v>
    <v>268435456</v>
    <v>1</v>
    <v>Powered by Refinitiv</v>
    <v>5</v>
    <v>CORPAY, INC. (XNYS:CPAY)</v>
    <v>7</v>
    <v>8</v>
    <v>Finance</v>
    <v>4</v>
    <v>319.94</v>
    <v>220.39</v>
    <v>1.2199</v>
    <v>3.03</v>
    <v>1.0168999999999999E-2</v>
    <v>USD</v>
    <v>Corpay, Inc., formerly FLEETCOR Technologies, Inc., is a corporate payments company. It helps businesses and consumers pay expenses. Its suite of payment solutions helps its customers manage vehicle-related expenses, such as fueling and parking; travel expenses, such as hotel bookings, and payables, such as paying vendors. Its solutions include AP Automation, Cross-Border and Commercial Cards. Its AP Automation solutions include procure-to-pay, payment automation and integrations. Its Procure-to-Pay optimizes accounts payable workflows with scheduled payments, automated approvals and real-time tracking, and enables cash flow management and financial decisions. Its trading platform and integrated payment solutions, which can be customized as per client’s business requirements. Its Multi-Card is a payment method that offers a tailored solution designed for the client’s business transactions. Its ExpenseTrack platform offers real-time automation, robust security and customized reporting.</v>
    <v>10500</v>
    <v>New York Stock Exchange</v>
    <v>XNYS</v>
    <v>XNYS</v>
    <v>3280 Peachtree Road, Suite 2400, ATLANTA, GA, 30305 US</v>
    <v>305.65499999999997</v>
    <v>1109</v>
    <v>Professional &amp; Commercial Services</v>
    <v>Stock</v>
    <v>45530.686909582815</v>
    <v>1110</v>
    <v>295.72000000000003</v>
    <v>20898623620</v>
    <v>CORPAY, INC.</v>
    <v>CORPAY, INC.</v>
    <v>299.45</v>
    <v>21.633900000000001</v>
    <v>297.95999999999998</v>
    <v>300.99</v>
    <v>69432950</v>
    <v>CPAY</v>
    <v>CORPAY, INC. (XNYS:CPAY)</v>
    <v>249664</v>
    <v>386274</v>
    <v>1998</v>
  </rv>
  <rv s="2">
    <v>1111</v>
  </rv>
  <rv s="0">
    <v>https://www.bing.com/financeapi/forcetrigger?t=a1mxkr&amp;q=XNYS%3aAEE&amp;form=skydnc</v>
    <v>Learn more on Bing</v>
  </rv>
  <rv s="1">
    <v>en-US</v>
    <v>a1mxkr</v>
    <v>268435456</v>
    <v>1</v>
    <v>Powered by Refinitiv</v>
    <v>0</v>
    <v>AMEREN CORPORATION (XNYS:AEE)</v>
    <v>2</v>
    <v>3</v>
    <v>Finance</v>
    <v>4</v>
    <v>84.4</v>
    <v>67.03</v>
    <v>0.4582</v>
    <v>0.52</v>
    <v>6.3379999999999999E-3</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82.95</v>
    <v>Multiline Utilities</v>
    <v>Stock</v>
    <v>45530.686911423436</v>
    <v>1113</v>
    <v>82</v>
    <v>22031054919</v>
    <v>AMEREN CORPORATION</v>
    <v>AMEREN CORPORATION</v>
    <v>82.224999999999994</v>
    <v>18.6934</v>
    <v>82.05</v>
    <v>82.57</v>
    <v>266816700</v>
    <v>AEE</v>
    <v>AMEREN CORPORATION (XNYS:AEE)</v>
    <v>174555</v>
    <v>1296106</v>
    <v>1995</v>
  </rv>
  <rv s="2">
    <v>1114</v>
  </rv>
  <rv s="0">
    <v>https://www.bing.com/financeapi/forcetrigger?t=a243ec&amp;q=XNYS%3aTDY&amp;form=skydnc</v>
    <v>Learn more on Bing</v>
  </rv>
  <rv s="1">
    <v>en-US</v>
    <v>a243ec</v>
    <v>268435456</v>
    <v>1</v>
    <v>Powered by Refinitiv</v>
    <v>0</v>
    <v>TELEDYNE TECHNOLOGIES INCORPORATED (XNYS:TDY)</v>
    <v>2</v>
    <v>3</v>
    <v>Finance</v>
    <v>4</v>
    <v>448.19</v>
    <v>355.41</v>
    <v>1.0145</v>
    <v>0.65</v>
    <v>1.5379999999999999E-3</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425.6</v>
    <v>Electronic Equipment &amp; Parts</v>
    <v>Stock</v>
    <v>45530.686323483591</v>
    <v>1116</v>
    <v>422.01</v>
    <v>19797674145</v>
    <v>TELEDYNE TECHNOLOGIES INCORPORATED</v>
    <v>TELEDYNE TECHNOLOGIES INCORPORATED</v>
    <v>422.01</v>
    <v>23.001000000000001</v>
    <v>422.52</v>
    <v>423.17</v>
    <v>46784210</v>
    <v>TDY</v>
    <v>TELEDYNE TECHNOLOGIES INCORPORATED (XNYS:TDY)</v>
    <v>17901</v>
    <v>242412</v>
    <v>1999</v>
  </rv>
  <rv s="2">
    <v>1117</v>
  </rv>
  <rv s="0">
    <v>https://www.bing.com/financeapi/forcetrigger?t=a1q5hw&amp;q=XNYS%3aCOO&amp;form=skydnc</v>
    <v>Learn more on Bing</v>
  </rv>
  <rv s="1">
    <v>en-US</v>
    <v>a1q5hw</v>
    <v>268435456</v>
    <v>1</v>
    <v>Powered by Refinitiv</v>
    <v>0</v>
    <v>THE COOPER COMPANIES, INC. (XNAS:COO)</v>
    <v>2</v>
    <v>3</v>
    <v>Finance</v>
    <v>4</v>
    <v>104.07</v>
    <v>75.935000000000002</v>
    <v>0.97150000000000003</v>
    <v>0.31</v>
    <v>3.2759999999999998E-3</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15000</v>
    <v>Nasdaq Stock Market</v>
    <v>XNAS</v>
    <v>XNAS</v>
    <v>6101 Bollinger Canyon Road, Suite 500, SAN RAMON, CA, 94583 US</v>
    <v>95.38</v>
    <v>Healthcare Equipment &amp; Supplies</v>
    <v>Stock</v>
    <v>45530.686893240621</v>
    <v>1119</v>
    <v>94.03</v>
    <v>18902452107</v>
    <v>THE COOPER COMPANIES, INC.</v>
    <v>THE COOPER COMPANIES, INC.</v>
    <v>94.78</v>
    <v>68.423699999999997</v>
    <v>94.62</v>
    <v>94.93</v>
    <v>199119900</v>
    <v>COO</v>
    <v>THE COOPER COMPANIES, INC. (XNAS:COO)</v>
    <v>494423</v>
    <v>963900</v>
    <v>1980</v>
  </rv>
  <rv s="2">
    <v>1120</v>
  </rv>
  <rv s="0">
    <v>https://www.bing.com/financeapi/forcetrigger?t=a1sicw&amp;q=XNAS%3aEXPD&amp;form=skydnc</v>
    <v>Learn more on Bing</v>
  </rv>
  <rv s="1">
    <v>en-US</v>
    <v>a1sicw</v>
    <v>268435456</v>
    <v>1</v>
    <v>Powered by Refinitiv</v>
    <v>0</v>
    <v>EXPEDITORS INTERNATIONAL OF WASHINGTON, INC (XNYS:EXPD)</v>
    <v>2</v>
    <v>3</v>
    <v>Finance</v>
    <v>4</v>
    <v>131.16999999999999</v>
    <v>107.03</v>
    <v>0.95930000000000004</v>
    <v>-0.81</v>
    <v>-6.5830000000000003E-3</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18100</v>
    <v>New York Stock Exchange</v>
    <v>XNYS</v>
    <v>XNYS</v>
    <v>Sterling Plaza 2, 3Rd Floor, 3545 Factoria Blvd. Se, BELLEVUE, WA, 98006 US</v>
    <v>123.03</v>
    <v>Freight &amp; Logistics Services</v>
    <v>Stock</v>
    <v>45530.686855231252</v>
    <v>1122</v>
    <v>121.985</v>
    <v>17365780000</v>
    <v>EXPEDITORS INTERNATIONAL OF WASHINGTON, INC</v>
    <v>EXPEDITORS INTERNATIONAL OF WASHINGTON, INC</v>
    <v>123</v>
    <v>26.3355</v>
    <v>123.05</v>
    <v>122.24</v>
    <v>141127900</v>
    <v>EXPD</v>
    <v>EXPEDITORS INTERNATIONAL OF WASHINGTON, INC (XNYS:EXPD)</v>
    <v>143216</v>
    <v>1044338</v>
    <v>1979</v>
  </rv>
  <rv s="2">
    <v>1123</v>
  </rv>
  <rv s="0">
    <v>https://www.bing.com/financeapi/forcetrigger?t=a1np4c&amp;q=XNYS%3aARE&amp;form=skydnc</v>
    <v>Learn more on Bing</v>
  </rv>
  <rv s="1">
    <v>en-US</v>
    <v>a1np4c</v>
    <v>268435456</v>
    <v>1</v>
    <v>Powered by Refinitiv</v>
    <v>0</v>
    <v>ALEXANDRIA REAL ESTATE EQUITIES, INC. (XNYS:ARE)</v>
    <v>2</v>
    <v>3</v>
    <v>Finance</v>
    <v>4</v>
    <v>135.44499999999999</v>
    <v>90.73</v>
    <v>1.1746000000000001</v>
    <v>0.28999999999999998</v>
    <v>2.3930000000000002E-3</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568</v>
    <v>New York Stock Exchange</v>
    <v>XNYS</v>
    <v>XNYS</v>
    <v>26 North Euclid Avenue, PASADENA, CA, 91101 US</v>
    <v>123.25</v>
    <v>Residential &amp; Commercial REIT</v>
    <v>Stock</v>
    <v>45530.686819883595</v>
    <v>1125</v>
    <v>120.785</v>
    <v>21251771889</v>
    <v>ALEXANDRIA REAL ESTATE EQUITIES, INC.</v>
    <v>ALEXANDRIA REAL ESTATE EQUITIES, INC.</v>
    <v>122.51</v>
    <v>151.1225</v>
    <v>121.2</v>
    <v>121.49</v>
    <v>174926100</v>
    <v>ARE</v>
    <v>ALEXANDRIA REAL ESTATE EQUITIES, INC. (XNYS:ARE)</v>
    <v>525712</v>
    <v>982369</v>
    <v>1994</v>
  </rv>
  <rv s="2">
    <v>1126</v>
  </rv>
  <rv s="0">
    <v>https://www.bing.com/financeapi/forcetrigger?t=a1z7mw&amp;q=XNYS%3aOMC&amp;form=skydnc</v>
    <v>Learn more on Bing</v>
  </rv>
  <rv s="1">
    <v>en-US</v>
    <v>a1z7mw</v>
    <v>268435456</v>
    <v>1</v>
    <v>Powered by Refinitiv</v>
    <v>0</v>
    <v>OMNICOM GROUP INC. (XNYS:OMC)</v>
    <v>2</v>
    <v>3</v>
    <v>Finance</v>
    <v>4</v>
    <v>99.85</v>
    <v>72.2</v>
    <v>0.96319999999999995</v>
    <v>0.745</v>
    <v>7.5670000000000008E-3</v>
    <v>USD</v>
    <v>Omnicom Group Inc. is a global marketing and corporate communications company. The Company’s branded networks and numerous specialty firms offer services in advertising, strategic media planning and buying, precision marketing, commerce and branding, experiential, customer relationship marketing (CRM), public relations, healthcare marketing and other specialty communications services to over 5,000 clients in more than 70 countries. It provides a range of services, such as database management, digital transformation consulting, package design, crisis communications, custom publishing, data analytics, digital/direct marketing and post-production services, instore design, interactive and mobile marketing, investor relations, promotional marketing, public affairs, retail media and e-commerce, social media marketing, search engine marketing, and others. The Company’s digital commerce (Flywheel Digital) provides services in e-commerce operations, media execution and market intelligence.</v>
    <v>75900</v>
    <v>New York Stock Exchange</v>
    <v>XNYS</v>
    <v>XNYS</v>
    <v>280 Park Avenue, NEW YORK, NY, 10017 US</v>
    <v>99.85</v>
    <v>Media &amp; Publishing</v>
    <v>Stock</v>
    <v>45530.686864767966</v>
    <v>1128</v>
    <v>98.4</v>
    <v>19263590000</v>
    <v>OMNICOM GROUP INC.</v>
    <v>OMNICOM GROUP INC.</v>
    <v>98.47</v>
    <v>13.7021</v>
    <v>98.46</v>
    <v>99.204999999999998</v>
    <v>195648800</v>
    <v>OMC</v>
    <v>OMNICOM GROUP INC. (XNYS:OMC)</v>
    <v>226553</v>
    <v>1410711</v>
    <v>1944</v>
  </rv>
  <rv s="2">
    <v>1129</v>
  </rv>
  <rv s="0">
    <v>https://www.bing.com/financeapi/forcetrigger?t=a1ypc7&amp;q=XNYS%3aNRG&amp;form=skydnc</v>
    <v>Learn more on Bing</v>
  </rv>
  <rv s="1">
    <v>en-US</v>
    <v>a1ypc7</v>
    <v>268435456</v>
    <v>1</v>
    <v>Powered by Refinitiv</v>
    <v>0</v>
    <v>NRG ENERGY, INC. (XNYS:NRG)</v>
    <v>2</v>
    <v>3</v>
    <v>Finance</v>
    <v>4</v>
    <v>87.58</v>
    <v>36.61</v>
    <v>1.0841000000000001</v>
    <v>0.31</v>
    <v>3.7130000000000002E-3</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18131</v>
    <v>New York Stock Exchange</v>
    <v>XNYS</v>
    <v>XNYS</v>
    <v>910 Louisiana Street, HOUSTON, TX, 77002 US</v>
    <v>85.38</v>
    <v>Electrical Utilities &amp; IPPs</v>
    <v>Stock</v>
    <v>45530.686788471874</v>
    <v>1131</v>
    <v>83.415000000000006</v>
    <v>17232720000</v>
    <v>NRG ENERGY, INC.</v>
    <v>NRG ENERGY, INC.</v>
    <v>83.81</v>
    <v>9.1241000000000003</v>
    <v>83.5</v>
    <v>83.81</v>
    <v>206379800</v>
    <v>NRG</v>
    <v>NRG ENERGY, INC. (XNYS:NRG)</v>
    <v>663823</v>
    <v>2905656</v>
    <v>1992</v>
  </rv>
  <rv s="2">
    <v>1132</v>
  </rv>
  <rv s="0">
    <v>https://www.bing.com/financeapi/forcetrigger?t=a1o9gh&amp;q=XNYS%3aBBY&amp;form=skydnc</v>
    <v>Learn more on Bing</v>
  </rv>
  <rv s="1">
    <v>en-US</v>
    <v>a1o9gh</v>
    <v>268435456</v>
    <v>1</v>
    <v>Powered by Refinitiv</v>
    <v>0</v>
    <v>Best Buy Co., Inc. (XNYS:BBY)</v>
    <v>2</v>
    <v>3</v>
    <v>Finance</v>
    <v>4</v>
    <v>93.72</v>
    <v>62.3001</v>
    <v>1.4725999999999999</v>
    <v>0.39500000000000002</v>
    <v>4.4809999999999997E-3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89.66</v>
    <v>Specialty Retailers</v>
    <v>Stock</v>
    <v>45530.686851897655</v>
    <v>1134</v>
    <v>87.89</v>
    <v>19015170000</v>
    <v>Best Buy Co., Inc.</v>
    <v>Best Buy Co., Inc.</v>
    <v>88.47</v>
    <v>15.457800000000001</v>
    <v>88.15</v>
    <v>88.545000000000002</v>
    <v>215713700</v>
    <v>BBY</v>
    <v>Best Buy Co., Inc. (XNYS:BBY)</v>
    <v>1656279</v>
    <v>2374997</v>
    <v>1966</v>
  </rv>
  <rv s="2">
    <v>1135</v>
  </rv>
  <rv s="0">
    <v>https://www.bing.com/financeapi/forcetrigger?t=a1pap2&amp;q=BATS%3aCBOE&amp;form=skydnc</v>
    <v>Learn more on Bing</v>
  </rv>
  <rv s="1">
    <v>en-US</v>
    <v>a1pap2</v>
    <v>268435456</v>
    <v>1</v>
    <v>Powered by Refinitiv</v>
    <v>0</v>
    <v>Cboe Global Markets, Inc. (BATS:CBOE)</v>
    <v>2</v>
    <v>3</v>
    <v>Finance</v>
    <v>4</v>
    <v>214.14</v>
    <v>148</v>
    <v>0.67059999999999997</v>
    <v>4.49</v>
    <v>2.1419999999999998E-2</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1647</v>
    <v>CBOE BZX Exchange</v>
    <v>BATS</v>
    <v>BATS</v>
    <v>433 WEST VAN BUREN STREET, CHICAGO, IL, 60607 US</v>
    <v>214.14</v>
    <v>Investment Banking &amp; Investment Services</v>
    <v>Stock</v>
    <v>45530.686911654688</v>
    <v>1137</v>
    <v>210</v>
    <v>22403207151</v>
    <v>Cboe Global Markets, Inc.</v>
    <v>Cboe Global Markets, Inc.</v>
    <v>210.18</v>
    <v>107.48090000000001</v>
    <v>209.62</v>
    <v>214.11</v>
    <v>104634100</v>
    <v>CBOE</v>
    <v>Cboe Global Markets, Inc. (BATS:CBOE)</v>
    <v>295465</v>
    <v>965674</v>
    <v>2006</v>
  </rv>
  <rv s="2">
    <v>1138</v>
  </rv>
  <rv s="0">
    <v>https://www.bing.com/financeapi/forcetrigger?t=a23v7w&amp;q=XNYS%3aSYF&amp;form=skydnc</v>
    <v>Learn more on Bing</v>
  </rv>
  <rv s="1">
    <v>en-US</v>
    <v>a23v7w</v>
    <v>268435456</v>
    <v>1</v>
    <v>Powered by Refinitiv</v>
    <v>0</v>
    <v>SYNCHRONY FINANCIAL (XNYS:SYF)</v>
    <v>2</v>
    <v>3</v>
    <v>Finance</v>
    <v>4</v>
    <v>52.67</v>
    <v>27.295000000000002</v>
    <v>1.6126</v>
    <v>0.12</v>
    <v>2.4690000000000003E-3</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The Company primarily offers private label, dual card, co-brand, and general-purpose credit cards, as well as short- and long-term installment loans, and savings products through Synchrony Bank (the Bank). It primarily manages its credit products through five sales platforms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49.09</v>
    <v>Banking Services</v>
    <v>Stock</v>
    <v>45530.686867650002</v>
    <v>1140</v>
    <v>48.57</v>
    <v>19255444824</v>
    <v>SYNCHRONY FINANCIAL</v>
    <v>SYNCHRONY FINANCIAL</v>
    <v>49.05</v>
    <v>6.7481999999999998</v>
    <v>48.6</v>
    <v>48.72</v>
    <v>395226700</v>
    <v>SYF</v>
    <v>SYNCHRONY FINANCIAL (XNYS:SYF)</v>
    <v>323575</v>
    <v>3319455</v>
    <v>2003</v>
  </rv>
  <rv s="2">
    <v>1141</v>
  </rv>
  <rv s="0">
    <v>https://www.bing.com/financeapi/forcetrigger?t=a1ugim&amp;q=XNAS%3aHBAN&amp;form=skydnc</v>
    <v>Learn more on Bing</v>
  </rv>
  <rv s="1">
    <v>en-US</v>
    <v>a1ugim</v>
    <v>268435456</v>
    <v>1</v>
    <v>Powered by Refinitiv</v>
    <v>0</v>
    <v>HUNTINGTON BANCSHARES INCORPORATED (XNAS:HBAN)</v>
    <v>2</v>
    <v>3</v>
    <v>Finance</v>
    <v>4</v>
    <v>15.244999999999999</v>
    <v>9.25</v>
    <v>1.0697000000000001</v>
    <v>-9.5000000000000001E-2</v>
    <v>-6.4939999999999998E-3</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19805</v>
    <v>Nasdaq Stock Market</v>
    <v>XNAS</v>
    <v>XNAS</v>
    <v>41 South High Street, COLUMBUS, OH, 43287 US</v>
    <v>14.765000000000001</v>
    <v>Banking Services</v>
    <v>Stock</v>
    <v>45530.686851874998</v>
    <v>1143</v>
    <v>14.525</v>
    <v>21111113655</v>
    <v>HUNTINGTON BANCSHARES INCORPORATED</v>
    <v>HUNTINGTON BANCSHARES INCORPORATED</v>
    <v>14.7</v>
    <v>13.912100000000001</v>
    <v>14.63</v>
    <v>14.535</v>
    <v>1452433000</v>
    <v>HBAN</v>
    <v>HUNTINGTON BANCSHARES INCORPORATED (XNAS:HBAN)</v>
    <v>2875665</v>
    <v>14609064</v>
    <v>1966</v>
  </rv>
  <rv s="2">
    <v>1144</v>
  </rv>
  <rv s="0">
    <v>https://www.bing.com/financeapi/forcetrigger?t=a1pqur&amp;q=XNAS%3aCINF&amp;form=skydnc</v>
    <v>Learn more on Bing</v>
  </rv>
  <rv s="1">
    <v>en-US</v>
    <v>a1pqur</v>
    <v>268435456</v>
    <v>1</v>
    <v>Powered by Refinitiv</v>
    <v>0</v>
    <v>CINCINNATI FINANCIAL CORPORATION (XNAS:CINF)</v>
    <v>2</v>
    <v>3</v>
    <v>Finance</v>
    <v>4</v>
    <v>134.22</v>
    <v>96.86</v>
    <v>0.66990000000000005</v>
    <v>0.31</v>
    <v>2.3340000000000001E-3</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134.22</v>
    <v>Insurance</v>
    <v>Stock</v>
    <v>45530.686885370313</v>
    <v>1146</v>
    <v>132.58000000000001</v>
    <v>20798695424</v>
    <v>CINCINNATI FINANCIAL CORPORATION</v>
    <v>CINCINNATI FINANCIAL CORPORATION</v>
    <v>133.11000000000001</v>
    <v>9.7452000000000005</v>
    <v>132.81</v>
    <v>133.12</v>
    <v>156240200</v>
    <v>CINF</v>
    <v>CINCINNATI FINANCIAL CORPORATION (XNAS:CINF)</v>
    <v>50679</v>
    <v>641268</v>
    <v>1992</v>
  </rv>
  <rv s="2">
    <v>1147</v>
  </rv>
  <rv s="0">
    <v>https://www.bing.com/financeapi/forcetrigger?t=a1xugh&amp;q=XNYS%3aMOH&amp;form=skydnc</v>
    <v>Learn more on Bing</v>
  </rv>
  <rv s="1">
    <v>en-US</v>
    <v>a1xugh</v>
    <v>268435456</v>
    <v>1</v>
    <v>Powered by Refinitiv</v>
    <v>0</v>
    <v>MOLINA HEALTHCARE, INC. (XNYS:MOH)</v>
    <v>2</v>
    <v>3</v>
    <v>Finance</v>
    <v>4</v>
    <v>423.92439999999999</v>
    <v>282.95999999999998</v>
    <v>0.57420000000000004</v>
    <v>3.35</v>
    <v>9.6869999999999994E-3</v>
    <v>USD</v>
    <v>Molina Healthcare, Inc. is a provider of managed healthcare services under the medicaid and medicare programs, and through the state insurance marketplaces. The Company operates through four segments: Medicaid, Medicare, Marketplace and Other. The Medicaid, Medicare, and Marketplace segments represent the government-funded or sponsored programs under which it offers managed healthcare services. Medicaid provides healthcare and long-term services and support to low-income Americans. Medicare is a federal program that provides eligible persons aged 65 and over, and some disabled persons, with a variety of hospital, medical insurance, and prescription drug benefits. The Marketplace insurance exchanges allow individuals and small groups to purchase federally subsidized health insurance. It arranges healthcare services for its members through contracts with a network of providers, including independent physicians and physician groups, hospitals, ancillary providers, and pharmacies.</v>
    <v>18000</v>
    <v>New York Stock Exchange</v>
    <v>XNYS</v>
    <v>XNYS</v>
    <v>200 Oceangate, Suite 100, LONG BEACH, CA, 90802 US</v>
    <v>352.68</v>
    <v>Healthcare Providers &amp; Services</v>
    <v>Stock</v>
    <v>45530.686844825781</v>
    <v>1149</v>
    <v>346.91</v>
    <v>20461362000</v>
    <v>MOLINA HEALTHCARE, INC.</v>
    <v>MOLINA HEALTHCARE, INC.</v>
    <v>346.91</v>
    <v>18.928999999999998</v>
    <v>345.82</v>
    <v>349.17</v>
    <v>58600000</v>
    <v>MOH</v>
    <v>MOLINA HEALTHCARE, INC. (XNYS:MOH)</v>
    <v>119178</v>
    <v>710061</v>
    <v>2002</v>
  </rv>
  <rv s="2">
    <v>1150</v>
  </rv>
  <rv s="0">
    <v>https://www.bing.com/financeapi/forcetrigger?t=a1w36h&amp;q=XNYS%3aJ&amp;form=skydnc</v>
    <v>Learn more on Bing</v>
  </rv>
  <rv s="1">
    <v>en-US</v>
    <v>a1w36h</v>
    <v>268435456</v>
    <v>1</v>
    <v>Powered by Refinitiv</v>
    <v>0</v>
    <v>JACOBS SOLUTIONS INC. (XNYS:J)</v>
    <v>2</v>
    <v>3</v>
    <v>Finance</v>
    <v>4</v>
    <v>154.5</v>
    <v>120.71</v>
    <v>0.72070000000000001</v>
    <v>1.4</v>
    <v>9.3959999999999998E-3</v>
    <v>USD</v>
    <v>Jacobs Solutions Inc. provides a range of professional services, including consulting, technical, engineering, scientific, and project delivery, for the government and private sectors. Its segments include Critical Mission Solutions (CMS), People &amp; Places Solutions (P&amp;PS), Divergent Solutions (DVS), and PA Consulting (PA). CMS segment provides a range of solutions, such as information and cyber warfare, digital transformation and modernization, national security and defense, space exploration, digital asset management and the green energy transition. P&amp;PS segment provides end-to-end solutions for clients, such as climate change, energy transition, connected mobility, integrated water management, smart cities, and biopharmaceutical manufacturing. DVS segment serves as the core foundation for developing and delivering advanced cloud, cyber, data and digital technologies. PA Consulting segment provides consulting services to sectors such as security, energy, health, transport, and others.</v>
    <v>60000</v>
    <v>New York Stock Exchange</v>
    <v>XNYS</v>
    <v>XNYS</v>
    <v>1999 Bryan Street, Suite 3500, DALLAS, TX, 75201 US</v>
    <v>151.80000000000001</v>
    <v>Professional &amp; Commercial Services</v>
    <v>Stock</v>
    <v>45530.686739513279</v>
    <v>1152</v>
    <v>149.59</v>
    <v>18832005120</v>
    <v>JACOBS SOLUTIONS INC.</v>
    <v>JACOBS SOLUTIONS INC.</v>
    <v>149.91999999999999</v>
    <v>29.366</v>
    <v>149</v>
    <v>150.4</v>
    <v>125212800</v>
    <v>J</v>
    <v>JACOBS SOLUTIONS INC. (XNYS:J)</v>
    <v>158277</v>
    <v>712172</v>
    <v>2022</v>
  </rv>
  <rv s="2">
    <v>1153</v>
  </rv>
  <rv s="0">
    <v>https://www.bing.com/financeapi/forcetrigger?t=a21wsm&amp;q=XNYS%3aRF&amp;form=skydnc</v>
    <v>Learn more on Bing</v>
  </rv>
  <rv s="1">
    <v>en-US</v>
    <v>a21wsm</v>
    <v>268435456</v>
    <v>1</v>
    <v>Powered by Refinitiv</v>
    <v>0</v>
    <v>REGIONS FINANCIAL CORPORATION (XNYS:RF)</v>
    <v>2</v>
    <v>3</v>
    <v>Finance</v>
    <v>4</v>
    <v>23.09</v>
    <v>13.715</v>
    <v>1.1878</v>
    <v>-1.4999999999999999E-2</v>
    <v>-6.5759999999999994E-4</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19595</v>
    <v>New York Stock Exchange</v>
    <v>XNYS</v>
    <v>XNYS</v>
    <v>1900 Fifth Avenue North, BIRMINGHAM, AL, 35203 US</v>
    <v>23.09</v>
    <v>Banking Services</v>
    <v>Stock</v>
    <v>45530.686899305467</v>
    <v>1155</v>
    <v>22.625</v>
    <v>20860272095</v>
    <v>REGIONS FINANCIAL CORPORATION</v>
    <v>REGIONS FINANCIAL CORPORATION</v>
    <v>23.02</v>
    <v>12.8803</v>
    <v>22.81</v>
    <v>22.795000000000002</v>
    <v>915124900</v>
    <v>RF</v>
    <v>REGIONS FINANCIAL CORPORATION (XNYS:RF)</v>
    <v>1869273</v>
    <v>7310548</v>
    <v>2004</v>
  </rv>
  <rv s="2">
    <v>1156</v>
  </rv>
  <rv s="0">
    <v>https://www.bing.com/financeapi/forcetrigger?t=a1ww5r&amp;q=XNYS%3aLH&amp;form=skydnc</v>
    <v>Learn more on Bing</v>
  </rv>
  <rv s="1">
    <v>en-US</v>
    <v>a1ww5r</v>
    <v>268435456</v>
    <v>1</v>
    <v>Powered by Refinitiv</v>
    <v>0</v>
    <v>LABCORP HOLDINGS INC. (XNYS:LH)</v>
    <v>2</v>
    <v>3</v>
    <v>Finance</v>
    <v>4</v>
    <v>238.465</v>
    <v>191.97</v>
    <v>1.0571999999999999</v>
    <v>0.92</v>
    <v>3.9849999999999998E-3</v>
    <v>USD</v>
    <v>Labcorp Holdings Inc. provides comprehensive laboratory services that provides vital information to help doctors, hospitals, pharmaceutical companies, researchers, and patients make clear and confident decisions. By leveraging its unparalleled diagnostics and drug development capabilities, the Company provides insights and accelerates innovations to improve health and improve lives.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serves clients in more than 100 countries.</v>
    <v>67000</v>
    <v>New York Stock Exchange</v>
    <v>XNYS</v>
    <v>XNYS</v>
    <v>358 S Main St, BURLINGTON, NC, 27215 US</v>
    <v>233.24</v>
    <v>Healthcare Providers &amp; Services</v>
    <v>Stock</v>
    <v>45530.686785717189</v>
    <v>1158</v>
    <v>230.37</v>
    <v>19463527936</v>
    <v>LABCORP HOLDINGS INC.</v>
    <v>LABCORP HOLDINGS INC.</v>
    <v>230.94</v>
    <v>43.893000000000001</v>
    <v>230.89</v>
    <v>231.81</v>
    <v>83963280</v>
    <v>LH</v>
    <v>LABCORP HOLDINGS INC. (XNYS:LH)</v>
    <v>138313</v>
    <v>619369</v>
    <v>2024</v>
  </rv>
  <rv s="2">
    <v>1159</v>
  </rv>
  <rv s="0">
    <v>https://www.bing.com/financeapi/forcetrigger?t=a25par&amp;q=XNYS%3aWAT&amp;form=skydnc</v>
    <v>Learn more on Bing</v>
  </rv>
  <rv s="1">
    <v>en-US</v>
    <v>a25par</v>
    <v>268435456</v>
    <v>1</v>
    <v>Powered by Refinitiv</v>
    <v>0</v>
    <v>WATERS CORPORATION (XNYS:WAT)</v>
    <v>2</v>
    <v>3</v>
    <v>Finance</v>
    <v>4</v>
    <v>367.21</v>
    <v>231.9</v>
    <v>0.95550000000000002</v>
    <v>-3.94</v>
    <v>-1.1506000000000001E-2</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343.9</v>
    <v>Healthcare Equipment &amp; Supplies</v>
    <v>Stock</v>
    <v>45530.686766365623</v>
    <v>1161</v>
    <v>337.89</v>
    <v>20092826066</v>
    <v>WATERS CORPORATION</v>
    <v>WATERS CORPORATION</v>
    <v>342.3</v>
    <v>33.727499999999999</v>
    <v>342.42</v>
    <v>338.48</v>
    <v>59361930</v>
    <v>WAT</v>
    <v>WATERS CORPORATION (XNYS:WAT)</v>
    <v>52222</v>
    <v>407703</v>
    <v>1991</v>
  </rv>
  <rv s="2">
    <v>1162</v>
  </rv>
  <rv s="0">
    <v>https://www.bing.com/financeapi/forcetrigger?t=a1nwgh&amp;q=XNYS%3aATO&amp;form=skydnc</v>
    <v>Learn more on Bing</v>
  </rv>
  <rv s="1">
    <v>en-US</v>
    <v>a1nwgh</v>
    <v>268435456</v>
    <v>1</v>
    <v>Powered by Refinitiv</v>
    <v>0</v>
    <v>ATMOS ENERGY CORPORATION (XNYS:ATO)</v>
    <v>2</v>
    <v>3</v>
    <v>Finance</v>
    <v>4</v>
    <v>132.24</v>
    <v>101</v>
    <v>0.6704</v>
    <v>0.9</v>
    <v>6.9610000000000002E-3</v>
    <v>USD</v>
    <v>Atmos Energy Corporation is a natural gas-only distributor. The Company delivers natural gas to over 3.3 million distribution customers in over 1,400 communities across eight states located primarily in the South. The Company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comprises the pipeline and storage operations of its Atmos Pipeline-Texas (APT) division and its natural gas transmission operations in Louisiana. APT division is an intrastate pipeline operator in Texas with a heavy concentration in the established natural gas producing areas of central, northern and eastern Texas, extending into or near the major producing areas of the Barnett Shale, the Texas Gulf Coast and the Permian Basin of West Texas.</v>
    <v>5019</v>
    <v>New York Stock Exchange</v>
    <v>XNYS</v>
    <v>XNYS</v>
    <v>1800 Three Lincoln Ctr, 5430 Lbj Freeway, DALLAS, TX, 75240 US</v>
    <v>131</v>
    <v>Natural Gas Utilities</v>
    <v>Stock</v>
    <v>45530.686875346873</v>
    <v>1164</v>
    <v>129.54</v>
    <v>20194240000</v>
    <v>ATMOS ENERGY CORPORATION</v>
    <v>ATMOS ENERGY CORPORATION</v>
    <v>129.68</v>
    <v>19.101199999999999</v>
    <v>129.285</v>
    <v>130.185</v>
    <v>155232800</v>
    <v>ATO</v>
    <v>ATMOS ENERGY CORPORATION (XNYS:ATO)</v>
    <v>136288</v>
    <v>812576</v>
    <v>1981</v>
  </rv>
  <rv s="2">
    <v>1165</v>
  </rv>
  <rv s="0">
    <v>https://www.bing.com/financeapi/forcetrigger?t=a1na6h&amp;q=XNAS%3aALGN&amp;form=skydnc</v>
    <v>Learn more on Bing</v>
  </rv>
  <rv s="1">
    <v>en-US</v>
    <v>a1na6h</v>
    <v>268435456</v>
    <v>1</v>
    <v>Powered by Refinitiv</v>
    <v>0</v>
    <v>ALIGN TECHNOLOGY, INC. (XNAS:ALGN)</v>
    <v>2</v>
    <v>3</v>
    <v>Finance</v>
    <v>4</v>
    <v>375.68</v>
    <v>176.34</v>
    <v>1.6415</v>
    <v>-3.93</v>
    <v>-1.6796999999999999E-2</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233.97</v>
    <v>Healthcare Equipment &amp; Supplies</v>
    <v>Stock</v>
    <v>45530.686729305467</v>
    <v>1167</v>
    <v>229.69499999999999</v>
    <v>17183311682</v>
    <v>ALIGN TECHNOLOGY, INC.</v>
    <v>ALIGN TECHNOLOGY, INC.</v>
    <v>233.97</v>
    <v>39.680799999999998</v>
    <v>233.97</v>
    <v>230.04</v>
    <v>74697060</v>
    <v>ALGN</v>
    <v>ALIGN TECHNOLOGY, INC. (XNAS:ALGN)</v>
    <v>171884</v>
    <v>942835</v>
    <v>1997</v>
  </rv>
  <rv s="2">
    <v>1168</v>
  </rv>
  <rv s="0">
    <v>http://zh.wikipedia.org/wiki/味可美</v>
    <v>Wikipedia</v>
  </rv>
  <rv s="3">
    <v>3</v>
    <v>1170</v>
  </rv>
  <rv s="4">
    <v>9</v>
    <v>https://www.bing.com/th?id=AMMS_8d96836a886471f7120ce0135f3ca8bd&amp;qlt=95</v>
    <v>1171</v>
    <v>0</v>
    <v>https://www.bing.com/images/search?form=xlimg&amp;q=mccormick+%26+company</v>
    <v>Image of MCCORMICK &amp; COMPANY, INCORPORATED</v>
  </rv>
  <rv s="0">
    <v>https://www.bing.com/financeapi/forcetrigger?t=a1xoc7&amp;q=XNYS%3aMKC&amp;form=skydnc</v>
    <v>Learn more on Bing</v>
  </rv>
  <rv s="5">
    <v>en-US</v>
    <v>a1xoc7</v>
    <v>268435456</v>
    <v>1</v>
    <v>Powered by Refinitiv</v>
    <v>5</v>
    <v>MCCORMICK &amp; COMPANY, INCORPORATED (XNYS:MKC)</v>
    <v>7</v>
    <v>8</v>
    <v>Finance</v>
    <v>4</v>
    <v>83.48</v>
    <v>59.13</v>
    <v>0.75649999999999995</v>
    <v>0.18</v>
    <v>2.2699999999999999E-3</v>
    <v>USD</v>
    <v>McCormick &amp; Company, Incorporated is engaged in manufacturing, marketing and distributing spices, seasoning mixes, condiments and other flavorful products to the entire food industry, including e-commerce channels, grocery,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Zatarain’s, Simply Asia, Thai Kitchen, Ducros, Vahine, Cholula, Schwartz, Club House, Kamis, DaQiao, La Drogheria, Stubb's, OLD BAY and Gourmet Garden. In its Flavor Solutions segment, it provides a range of products to multinational food manufacturers and foodservice customers. Its sales, distribution and production facilities are located in North America, Europe and China. Additional facilities are based in Australia, Central America, Thailand and South Africa.</v>
    <v>13800</v>
    <v>New York Stock Exchange</v>
    <v>XNYS</v>
    <v>XNYS</v>
    <v>24 Schilling Road, HUNT VALLEY, MD, 21031 US</v>
    <v>80.099999999999994</v>
    <v>1172</v>
    <v>Food &amp; Tobacco</v>
    <v>Stock</v>
    <v>45530.686857950779</v>
    <v>1173</v>
    <v>79.334999999999994</v>
    <v>21294050000</v>
    <v>MCCORMICK &amp; COMPANY, INCORPORATED</v>
    <v>MCCORMICK &amp; COMPANY, INCORPORATED</v>
    <v>79.424999999999997</v>
    <v>29.0243</v>
    <v>79.3</v>
    <v>79.48</v>
    <v>268682900</v>
    <v>MKC</v>
    <v>MCCORMICK &amp; COMPANY, INCORPORATED (XNYS:MKC)</v>
    <v>220684</v>
    <v>1593166</v>
    <v>1915</v>
  </rv>
  <rv s="2">
    <v>1174</v>
  </rv>
  <rv s="0">
    <v>https://www.bing.com/financeapi/forcetrigger?t=a1pyar&amp;q=XNYS%3aCMS&amp;form=skydnc</v>
    <v>Learn more on Bing</v>
  </rv>
  <rv s="1">
    <v>en-US</v>
    <v>a1pyar</v>
    <v>268435456</v>
    <v>1</v>
    <v>Powered by Refinitiv</v>
    <v>0</v>
    <v>CMS ENERGY CORPORATION (XNYS:CMS)</v>
    <v>2</v>
    <v>3</v>
    <v>Finance</v>
    <v>4</v>
    <v>67.97</v>
    <v>49.87</v>
    <v>0.40239999999999998</v>
    <v>0.38</v>
    <v>5.6620000000000004E-3</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over 2,371 miles of transmission lines with 15 gas storage fields with a total storage capacity of 309 billion cubic feet (bcf).</v>
    <v>8356</v>
    <v>New York Stock Exchange</v>
    <v>XNYS</v>
    <v>XNYS</v>
    <v>One Energy Plaza, JACKSON, MI, 49201 US</v>
    <v>67.97</v>
    <v>Multiline Utilities</v>
    <v>Stock</v>
    <v>45530.68683086797</v>
    <v>1176</v>
    <v>67.239999999999995</v>
    <v>20164234500</v>
    <v>CMS ENERGY CORPORATION</v>
    <v>CMS ENERGY CORPORATION</v>
    <v>67.239999999999995</v>
    <v>21.519300000000001</v>
    <v>67.12</v>
    <v>67.5</v>
    <v>298729400</v>
    <v>CMS</v>
    <v>CMS ENERGY CORPORATION (XNYS:CMS)</v>
    <v>412581</v>
    <v>2018989</v>
    <v>1987</v>
  </rv>
  <rv s="2">
    <v>1177</v>
  </rv>
  <rv s="0">
    <v>https://www.bing.com/financeapi/forcetrigger?t=a1pvu2&amp;q=XNYS%3aCLX&amp;form=skydnc</v>
    <v>Learn more on Bing</v>
  </rv>
  <rv s="1">
    <v>en-US</v>
    <v>a1pvu2</v>
    <v>268435456</v>
    <v>1</v>
    <v>Powered by Refinitiv</v>
    <v>0</v>
    <v>THE CLOROX COMPANY (XNYS:CLX)</v>
    <v>2</v>
    <v>3</v>
    <v>Finance</v>
    <v>4</v>
    <v>158.88999999999999</v>
    <v>114.685</v>
    <v>0.38669999999999999</v>
    <v>0.95</v>
    <v>6.2070000000000007E-3</v>
    <v>USD</v>
    <v>The Clorox Company is a multinational manufacturer and marketer of consumer and professional products. The Company operates through four segments: Health and Wellness, Household, Lifestyle, and International. The Health and Wellness segment consists of cleaning, disinfecting and professional products mainly marketed and sold in the United States. The Household segment consists of bags and wraps, cat litter and grilling products marketed and sold in the United States. The Lifestyle segment consists of food, natural personal care products and water-filtration products marketed and sold in the United States. The International consists of products sold outside the United States. The products within International segment include laundry additives; home care products; water-filtration products; digestive health products; grilling products; cat litter; food; bags and wraps; natural personal care products; and professional cleaning and disinfecting products.</v>
    <v>8000</v>
    <v>New York Stock Exchange</v>
    <v>XNYS</v>
    <v>XNYS</v>
    <v>1221 Broadway, OAKLAND, CA, 94612-1888 US</v>
    <v>154.66</v>
    <v>Personal &amp; Household Products &amp; Services</v>
    <v>Stock</v>
    <v>45530.686870265628</v>
    <v>1179</v>
    <v>152.82</v>
    <v>18958250000</v>
    <v>THE CLOROX COMPANY</v>
    <v>THE CLOROX COMPANY</v>
    <v>153.03</v>
    <v>68.346999999999994</v>
    <v>153.06</v>
    <v>154.01</v>
    <v>123861500</v>
    <v>CLX</v>
    <v>THE CLOROX COMPANY (XNYS:CLX)</v>
    <v>327049</v>
    <v>1390643</v>
    <v>1986</v>
  </rv>
  <rv s="2">
    <v>1180</v>
  </rv>
  <rv s="0">
    <v>https://www.bing.com/financeapi/forcetrigger?t=a1ysr7&amp;q=XNAS%3aNTRS&amp;form=skydnc</v>
    <v>Learn more on Bing</v>
  </rv>
  <rv s="1">
    <v>en-US</v>
    <v>a1ysr7</v>
    <v>268435456</v>
    <v>1</v>
    <v>Powered by Refinitiv</v>
    <v>0</v>
    <v>NORTHERN TRUST CORPORATION (XNAS:NTRS)</v>
    <v>2</v>
    <v>3</v>
    <v>Finance</v>
    <v>4</v>
    <v>92.46</v>
    <v>62.435000000000002</v>
    <v>1.0962000000000001</v>
    <v>0.36</v>
    <v>4.0590000000000001E-3</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23000</v>
    <v>Nasdaq Stock Market</v>
    <v>XNAS</v>
    <v>XNAS</v>
    <v>50 S Lasalle St, CHICAGO, IL, 60603 US</v>
    <v>89.72</v>
    <v>Investment Banking &amp; Investment Services</v>
    <v>Stock</v>
    <v>45530.686885370313</v>
    <v>1182</v>
    <v>88.584999999999994</v>
    <v>17957880280</v>
    <v>NORTHERN TRUST CORPORATION</v>
    <v>NORTHERN TRUST CORPORATION</v>
    <v>88.94</v>
    <v>12.142899999999999</v>
    <v>88.7</v>
    <v>89.06</v>
    <v>201638000</v>
    <v>NTRS</v>
    <v>NORTHERN TRUST CORPORATION (XNAS:NTRS)</v>
    <v>243543</v>
    <v>1009623</v>
    <v>1971</v>
  </rv>
  <rv s="2">
    <v>1183</v>
  </rv>
  <rv s="0">
    <v>https://www.bing.com/financeapi/forcetrigger?t=axxc6h&amp;q=XNAS%3aPFG&amp;form=skydnc</v>
    <v>Learn more on Bing</v>
  </rv>
  <rv s="1">
    <v>en-US</v>
    <v>axxc6h</v>
    <v>268435456</v>
    <v>1</v>
    <v>Powered by Refinitiv</v>
    <v>0</v>
    <v>PRINCIPAL FINANCIAL GROUP, INC. (XNAS:PFG)</v>
    <v>2</v>
    <v>3</v>
    <v>Finance</v>
    <v>4</v>
    <v>88.26</v>
    <v>66.209999999999994</v>
    <v>1.1936</v>
    <v>0.25</v>
    <v>3.1450000000000002E-3</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19800</v>
    <v>Nasdaq Stock Market</v>
    <v>XNAS</v>
    <v>XNAS</v>
    <v>711 High Street, DES MOINES, IA, 50392 US</v>
    <v>80.38</v>
    <v>Investment Banking &amp; Investment Services</v>
    <v>Stock</v>
    <v>45530.686733171096</v>
    <v>1185</v>
    <v>79.459999999999994</v>
    <v>18464168401</v>
    <v>PRINCIPAL FINANCIAL GROUP, INC.</v>
    <v>PRINCIPAL FINANCIAL GROUP, INC.</v>
    <v>79.67</v>
    <v>15.417400000000001</v>
    <v>79.48</v>
    <v>79.73</v>
    <v>231583700</v>
    <v>PFG</v>
    <v>PRINCIPAL FINANCIAL GROUP, INC. (XNAS:PFG)</v>
    <v>237789</v>
    <v>1316502</v>
    <v>2001</v>
  </rv>
  <rv s="2">
    <v>1186</v>
  </rv>
  <rv s="0">
    <v>https://www.bing.com/financeapi/forcetrigger?t=a1o76h&amp;q=XNYS%3aBAX&amp;form=skydnc</v>
    <v>Learn more on Bing</v>
  </rv>
  <rv s="6">
    <v>en-US</v>
    <v>a1o76h</v>
    <v>268435456</v>
    <v>1</v>
    <v>Powered by Refinitiv</v>
    <v>10</v>
    <v>BAXTER INTERNATIONAL INC. (XNYS:BAX)</v>
    <v>2</v>
    <v>13</v>
    <v>Finance</v>
    <v>4</v>
    <v>44.005000000000003</v>
    <v>31.01</v>
    <v>0.59109999999999996</v>
    <v>0.49</v>
    <v>1.3052999999999999E-2</v>
    <v>USD</v>
    <v>Baxter International Inc., through its subsidiaries, provides a portfolio of essential healthcare products. The Company’s Medical Products and Therapies segment includes sales of sterile IV solutions, infusion systems, administration sets, parenteral nutrition therapies and surgical hemostat, sealant and adhesion prevention products. Its Healthcare Systems and Technologies segment includes connected care solutions and collaboration tools, including smart bed systems, patient monitoring systems and diagnostic technologies, respiratory health devices and advanced equipment for the surgical space, including surgical video technologies and precision positioning devices. Its Pharmaceuticals segment includes specialty injectable pharmaceuticals, inhaled anesthesia and drug compounding. Its Kidney Care segment includes chronic and acute dialysis therapies and services, including peritoneal dialysis, hemodialysis, continuous renal replacement therapies (CRRT) and other organ support therapies.</v>
    <v>60000</v>
    <v>New York Stock Exchange</v>
    <v>XNYS</v>
    <v>XNYS</v>
    <v>1 Baxter Parkway,, DEERFIELD, IL, 60015 US</v>
    <v>38.39</v>
    <v>Healthcare Equipment &amp; Supplies</v>
    <v>Stock</v>
    <v>45530.686847650002</v>
    <v>1188</v>
    <v>37.47</v>
    <v>19402054128</v>
    <v>BAXTER INTERNATIONAL INC.</v>
    <v>BAXTER INTERNATIONAL INC.</v>
    <v>37.604999999999997</v>
    <v>37.54</v>
    <v>38.03</v>
    <v>510177600</v>
    <v>BAX</v>
    <v>BAXTER INTERNATIONAL INC. (XNYS:BAX)</v>
    <v>810248</v>
    <v>4719645</v>
    <v>1931</v>
  </rv>
  <rv s="2">
    <v>1189</v>
  </rv>
  <rv s="0">
    <v>https://www.bing.com/financeapi/forcetrigger?t=a1vh4c&amp;q=XNAS%3aILMN&amp;form=skydnc</v>
    <v>Learn more on Bing</v>
  </rv>
  <rv s="1">
    <v>en-US</v>
    <v>a1vh4c</v>
    <v>268435456</v>
    <v>1</v>
    <v>Powered by Refinitiv</v>
    <v>0</v>
    <v>ILLUMINA, INC. (XNAS:ILMN)</v>
    <v>2</v>
    <v>3</v>
    <v>Finance</v>
    <v>4</v>
    <v>166.6695</v>
    <v>86.493200000000002</v>
    <v>1.1536</v>
    <v>0.91500000000000004</v>
    <v>6.9640000000000006E-3</v>
    <v>USD</v>
    <v>Illumina, Inc. is engaged in DNA sequencing and array-based technologies, serving customers in the research, clinical, and applied markets. Its products are used for applications in the life sciences, oncology, reproductive health, agriculture, and other emerging segments. Its product categories include Instruments, Kits &amp; Reagents, Selection Tools, and Software &amp; Analysis. Its Instruments category include sequencing platforms, microarray scanners, and IVD instruments. Its Kits &amp; Reagents category consists of library preparation kits, sequencing reagents, microarray kits, clinical research products, and IVD products. Its Selection Tools category include Library Prep &amp; Array Kit Selector, Gene Panel &amp; Array Finder, DesignStudio Custom Assay Designer, and other. Its services include sequencing services, microarray services, proactive instrument monitoring, and instrument services and training. It is also a developer of an emerging and highly differentiated single-cell technology.</v>
    <v>10590</v>
    <v>Nasdaq Stock Market</v>
    <v>XNAS</v>
    <v>XNAS</v>
    <v>5200 Illumina Way, SAN DIEGO, CA, 92122 US</v>
    <v>132.39500000000001</v>
    <v>Healthcare Equipment &amp; Supplies</v>
    <v>Stock</v>
    <v>45530.686851642968</v>
    <v>1191</v>
    <v>130.34</v>
    <v>21076186500</v>
    <v>ILLUMINA, INC.</v>
    <v>ILLUMINA, INC.</v>
    <v>131.68</v>
    <v>0</v>
    <v>131.38999999999999</v>
    <v>132.30500000000001</v>
    <v>159300000</v>
    <v>ILMN</v>
    <v>ILLUMINA, INC. (XNAS:ILMN)</v>
    <v>237890</v>
    <v>1812421</v>
    <v>2000</v>
  </rv>
  <rv s="2">
    <v>1192</v>
  </rv>
  <rv s="0">
    <v>https://www.bing.com/financeapi/forcetrigger?t=a23tz2&amp;q=XNAS%3aSWKS&amp;form=skydnc</v>
    <v>Learn more on Bing</v>
  </rv>
  <rv s="1">
    <v>en-US</v>
    <v>a23tz2</v>
    <v>268435456</v>
    <v>1</v>
    <v>Powered by Refinitiv</v>
    <v>0</v>
    <v>SKYWORKS SOLUTIONS, INC. (XNAS:SWKS)</v>
    <v>2</v>
    <v>3</v>
    <v>Finance</v>
    <v>4</v>
    <v>120.86</v>
    <v>85.06</v>
    <v>1.2062999999999999</v>
    <v>-0.85</v>
    <v>-7.783E-3</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9750</v>
    <v>Nasdaq Stock Market</v>
    <v>XNAS</v>
    <v>XNAS</v>
    <v>5260 California Avenue, IRVINE, CA, 92617 US</v>
    <v>109.18</v>
    <v>Semiconductors &amp; Semiconductor Equipment</v>
    <v>Stock</v>
    <v>45530.686888344528</v>
    <v>1194</v>
    <v>107.55500000000001</v>
    <v>17306869104</v>
    <v>SKYWORKS SOLUTIONS, INC.</v>
    <v>SKYWORKS SOLUTIONS, INC.</v>
    <v>108.57</v>
    <v>22.564</v>
    <v>109.21</v>
    <v>108.36</v>
    <v>159716400</v>
    <v>SWKS</v>
    <v>SKYWORKS SOLUTIONS, INC. (XNAS:SWKS)</v>
    <v>241387</v>
    <v>2516199</v>
    <v>2002</v>
  </rv>
  <rv s="2">
    <v>1195</v>
  </rv>
  <rv s="0">
    <v>https://www.bing.com/financeapi/forcetrigger?t=a1x6rw&amp;q=XNYS%3aLUV&amp;form=skydnc</v>
    <v>Learn more on Bing</v>
  </rv>
  <rv s="1">
    <v>en-US</v>
    <v>a1x6rw</v>
    <v>268435456</v>
    <v>1</v>
    <v>Powered by Refinitiv</v>
    <v>0</v>
    <v>SOUTHWEST AIRLINES CO. (XNYS:LUV)</v>
    <v>2</v>
    <v>3</v>
    <v>Finance</v>
    <v>4</v>
    <v>35.18</v>
    <v>21.913900000000002</v>
    <v>1.1603000000000001</v>
    <v>-5.0000000000000001E-3</v>
    <v>-1.7739999999999998E-4</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offers ancillary services, such as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has over 817 Boeing 737 aircraft in its fleet and serves 121 destinations in 42 states, the District of Columbia, the Commonwealth of Puerto Rico, and ten near-international countries: Mexico, Jamaica, The Bahamas, Aruba, Dominican Republic, Costa Rica, Belize, Cuba, the Cayman Islands, and Turks and Caicos.</v>
    <v>74081</v>
    <v>New York Stock Exchange</v>
    <v>XNYS</v>
    <v>XNYS</v>
    <v>2702 Love Field Dr, Po Box 36611, DALLAS, TX, 75235 US</v>
    <v>28.37</v>
    <v>Passenger Transportation Services</v>
    <v>Stock</v>
    <v>45530.686887036718</v>
    <v>1197</v>
    <v>28.0702</v>
    <v>16881248475</v>
    <v>SOUTHWEST AIRLINES CO.</v>
    <v>SOUTHWEST AIRLINES CO.</v>
    <v>28.22</v>
    <v>455.25040000000001</v>
    <v>28.18</v>
    <v>28.175000000000001</v>
    <v>599157000</v>
    <v>LUV</v>
    <v>SOUTHWEST AIRLINES CO. (XNYS:LUV)</v>
    <v>2529391</v>
    <v>12279834</v>
    <v>1967</v>
  </rv>
  <rv s="2">
    <v>1198</v>
  </rv>
  <rv s="0">
    <v>https://www.bing.com/financeapi/forcetrigger?t=a24p77&amp;q=XNYS%3aTXT&amp;form=skydnc</v>
    <v>Learn more on Bing</v>
  </rv>
  <rv s="1">
    <v>en-US</v>
    <v>a24p77</v>
    <v>268435456</v>
    <v>1</v>
    <v>Powered by Refinitiv</v>
    <v>0</v>
    <v>TEXTRON INC. (XNYS:TXT)</v>
    <v>2</v>
    <v>3</v>
    <v>Finance</v>
    <v>4</v>
    <v>97.334999999999994</v>
    <v>74.13</v>
    <v>1.2337</v>
    <v>0.41</v>
    <v>4.5599999999999998E-3</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90.93</v>
    <v>Aerospace &amp; Defense</v>
    <v>Stock</v>
    <v>45530.686872024999</v>
    <v>1200</v>
    <v>89.97</v>
    <v>16845770000</v>
    <v>TEXTRON INC.</v>
    <v>TEXTRON INC.</v>
    <v>90.51</v>
    <v>18.991299999999999</v>
    <v>89.91</v>
    <v>90.32</v>
    <v>187362500</v>
    <v>TXT</v>
    <v>TEXTRON INC. (XNYS:TXT)</v>
    <v>123727</v>
    <v>866934</v>
    <v>1967</v>
  </rv>
  <rv s="2">
    <v>1201</v>
  </rv>
  <rv s="0">
    <v>https://www.bing.com/financeapi/forcetrigger?t=a1usr7&amp;q=XNAS%3aHOLX&amp;form=skydnc</v>
    <v>Learn more on Bing</v>
  </rv>
  <rv s="1">
    <v>en-US</v>
    <v>a1usr7</v>
    <v>268435456</v>
    <v>1</v>
    <v>Powered by Refinitiv</v>
    <v>0</v>
    <v>HOLOGIC, INC. (XNAS:HOLX)</v>
    <v>2</v>
    <v>3</v>
    <v>Finance</v>
    <v>4</v>
    <v>84.67</v>
    <v>64.02</v>
    <v>0.98370000000000002</v>
    <v>-0.24</v>
    <v>-2.9909999999999997E-3</v>
    <v>USD</v>
    <v>Hologic, Inc. is a medical technology company focused on improving women's health and well-being through early detection and treatment. It is a developer, manufacturer and supplier of diagnostics products, medical imaging systems and surgical products. Its segments include Diagnostics, Breast Health, GYN Surgical and Skeletal Health. Diagnostics segment offers a range of diagnostic products, which are used to aid in the screening and diagnosis of human diseases. Breast Health segment offers a portfolio of solutions for breast cancer care in the areas of radiology, breast surgery, pathology and treatment. It also offers wireless breast surgery localization and lymphatic tracing solutions. GYN Surgical segment products include MyoSure hysteroscopic tissue removal system, NovaSure endometrial ablation system, Fluent fluid management system and Acessa ProVu laparoscopic radiofrequency ablation system. Skeletal Health segment products include Horizon DXA Systems and Fluoroscan Insight FD.</v>
    <v>6990</v>
    <v>Nasdaq Stock Market</v>
    <v>XNAS</v>
    <v>XNAS</v>
    <v>250 Campus Drive, MARLBOROUGH, MA, 1752 US</v>
    <v>80.489999999999995</v>
    <v>Healthcare Equipment &amp; Supplies</v>
    <v>Stock</v>
    <v>45530.686886353906</v>
    <v>1203</v>
    <v>79.87</v>
    <v>18584074719</v>
    <v>HOLOGIC, INC.</v>
    <v>HOLOGIC, INC.</v>
    <v>80.23</v>
    <v>27.384399999999999</v>
    <v>80.25</v>
    <v>80.010000000000005</v>
    <v>232271900</v>
    <v>HOLX</v>
    <v>HOLOGIC, INC. (XNAS:HOLX)</v>
    <v>276696</v>
    <v>1756965</v>
    <v>1990</v>
  </rv>
  <rv s="2">
    <v>1204</v>
  </rv>
  <rv s="0">
    <v>https://www.bing.com/financeapi/forcetrigger?t=a1zxa2&amp;q=XNYS%3aPKG&amp;form=skydnc</v>
    <v>Learn more on Bing</v>
  </rv>
  <rv s="1">
    <v>en-US</v>
    <v>a1zxa2</v>
    <v>268435456</v>
    <v>1</v>
    <v>Powered by Refinitiv</v>
    <v>0</v>
    <v>PACKAGING CORPORATION OF AMERICA (XNYS:PKG)</v>
    <v>2</v>
    <v>3</v>
    <v>Finance</v>
    <v>4</v>
    <v>206.74</v>
    <v>143.82</v>
    <v>0.78500000000000003</v>
    <v>0.42499999999999999</v>
    <v>2.085E-3</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206.74</v>
    <v>Containers &amp; Packaging</v>
    <v>Stock</v>
    <v>45530.686852464845</v>
    <v>1206</v>
    <v>204.11500000000001</v>
    <v>18342715015</v>
    <v>PACKAGING CORPORATION OF AMERICA</v>
    <v>PACKAGING CORPORATION OF AMERICA</v>
    <v>205.81</v>
    <v>25.886299999999999</v>
    <v>203.81</v>
    <v>204.23500000000001</v>
    <v>89811810</v>
    <v>PKG</v>
    <v>PACKAGING CORPORATION OF AMERICA (XNYS:PKG)</v>
    <v>91942</v>
    <v>587041</v>
    <v>1999</v>
  </rv>
  <rv s="2">
    <v>1207</v>
  </rv>
  <rv s="0">
    <v>https://www.bing.com/financeapi/forcetrigger?t=a1sifr&amp;q=XNAS%3aEXPE&amp;form=skydnc</v>
    <v>Learn more on Bing</v>
  </rv>
  <rv s="1">
    <v>en-US</v>
    <v>a1sifr</v>
    <v>268435456</v>
    <v>1</v>
    <v>Powered by Refinitiv</v>
    <v>0</v>
    <v>EXPEDIA GROUP, INC. (XNAS:EXPE)</v>
    <v>2</v>
    <v>3</v>
    <v>Finance</v>
    <v>4</v>
    <v>160.04990000000001</v>
    <v>92.48</v>
    <v>1.792</v>
    <v>-0.17</v>
    <v>-1.2310000000000001E-3</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17100</v>
    <v>Nasdaq Stock Market</v>
    <v>XNAS</v>
    <v>XNAS</v>
    <v>1111 Expedia Group Way W, SEATTLE, WA, 98119-1111 US</v>
    <v>139.67500000000001</v>
    <v>Hotels &amp; Entertainment Services</v>
    <v>Stock</v>
    <v>45530.686890242971</v>
    <v>1209</v>
    <v>137.69999999999999</v>
    <v>17981690000</v>
    <v>EXPEDIA GROUP, INC.</v>
    <v>EXPEDIA GROUP, INC.</v>
    <v>138.13</v>
    <v>24.6572</v>
    <v>138.13</v>
    <v>137.96</v>
    <v>130179400</v>
    <v>EXPE</v>
    <v>EXPEDIA GROUP, INC. (XNAS:EXPE)</v>
    <v>519828</v>
    <v>2217409</v>
    <v>2005</v>
  </rv>
  <rv s="2">
    <v>1210</v>
  </rv>
  <rv s="0">
    <v>https://www.bing.com/financeapi/forcetrigger?t=a1x8z2&amp;q=XNYS%3aMAA&amp;form=skydnc</v>
    <v>Learn more on Bing</v>
  </rv>
  <rv s="1">
    <v>en-US</v>
    <v>a1x8z2</v>
    <v>268435456</v>
    <v>1</v>
    <v>Powered by Refinitiv</v>
    <v>0</v>
    <v>MID-AMERICA APARTMENT COMMUNITIES, INC. (XNYS:MAA)</v>
    <v>2</v>
    <v>3</v>
    <v>Finance</v>
    <v>4</v>
    <v>158.34</v>
    <v>115.56</v>
    <v>0.86970000000000003</v>
    <v>3.5000000000000003E-2</v>
    <v>2.2349999999999998E-4</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storm related expenses related to hurricanes. It has ownership interest in apartment units, including communities in development, across 16 states and the District of Columbia.</v>
    <v>2427</v>
    <v>New York Stock Exchange</v>
    <v>XNYS</v>
    <v>XNYS</v>
    <v>Ste 340, 6584 Poplar Ave, MEMPHIS, TN, 38138 US</v>
    <v>158.34</v>
    <v>Residential &amp; Commercial REIT</v>
    <v>Stock</v>
    <v>45530.686765312501</v>
    <v>1212</v>
    <v>156.25</v>
    <v>18310409873</v>
    <v>MID-AMERICA APARTMENT COMMUNITIES, INC.</v>
    <v>MID-AMERICA APARTMENT COMMUNITIES, INC.</v>
    <v>158.34</v>
    <v>35.698300000000003</v>
    <v>156.63</v>
    <v>156.66499999999999</v>
    <v>116876200</v>
    <v>MAA</v>
    <v>MID-AMERICA APARTMENT COMMUNITIES, INC. (XNYS:MAA)</v>
    <v>239716</v>
    <v>738542</v>
    <v>1993</v>
  </rv>
  <rv s="2">
    <v>1213</v>
  </rv>
  <rv s="0">
    <v>https://www.bing.com/financeapi/forcetrigger?t=a1x7im&amp;q=XNYS%3aLVS&amp;form=skydnc</v>
    <v>Learn more on Bing</v>
  </rv>
  <rv s="1">
    <v>en-US</v>
    <v>a1x7im</v>
    <v>268435456</v>
    <v>1</v>
    <v>Powered by Refinitiv</v>
    <v>0</v>
    <v>LAS VEGAS SANDS CORP. (XNYS:LVS)</v>
    <v>2</v>
    <v>3</v>
    <v>Finance</v>
    <v>4</v>
    <v>55.73</v>
    <v>36.619999999999997</v>
    <v>1.1165</v>
    <v>0</v>
    <v>0</v>
    <v>USD</v>
    <v>Las Vegas Sands Corp. is a global developer and operator of destination properties (Integrated Resorts). The Integrated Resorts features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The Company's principal operating and developmental activities occur in two geographic areas: Macao and Singapore. In Macao, it owns The Venetian Macao Resort Hotel; The Londoner Macao; The Parisian Macao; The Plaza Macao and Four Seasons Macao, Cotai Strip, and Sands Macao. In Singapore, it owns Marina Bay Sands. It owns and operates a collection of Integrated Resorts in the Macao Special Administrative Region of the People's Republic of China (China) through Sands China Ltd.</v>
    <v>38400</v>
    <v>New York Stock Exchange</v>
    <v>XNYS</v>
    <v>XNYS</v>
    <v>5420 S. Durango Drive, LAS VEGAS, NV, 89113 US</v>
    <v>41.03</v>
    <v>Hotels &amp; Entertainment Services</v>
    <v>Stock</v>
    <v>45530.686849247657</v>
    <v>1215</v>
    <v>40.46</v>
    <v>29899127020</v>
    <v>LAS VEGAS SANDS CORP.</v>
    <v>LAS VEGAS SANDS CORP.</v>
    <v>41.03</v>
    <v>19.0595</v>
    <v>40.6</v>
    <v>40.6</v>
    <v>736431700</v>
    <v>LVS</v>
    <v>LAS VEGAS SANDS CORP. (XNYS:LVS)</v>
    <v>1176476</v>
    <v>6409791</v>
    <v>2004</v>
  </rv>
  <rv s="2">
    <v>1216</v>
  </rv>
  <rv s="0">
    <v>https://www.bing.com/financeapi/forcetrigger?t=a25zz2&amp;q=XNYS%3aWRB&amp;form=skydnc</v>
    <v>Learn more on Bing</v>
  </rv>
  <rv s="1">
    <v>en-US</v>
    <v>a25zz2</v>
    <v>268435456</v>
    <v>1</v>
    <v>Powered by Refinitiv</v>
    <v>0</v>
    <v>W. R. BERKLEY CORPORATION (XNYS:WRB)</v>
    <v>2</v>
    <v>3</v>
    <v>Finance</v>
    <v>4</v>
    <v>59.087400000000002</v>
    <v>39.593600000000002</v>
    <v>0.62229999999999996</v>
    <v>0.43</v>
    <v>7.3860000000000002E-3</v>
    <v>USD</v>
    <v>W. R. Berkley Corporation is an insurance holding company. The Company operates through two segments of the property casualty insurance business. Its Insurance segment underwrites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Its Reinsurance segment provides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and others.</v>
    <v>8329</v>
    <v>New York Stock Exchange</v>
    <v>XNYS</v>
    <v>XNYS</v>
    <v>475 Steamboat Road, GREENWICH, CT, 06830 US</v>
    <v>58.86</v>
    <v>Insurance</v>
    <v>Stock</v>
    <v>45530.68684857578</v>
    <v>1218</v>
    <v>58.3</v>
    <v>22319292690</v>
    <v>W. R. BERKLEY CORPORATION</v>
    <v>W. R. BERKLEY CORPORATION</v>
    <v>58.57</v>
    <v>13.712300000000001</v>
    <v>58.22</v>
    <v>58.65</v>
    <v>380550600</v>
    <v>WRB</v>
    <v>W. R. BERKLEY CORPORATION (XNYS:WRB)</v>
    <v>192618</v>
    <v>1690761</v>
    <v>1970</v>
  </rv>
  <rv s="2">
    <v>1219</v>
  </rv>
  <rv s="0">
    <v>https://www.bing.com/financeapi/forcetrigger?t=a21tm7&amp;q=XNYS%3aRE&amp;form=skydnc</v>
    <v>Learn more on Bing</v>
  </rv>
  <rv s="1">
    <v>en-US</v>
    <v>a21tm7</v>
    <v>268435456</v>
    <v>1</v>
    <v>Powered by Refinitiv</v>
    <v>0</v>
    <v>Everest Group, Ltd. (XNYS:EG)</v>
    <v>2</v>
    <v>3</v>
    <v>Finance</v>
    <v>4</v>
    <v>417.92</v>
    <v>343.76</v>
    <v>0.61839999999999995</v>
    <v>7.01</v>
    <v>1.8038000000000002E-2</v>
    <v>USD</v>
    <v>Everest Group, Ltd. is a Bermuda-based global underwriter providing property, casualty and specialty reinsurance and insurance solutions. The Company serves customers in more than 100 countries across six continents. Its insurance products in United States include accident and health, casualty, credit, cyber, everest specialty underwriters, EverSports and Entertainment Insurance, programs, property, and services. The Company's reinsurance products in United States include treaty property, treaty casualty, facultative property, facultative casualty, structured solutions, surety and credit, accident and health, marine and aviation, and property hybrid solutions. Its claims services include insurance claims and support, accident and health, and workers' compensation claims. Its casualty products include wholesale casualty, middle market casualty, national accounts casualty and industry solutions group. Its property products include retail property, wholesale property and inland marine.</v>
    <v>2844</v>
    <v>New York Stock Exchange</v>
    <v>XNYS</v>
    <v>XNYS</v>
    <v>Seon Place, 4Th Floor, 141 Front Street, HAMILTON, HM 19 BM</v>
    <v>397.91</v>
    <v>Insurance</v>
    <v>Stock</v>
    <v>45530.68684884219</v>
    <v>1221</v>
    <v>393.20499999999998</v>
    <v>17120747322</v>
    <v>Everest Group, Ltd.</v>
    <v>Everest Group, Ltd.</v>
    <v>396.245</v>
    <v>5.7302</v>
    <v>388.63</v>
    <v>395.64</v>
    <v>43273550</v>
    <v>EG</v>
    <v>Everest Group, Ltd. (XNYS:EG)</v>
    <v>158600</v>
    <v>326881</v>
    <v>1999</v>
  </rv>
  <rv s="2">
    <v>1222</v>
  </rv>
  <rv s="0">
    <v>https://www.bing.com/financeapi/forcetrigger?t=a24qnm&amp;q=XNAS%3aUAL&amp;form=skydnc</v>
    <v>Learn more on Bing</v>
  </rv>
  <rv s="1">
    <v>en-US</v>
    <v>a24qnm</v>
    <v>268435456</v>
    <v>1</v>
    <v>Powered by Refinitiv</v>
    <v>0</v>
    <v>UNITED AIRLINES HOLDINGS, INC. (XNAS:UAL)</v>
    <v>2</v>
    <v>3</v>
    <v>Finance</v>
    <v>4</v>
    <v>56.174999999999997</v>
    <v>33.68</v>
    <v>1.4349000000000001</v>
    <v>-0.21</v>
    <v>-4.8479999999999999E-3</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106000</v>
    <v>Nasdaq Stock Market</v>
    <v>XNAS</v>
    <v>XNAS</v>
    <v>E. Anna Ha - Whqld, 233 South Wacker Drive, CHICAGO, IL, 60606 US</v>
    <v>43.66</v>
    <v>Passenger Transportation Services</v>
    <v>Stock</v>
    <v>45530.686887001561</v>
    <v>1224</v>
    <v>42.84</v>
    <v>14176029429</v>
    <v>UNITED AIRLINES HOLDINGS, INC.</v>
    <v>UNITED AIRLINES HOLDINGS, INC.</v>
    <v>43.45</v>
    <v>4.9131</v>
    <v>43.32</v>
    <v>43.11</v>
    <v>328833900</v>
    <v>UAL</v>
    <v>UNITED AIRLINES HOLDINGS, INC. (XNAS:UAL)</v>
    <v>1381821</v>
    <v>7018444</v>
    <v>1968</v>
  </rv>
  <rv s="2">
    <v>1225</v>
  </rv>
  <rv s="0">
    <v>https://www.bing.com/financeapi/forcetrigger?t=a1rzh7&amp;q=XNAS%3aENPH&amp;form=skydnc</v>
    <v>Learn more on Bing</v>
  </rv>
  <rv s="1">
    <v>en-US</v>
    <v>a1rzh7</v>
    <v>268435456</v>
    <v>1</v>
    <v>Powered by Refinitiv</v>
    <v>0</v>
    <v>ENPHASE ENERGY, INC. (XNAS:ENPH)</v>
    <v>2</v>
    <v>3</v>
    <v>Finance</v>
    <v>4</v>
    <v>141.63</v>
    <v>73.489999999999995</v>
    <v>1.7165999999999999</v>
    <v>3.1391</v>
    <v>2.5520999999999999E-2</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130.08000000000001</v>
    <v>Renewable Energy</v>
    <v>Stock</v>
    <v>45530.686886435156</v>
    <v>1227</v>
    <v>125.13</v>
    <v>17082034428</v>
    <v>ENPHASE ENERGY, INC.</v>
    <v>ENPHASE ENERGY, INC.</v>
    <v>125.13</v>
    <v>141.26419999999999</v>
    <v>123</v>
    <v>126.1391</v>
    <v>135422200</v>
    <v>ENPH</v>
    <v>ENPHASE ENERGY, INC. (XNAS:ENPH)</v>
    <v>1924098</v>
    <v>3337308</v>
    <v>2006</v>
  </rv>
  <rv s="2">
    <v>1228</v>
  </rv>
  <rv s="0">
    <v>https://www.bing.com/financeapi/forcetrigger?t=a1pj4c&amp;q=XNYS%3aCFG&amp;form=skydnc</v>
    <v>Learn more on Bing</v>
  </rv>
  <rv s="1">
    <v>en-US</v>
    <v>a1pj4c</v>
    <v>268435456</v>
    <v>1</v>
    <v>Powered by Refinitiv</v>
    <v>0</v>
    <v>CITIZENS FINANCIAL GROUP, INC. (XNYS:CFG)</v>
    <v>2</v>
    <v>3</v>
    <v>Finance</v>
    <v>4</v>
    <v>43.96</v>
    <v>22.77</v>
    <v>1.3291999999999999</v>
    <v>-7.0000000000000007E-2</v>
    <v>-1.6320000000000002E-3</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4-state traditional banking footprint. Consumer Banking segment operates approximately 1,100 branches, including 187 in-store locations, and approximately 3,200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17510</v>
    <v>New York Stock Exchange</v>
    <v>XNYS</v>
    <v>XNYS</v>
    <v>1 CITIZENS PLAZA, PROVIDENCE, RI, 02903 US</v>
    <v>43.284999999999997</v>
    <v>Banking Services</v>
    <v>Stock</v>
    <v>45530.686886272655</v>
    <v>1230</v>
    <v>42.75</v>
    <v>19196227410</v>
    <v>CITIZENS FINANCIAL GROUP, INC.</v>
    <v>CITIZENS FINANCIAL GROUP, INC.</v>
    <v>43.18</v>
    <v>16.364599999999999</v>
    <v>42.89</v>
    <v>42.82</v>
    <v>448300500</v>
    <v>CFG</v>
    <v>CITIZENS FINANCIAL GROUP, INC. (XNYS:CFG)</v>
    <v>1187231</v>
    <v>5442744</v>
    <v>1984</v>
  </rv>
  <rv s="2">
    <v>1231</v>
  </rv>
  <rv s="0">
    <v>http://zh.wikipedia.org/wiki/捷普科技</v>
    <v>Wikipedia</v>
  </rv>
  <rv s="3">
    <v>3</v>
    <v>1233</v>
  </rv>
  <rv s="4">
    <v>9</v>
    <v>https://www.bing.com/th?id=AMMS_d8440c163e9148c41f419348ca63886c&amp;qlt=95</v>
    <v>1234</v>
    <v>0</v>
    <v>https://www.bing.com/images/search?form=xlimg&amp;q=jabil+circuit</v>
    <v>Image of JABIL INC.</v>
  </rv>
  <rv s="0">
    <v>https://www.bing.com/financeapi/forcetrigger?t=a1w1ur&amp;q=XNYS%3aJBL&amp;form=skydnc</v>
    <v>Learn more on Bing</v>
  </rv>
  <rv s="5">
    <v>en-US</v>
    <v>a1w1ur</v>
    <v>268435456</v>
    <v>1</v>
    <v>Powered by Refinitiv</v>
    <v>5</v>
    <v>JABIL INC. (XNYS:JBL)</v>
    <v>7</v>
    <v>8</v>
    <v>Finance</v>
    <v>4</v>
    <v>156.94</v>
    <v>95.844999999999999</v>
    <v>1.2526999999999999</v>
    <v>0.32</v>
    <v>2.9489999999999998E-3</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industries.</v>
    <v>236000</v>
    <v>New York Stock Exchange</v>
    <v>XNYS</v>
    <v>XNYS</v>
    <v>10800 Roosevelt Boulevard North, ST PETERSBURG, FL, 33716 US</v>
    <v>109.80249999999999</v>
    <v>1235</v>
    <v>Electronic Equipment &amp; Parts</v>
    <v>Stock</v>
    <v>45530.686847835153</v>
    <v>1236</v>
    <v>108.11</v>
    <v>12346241116</v>
    <v>JABIL INC.</v>
    <v>JABIL INC.</v>
    <v>109</v>
    <v>9.8809000000000005</v>
    <v>108.51</v>
    <v>108.83</v>
    <v>113445200</v>
    <v>JBL</v>
    <v>JABIL INC. (XNYS:JBL)</v>
    <v>289404</v>
    <v>1368909</v>
    <v>1992</v>
  </rv>
  <rv s="2">
    <v>1237</v>
  </rv>
  <rv s="0">
    <v>https://www.bing.com/financeapi/forcetrigger?t=a1pctc&amp;q=XNYS%3aCCL&amp;form=skydnc</v>
    <v>Learn more on Bing</v>
  </rv>
  <rv s="1">
    <v>en-US</v>
    <v>a1pctc</v>
    <v>268435456</v>
    <v>1</v>
    <v>Powered by Refinitiv</v>
    <v>0</v>
    <v>Carnival Corp (XNYS:CCL)</v>
    <v>2</v>
    <v>3</v>
    <v>Finance</v>
    <v>4</v>
    <v>19.739999999999998</v>
    <v>10.84</v>
    <v>2.6932999999999998</v>
    <v>-2.5000000000000001E-2</v>
    <v>-1.505E-3</v>
    <v>USD</v>
    <v>Carnival Corporation is a leisure travel company. The Company’s portfolio of cruise lines, including AIDA Cruises, Carnival Cruise Line, Costa Cruises, Cunard, Holland America Line, P&amp;O Cruises (Australia), P&amp;O Cruises (UK), Princess Cruises and Seabourn. The Company's segment includes North America and Australia (NAA), Europe, Cruise Support and Tour and Other. The NAA Segment include Carnival Cruise Line, Princess Cruises, Holland America Line, P&amp;O Cruises (Australia) and Seabourn. The Europe Segment include Costa Cruises (Costa), AIDA Cruises (AIDA), P&amp;O Cruises (UK) and Cunard. Its Cruise Support segment includes its portfolio of port destinations and other services. Its Tour and Other segment represent the hotel and transportation operations of Holland America Princess Alaska Tours and other operations. Its tour company owns and operates hotels, lodges, glass-domed railcars and motorcoaches which comprise its Tour and Other segment.</v>
    <v>104000</v>
    <v>New York Stock Exchange</v>
    <v>XNYS</v>
    <v>XNYS</v>
    <v>3655 North West 87th Avenue, PO Box 1347, MIAMI, FL, 33178 US</v>
    <v>16.71</v>
    <v>Hotels &amp; Entertainment Services</v>
    <v>Stock</v>
    <v>45530.686897974221</v>
    <v>1239</v>
    <v>16.440000000000001</v>
    <v>20768070000</v>
    <v>Carnival Corp</v>
    <v>Carnival Corp</v>
    <v>16.62</v>
    <v>25.519300000000001</v>
    <v>16.61</v>
    <v>16.585000000000001</v>
    <v>1267261000</v>
    <v>CCL</v>
    <v>Carnival Corp (XNYS:CCL)</v>
    <v>9473625</v>
    <v>27231177</v>
    <v>1974</v>
  </rv>
  <rv s="2">
    <v>1240</v>
  </rv>
  <rv s="0">
    <v>https://www.bing.com/financeapi/forcetrigger?t=a1vo7w&amp;q=XNYS%3aIP&amp;form=skydnc</v>
    <v>Learn more on Bing</v>
  </rv>
  <rv s="1">
    <v>en-US</v>
    <v>a1vo7w</v>
    <v>268435456</v>
    <v>1</v>
    <v>Powered by Refinitiv</v>
    <v>0</v>
    <v>INTERNATIONAL PAPER COMPANY (XNYS:IP)</v>
    <v>2</v>
    <v>3</v>
    <v>Finance</v>
    <v>4</v>
    <v>49.24</v>
    <v>31.765000000000001</v>
    <v>1.0297000000000001</v>
    <v>-0.11</v>
    <v>-2.2489999999999997E-3</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39000</v>
    <v>New York Stock Exchange</v>
    <v>XNYS</v>
    <v>XNYS</v>
    <v>6400 Poplar Avenue, MEMPHIS, TN, 38197 US</v>
    <v>49.24</v>
    <v>Containers &amp; Packaging</v>
    <v>Stock</v>
    <v>45530.686851481252</v>
    <v>1242</v>
    <v>48.7</v>
    <v>16948172542</v>
    <v>INTERNATIONAL PAPER COMPANY</v>
    <v>INTERNATIONAL PAPER COMPANY</v>
    <v>48.99</v>
    <v>37.524900000000002</v>
    <v>48.9</v>
    <v>48.79</v>
    <v>347369800</v>
    <v>IP</v>
    <v>INTERNATIONAL PAPER COMPANY (XNYS:IP)</v>
    <v>3787202</v>
    <v>5078801</v>
    <v>1941</v>
  </rv>
  <rv s="2">
    <v>1243</v>
  </rv>
  <rv s="0">
    <v>http://en.wikipedia.org/wiki/Marathon_Oil</v>
    <v>Wikipedia</v>
  </rv>
  <rv s="3">
    <v>3</v>
    <v>1245</v>
  </rv>
  <rv s="4">
    <v>9</v>
    <v>https://www.bing.com/th?id=AMMS_053e966468c0c2456f7c62d3a165a7fd&amp;qlt=95</v>
    <v>1246</v>
    <v>0</v>
    <v>https://www.bing.com/images/search?form=xlimg&amp;q=marathon+oil</v>
    <v>Image of MARATHON OIL CORPORATION</v>
  </rv>
  <rv s="0">
    <v>https://www.bing.com/financeapi/forcetrigger?t=a1xxvh&amp;q=XNYS%3aMRO&amp;form=skydnc</v>
    <v>Learn more on Bing</v>
  </rv>
  <rv s="5">
    <v>en-US</v>
    <v>a1xxvh</v>
    <v>268435456</v>
    <v>1</v>
    <v>Powered by Refinitiv</v>
    <v>5</v>
    <v>MARATHON OIL CORPORATION (XNYS:MRO)</v>
    <v>7</v>
    <v>8</v>
    <v>Finance</v>
    <v>4</v>
    <v>30.06</v>
    <v>21.81</v>
    <v>2.1680000000000001</v>
    <v>0.5</v>
    <v>1.78E-2</v>
    <v>USD</v>
    <v>Marathon Oil Corporation is an independent exploration and production company. The Company is focused on the United States resource plays, which include Eagle Ford in Texas,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for, produces and markets crude oil and condensate, natural gas liquids (NGLs) and natural gas in the United States. The International segment explores for, produces and markets crude oil and condensate, NGLs and natural gas outside of the United States as well as produces and markets products manufactured from natural gas, such as LNG and methanol, in Equatorial Guinea (E.G.). Its subsidiaries include Alba Associates LLC, Alba Equatorial Guinea Partnership, L.P., Alba Plant LLC and AMPCO Marketing, L.L.C.</v>
    <v>1681</v>
    <v>New York Stock Exchange</v>
    <v>XNYS</v>
    <v>XNYS</v>
    <v>PO Box 3128, HOUSTON, TX, 77253-3128 US</v>
    <v>28.99</v>
    <v>1247</v>
    <v>Oil &amp; Gas</v>
    <v>Stock</v>
    <v>45530.686844409378</v>
    <v>1248</v>
    <v>28.48</v>
    <v>15992771406</v>
    <v>MARATHON OIL CORPORATION</v>
    <v>MARATHON OIL CORPORATION</v>
    <v>28.58</v>
    <v>10.9727</v>
    <v>28.09</v>
    <v>28.59</v>
    <v>559383400</v>
    <v>MRO</v>
    <v>MARATHON OIL CORPORATION (XNYS:MRO)</v>
    <v>2929020</v>
    <v>5395655</v>
    <v>2001</v>
  </rv>
  <rv s="2">
    <v>1249</v>
  </rv>
  <rv s="0">
    <v>https://www.bing.com/financeapi/forcetrigger?t=a25jqh&amp;q=XNAS%3aVRSN&amp;form=skydnc</v>
    <v>Learn more on Bing</v>
  </rv>
  <rv s="1">
    <v>en-US</v>
    <v>a25jqh</v>
    <v>268435456</v>
    <v>1</v>
    <v>Powered by Refinitiv</v>
    <v>0</v>
    <v>VERISIGN, INC. (XNAS:VRSN)</v>
    <v>2</v>
    <v>3</v>
    <v>Finance</v>
    <v>4</v>
    <v>220.91</v>
    <v>167.04499999999999</v>
    <v>0.89980000000000004</v>
    <v>2.25</v>
    <v>1.2546999999999999E-2</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181.59</v>
    <v>Software &amp; IT Services</v>
    <v>Stock</v>
    <v>45530.686851921091</v>
    <v>1251</v>
    <v>179.8</v>
    <v>17721232000</v>
    <v>VERISIGN, INC.</v>
    <v>VERISIGN, INC.</v>
    <v>179.8</v>
    <v>21.4575</v>
    <v>179.32</v>
    <v>181.57</v>
    <v>97600000</v>
    <v>VRSN</v>
    <v>VERISIGN, INC. (XNAS:VRSN)</v>
    <v>108092</v>
    <v>780326</v>
    <v>1995</v>
  </rv>
  <rv s="2">
    <v>1252</v>
  </rv>
  <rv s="0">
    <v>https://www.bing.com/financeapi/forcetrigger?t=a24km7&amp;q=XNYS%3aTSN&amp;form=skydnc</v>
    <v>Learn more on Bing</v>
  </rv>
  <rv s="6">
    <v>en-US</v>
    <v>a24km7</v>
    <v>268435456</v>
    <v>1</v>
    <v>Powered by Refinitiv</v>
    <v>10</v>
    <v>TYSON FOODS, INCORPORATED (XNYS:TSN)</v>
    <v>2</v>
    <v>13</v>
    <v>Finance</v>
    <v>4</v>
    <v>64.319999999999993</v>
    <v>44.94</v>
    <v>0.77310000000000001</v>
    <v>0.45</v>
    <v>7.0909999999999992E-3</v>
    <v>USD</v>
    <v>Tyson Foods, Inc. is a food company. The Company has a broad portfolio of products and brands, such as Tyson, Jimmy Dean, Hillshire Farm, Ball Park, Wright, Aidells, ibp and State Fair. Its segments include beef, pork, chicken and prepared foods. Beef segment includes its operations related to processing live fed cattle and fabricating dressed beef carcasses into primal and sub-primal meat cuts and case-ready products. Pork segment includes its operations related to processing live market hogs and fabricating pork carcasses into primal and sub-primal cuts and case-ready products. Chicken segment includes its domestic operations related to raising and processing live chickens into, and purchasing raw materials for fresh, frozen and value-added chicken products and sales from specialty products. Prepared foods segment includes its operations related to manufacturing and marketing frozen and refrigerated food products and logistics operations to move products through the supply chain.</v>
    <v>139000</v>
    <v>New York Stock Exchange</v>
    <v>XNYS</v>
    <v>XNYS</v>
    <v>2200 DON TYSON PARKWAY, SPRINGDALE, AR, 72762-6999 US</v>
    <v>64.319999999999993</v>
    <v>Food &amp; Tobacco</v>
    <v>Stock</v>
    <v>45530.686927858595</v>
    <v>1254</v>
    <v>63.5901</v>
    <v>22741076127</v>
    <v>TYSON FOODS, INCORPORATED</v>
    <v>TYSON FOODS, INCORPORATED</v>
    <v>63.64</v>
    <v>63.46</v>
    <v>63.91</v>
    <v>355829700</v>
    <v>TSN</v>
    <v>TYSON FOODS, INCORPORATED (XNYS:TSN)</v>
    <v>370189</v>
    <v>2288665</v>
    <v>1986</v>
  </rv>
  <rv s="2">
    <v>1255</v>
  </rv>
  <rv s="0">
    <v>https://www.bing.com/financeapi/forcetrigger?t=a1s57w&amp;q=XNYS%3aEQT&amp;form=skydnc</v>
    <v>Learn more on Bing</v>
  </rv>
  <rv s="1">
    <v>en-US</v>
    <v>a1s57w</v>
    <v>268435456</v>
    <v>1</v>
    <v>Powered by Refinitiv</v>
    <v>0</v>
    <v>EQT CORPORATION (XNYS:EQT)</v>
    <v>2</v>
    <v>3</v>
    <v>Finance</v>
    <v>4</v>
    <v>45.23</v>
    <v>30.02</v>
    <v>1.0636000000000001</v>
    <v>-0.255</v>
    <v>-7.5799999999999999E-3</v>
    <v>USD</v>
    <v>EQT Corporation is a vertically integrated natural gas company with operations focused on the Appalachian Basin. It has 27.6 trillion cubic feet equivalent (Tcfe) of proved natural gas, natural gas liquids (NGLs) and oil reserves across over 2.1 million gross acres. It has operations in Pennsylvania, West Virginia and Ohio. It is focused on the execution of combo-development projects, which refers to the development of several multi-well pads in tandem. It owns or leases over 610,000 net acres in Pennsylvania. It also owns or leases approximately 405,000 net acres in West Virginia. It is developing the Marcellus Shale and Upper Devonian Shale in this area. It owns or leases approximately 65,000 net acres in eastern Ohio and is actively developing the Utica Shale in Belmont County. It contracts with MarkWest Energy Partners, L.P., Williams Ohio Valley Midstream LLC and Blue Racer Midstream to process its natural gas and extract heavier hydrocarbon streams from its produced natural gas.</v>
    <v>881</v>
    <v>New York Stock Exchange</v>
    <v>XNYS</v>
    <v>XNYS</v>
    <v>SUITE 1700, 625 LIBERTY AVENUE, PITTSBURGH, PA, 15222 US</v>
    <v>34.11</v>
    <v>Oil &amp; Gas</v>
    <v>Stock</v>
    <v>45530.68678683984</v>
    <v>1257</v>
    <v>33.22</v>
    <v>19831407777</v>
    <v>EQT CORPORATION</v>
    <v>EQT CORPORATION</v>
    <v>33.9</v>
    <v>21.223600000000001</v>
    <v>33.64</v>
    <v>33.384999999999998</v>
    <v>594021500</v>
    <v>EQT</v>
    <v>EQT CORPORATION (XNYS:EQT)</v>
    <v>1689040</v>
    <v>8588385</v>
    <v>2008</v>
  </rv>
  <rv s="2">
    <v>1258</v>
  </rv>
  <rv s="0">
    <v>https://www.bing.com/financeapi/forcetrigger?t=a1wdp2&amp;q=XNYS%3aK&amp;form=skydnc</v>
    <v>Learn more on Bing</v>
  </rv>
  <rv s="1">
    <v>en-US</v>
    <v>a1wdp2</v>
    <v>268435456</v>
    <v>1</v>
    <v>Powered by Refinitiv</v>
    <v>0</v>
    <v>KELLANOVA (XNYS:K)</v>
    <v>2</v>
    <v>3</v>
    <v>Finance</v>
    <v>4</v>
    <v>80.739999999999995</v>
    <v>47.625</v>
    <v>0.377</v>
    <v>1.4999999999999999E-2</v>
    <v>1.8589999999999999E-4</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80.69</v>
    <v>Food &amp; Tobacco</v>
    <v>Stock</v>
    <v>45530.68690828672</v>
    <v>1260</v>
    <v>80.572900000000004</v>
    <v>27751363695</v>
    <v>KELLANOVA</v>
    <v>KELLANOVA</v>
    <v>80.650000000000006</v>
    <v>38.1004</v>
    <v>80.67</v>
    <v>80.685000000000002</v>
    <v>343947000</v>
    <v>K</v>
    <v>KELLANOVA (XNYS:K)</v>
    <v>1187615</v>
    <v>6219430</v>
    <v>1922</v>
  </rv>
  <rv s="2">
    <v>1261</v>
  </rv>
  <rv s="0">
    <v>https://www.bing.com/financeapi/forcetrigger?t=a1r32w&amp;q=XNAS%3aWBD&amp;form=skydnc</v>
    <v>Learn more on Bing</v>
  </rv>
  <rv s="1">
    <v>en-US</v>
    <v>a1r32w</v>
    <v>268435456</v>
    <v>1</v>
    <v>Powered by Refinitiv</v>
    <v>0</v>
    <v>WARNER BROS. DISCOVERY, INC. (XNAS:WBD)</v>
    <v>2</v>
    <v>3</v>
    <v>Finance</v>
    <v>4</v>
    <v>13.31</v>
    <v>6.64</v>
    <v>1.4865999999999999</v>
    <v>0.33</v>
    <v>4.0994000000000003E-2</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8.44</v>
    <v>Media &amp; Publishing</v>
    <v>Stock</v>
    <v>45530.686878911722</v>
    <v>1263</v>
    <v>8.09</v>
    <v>20546989040</v>
    <v>WARNER BROS. DISCOVERY, INC.</v>
    <v>WARNER BROS. DISCOVERY, INC.</v>
    <v>8.09</v>
    <v>0</v>
    <v>8.0500000000000007</v>
    <v>8.3800000000000008</v>
    <v>2451908000</v>
    <v>WBD</v>
    <v>WARNER BROS. DISCOVERY, INC. (XNAS:WBD)</v>
    <v>15145026</v>
    <v>34589406</v>
    <v>2008</v>
  </rv>
  <rv s="2">
    <v>1264</v>
  </rv>
  <rv s="0">
    <v>https://www.bing.com/financeapi/forcetrigger?t=a1sqcw&amp;q=XNYS%3aFDS&amp;form=skydnc</v>
    <v>Learn more on Bing</v>
  </rv>
  <rv s="1">
    <v>en-US</v>
    <v>a1sqcw</v>
    <v>268435456</v>
    <v>1</v>
    <v>Powered by Refinitiv</v>
    <v>0</v>
    <v>FACTSET RESEARCH SYSTEMS INC. (XNYS:FDS)</v>
    <v>2</v>
    <v>3</v>
    <v>Finance</v>
    <v>4</v>
    <v>488.64</v>
    <v>391.84</v>
    <v>0.74260000000000004</v>
    <v>4.2450000000000001</v>
    <v>1.038E-2</v>
    <v>USD</v>
    <v>FactSet Research Systems Inc., together with its subsidiaries, is a global financial digital platform and enterprise solutions provider. The Company provides financial data and market intelligence on securities, companies, industries and people to enable its clients to research investment ideas, as well as to analyze, monitor and manage their portfolios. The Company's products and services include workstations, portfolio analytics and enterprise solutions. Its workflow solutions include research and advisory, analytics and trading, and content and technology solutions (CTS). Its on- and off-platform solutions span the investment life cycle of investment research, portfolio construction and analysis, trade execution, performance measurement, risk management and reporting. The Company provides open and flexible technology offerings, including a configurable desktop and mobile platform, comprehensive data feeds, cloud-based digital solutions and application programming interfaces.</v>
    <v>12262</v>
    <v>New York Stock Exchange</v>
    <v>XNYS</v>
    <v>XNYS</v>
    <v>45 Glover Avenue, NORWALK, CT, 06850 US</v>
    <v>415.61</v>
    <v>Professional &amp; Commercial Services</v>
    <v>Stock</v>
    <v>45530.686090358591</v>
    <v>1266</v>
    <v>411.95</v>
    <v>15718694467</v>
    <v>FACTSET RESEARCH SYSTEMS INC.</v>
    <v>FACTSET RESEARCH SYSTEMS INC.</v>
    <v>413.78</v>
    <v>31.1663</v>
    <v>408.97</v>
    <v>413.21499999999997</v>
    <v>38039990</v>
    <v>FDS</v>
    <v>FACTSET RESEARCH SYSTEMS INC. (XNYS:FDS)</v>
    <v>50372</v>
    <v>225585</v>
    <v>1984</v>
  </rv>
  <rv s="2">
    <v>1267</v>
  </rv>
  <rv s="0">
    <v>https://www.bing.com/financeapi/forcetrigger?t=a1r177&amp;q=XNYS%3aDGX&amp;form=skydnc</v>
    <v>Learn more on Bing</v>
  </rv>
  <rv s="1">
    <v>en-US</v>
    <v>a1r177</v>
    <v>268435456</v>
    <v>1</v>
    <v>Powered by Refinitiv</v>
    <v>0</v>
    <v>QUEST DIAGNOSTICS INCORPORATED (XNYS:DGX)</v>
    <v>2</v>
    <v>3</v>
    <v>Finance</v>
    <v>4</v>
    <v>154.71</v>
    <v>119.59</v>
    <v>0.88780000000000003</v>
    <v>0.73</v>
    <v>4.7539999999999995E-3</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40000</v>
    <v>New York Stock Exchange</v>
    <v>XNYS</v>
    <v>XNYS</v>
    <v>500 Plaza Drive, SECAUCUS, NJ, 07094 US</v>
    <v>154.71</v>
    <v>Healthcare Providers &amp; Services</v>
    <v>Stock</v>
    <v>45530.68684696719</v>
    <v>1269</v>
    <v>153.78</v>
    <v>17175130788</v>
    <v>QUEST DIAGNOSTICS INCORPORATED</v>
    <v>QUEST DIAGNOSTICS INCORPORATED</v>
    <v>154.29</v>
    <v>20.7743</v>
    <v>153.56</v>
    <v>154.29</v>
    <v>111317200</v>
    <v>DGX</v>
    <v>QUEST DIAGNOSTICS INCORPORATED (XNYS:DGX)</v>
    <v>131813</v>
    <v>930769</v>
    <v>1996</v>
  </rv>
  <rv s="2">
    <v>1270</v>
  </rv>
  <rv s="0">
    <v>https://www.bing.com/financeapi/forcetrigger?t=a1xam7&amp;q=XNYS%3aMAS&amp;form=skydnc</v>
    <v>Learn more on Bing</v>
  </rv>
  <rv s="1">
    <v>en-US</v>
    <v>a1xam7</v>
    <v>268435456</v>
    <v>1</v>
    <v>Powered by Refinitiv</v>
    <v>0</v>
    <v>MASCO CORPORATION (XNYS:MAS)</v>
    <v>2</v>
    <v>3</v>
    <v>Finance</v>
    <v>4</v>
    <v>81.91</v>
    <v>47.66</v>
    <v>1.2483</v>
    <v>0.34499999999999997</v>
    <v>4.2759999999999994E-3</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81.91</v>
    <v>Homebuilding &amp; Construction Supplies</v>
    <v>Stock</v>
    <v>45530.686872765626</v>
    <v>1272</v>
    <v>80.584999999999994</v>
    <v>17608320000</v>
    <v>MASCO CORPORATION</v>
    <v>MASCO CORPORATION</v>
    <v>81.2</v>
    <v>19.719000000000001</v>
    <v>80.680000000000007</v>
    <v>81.025000000000006</v>
    <v>218248800</v>
    <v>MAS</v>
    <v>MASCO CORPORATION (XNYS:MAS)</v>
    <v>283386</v>
    <v>1857113</v>
    <v>1962</v>
  </rv>
  <rv s="2">
    <v>1273</v>
  </rv>
  <rv s="0">
    <v>https://www.bing.com/financeapi/forcetrigger?t=a1vc52&amp;q=XNYS%3aIEX&amp;form=skydnc</v>
    <v>Learn more on Bing</v>
  </rv>
  <rv s="1">
    <v>en-US</v>
    <v>a1vc52</v>
    <v>268435456</v>
    <v>1</v>
    <v>Powered by Refinitiv</v>
    <v>0</v>
    <v>IDEX CORPORATION (XNYS:IEX)</v>
    <v>2</v>
    <v>3</v>
    <v>Finance</v>
    <v>4</v>
    <v>246.36</v>
    <v>183.76499999999999</v>
    <v>0.94850000000000001</v>
    <v>-0.49</v>
    <v>-2.4030000000000002E-3</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8800</v>
    <v>New York Stock Exchange</v>
    <v>XNYS</v>
    <v>XNYS</v>
    <v>3100 Sanders Road, Suite 301, NORTHBROOK, IL, 60062 US</v>
    <v>205.42</v>
    <v>Machinery, Equipment &amp; Components</v>
    <v>Stock</v>
    <v>45530.686810659376</v>
    <v>1275</v>
    <v>202.83</v>
    <v>15398828594</v>
    <v>IDEX CORPORATION</v>
    <v>IDEX CORPORATION</v>
    <v>204.69</v>
    <v>26.656600000000001</v>
    <v>203.9</v>
    <v>203.41</v>
    <v>75703400</v>
    <v>IEX</v>
    <v>IDEX CORPORATION (XNYS:IEX)</v>
    <v>78414</v>
    <v>535123</v>
    <v>1987</v>
  </rv>
  <rv s="2">
    <v>1276</v>
  </rv>
  <rv s="0">
    <v>https://www.bing.com/financeapi/forcetrigger?t=a26fww&amp;q=XNAS%3aZBRA&amp;form=skydnc</v>
    <v>Learn more on Bing</v>
  </rv>
  <rv s="1">
    <v>en-US</v>
    <v>a26fww</v>
    <v>268435456</v>
    <v>1</v>
    <v>Powered by Refinitiv</v>
    <v>0</v>
    <v>ZEBRA TECHNOLOGIES CORPORATION (XNAS:ZBRA)</v>
    <v>2</v>
    <v>3</v>
    <v>Finance</v>
    <v>4</v>
    <v>372.93</v>
    <v>194.59370000000001</v>
    <v>1.6572</v>
    <v>-1.77</v>
    <v>-5.0339999999999994E-3</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352.97</v>
    <v>Electronic Equipment &amp; Parts</v>
    <v>Stock</v>
    <v>45530.686745231251</v>
    <v>1278</v>
    <v>347.99</v>
    <v>18045392444</v>
    <v>ZEBRA TECHNOLOGIES CORPORATION</v>
    <v>ZEBRA TECHNOLOGIES CORPORATION</v>
    <v>352.97</v>
    <v>79.240099999999998</v>
    <v>351.62</v>
    <v>349.85</v>
    <v>51580370</v>
    <v>ZBRA</v>
    <v>ZEBRA TECHNOLOGIES CORPORATION (XNAS:ZBRA)</v>
    <v>73006</v>
    <v>413425</v>
    <v>1991</v>
  </rv>
  <rv s="2">
    <v>1279</v>
  </rv>
  <rv s="0">
    <v>https://www.bing.com/financeapi/forcetrigger?t=a1oeww&amp;q=XNYS%3aBG&amp;form=skydnc</v>
    <v>Learn more on Bing</v>
  </rv>
  <rv s="1">
    <v>en-US</v>
    <v>a1oeww</v>
    <v>268435456</v>
    <v>1</v>
    <v>Powered by Refinitiv</v>
    <v>0</v>
    <v>Bunge Global Ltd (XNYS:BG)</v>
    <v>2</v>
    <v>3</v>
    <v>Finance</v>
    <v>4</v>
    <v>115.84</v>
    <v>86.1</v>
    <v>0.6381</v>
    <v>1.34</v>
    <v>1.3585E-2</v>
    <v>USD</v>
    <v>Bunge Global SA is a global agribusiness and food company. The Company conducts its operations via four segments: Agribusiness, Refined and Specialty Oils, Milling, and Sugar and Bioenergy. Its Agribusiness segment is an integrated, global business principally involved in the purchase, storage, transportation, processing and sale of agricultural commodities and commodity products. Its Agribusiness operations and assets are located in North and South America, Europe, and Asia-Pacific. The Refined and Specialty Oils segment includes businesses that sell vegetable oils and fats, including cooking oils, shortenings, specialty ingredients, and renewable diesel feedstocks. The Milling segment includes businesses that sell wheat flours, bakery mixes, and corn-based products. The Company also produces sugar and ethanol in Brazil through its 50% interest in BP Bunge Bioenergia, a joint venture with BP p.l.c (BP).</v>
    <v>23000</v>
    <v>New York Stock Exchange</v>
    <v>XNYS</v>
    <v>XNYS</v>
    <v>1391 Timberlake Manor Parkway, CHESTERFIELD, MO, 63017 US</v>
    <v>100.58</v>
    <v>Food &amp; Tobacco</v>
    <v>Stock</v>
    <v>45530.68685465234</v>
    <v>1281</v>
    <v>99.15</v>
    <v>14162316970</v>
    <v>Bunge Global Ltd</v>
    <v>Bunge Global Ltd</v>
    <v>99.15</v>
    <v>11.3626</v>
    <v>98.64</v>
    <v>99.98</v>
    <v>141651500</v>
    <v>BG</v>
    <v>Bunge Global Ltd (XNYS:BG)</v>
    <v>255226</v>
    <v>1245131</v>
    <v>2023</v>
  </rv>
  <rv s="2">
    <v>1282</v>
  </rv>
  <rv s="0">
    <v>https://www.bing.com/financeapi/forcetrigger?t=bqejrw&amp;q=XNYS%3aAMCR&amp;form=skydnc</v>
    <v>Learn more on Bing</v>
  </rv>
  <rv s="1">
    <v>en-US</v>
    <v>bqejrw</v>
    <v>268435456</v>
    <v>1</v>
    <v>Powered by Refinitiv</v>
    <v>0</v>
    <v>Amcor plc (XNYS:AMCR)</v>
    <v>2</v>
    <v>3</v>
    <v>Finance</v>
    <v>4</v>
    <v>11.23</v>
    <v>8.4499999999999993</v>
    <v>0.85780000000000001</v>
    <v>7.4999999999999997E-2</v>
    <v>6.757E-3</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11.23</v>
    <v>Containers &amp; Packaging</v>
    <v>Stock</v>
    <v>45530.686882510934</v>
    <v>1284</v>
    <v>11.125</v>
    <v>16151708025</v>
    <v>Amcor plc</v>
    <v>Amcor plc</v>
    <v>11.14</v>
    <v>21.992100000000001</v>
    <v>11.1</v>
    <v>11.175000000000001</v>
    <v>1445343000</v>
    <v>AMCR</v>
    <v>Amcor plc (XNYS:AMCR)</v>
    <v>1380844</v>
    <v>12347038</v>
    <v>2018</v>
  </rv>
  <rv s="2">
    <v>1285</v>
  </rv>
  <rv s="0">
    <v>https://www.bing.com/financeapi/forcetrigger?t=a237gh&amp;q=XNYS%3aSNA&amp;form=skydnc</v>
    <v>Learn more on Bing</v>
  </rv>
  <rv s="1">
    <v>en-US</v>
    <v>a237gh</v>
    <v>268435456</v>
    <v>1</v>
    <v>Powered by Refinitiv</v>
    <v>0</v>
    <v>SNAP-ON INCORPORATED (XNYS:SNA)</v>
    <v>2</v>
    <v>3</v>
    <v>Finance</v>
    <v>4</v>
    <v>298.49</v>
    <v>249.84</v>
    <v>0.97629999999999995</v>
    <v>-0.06</v>
    <v>-2.1139999999999999E-4</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13200</v>
    <v>New York Stock Exchange</v>
    <v>XNYS</v>
    <v>XNYS</v>
    <v>2801 80th St, KENOSHA, WI, 53143 US</v>
    <v>285.94</v>
    <v>Machinery, Equipment &amp; Components</v>
    <v>Stock</v>
    <v>45530.686829039063</v>
    <v>1287</v>
    <v>283.12</v>
    <v>14950285254</v>
    <v>SNAP-ON INCORPORATED</v>
    <v>SNAP-ON INCORPORATED</v>
    <v>285</v>
    <v>14.748100000000001</v>
    <v>283.83999999999997</v>
    <v>283.77999999999997</v>
    <v>52682660</v>
    <v>SNA</v>
    <v>SNAP-ON INCORPORATED (XNYS:SNA)</v>
    <v>42069</v>
    <v>225008</v>
    <v>1930</v>
  </rv>
  <rv s="2">
    <v>1288</v>
  </rv>
  <rv s="0">
    <v>https://www.bing.com/financeapi/forcetrigger?t=a1pidm&amp;q=XNYS%3aCF&amp;form=skydnc</v>
    <v>Learn more on Bing</v>
  </rv>
  <rv s="1">
    <v>en-US</v>
    <v>a1pidm</v>
    <v>268435456</v>
    <v>1</v>
    <v>Powered by Refinitiv</v>
    <v>0</v>
    <v>CF INDUSTRIES HOLDINGS, INC. (XNYS:CF)</v>
    <v>2</v>
    <v>3</v>
    <v>Finance</v>
    <v>4</v>
    <v>87.9</v>
    <v>69.13</v>
    <v>0.94340000000000002</v>
    <v>1.34</v>
    <v>1.6664999999999999E-2</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81.792500000000004</v>
    <v>Chemicals</v>
    <v>Stock</v>
    <v>45530.686933414065</v>
    <v>1290</v>
    <v>80.09</v>
    <v>14748705525</v>
    <v>CF INDUSTRIES HOLDINGS, INC.</v>
    <v>CF INDUSTRIES HOLDINGS, INC.</v>
    <v>80.680000000000007</v>
    <v>14.316000000000001</v>
    <v>80.41</v>
    <v>81.75</v>
    <v>180412300</v>
    <v>CF</v>
    <v>CF INDUSTRIES HOLDINGS, INC. (XNYS:CF)</v>
    <v>419295</v>
    <v>1605942</v>
    <v>2005</v>
  </rv>
  <rv s="2">
    <v>1291</v>
  </rv>
  <rv s="0">
    <v>https://www.bing.com/financeapi/forcetrigger?t=a226rw&amp;q=XNYS%3aROL&amp;form=skydnc</v>
    <v>Learn more on Bing</v>
  </rv>
  <rv s="1">
    <v>en-US</v>
    <v>a226rw</v>
    <v>268435456</v>
    <v>1</v>
    <v>Powered by Refinitiv</v>
    <v>0</v>
    <v>ROLLINS, INC. (XNYS:ROL)</v>
    <v>2</v>
    <v>3</v>
    <v>Finance</v>
    <v>4</v>
    <v>50.87</v>
    <v>32.19</v>
    <v>0.69810000000000005</v>
    <v>-0.24</v>
    <v>-4.7870000000000005E-3</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50.5</v>
    <v>Professional &amp; Commercial Services</v>
    <v>Stock</v>
    <v>45530.686785717189</v>
    <v>1293</v>
    <v>49.85</v>
    <v>24167258620</v>
    <v>ROLLINS, INC.</v>
    <v>ROLLINS, INC.</v>
    <v>50.26</v>
    <v>52.919400000000003</v>
    <v>50.14</v>
    <v>49.9</v>
    <v>484313800</v>
    <v>ROL</v>
    <v>ROLLINS, INC. (XNYS:ROL)</v>
    <v>298783</v>
    <v>1712163</v>
    <v>1948</v>
  </rv>
  <rv s="2">
    <v>1294</v>
  </rv>
  <rv s="0">
    <v>https://www.bing.com/financeapi/forcetrigger?t=a1wpxm&amp;q=XNYS%3aL&amp;form=skydnc</v>
    <v>Learn more on Bing</v>
  </rv>
  <rv s="1">
    <v>en-US</v>
    <v>a1wpxm</v>
    <v>268435456</v>
    <v>1</v>
    <v>Powered by Refinitiv</v>
    <v>0</v>
    <v>LOEWS CORPORATION (XNYS:L)</v>
    <v>2</v>
    <v>3</v>
    <v>Finance</v>
    <v>4</v>
    <v>83.54</v>
    <v>61.29</v>
    <v>0.81899999999999995</v>
    <v>0.28000000000000003</v>
    <v>3.4849999999999998E-3</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12280</v>
    <v>New York Stock Exchange</v>
    <v>XNYS</v>
    <v>XNYS</v>
    <v>9 West 57Th Street, NEW YORK, NY, 10019-2714 US</v>
    <v>81.510000000000005</v>
    <v>Insurance</v>
    <v>Stock</v>
    <v>45530.686849501566</v>
    <v>1296</v>
    <v>80.459999999999994</v>
    <v>17699615395</v>
    <v>LOEWS CORPORATION</v>
    <v>LOEWS CORPORATION</v>
    <v>80.459999999999994</v>
    <v>11.786899999999999</v>
    <v>80.349999999999994</v>
    <v>80.63</v>
    <v>219516500</v>
    <v>L</v>
    <v>LOEWS CORPORATION (XNYS:L)</v>
    <v>60196</v>
    <v>576001</v>
    <v>1969</v>
  </rv>
  <rv s="2">
    <v>1297</v>
  </rv>
  <rv s="0">
    <v>https://www.bing.com/financeapi/forcetrigger?t=a1pffr&amp;q=XNYS%3aCE&amp;form=skydnc</v>
    <v>Learn more on Bing</v>
  </rv>
  <rv s="1">
    <v>en-US</v>
    <v>a1pffr</v>
    <v>268435456</v>
    <v>1</v>
    <v>Powered by Refinitiv</v>
    <v>0</v>
    <v>CELANESE CORPORATION (XNYS:CE)</v>
    <v>2</v>
    <v>3</v>
    <v>Finance</v>
    <v>4</v>
    <v>172.16</v>
    <v>110.76</v>
    <v>1.2982</v>
    <v>-0.22</v>
    <v>-1.6669999999999999E-3</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12410</v>
    <v>New York Stock Exchange</v>
    <v>XNYS</v>
    <v>XNYS</v>
    <v>222 Las Colinas Blvd W Ste 900N, IRVING, TX, 75039-5467 US</v>
    <v>134.1</v>
    <v>Chemicals</v>
    <v>Stock</v>
    <v>45530.686743703125</v>
    <v>1299</v>
    <v>131.62010000000001</v>
    <v>14419590000</v>
    <v>CELANESE CORPORATION</v>
    <v>CELANESE CORPORATION</v>
    <v>133.63</v>
    <v>7.4763999999999999</v>
    <v>131.97</v>
    <v>131.75</v>
    <v>109264200</v>
    <v>CE</v>
    <v>CELANESE CORPORATION (XNYS:CE)</v>
    <v>160021</v>
    <v>865871</v>
    <v>2004</v>
  </rv>
  <rv s="2">
    <v>1300</v>
  </rv>
  <rv s="0">
    <v>https://www.bing.com/financeapi/forcetrigger?t=a24hfr&amp;q=XNAS%3aTRMB&amp;form=skydnc</v>
    <v>Learn more on Bing</v>
  </rv>
  <rv s="1">
    <v>en-US</v>
    <v>a24hfr</v>
    <v>268435456</v>
    <v>1</v>
    <v>Powered by Refinitiv</v>
    <v>0</v>
    <v>TRIMBLE INC. (XNAS:TRMB)</v>
    <v>2</v>
    <v>3</v>
    <v>Finance</v>
    <v>4</v>
    <v>65.55</v>
    <v>39.57</v>
    <v>1.4849000000000001</v>
    <v>-0.06</v>
    <v>-1.0530000000000001E-3</v>
    <v>USD</v>
    <v>Trimble Inc. is a technology company delivering solutions that enable professionals and field mobile workers to improve or transform their work processes. It operates in four segments. The Buildings and Infrastructure segment serves customers working in architecture, engineering, construction, and operations and maintenance. The Geospatial segment primarily serves customers working in surveying, engineering, and government. Within this segment, its product portfolios are focused on surveying and geospatial and geographic information systems (GIS). The Resources and Utilities segment serves customers working in agriculture, forestry, and utilities. Within this segment, its product portfolio addresses the agriculture market, including its Trimble Ag and Positioning Services businesses. The Transportation segment serves customers working in long haul trucking and freight shipper markets. It also specializes in technology to streamline the flow of payment and compliance information.</v>
    <v>12700</v>
    <v>Nasdaq Stock Market</v>
    <v>XNAS</v>
    <v>XNAS</v>
    <v>10368 Westmoor Dr, WESTMINSTER, CO, 80021 US</v>
    <v>57.42</v>
    <v>Software &amp; IT Services</v>
    <v>Stock</v>
    <v>45530.686795763278</v>
    <v>1302</v>
    <v>56.86</v>
    <v>13902738668</v>
    <v>TRIMBLE INC.</v>
    <v>TRIMBLE INC.</v>
    <v>57.08</v>
    <v>9.3020999999999994</v>
    <v>56.99</v>
    <v>56.93</v>
    <v>244207600</v>
    <v>TRMB</v>
    <v>TRIMBLE INC. (XNAS:TRMB)</v>
    <v>165600</v>
    <v>1458259</v>
    <v>2016</v>
  </rv>
  <rv s="2">
    <v>1303</v>
  </rv>
  <rv s="0">
    <v>https://www.bing.com/financeapi/forcetrigger?t=a1uivh&amp;q=XNYS%3aPEAK&amp;form=skydnc</v>
    <v>Learn more on Bing</v>
  </rv>
  <rv s="1">
    <v>en-US</v>
    <v>a1uivh</v>
    <v>268435456</v>
    <v>1</v>
    <v>Powered by Refinitiv</v>
    <v>0</v>
    <v>HEALTHPEAK PROPERTIES, INC. (XNYS:DOC)</v>
    <v>2</v>
    <v>3</v>
    <v>Finance</v>
    <v>4</v>
    <v>22.664999999999999</v>
    <v>15.24</v>
    <v>1.1213</v>
    <v>0.105</v>
    <v>4.6750000000000003E-3</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193</v>
    <v>New York Stock Exchange</v>
    <v>XNYS</v>
    <v>XNYS</v>
    <v>4600 South Syracuse Street, Suite 500, DENVER, CO, 80237 US</v>
    <v>22.664999999999999</v>
    <v>Residential &amp; Commercial REIT</v>
    <v>Stock</v>
    <v>45530.686834837499</v>
    <v>1305</v>
    <v>22.46</v>
    <v>15880829547</v>
    <v>HEALTHPEAK PROPERTIES, INC.</v>
    <v>HEALTHPEAK PROPERTIES, INC.</v>
    <v>22.56</v>
    <v>48.622199999999999</v>
    <v>22.46</v>
    <v>22.565000000000001</v>
    <v>703781500</v>
    <v>DOC</v>
    <v>HEALTHPEAK PROPERTIES, INC. (XNYS:DOC)</v>
    <v>850565</v>
    <v>4513537</v>
    <v>2022</v>
  </rv>
  <rv s="2">
    <v>1306</v>
  </rv>
  <rv s="0">
    <v>https://www.bing.com/financeapi/forcetrigger?t=a213c7&amp;q=XNAS%3aPODD&amp;form=skydnc</v>
    <v>Learn more on Bing</v>
  </rv>
  <rv s="1">
    <v>en-US</v>
    <v>a213c7</v>
    <v>268435456</v>
    <v>1</v>
    <v>Powered by Refinitiv</v>
    <v>0</v>
    <v>INSULET CORPORATION (XNAS:PODD)</v>
    <v>2</v>
    <v>3</v>
    <v>Finance</v>
    <v>4</v>
    <v>223.56</v>
    <v>125.82</v>
    <v>1.2030000000000001</v>
    <v>-0.85</v>
    <v>-4.594E-3</v>
    <v>USD</v>
    <v>Insulet Corporation is a medical device company. It is primarily engaged in the development, manufacture and sale of its continuous insulin delivery systems for people with insulin-dependent diabetes. The Omnipod System includes the Omnipod 5 Automated Insulin Delivery System (Omnipod 5), the Omnipod DASH Insulin Management System, the Omnipod Insulin Management System, and Omnipod GO. It also produces pods for Amgen for use in the Neulasta Onpro kit, a delivery system for Amgen's Neulasta. The Omnipod platform offers continuous insulin delivery that provides various benefits of insulin pump therapy in a way without the need for external tubing required with conventional pumps. The small, lightweight, self-adhesive disposable tubeless Omnipod device (Pod), can be worn in multiple locations, including the abdomen, hip, back of upper arm, upper thigh, or lower back, and delivers insulin into the body through a small flexible tube. Omnipod 5 includes an AID algorithm embedded in the Pod.</v>
    <v>3000</v>
    <v>Nasdaq Stock Market</v>
    <v>XNAS</v>
    <v>XNAS</v>
    <v>100 Nagog Park, ACTON, MA, 01720-3440 US</v>
    <v>185.16</v>
    <v>Healthcare Equipment &amp; Supplies</v>
    <v>Stock</v>
    <v>45530.68683247656</v>
    <v>1308</v>
    <v>183.3</v>
    <v>12914570261</v>
    <v>INSULET CORPORATION</v>
    <v>INSULET CORPORATION</v>
    <v>185.04</v>
    <v>34.188800000000001</v>
    <v>185.04</v>
    <v>184.19</v>
    <v>70115480</v>
    <v>PODD</v>
    <v>INSULET CORPORATION (XNAS:PODD)</v>
    <v>76215</v>
    <v>771852</v>
    <v>2000</v>
  </rv>
  <rv s="2">
    <v>1309</v>
  </rv>
  <rv s="0">
    <v>https://www.bing.com/financeapi/forcetrigger?t=a1p55r&amp;q=XNYS%3aCAG&amp;form=skydnc</v>
    <v>Learn more on Bing</v>
  </rv>
  <rv s="1">
    <v>en-US</v>
    <v>a1p55r</v>
    <v>268435456</v>
    <v>1</v>
    <v>Powered by Refinitiv</v>
    <v>0</v>
    <v>CONAGRA BRANDS, INC. (XNYS:CAG)</v>
    <v>2</v>
    <v>3</v>
    <v>Finance</v>
    <v>4</v>
    <v>31.82</v>
    <v>25.16</v>
    <v>0.31040000000000001</v>
    <v>0.315</v>
    <v>1.0284E-2</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Merchandise Mart Plz Ste 1300, CHICAGO, IL, 60654-1103 US</v>
    <v>31.094999999999999</v>
    <v>Food &amp; Tobacco</v>
    <v>Stock</v>
    <v>45530.68690865703</v>
    <v>1311</v>
    <v>30.605</v>
    <v>14824192966</v>
    <v>CONAGRA BRANDS, INC.</v>
    <v>CONAGRA BRANDS, INC.</v>
    <v>30.72</v>
    <v>42.450099999999999</v>
    <v>30.63</v>
    <v>30.945</v>
    <v>479049700</v>
    <v>CAG</v>
    <v>CONAGRA BRANDS, INC. (XNYS:CAG)</v>
    <v>1033889</v>
    <v>4302801</v>
    <v>1975</v>
  </rv>
  <rv s="2">
    <v>1312</v>
  </rv>
  <rv s="0">
    <v>https://www.bing.com/financeapi/forcetrigger?t=a1n7yc&amp;q=XNAS%3aAKAM&amp;form=skydnc</v>
    <v>Learn more on Bing</v>
  </rv>
  <rv s="1">
    <v>en-US</v>
    <v>a1n7yc</v>
    <v>268435456</v>
    <v>1</v>
    <v>Powered by Refinitiv</v>
    <v>0</v>
    <v>AKAMAI TECHNOLOGIES, INC. (XNAS:AKAM)</v>
    <v>2</v>
    <v>3</v>
    <v>Finance</v>
    <v>4</v>
    <v>129.16999999999999</v>
    <v>87.59</v>
    <v>0.67700000000000005</v>
    <v>-0.81</v>
    <v>-7.9539999999999993E-3</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102.36499999999999</v>
    <v>Software &amp; IT Services</v>
    <v>Stock</v>
    <v>45530.686799883595</v>
    <v>1314</v>
    <v>100.98</v>
    <v>15307136316</v>
    <v>AKAMAI TECHNOLOGIES, INC.</v>
    <v>AKAMAI TECHNOLOGIES, INC.</v>
    <v>101.99</v>
    <v>25.244800000000001</v>
    <v>101.83</v>
    <v>101.02</v>
    <v>151525800</v>
    <v>AKAM</v>
    <v>AKAMAI TECHNOLOGIES, INC. (XNAS:AKAM)</v>
    <v>201068</v>
    <v>1698671</v>
    <v>1998</v>
  </rv>
  <rv s="2">
    <v>1315</v>
  </rv>
  <rv s="0">
    <v>https://www.bing.com/financeapi/forcetrigger?t=a23vm7&amp;q=XNAS%3aNLOK&amp;form=skydnc</v>
    <v>Learn more on Bing</v>
  </rv>
  <rv s="1">
    <v>en-US</v>
    <v>a23vm7</v>
    <v>268435456</v>
    <v>1</v>
    <v>Powered by Refinitiv</v>
    <v>0</v>
    <v>GEN DIGITAL INC. (XNAS:GEN)</v>
    <v>2</v>
    <v>3</v>
    <v>Finance</v>
    <v>4</v>
    <v>26.37</v>
    <v>16.38</v>
    <v>0.76329999999999998</v>
    <v>0.59</v>
    <v>2.2938999999999998E-2</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26.33</v>
    <v>Software &amp; IT Services</v>
    <v>Stock</v>
    <v>45530.686851932813</v>
    <v>1317</v>
    <v>25.75</v>
    <v>16194462750</v>
    <v>GEN DIGITAL INC.</v>
    <v>GEN DIGITAL INC.</v>
    <v>25.81</v>
    <v>27.4057</v>
    <v>25.72</v>
    <v>26.31</v>
    <v>615525000</v>
    <v>GEN</v>
    <v>GEN DIGITAL INC. (XNAS:GEN)</v>
    <v>1083453</v>
    <v>2995562</v>
    <v>1988</v>
  </rv>
  <rv s="2">
    <v>1318</v>
  </rv>
  <rv s="0">
    <v>https://www.bing.com/financeapi/forcetrigger?t=a1zxcw&amp;q=XNYS%3aPKI&amp;form=skydnc</v>
    <v>Learn more on Bing</v>
  </rv>
  <rv s="1">
    <v>en-US</v>
    <v>a1zxcw</v>
    <v>268435456</v>
    <v>1</v>
    <v>Powered by Refinitiv</v>
    <v>0</v>
    <v>REVVITY, INC. (XNYS:RVTY)</v>
    <v>2</v>
    <v>3</v>
    <v>Finance</v>
    <v>4</v>
    <v>128.15</v>
    <v>79.5</v>
    <v>1.0469999999999999</v>
    <v>-0.08</v>
    <v>-6.5979999999999999E-4</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11500</v>
    <v>New York Stock Exchange</v>
    <v>XNYS</v>
    <v>XNYS</v>
    <v>940 Winter Street, WALTHAM, MA, 02451 US</v>
    <v>122.125</v>
    <v>Healthcare Equipment &amp; Supplies</v>
    <v>Stock</v>
    <v>45530.686472546091</v>
    <v>1320</v>
    <v>120.79</v>
    <v>14944707939</v>
    <v>REVVITY, INC.</v>
    <v>REVVITY, INC.</v>
    <v>121.5</v>
    <v>82.161699999999996</v>
    <v>121.25</v>
    <v>121.17</v>
    <v>123336700</v>
    <v>RVTY</v>
    <v>REVVITY, INC. (XNYS:RVTY)</v>
    <v>171110</v>
    <v>812202</v>
    <v>1947</v>
  </rv>
  <rv s="2">
    <v>1321</v>
  </rv>
  <rv s="0">
    <v>https://www.bing.com/financeapi/forcetrigger?t=a213kr&amp;q=XNAS%3aPOOL&amp;form=skydnc</v>
    <v>Learn more on Bing</v>
  </rv>
  <rv s="1">
    <v>en-US</v>
    <v>a213kr</v>
    <v>268435456</v>
    <v>1</v>
    <v>Powered by Refinitiv</v>
    <v>0</v>
    <v>POOL CORPORATION (XNAS:POOL)</v>
    <v>2</v>
    <v>3</v>
    <v>Finance</v>
    <v>4</v>
    <v>422.73</v>
    <v>293.51</v>
    <v>1.004</v>
    <v>-4.4999999999999998E-2</v>
    <v>-1.2550000000000001E-4</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362.25549999999998</v>
    <v>Leisure Products</v>
    <v>Stock</v>
    <v>45530.686670370313</v>
    <v>1323</v>
    <v>356.79500000000002</v>
    <v>13714511456</v>
    <v>POOL CORPORATION</v>
    <v>POOL CORPORATION</v>
    <v>360</v>
    <v>30.183</v>
    <v>358.52</v>
    <v>358.47500000000002</v>
    <v>38257930</v>
    <v>POOL</v>
    <v>POOL CORPORATION (XNAS:POOL)</v>
    <v>58663</v>
    <v>390877</v>
    <v>1993</v>
  </rv>
  <rv s="2">
    <v>1324</v>
  </rv>
  <rv s="0">
    <v>https://www.bing.com/financeapi/forcetrigger?t=a212zr&amp;q=XNYS%3aPNR&amp;form=skydnc</v>
    <v>Learn more on Bing</v>
  </rv>
  <rv s="1">
    <v>en-US</v>
    <v>a212zr</v>
    <v>268435456</v>
    <v>1</v>
    <v>Powered by Refinitiv</v>
    <v>0</v>
    <v>PENTAIR PUBLIC LIMITED COMPANY (XNYS:PNR)</v>
    <v>2</v>
    <v>3</v>
    <v>Finance</v>
    <v>4</v>
    <v>89.63</v>
    <v>57.18</v>
    <v>1.1915</v>
    <v>-0.27</v>
    <v>-3.1099999999999999E-3</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10500</v>
    <v>New York Stock Exchange</v>
    <v>XNYS</v>
    <v>XNYS</v>
    <v>Regal House, 70 London Road, Twickenham, LONDON, UNITED KINGDOM-NA, TW1 3QS GB</v>
    <v>87.46</v>
    <v>Machinery, Equipment &amp; Components</v>
    <v>Stock</v>
    <v>45530.686906897659</v>
    <v>1326</v>
    <v>86.19</v>
    <v>14323825935</v>
    <v>PENTAIR PUBLIC LIMITED COMPANY</v>
    <v>PENTAIR PUBLIC LIMITED COMPANY</v>
    <v>87</v>
    <v>21.969200000000001</v>
    <v>86.82</v>
    <v>86.55</v>
    <v>165497700</v>
    <v>PNR</v>
    <v>PENTAIR PUBLIC LIMITED COMPANY (XNYS:PNR)</v>
    <v>177123</v>
    <v>1570971</v>
    <v>2013</v>
  </rv>
  <rv s="2">
    <v>1327</v>
  </rv>
  <rv s="0">
    <v>https://www.bing.com/financeapi/forcetrigger?t=a1x8nm&amp;q=XNYS%3aLYV&amp;form=skydnc</v>
    <v>Learn more on Bing</v>
  </rv>
  <rv s="1">
    <v>en-US</v>
    <v>a1x8nm</v>
    <v>268435456</v>
    <v>1</v>
    <v>Powered by Refinitiv</v>
    <v>0</v>
    <v>LIVE NATION ENTERTAINMENT, INC. (XNYS:LYV)</v>
    <v>2</v>
    <v>3</v>
    <v>Finance</v>
    <v>4</v>
    <v>107.24</v>
    <v>76.48</v>
    <v>1.3404</v>
    <v>-1.56</v>
    <v>-1.6119000000000001E-2</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97.015000000000001</v>
    <v>Media &amp; Publishing</v>
    <v>Stock</v>
    <v>45530.686851909377</v>
    <v>1329</v>
    <v>95.17</v>
    <v>21930965658</v>
    <v>LIVE NATION ENTERTAINMENT, INC.</v>
    <v>LIVE NATION ENTERTAINMENT, INC.</v>
    <v>96.65</v>
    <v>94.634</v>
    <v>96.78</v>
    <v>95.22</v>
    <v>230318900</v>
    <v>LYV</v>
    <v>LIVE NATION ENTERTAINMENT, INC. (XNYS:LYV)</v>
    <v>310868</v>
    <v>1677566</v>
    <v>2005</v>
  </rv>
  <rv s="2">
    <v>1330</v>
  </rv>
  <rv s="0">
    <v>https://www.bing.com/financeapi/forcetrigger?t=a23tw7&amp;q=XNYS%3aSWK&amp;form=skydnc</v>
    <v>Learn more on Bing</v>
  </rv>
  <rv s="6">
    <v>en-US</v>
    <v>a23tw7</v>
    <v>268435456</v>
    <v>1</v>
    <v>Powered by Refinitiv</v>
    <v>10</v>
    <v>STANLEY BLACK &amp; DECKER, INC. (XNYS:SWK)</v>
    <v>2</v>
    <v>13</v>
    <v>Finance</v>
    <v>4</v>
    <v>108.15</v>
    <v>76.261099999999999</v>
    <v>1.2379</v>
    <v>0.35</v>
    <v>3.4860000000000004E-3</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102.52</v>
    <v>Machinery, Equipment &amp; Components</v>
    <v>Stock</v>
    <v>45530.68683143516</v>
    <v>1332</v>
    <v>100.6101</v>
    <v>15511419625</v>
    <v>STANLEY BLACK &amp; DECKER, INC.</v>
    <v>STANLEY BLACK &amp; DECKER, INC.</v>
    <v>101.05</v>
    <v>100.4</v>
    <v>100.75</v>
    <v>153959500</v>
    <v>SWK</v>
    <v>STANLEY BLACK &amp; DECKER, INC. (XNYS:SWK)</v>
    <v>350633</v>
    <v>1686400</v>
    <v>1901</v>
  </rv>
  <rv s="2">
    <v>1333</v>
  </rv>
  <rv s="0">
    <v>https://www.bing.com/financeapi/forcetrigger?t=a1wh27&amp;q=XNYS%3aKEY&amp;form=skydnc</v>
    <v>Learn more on Bing</v>
  </rv>
  <rv s="1">
    <v>en-US</v>
    <v>a1wh27</v>
    <v>268435456</v>
    <v>1</v>
    <v>Powered by Refinitiv</v>
    <v>0</v>
    <v>KEYCORP (XNYS:KEY)</v>
    <v>2</v>
    <v>3</v>
    <v>Finance</v>
    <v>4</v>
    <v>17.2</v>
    <v>9.5</v>
    <v>1.24</v>
    <v>-0.1</v>
    <v>-5.8579999999999995E-3</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 has two business segments: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business advisory services. The Commercial Bank consists of the Commercial and Institutional operating segments. The Commercial operating segment serves the needs of middle market clients.</v>
    <v>16699</v>
    <v>New York Stock Exchange</v>
    <v>XNYS</v>
    <v>XNYS</v>
    <v>127 Public Sq, CLEVELAND, OH, 44114-1306 US</v>
    <v>17.190000000000001</v>
    <v>Banking Services</v>
    <v>Stock</v>
    <v>45530.686858738278</v>
    <v>1335</v>
    <v>16.965</v>
    <v>16000342684</v>
    <v>KEYCORP</v>
    <v>KEYCORP</v>
    <v>17.190000000000001</v>
    <v>22.1724</v>
    <v>17.07</v>
    <v>16.97</v>
    <v>942860500</v>
    <v>KEY</v>
    <v>KEYCORP (XNYS:KEY)</v>
    <v>3499629</v>
    <v>16645853</v>
    <v>1958</v>
  </rv>
  <rv s="2">
    <v>1336</v>
  </rv>
  <rv s="0">
    <v>https://www.bing.com/financeapi/forcetrigger?t=a1myk2&amp;q=XNYS%3aAES&amp;form=skydnc</v>
    <v>Learn more on Bing</v>
  </rv>
  <rv s="1">
    <v>en-US</v>
    <v>a1myk2</v>
    <v>268435456</v>
    <v>1</v>
    <v>Powered by Refinitiv</v>
    <v>0</v>
    <v>THE AES CORPORATION (XNYS:AES)</v>
    <v>2</v>
    <v>3</v>
    <v>Finance</v>
    <v>4</v>
    <v>22.21</v>
    <v>11.43</v>
    <v>1.0671999999999999</v>
    <v>-6.9900000000000004E-2</v>
    <v>-3.8660000000000001E-3</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18.21</v>
    <v>Electrical Utilities &amp; IPPs</v>
    <v>Stock</v>
    <v>45530.686847187499</v>
    <v>1338</v>
    <v>17.98</v>
    <v>12803817735</v>
    <v>THE AES CORPORATION</v>
    <v>THE AES CORPORATION</v>
    <v>18.149999999999999</v>
    <v>25.045000000000002</v>
    <v>18.079999999999998</v>
    <v>18.010100000000001</v>
    <v>710924300</v>
    <v>AES</v>
    <v>THE AES CORPORATION (XNYS:AES)</v>
    <v>1380397</v>
    <v>7865032</v>
    <v>1981</v>
  </rv>
  <rv s="2">
    <v>1339</v>
  </rv>
  <rv s="0">
    <v>https://www.bing.com/financeapi/forcetrigger?t=a1w1rw&amp;q=XNAS%3aJBHT&amp;form=skydnc</v>
    <v>Learn more on Bing</v>
  </rv>
  <rv s="1">
    <v>en-US</v>
    <v>a1w1rw</v>
    <v>268435456</v>
    <v>1</v>
    <v>Powered by Refinitiv</v>
    <v>0</v>
    <v>J. B. HUNT TRANSPORT SERVICES, INC. (XNAS:JBHT)</v>
    <v>2</v>
    <v>3</v>
    <v>Finance</v>
    <v>4</v>
    <v>219.505</v>
    <v>153.12</v>
    <v>1.1552</v>
    <v>-1.18</v>
    <v>-6.6679999999999994E-3</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178.8</v>
    <v>Freight &amp; Logistics Services</v>
    <v>Stock</v>
    <v>45530.686790960157</v>
    <v>1341</v>
    <v>175.25</v>
    <v>18048560000</v>
    <v>J. B. HUNT TRANSPORT SERVICES, INC.</v>
    <v>J. B. HUNT TRANSPORT SERVICES, INC.</v>
    <v>178.06</v>
    <v>30.449100000000001</v>
    <v>176.97</v>
    <v>175.79</v>
    <v>101986500</v>
    <v>JBHT</v>
    <v>J. B. HUNT TRANSPORT SERVICES, INC. (XNAS:JBHT)</v>
    <v>121651</v>
    <v>835375</v>
    <v>1961</v>
  </rv>
  <rv s="2">
    <v>1342</v>
  </rv>
  <rv s="0">
    <v>https://www.bing.com/financeapi/forcetrigger?t=a1uwoc&amp;q=XNAS%3aHST&amp;form=skydnc</v>
    <v>Learn more on Bing</v>
  </rv>
  <rv s="1">
    <v>en-US</v>
    <v>a1uwoc</v>
    <v>268435456</v>
    <v>1</v>
    <v>Powered by Refinitiv</v>
    <v>0</v>
    <v>HOST HOTELS &amp; RESORTS, INC. (XNAS:HST)</v>
    <v>2</v>
    <v>3</v>
    <v>Finance</v>
    <v>4</v>
    <v>21.31</v>
    <v>14.735099999999999</v>
    <v>1.3407</v>
    <v>-0.05</v>
    <v>-2.872E-3</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17.605</v>
    <v>Residential &amp; Commercial REIT</v>
    <v>Stock</v>
    <v>45530.686921330467</v>
    <v>1344</v>
    <v>17.34</v>
    <v>12194365344</v>
    <v>HOST HOTELS &amp; RESORTS, INC.</v>
    <v>HOST HOTELS &amp; RESORTS, INC.</v>
    <v>17.559999999999999</v>
    <v>16.421399999999998</v>
    <v>17.41</v>
    <v>17.36</v>
    <v>702440400</v>
    <v>HST</v>
    <v>HOST HOTELS &amp; RESORTS, INC. (XNAS:HST)</v>
    <v>2730183</v>
    <v>9278604</v>
    <v>1998</v>
  </rv>
  <rv s="2">
    <v>1345</v>
  </rv>
  <rv s="0">
    <v>https://www.bing.com/financeapi/forcetrigger?t=a261ec&amp;q=XNYS%3aWRK&amp;form=skydnc</v>
    <v>Learn more on Bing</v>
  </rv>
  <rv s="10">
    <v>en-US</v>
    <v>a261ec</v>
    <v>268435456</v>
    <v>1</v>
    <v>Powered by Refinitiv</v>
    <v>20</v>
    <v>WESTROCK COMPANY (XNYS:WRK)</v>
    <v>2</v>
    <v>21</v>
    <v>Finance</v>
    <v>22</v>
    <v>54.83</v>
    <v>28.31</v>
    <v>1.0535000000000001</v>
    <v>0</v>
    <v>9.5130000000000006E-3</v>
    <v>0</v>
    <v>0.49</v>
    <v>USD</v>
    <v>WestRock Company is a multinational provider of sustainable fiber-based paper and packaging solutions. The Company is an integrated producer of linerboard, white-top linerboard and corrugating medium (containerboard) and kraft paper in North America. It operates through four segments: corrugated packaging, consumer packaging, global paper and distribution. Its corrugated packaging segment consists of its integrated corrugated converting operations and is engaged in the sale of corrugated containers and other corrugated products, including displays. The Company's consumer packaging segment is engaged in integrated consumer converting operations and the sale of consumer packaging products, such as folding cartons, inserts and labels. The Company's global paper segment is engaged in commercial paper operations and the sale of container board, paperboard and specialty grades to external customers. Its distribution segment is engaged in distribution and display assembly operations.</v>
    <v>56100</v>
    <v>New York Stock Exchange</v>
    <v>XNYS</v>
    <v>XNYS</v>
    <v>1000 Abernathy Road Ne, ATLANTA, GA, 30328 US</v>
    <v>52.16</v>
    <v>Containers &amp; Packaging</v>
    <v>Stock</v>
    <v>45478.958333356248</v>
    <v>1347</v>
    <v>50.49</v>
    <v>13297210000</v>
    <v>WESTROCK COMPANY</v>
    <v>WESTROCK COMPANY</v>
    <v>50.78</v>
    <v>43.442700000000002</v>
    <v>49.75</v>
    <v>51.51</v>
    <v>52</v>
    <v>258148100</v>
    <v>WRK</v>
    <v>WESTROCK COMPANY (XNYS:WRK)</v>
    <v>11862013</v>
    <v>4013101</v>
    <v>2018</v>
  </rv>
  <rv s="2">
    <v>1348</v>
  </rv>
  <rv s="0">
    <v>https://www.bing.com/financeapi/forcetrigger?t=a1wifr&amp;q=XNYS%3aKIM&amp;form=skydnc</v>
    <v>Learn more on Bing</v>
  </rv>
  <rv s="1">
    <v>en-US</v>
    <v>a1wifr</v>
    <v>268435456</v>
    <v>1</v>
    <v>Powered by Refinitiv</v>
    <v>0</v>
    <v>KIMCO REALTY CORPORATION. (XNYS:KIM)</v>
    <v>2</v>
    <v>3</v>
    <v>Finance</v>
    <v>4</v>
    <v>23.53</v>
    <v>16.2684</v>
    <v>1.4965999999999999</v>
    <v>0.11</v>
    <v>4.7349999999999996E-3</v>
    <v>USD</v>
    <v>Kimco Realty Corporation is a real estate investment trust (REIT). The Company is an owner and operator of open-air, grocery-anchored shopping centers, and a growing portfolio of mixed-use assets.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The Company owns interests in 523 United States shopping centers and mixed-use assets comprising 90 million square feet of gross leasable space. The Company's properties include 2200 Westlake Retail, 2424 Hylan Boulevard, 280 Metro Center, Accent Plaza, Adams Plaza, Broadway Marketplace, Braelinn Village, Chico Crossroads, Stonebridge, and others.</v>
    <v>660</v>
    <v>New York Stock Exchange</v>
    <v>XNYS</v>
    <v>XNYS</v>
    <v>500 North Broadway, Suite 201, P.O. Box 9010, JERICHO, NY, 11753 US</v>
    <v>23.53</v>
    <v>Residential &amp; Commercial REIT</v>
    <v>Stock</v>
    <v>45530.68685766172</v>
    <v>1350</v>
    <v>23.3</v>
    <v>15733778748</v>
    <v>KIMCO REALTY CORPORATION.</v>
    <v>KIMCO REALTY CORPORATION.</v>
    <v>23.49</v>
    <v>43.3371</v>
    <v>23.23</v>
    <v>23.34</v>
    <v>674112200</v>
    <v>KIM</v>
    <v>KIMCO REALTY CORPORATION. (XNYS:KIM)</v>
    <v>762163</v>
    <v>4091723</v>
    <v>2022</v>
  </rv>
  <rv s="2">
    <v>1351</v>
  </rv>
  <rv s="0">
    <v>https://www.bing.com/financeapi/forcetrigger?t=a1ydqh&amp;q=XNAS%3aNDSN&amp;form=skydnc</v>
    <v>Learn more on Bing</v>
  </rv>
  <rv s="1">
    <v>en-US</v>
    <v>a1ydqh</v>
    <v>268435456</v>
    <v>1</v>
    <v>Powered by Refinitiv</v>
    <v>0</v>
    <v>NORDSON CORPORATION (XNAS:NDSN)</v>
    <v>2</v>
    <v>3</v>
    <v>Finance</v>
    <v>4</v>
    <v>279.38</v>
    <v>208.91</v>
    <v>0.90449999999999997</v>
    <v>0.6</v>
    <v>2.3310000000000002E-3</v>
    <v>USD</v>
    <v>Nordson Corporation is a precision technology company. It engineers, manufactures and market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agriculture and industrial markets. The Medical and Fluid Solutions segment includes fluid management solutions for medical, high-tech industrial and other diverse end markets. The Advanced Technology Solutions segment integrates its product technologies into the progressive stages of a customer’s production processes.</v>
    <v>7700</v>
    <v>Nasdaq Stock Market</v>
    <v>XNAS</v>
    <v>XNAS</v>
    <v>28601 Clemens Rd, WESTLAKE, OH, 44145 US</v>
    <v>259.33999999999997</v>
    <v>Machinery, Equipment &amp; Components</v>
    <v>Stock</v>
    <v>45530.686770566404</v>
    <v>1353</v>
    <v>256.64499999999998</v>
    <v>14752834740</v>
    <v>NORDSON CORPORATION</v>
    <v>NORDSON CORPORATION</v>
    <v>258</v>
    <v>31.353899999999999</v>
    <v>257.39999999999998</v>
    <v>258</v>
    <v>57181530</v>
    <v>NDSN</v>
    <v>NORDSON CORPORATION (XNAS:NDSN)</v>
    <v>78671</v>
    <v>310853</v>
    <v>1935</v>
  </rv>
  <rv s="2">
    <v>1354</v>
  </rv>
  <rv s="0">
    <v>https://www.bing.com/financeapi/forcetrigger?t=a1x1mw&amp;q=XNAS%3aLNT&amp;form=skydnc</v>
    <v>Learn more on Bing</v>
  </rv>
  <rv s="1">
    <v>en-US</v>
    <v>a1x1mw</v>
    <v>268435456</v>
    <v>1</v>
    <v>Powered by Refinitiv</v>
    <v>0</v>
    <v>ALLIANT ENERGY CORPORATION (XNAS:LNT)</v>
    <v>2</v>
    <v>3</v>
    <v>Finance</v>
    <v>4</v>
    <v>58.69</v>
    <v>45.153599999999997</v>
    <v>0.5706</v>
    <v>7.0000000000000007E-2</v>
    <v>1.206E-3</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58.48</v>
    <v>Electrical Utilities &amp; IPPs</v>
    <v>Stock</v>
    <v>45530.686846423436</v>
    <v>1356</v>
    <v>58.04</v>
    <v>14902626760</v>
    <v>ALLIANT ENERGY CORPORATION</v>
    <v>ALLIANT ENERGY CORPORATION</v>
    <v>58.24</v>
    <v>23.7041</v>
    <v>58.03</v>
    <v>58.1</v>
    <v>256499600</v>
    <v>LNT</v>
    <v>ALLIANT ENERGY CORPORATION (XNAS:LNT)</v>
    <v>189659</v>
    <v>1358792</v>
    <v>1981</v>
  </rv>
  <rv s="2">
    <v>1357</v>
  </rv>
  <rv s="0">
    <v>https://www.bing.com/financeapi/forcetrigger?t=a24tfr&amp;q=XNYS%3aUDR&amp;form=skydnc</v>
    <v>Learn more on Bing</v>
  </rv>
  <rv s="1">
    <v>en-US</v>
    <v>a24tfr</v>
    <v>268435456</v>
    <v>1</v>
    <v>Powered by Refinitiv</v>
    <v>0</v>
    <v>UDR, INC. (XNYS:UDR)</v>
    <v>2</v>
    <v>3</v>
    <v>Finance</v>
    <v>4</v>
    <v>43.69</v>
    <v>30.95</v>
    <v>0.8377</v>
    <v>-0.09</v>
    <v>-2.0790000000000001E-3</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consists of approximately 168 communities located in 21 markets, consisting of 55,550 completed apartment homes. In addition, the Company has an ownership interest in 10,045 completed or to-be-completed apartment homes through unconsolidated joint ventures or partnerships, including 5,618 apartment homes owned by entities in which it holds preferred equity investments. It operates through two segments: Same-Store Communities and Non-Mature Communities/Other. Its Same-Store Communities segment includes communities, which were acquired, developed, and stabilized. Its Non-Mature Communities/Other segment includes communities that do not meet the criteria to be included in Same-Store Communities.</v>
    <v>1397</v>
    <v>New York Stock Exchange</v>
    <v>XNYS</v>
    <v>XNYS</v>
    <v>Suite 200, 1745 Shea Center Drive, HIGHLANDS RANCH, CO, 80129 US</v>
    <v>43.69</v>
    <v>Residential &amp; Commercial REIT</v>
    <v>Stock</v>
    <v>45530.686640705469</v>
    <v>1359</v>
    <v>43.17</v>
    <v>14251673435</v>
    <v>UDR, INC.</v>
    <v>UDR, INC.</v>
    <v>43.66</v>
    <v>106.4421</v>
    <v>43.3</v>
    <v>43.21</v>
    <v>329823500</v>
    <v>UDR</v>
    <v>UDR, INC. (XNYS:UDR)</v>
    <v>350959</v>
    <v>2323573</v>
    <v>2003</v>
  </rv>
  <rv s="2">
    <v>1360</v>
  </rv>
  <rv s="0">
    <v>https://www.bing.com/financeapi/forcetrigger?t=b17tur&amp;q=XNYS%3aEVRG&amp;form=skydnc</v>
    <v>Learn more on Bing</v>
  </rv>
  <rv s="1">
    <v>en-US</v>
    <v>b17tur</v>
    <v>268435456</v>
    <v>1</v>
    <v>Powered by Refinitiv</v>
    <v>0</v>
    <v>Evergy, Inc. (XNAS:EVRG)</v>
    <v>2</v>
    <v>3</v>
    <v>Finance</v>
    <v>4</v>
    <v>61.14</v>
    <v>46.917499999999997</v>
    <v>0.60150000000000003</v>
    <v>0.57999999999999996</v>
    <v>9.9089999999999994E-3</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4658</v>
    <v>Nasdaq Stock Market</v>
    <v>XNAS</v>
    <v>XNAS</v>
    <v>1200 Main St, KANSAS CITY, MO, 64105-2122 US</v>
    <v>59.450099999999999</v>
    <v>Electrical Utilities &amp; IPPs</v>
    <v>Stock</v>
    <v>45530.686831041407</v>
    <v>1362</v>
    <v>58.674999999999997</v>
    <v>13459470000</v>
    <v>Evergy, Inc.</v>
    <v>Evergy, Inc.</v>
    <v>58.76</v>
    <v>18.247199999999999</v>
    <v>58.53</v>
    <v>59.11</v>
    <v>229958400</v>
    <v>EVRG</v>
    <v>Evergy, Inc. (XNAS:EVRG)</v>
    <v>609181</v>
    <v>1869783</v>
    <v>2017</v>
  </rv>
  <rv s="2">
    <v>1363</v>
  </rv>
  <rv s="0">
    <v>https://www.bing.com/financeapi/forcetrigger?t=a1x7oc&amp;q=XNYS%3aLW&amp;form=skydnc</v>
    <v>Learn more on Bing</v>
  </rv>
  <rv s="1">
    <v>en-US</v>
    <v>a1x7oc</v>
    <v>268435456</v>
    <v>1</v>
    <v>Powered by Refinitiv</v>
    <v>0</v>
    <v>LAMB WESTON HOLDINGS, INC. (XNYS:LW)</v>
    <v>2</v>
    <v>3</v>
    <v>Finance</v>
    <v>4</v>
    <v>111.875</v>
    <v>52.99</v>
    <v>0.74729999999999996</v>
    <v>-5.5E-2</v>
    <v>-8.7730000000000002E-4</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62.99</v>
    <v>Food &amp; Tobacco</v>
    <v>Stock</v>
    <v>45530.686786203129</v>
    <v>1365</v>
    <v>62.3</v>
    <v>8998851875</v>
    <v>LAMB WESTON HOLDINGS, INC.</v>
    <v>LAMB WESTON HOLDINGS, INC.</v>
    <v>62.86</v>
    <v>12.5791</v>
    <v>62.69</v>
    <v>62.634999999999998</v>
    <v>143671300</v>
    <v>LW</v>
    <v>LAMB WESTON HOLDINGS, INC. (XNYS:LW)</v>
    <v>513456</v>
    <v>4679746</v>
    <v>2016</v>
  </rv>
  <rv s="2">
    <v>1366</v>
  </rv>
  <rv s="0">
    <v>https://www.bing.com/financeapi/forcetrigger?t=a1y7rw&amp;q=XNAS%3aVTRS&amp;form=skydnc</v>
    <v>Learn more on Bing</v>
  </rv>
  <rv s="1">
    <v>en-US</v>
    <v>a1y7rw</v>
    <v>268435456</v>
    <v>1</v>
    <v>Powered by Refinitiv</v>
    <v>0</v>
    <v>VIATRIS INC. (XNAS:VTRS)</v>
    <v>2</v>
    <v>3</v>
    <v>Finance</v>
    <v>4</v>
    <v>13.6175</v>
    <v>8.74</v>
    <v>0.93140000000000001</v>
    <v>4.4999999999999998E-2</v>
    <v>3.8269999999999997E-3</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11.85</v>
    <v>Pharmaceuticals</v>
    <v>Stock</v>
    <v>45530.686843390627</v>
    <v>1368</v>
    <v>11.705</v>
    <v>14035800000</v>
    <v>VIATRIS INC.</v>
    <v>VIATRIS INC.</v>
    <v>11.76</v>
    <v>0</v>
    <v>11.76</v>
    <v>11.805</v>
    <v>1193521000</v>
    <v>VTRS</v>
    <v>VIATRIS INC. (XNAS:VTRS)</v>
    <v>1866220</v>
    <v>7980798</v>
    <v>2019</v>
  </rv>
  <rv s="2">
    <v>1369</v>
  </rv>
  <rv s="0">
    <v>https://www.bing.com/financeapi/forcetrigger?t=a1w6zr&amp;q=XNAS%3aJKHY&amp;form=skydnc</v>
    <v>Learn more on Bing</v>
  </rv>
  <rv s="1">
    <v>en-US</v>
    <v>a1w6zr</v>
    <v>268435456</v>
    <v>1</v>
    <v>Powered by Refinitiv</v>
    <v>0</v>
    <v>JACK HENRY &amp; ASSOCIATES, INC. (XNAS:JKHY)</v>
    <v>2</v>
    <v>3</v>
    <v>Finance</v>
    <v>4</v>
    <v>178.37</v>
    <v>136.57</v>
    <v>0.63590000000000002</v>
    <v>2.73</v>
    <v>1.6583000000000001E-2</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call center support, and network security management, consulting, and monitoring, which can be integrated with its core solutions, and many can be used independently.</v>
    <v>7120</v>
    <v>Nasdaq Stock Market</v>
    <v>XNAS</v>
    <v>XNAS</v>
    <v>PO BOX 807, 663 HWY 60, MONETT, MO, 65708-0807 US</v>
    <v>167.57</v>
    <v>Software &amp; IT Services</v>
    <v>Stock</v>
    <v>45530.686873089842</v>
    <v>1371</v>
    <v>164.745</v>
    <v>12200549020</v>
    <v>JACK HENRY &amp; ASSOCIATES, INC.</v>
    <v>JACK HENRY &amp; ASSOCIATES, INC.</v>
    <v>165.41</v>
    <v>31.486999999999998</v>
    <v>164.63</v>
    <v>167.36</v>
    <v>72900030</v>
    <v>JKHY</v>
    <v>JACK HENRY &amp; ASSOCIATES, INC. (XNAS:JKHY)</v>
    <v>162354</v>
    <v>437443</v>
    <v>1985</v>
  </rv>
  <rv s="2">
    <v>1372</v>
  </rv>
  <rv s="0">
    <v>https://www.bing.com/financeapi/forcetrigger?t=a243pr&amp;q=XNAS%3aTECH&amp;form=skydnc</v>
    <v>Learn more on Bing</v>
  </rv>
  <rv s="1">
    <v>en-US</v>
    <v>a243pr</v>
    <v>268435456</v>
    <v>1</v>
    <v>Powered by Refinitiv</v>
    <v>0</v>
    <v>BIO-TECHNE CORPORATION (XNAS:TECH)</v>
    <v>2</v>
    <v>3</v>
    <v>Finance</v>
    <v>4</v>
    <v>85.57</v>
    <v>51.79</v>
    <v>1.2697000000000001</v>
    <v>-0.98</v>
    <v>-1.3557E-2</v>
    <v>USD</v>
    <v>Bio-Techne Corporation is a global life sciences company. The Company is engaged in providing tools and bioactive reagents for the research and clinical diagnostic communities. It operates through two segments: Protein Sciences and Diagnostics and Genomics. Its Protein Sciences segment develops and manufactures biological reagents used in all aspects of life science research, diagnostics and cell and gene therapy. This segment also includes proteomic analytical tools, both manual and automated, that offer researchers and pharmaceutical manufacturers efficient and streamlined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3100</v>
    <v>Nasdaq Stock Market</v>
    <v>XNAS</v>
    <v>XNAS</v>
    <v>614 MCKINLEY PL N E, MINNEAPOLIS, MN, 55413 US</v>
    <v>72.64</v>
    <v>Biotechnology &amp; Medical Research</v>
    <v>Stock</v>
    <v>45530.686893517966</v>
    <v>1374</v>
    <v>71.22</v>
    <v>11309794524</v>
    <v>BIO-TECHNE CORPORATION</v>
    <v>BIO-TECHNE CORPORATION</v>
    <v>72.64</v>
    <v>69.203500000000005</v>
    <v>72.290000000000006</v>
    <v>71.31</v>
    <v>158600400</v>
    <v>TECH</v>
    <v>BIO-TECHNE CORPORATION (XNAS:TECH)</v>
    <v>155587</v>
    <v>1009233</v>
    <v>1981</v>
  </rv>
  <rv s="2">
    <v>1375</v>
  </rv>
  <rv s="0">
    <v>https://www.bing.com/financeapi/forcetrigger?t=a1rxu2&amp;q=XNYS%3aEMN&amp;form=skydnc</v>
    <v>Learn more on Bing</v>
  </rv>
  <rv s="1">
    <v>en-US</v>
    <v>a1rxu2</v>
    <v>268435456</v>
    <v>1</v>
    <v>Powered by Refinitiv</v>
    <v>0</v>
    <v>EASTMAN CHEMICAL COMPANY (XNYS:EMN)</v>
    <v>2</v>
    <v>3</v>
    <v>Finance</v>
    <v>4</v>
    <v>105.98</v>
    <v>68.89</v>
    <v>1.4532</v>
    <v>0.83499999999999996</v>
    <v>8.2839999999999997E-3</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200 South Wilcox Drive, Po Box 511, KINGSPORT, TN, 37660 US</v>
    <v>102.35</v>
    <v>Chemicals</v>
    <v>Stock</v>
    <v>45530.686814930472</v>
    <v>1377</v>
    <v>101.0912</v>
    <v>11881131500</v>
    <v>EASTMAN CHEMICAL COMPANY</v>
    <v>EASTMAN CHEMICAL COMPANY</v>
    <v>101.27500000000001</v>
    <v>13.562200000000001</v>
    <v>100.8</v>
    <v>101.63500000000001</v>
    <v>116900000</v>
    <v>EMN</v>
    <v>EASTMAN CHEMICAL COMPANY (XNYS:EMN)</v>
    <v>112439</v>
    <v>888934</v>
    <v>1993</v>
  </rv>
  <rv s="2">
    <v>1378</v>
  </rv>
  <rv s="0">
    <v>https://www.bing.com/financeapi/forcetrigger?t=a1q9c7&amp;q=XNYS%3aCPT&amp;form=skydnc</v>
    <v>Learn more on Bing</v>
  </rv>
  <rv s="11">
    <v>en-US</v>
    <v>a1q9c7</v>
    <v>268435456</v>
    <v>1</v>
    <v>Powered by Refinitiv</v>
    <v>23</v>
    <v>CAMDEN PROPERTY TRUST (XNYS:CPT)</v>
    <v>2</v>
    <v>24</v>
    <v>Finance</v>
    <v>4</v>
    <v>124.44</v>
    <v>82.81</v>
    <v>0.91379999999999995</v>
    <v>0.35499999999999998</v>
    <v>2.8960000000000001E-3</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124.44</v>
    <v>Residential &amp; Commercial REIT</v>
    <v>Stock</v>
    <v>45530.686828182814</v>
    <v>1380</v>
    <v>122.91</v>
    <v>13111294129</v>
    <v>CAMDEN PROPERTY TRUST</v>
    <v>CAMDEN PROPERTY TRUST</v>
    <v>123.57</v>
    <v>34.089599999999997</v>
    <v>122.6</v>
    <v>122.955</v>
    <v>106634900</v>
    <v>CPT</v>
    <v>CAMDEN PROPERTY TRUST (XNYS:CPT)</v>
    <v>220294</v>
    <v>906395</v>
  </rv>
  <rv s="2">
    <v>1381</v>
  </rv>
  <rv s="0">
    <v>https://www.bing.com/financeapi/forcetrigger?t=a1n977&amp;q=XNYS%3aALB&amp;form=skydnc</v>
    <v>Learn more on Bing</v>
  </rv>
  <rv s="6">
    <v>en-US</v>
    <v>a1n977</v>
    <v>268435456</v>
    <v>1</v>
    <v>Powered by Refinitiv</v>
    <v>10</v>
    <v>ALBEMARLE CORPORATION (XNYS:ALB)</v>
    <v>2</v>
    <v>13</v>
    <v>Finance</v>
    <v>4</v>
    <v>203.62</v>
    <v>71.97</v>
    <v>1.5481</v>
    <v>-1.53</v>
    <v>-1.6906000000000001E-2</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91.68</v>
    <v>Chemicals</v>
    <v>Stock</v>
    <v>45530.68689552031</v>
    <v>1383</v>
    <v>88.67</v>
    <v>10636760000</v>
    <v>ALBEMARLE CORPORATION</v>
    <v>ALBEMARLE CORPORATION</v>
    <v>91.32</v>
    <v>90.5</v>
    <v>88.97</v>
    <v>117533200</v>
    <v>ALB</v>
    <v>ALBEMARLE CORPORATION (XNYS:ALB)</v>
    <v>995130</v>
    <v>3435041</v>
    <v>1993</v>
  </rv>
  <rv s="2">
    <v>1384</v>
  </rv>
  <rv s="0">
    <v>https://www.bing.com/financeapi/forcetrigger?t=a24v8m&amp;q=XNYS%3aUHS&amp;form=skydnc</v>
    <v>Learn more on Bing</v>
  </rv>
  <rv s="1">
    <v>en-US</v>
    <v>a24v8m</v>
    <v>268435456</v>
    <v>1</v>
    <v>Powered by Refinitiv</v>
    <v>0</v>
    <v>UNIVERSAL HEALTH SERVICES, INC. (XNYS:UHS)</v>
    <v>2</v>
    <v>3</v>
    <v>Finance</v>
    <v>4</v>
    <v>235.2099</v>
    <v>119.9</v>
    <v>1.2797000000000001</v>
    <v>0.84</v>
    <v>3.6030000000000003E-3</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73350</v>
    <v>New York Stock Exchange</v>
    <v>XNYS</v>
    <v>XNYS</v>
    <v>367 S GULPH RD, KING OF PRUSSIA, PA, 19406 US</v>
    <v>235.2099</v>
    <v>Healthcare Providers &amp; Services</v>
    <v>Stock</v>
    <v>45530.686832742969</v>
    <v>1386</v>
    <v>231.5301</v>
    <v>15396250000</v>
    <v>UNIVERSAL HEALTH SERVICES, INC.</v>
    <v>UNIVERSAL HEALTH SERVICES, INC.</v>
    <v>233.51</v>
    <v>17.095199999999998</v>
    <v>233.14</v>
    <v>233.98</v>
    <v>66038670</v>
    <v>UHS</v>
    <v>UNIVERSAL HEALTH SERVICES, INC. (XNYS:UHS)</v>
    <v>87793</v>
    <v>846494</v>
    <v>1979</v>
  </rv>
  <rv s="2">
    <v>1387</v>
  </rv>
  <rv s="0">
    <v>https://www.bing.com/financeapi/forcetrigger?t=a25pm7&amp;q=XNAS%3aWBA&amp;form=skydnc</v>
    <v>Learn more on Bing</v>
  </rv>
  <rv s="1">
    <v>en-US</v>
    <v>a25pm7</v>
    <v>268435456</v>
    <v>1</v>
    <v>Powered by Refinitiv</v>
    <v>0</v>
    <v>WALGREENS BOOTS ALLIANCE, INC. (XNAS:WBA)</v>
    <v>2</v>
    <v>3</v>
    <v>Finance</v>
    <v>4</v>
    <v>27.05</v>
    <v>10.02</v>
    <v>0.69330000000000003</v>
    <v>4.4999999999999998E-2</v>
    <v>4.3690000000000005E-3</v>
    <v>USD</v>
    <v>Walgreens Boots Alliance, Inc. is an integrated healthcare, pharmacy and retailing company. Its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the Benavides brand in Mexico and the Ahumada brand in Chile. The U.S. Healthcare segment is a consumer-centric, technology-enabled healthcare business that engages consumers through a personalized, omni-channel experience across the care journey.</v>
    <v>206000</v>
    <v>Nasdaq Stock Market</v>
    <v>XNAS</v>
    <v>XNAS</v>
    <v>108 Wilmot Rd, DEERFIELD, IL, 60015 US</v>
    <v>10.6</v>
    <v>Food &amp; Drug Retailing</v>
    <v>Stock</v>
    <v>45530.686833182815</v>
    <v>1389</v>
    <v>10.275</v>
    <v>8930579875</v>
    <v>WALGREENS BOOTS ALLIANCE, INC.</v>
    <v>WALGREENS BOOTS ALLIANCE, INC.</v>
    <v>10.35</v>
    <v>0</v>
    <v>10.3</v>
    <v>10.345000000000001</v>
    <v>863275000</v>
    <v>WBA</v>
    <v>WALGREENS BOOTS ALLIANCE, INC. (XNAS:WBA)</v>
    <v>7096687</v>
    <v>14215802</v>
    <v>2014</v>
  </rv>
  <rv s="2">
    <v>1390</v>
  </rv>
  <rv s="0">
    <v>https://www.bing.com/financeapi/forcetrigger?t=a2319c&amp;q=XNYS%3aSJM&amp;form=skydnc</v>
    <v>Learn more on Bing</v>
  </rv>
  <rv s="1">
    <v>en-US</v>
    <v>a2319c</v>
    <v>268435456</v>
    <v>1</v>
    <v>Powered by Refinitiv</v>
    <v>0</v>
    <v>THE J. M. SMUCKER COMPANY (XNYS:SJM)</v>
    <v>2</v>
    <v>3</v>
    <v>Finance</v>
    <v>4</v>
    <v>147.47499999999999</v>
    <v>105.69</v>
    <v>0.2374</v>
    <v>-0.43</v>
    <v>-3.5230000000000001E-3</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and Voortman branded products on all channels.</v>
    <v>9000</v>
    <v>New York Stock Exchange</v>
    <v>XNYS</v>
    <v>XNYS</v>
    <v>One Strawberry Lane, ORRVILLE, OH, 44667-1241 US</v>
    <v>122.59</v>
    <v>Food &amp; Tobacco</v>
    <v>Stock</v>
    <v>45530.686921515626</v>
    <v>1392</v>
    <v>121.58</v>
    <v>12943377935</v>
    <v>THE J. M. SMUCKER COMPANY</v>
    <v>THE J. M. SMUCKER COMPANY</v>
    <v>122.18</v>
    <v>17.055099999999999</v>
    <v>122.04</v>
    <v>121.61</v>
    <v>106433500</v>
    <v>SJM</v>
    <v>THE J. M. SMUCKER COMPANY (XNYS:SJM)</v>
    <v>224461</v>
    <v>1009266</v>
    <v>1921</v>
  </rv>
  <rv s="2">
    <v>1393</v>
  </rv>
  <rv s="0">
    <v>https://www.bing.com/financeapi/forcetrigger?t=a1vjbh&amp;q=XNAS%3aINCY&amp;form=skydnc</v>
    <v>Learn more on Bing</v>
  </rv>
  <rv s="1">
    <v>en-US</v>
    <v>a1vjbh</v>
    <v>268435456</v>
    <v>1</v>
    <v>Powered by Refinitiv</v>
    <v>0</v>
    <v>INCYTE CORPORATION (XNAS:INCY)</v>
    <v>2</v>
    <v>3</v>
    <v>Finance</v>
    <v>4</v>
    <v>70.36</v>
    <v>50.27</v>
    <v>0.73109999999999997</v>
    <v>0.86</v>
    <v>1.3408E-2</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2524</v>
    <v>Nasdaq Stock Market</v>
    <v>XNAS</v>
    <v>XNAS</v>
    <v>1801 Augustine Cut-Off, WILMINGTON, DE, 19803 US</v>
    <v>65.2</v>
    <v>Pharmaceuticals</v>
    <v>Stock</v>
    <v>45530.686792685156</v>
    <v>1395</v>
    <v>63.940100000000001</v>
    <v>12518870000</v>
    <v>INCYTE CORPORATION</v>
    <v>INCYTE CORPORATION</v>
    <v>64.260000000000005</v>
    <v>181.3914</v>
    <v>64.14</v>
    <v>65</v>
    <v>192598000</v>
    <v>INCY</v>
    <v>INCYTE CORPORATION (XNAS:INCY)</v>
    <v>343778</v>
    <v>2080553</v>
    <v>1991</v>
  </rv>
  <rv s="2">
    <v>1396</v>
  </rv>
  <rv s="0">
    <v>https://www.bing.com/financeapi/forcetrigger?t=a1vp4c&amp;q=XNYS%3aIPG&amp;form=skydnc</v>
    <v>Learn more on Bing</v>
  </rv>
  <rv s="1">
    <v>en-US</v>
    <v>a1vp4c</v>
    <v>268435456</v>
    <v>1</v>
    <v>Powered by Refinitiv</v>
    <v>0</v>
    <v>THE INTERPUBLIC GROUP OF COMPANIES, INC. (XNYS:IPG)</v>
    <v>2</v>
    <v>3</v>
    <v>Finance</v>
    <v>4</v>
    <v>35.17</v>
    <v>27.2</v>
    <v>1.0860000000000001</v>
    <v>0.31</v>
    <v>9.6270000000000001E-3</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57400</v>
    <v>New York Stock Exchange</v>
    <v>XNYS</v>
    <v>XNYS</v>
    <v>909 Third Avenue, NEW YORK, NY, 10022 US</v>
    <v>32.729999999999997</v>
    <v>Media &amp; Publishing</v>
    <v>Stock</v>
    <v>45530.686848135934</v>
    <v>1398</v>
    <v>32.229999999999997</v>
    <v>12210450406</v>
    <v>THE INTERPUBLIC GROUP OF COMPANIES, INC.</v>
    <v>THE INTERPUBLIC GROUP OF COMPANIES, INC.</v>
    <v>32.35</v>
    <v>11.935600000000001</v>
    <v>32.200000000000003</v>
    <v>32.51</v>
    <v>375590600</v>
    <v>IPG</v>
    <v>THE INTERPUBLIC GROUP OF COMPANIES, INC. (XNYS:IPG)</v>
    <v>680799</v>
    <v>4100237</v>
    <v>1930</v>
  </rv>
  <rv s="2">
    <v>1399</v>
  </rv>
  <rv s="0">
    <v>https://www.bing.com/financeapi/forcetrigger?t=a1yism&amp;q=XNYS%3aNI&amp;form=skydnc</v>
    <v>Learn more on Bing</v>
  </rv>
  <rv s="1">
    <v>en-US</v>
    <v>a1yism</v>
    <v>268435456</v>
    <v>1</v>
    <v>Powered by Refinitiv</v>
    <v>0</v>
    <v>NISOURCE INC. (XNYS:NI)</v>
    <v>2</v>
    <v>3</v>
    <v>Finance</v>
    <v>4</v>
    <v>33.01</v>
    <v>22.86</v>
    <v>0.50309999999999999</v>
    <v>0.155</v>
    <v>4.7520000000000001E-3</v>
    <v>USD</v>
    <v>NiSource Inc. is an energy holding company. The Company operates through two segments: Gas Distribution Operations and Electric Operations. The Gas Distribution operations segment, through its wholly owned subsidiary NiSource Gas Distribution Group, Inc., provides natural gas to approximately 2.4 million residential, commercial and industrial customers in Ohio, Pennsylvania, Virginia, Kentucky, and Maryland. It operates approximately 55,000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0.5 million customers in 20 counties in the northern part of Indiana and is also engaged in wholesale electricity and transmission transactions. It has four owned projects: Rosewater, Indiana Crossroads Wind, Indiana Crossroads Solar, and Dunns Bridge I.</v>
    <v>7364</v>
    <v>New York Stock Exchange</v>
    <v>XNYS</v>
    <v>XNYS</v>
    <v>801 E 86th Ave, MERRILLVILLE, IN, 46410-6272 US</v>
    <v>33.01</v>
    <v>Multiline Utilities</v>
    <v>Stock</v>
    <v>45530.686878946093</v>
    <v>1401</v>
    <v>32.69</v>
    <v>14699908695</v>
    <v>NISOURCE INC.</v>
    <v>NISOURCE INC.</v>
    <v>32.74</v>
    <v>21.798100000000002</v>
    <v>32.619999999999997</v>
    <v>32.774999999999999</v>
    <v>448509800</v>
    <v>NI</v>
    <v>NISOURCE INC. (XNYS:NI)</v>
    <v>920978</v>
    <v>3981101</v>
    <v>2000</v>
  </rv>
  <rv s="2">
    <v>1402</v>
  </rv>
  <rv s="0">
    <v>https://www.bing.com/financeapi/forcetrigger?t=a1wksm&amp;q=XNYS%3aKMX&amp;form=skydnc</v>
    <v>Learn more on Bing</v>
  </rv>
  <rv s="1">
    <v>en-US</v>
    <v>a1wksm</v>
    <v>268435456</v>
    <v>1</v>
    <v>Powered by Refinitiv</v>
    <v>0</v>
    <v>CARMAX, INC. (XNYS:KMX)</v>
    <v>2</v>
    <v>3</v>
    <v>Finance</v>
    <v>4</v>
    <v>88.22</v>
    <v>59.66</v>
    <v>1.6906000000000001</v>
    <v>0.19</v>
    <v>2.215E-3</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86.82</v>
    <v>Specialty Retailers</v>
    <v>Stock</v>
    <v>45530.686502881254</v>
    <v>1404</v>
    <v>85.71</v>
    <v>13418103033</v>
    <v>CARMAX, INC.</v>
    <v>CARMAX, INC.</v>
    <v>86.49</v>
    <v>33.700000000000003</v>
    <v>85.78</v>
    <v>85.97</v>
    <v>156078900</v>
    <v>KMX</v>
    <v>CARMAX, INC. (XNYS:KMX)</v>
    <v>710627</v>
    <v>1452445</v>
    <v>1996</v>
  </rv>
  <rv s="2">
    <v>1405</v>
  </rv>
  <rv s="0">
    <v>https://www.bing.com/financeapi/forcetrigger?t=a1w8mw&amp;q=XNYS%3aJNPR&amp;form=skydnc</v>
    <v>Learn more on Bing</v>
  </rv>
  <rv s="1">
    <v>en-US</v>
    <v>a1w8mw</v>
    <v>268435456</v>
    <v>1</v>
    <v>Powered by Refinitiv</v>
    <v>0</v>
    <v>JUNIPER NETWORKS, INC. (XNYS:JNPR)</v>
    <v>2</v>
    <v>3</v>
    <v>Finance</v>
    <v>4</v>
    <v>39.034999999999997</v>
    <v>24.87</v>
    <v>0.92290000000000005</v>
    <v>2.5000000000000001E-2</v>
    <v>6.4429999999999999E-4</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38.89</v>
    <v>Communications &amp; Networking</v>
    <v>Stock</v>
    <v>45530.686889687502</v>
    <v>1407</v>
    <v>38.784999999999997</v>
    <v>12779772887</v>
    <v>JUNIPER NETWORKS, INC.</v>
    <v>JUNIPER NETWORKS, INC.</v>
    <v>38.835000000000001</v>
    <v>54.051000000000002</v>
    <v>38.799999999999997</v>
    <v>38.825000000000003</v>
    <v>329163500</v>
    <v>JNPR</v>
    <v>JUNIPER NETWORKS, INC. (XNYS:JNPR)</v>
    <v>583939</v>
    <v>2619752</v>
    <v>1997</v>
  </rv>
  <rv s="2">
    <v>1408</v>
  </rv>
  <rv s="0">
    <v>https://www.bing.com/financeapi/forcetrigger?t=a21mzr&amp;q=XNAS%3aQRVO&amp;form=skydnc</v>
    <v>Learn more on Bing</v>
  </rv>
  <rv s="1">
    <v>en-US</v>
    <v>a21mzr</v>
    <v>268435456</v>
    <v>1</v>
    <v>Powered by Refinitiv</v>
    <v>0</v>
    <v>QORVO, INC. (XNAS:QRVO)</v>
    <v>2</v>
    <v>3</v>
    <v>Finance</v>
    <v>4</v>
    <v>130.99</v>
    <v>80.62</v>
    <v>1.4585999999999999</v>
    <v>-2.33</v>
    <v>-2.017E-2</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115.24630000000001</v>
    <v>Semiconductors &amp; Semiconductor Equipment</v>
    <v>Stock</v>
    <v>45530.686915416409</v>
    <v>1410</v>
    <v>112.62</v>
    <v>10737356206</v>
    <v>QORVO, INC.</v>
    <v>QORVO, INC.</v>
    <v>115.2</v>
    <v>0</v>
    <v>115.52</v>
    <v>113.19</v>
    <v>94861350</v>
    <v>QRVO</v>
    <v>QORVO, INC. (XNAS:QRVO)</v>
    <v>177322</v>
    <v>1491353</v>
    <v>2013</v>
  </rv>
  <rv s="2">
    <v>1411</v>
  </rv>
  <rv s="0">
    <v>https://www.bing.com/financeapi/forcetrigger?t=a1xkhw&amp;q=XNYS%3aMGM&amp;form=skydnc</v>
    <v>Learn more on Bing</v>
  </rv>
  <rv s="1">
    <v>en-US</v>
    <v>a1xkhw</v>
    <v>268435456</v>
    <v>1</v>
    <v>Powered by Refinitiv</v>
    <v>0</v>
    <v>MGM RESORTS INTERNATIONAL (XNYS:MGM)</v>
    <v>2</v>
    <v>3</v>
    <v>Finance</v>
    <v>4</v>
    <v>48.244999999999997</v>
    <v>33.44</v>
    <v>2.2387000000000001</v>
    <v>-0.84</v>
    <v>-2.1577000000000002E-2</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39.31</v>
    <v>Hotels &amp; Entertainment Services</v>
    <v>Stock</v>
    <v>45530.686831365623</v>
    <v>1413</v>
    <v>37.96</v>
    <v>11825750000</v>
    <v>MGM RESORTS INTERNATIONAL</v>
    <v>MGM RESORTS INTERNATIONAL</v>
    <v>39.31</v>
    <v>14.6938</v>
    <v>38.93</v>
    <v>38.090000000000003</v>
    <v>303769700</v>
    <v>MGM</v>
    <v>MGM RESORTS INTERNATIONAL (XNYS:MGM)</v>
    <v>1416683</v>
    <v>5471156</v>
    <v>1986</v>
  </rv>
  <rv s="2">
    <v>1414</v>
  </rv>
  <rv s="0">
    <v>https://www.bing.com/financeapi/forcetrigger?t=a1wy1h&amp;q=XNAS%3aLKQ&amp;form=skydnc</v>
    <v>Learn more on Bing</v>
  </rv>
  <rv s="1">
    <v>en-US</v>
    <v>a1wy1h</v>
    <v>268435456</v>
    <v>1</v>
    <v>Powered by Refinitiv</v>
    <v>0</v>
    <v>LKQ CORPORATION (XNAS:LKQ)</v>
    <v>2</v>
    <v>3</v>
    <v>Finance</v>
    <v>4</v>
    <v>54.07</v>
    <v>35.57</v>
    <v>1.2907</v>
    <v>1.7899999999999999E-2</v>
    <v>4.1990000000000001E-4</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43.17</v>
    <v>Automobiles &amp; Auto Parts</v>
    <v>Stock</v>
    <v>45530.686852916406</v>
    <v>1416</v>
    <v>42.5</v>
    <v>11227319827</v>
    <v>LKQ CORPORATION</v>
    <v>LKQ CORPORATION</v>
    <v>42.84</v>
    <v>15.536799999999999</v>
    <v>42.63</v>
    <v>42.6479</v>
    <v>263256100</v>
    <v>LKQ</v>
    <v>LKQ CORPORATION (XNAS:LKQ)</v>
    <v>399678</v>
    <v>1939904</v>
    <v>1998</v>
  </rv>
  <rv s="2">
    <v>1417</v>
  </rv>
  <rv s="0">
    <v>https://www.bing.com/financeapi/forcetrigger?t=a1qbxm&amp;q=XNYS%3aCRL&amp;form=skydnc</v>
    <v>Learn more on Bing</v>
  </rv>
  <rv s="1">
    <v>en-US</v>
    <v>a1qbxm</v>
    <v>268435456</v>
    <v>1</v>
    <v>Powered by Refinitiv</v>
    <v>0</v>
    <v>CHARLES RIVER LABORATORIES INTERNATIONAL, INC. (XNYS:CRL)</v>
    <v>2</v>
    <v>3</v>
    <v>Finance</v>
    <v>4</v>
    <v>275</v>
    <v>161.65</v>
    <v>1.3695999999999999</v>
    <v>-1.08</v>
    <v>-5.2610000000000001E-3</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206.3296</v>
    <v>Biotechnology &amp; Medical Research</v>
    <v>Stock</v>
    <v>45530.686477476564</v>
    <v>1419</v>
    <v>203.76</v>
    <v>10542478758</v>
    <v>CHARLES RIVER LABORATORIES INTERNATIONAL, INC.</v>
    <v>CHARLES RIVER LABORATORIES INTERNATIONAL, INC.</v>
    <v>205.33</v>
    <v>24.569500000000001</v>
    <v>205.27</v>
    <v>204.19</v>
    <v>51630730</v>
    <v>CRL</v>
    <v>CHARLES RIVER LABORATORIES INTERNATIONAL, INC. (XNYS:CRL)</v>
    <v>121419</v>
    <v>898725</v>
    <v>1994</v>
  </rv>
  <rv s="2">
    <v>1420</v>
  </rv>
  <rv s="0">
    <v>https://www.bing.com/financeapi/forcetrigger?t=a1nkm7&amp;q=XNYS%3aAOS&amp;form=skydnc</v>
    <v>Learn more on Bing</v>
  </rv>
  <rv s="1">
    <v>en-US</v>
    <v>a1nkm7</v>
    <v>268435456</v>
    <v>1</v>
    <v>Powered by Refinitiv</v>
    <v>0</v>
    <v>A. O. SMITH CORPORATION (XNYS:AOS)</v>
    <v>2</v>
    <v>3</v>
    <v>Finance</v>
    <v>4</v>
    <v>92.444999999999993</v>
    <v>64.14</v>
    <v>1.1468</v>
    <v>-0.14000000000000001</v>
    <v>-1.696E-3</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83.19</v>
    <v>Machinery, Equipment &amp; Components</v>
    <v>Stock</v>
    <v>45530.686906527342</v>
    <v>1422</v>
    <v>82.12</v>
    <v>9884621600</v>
    <v>A. O. SMITH CORPORATION</v>
    <v>A. O. SMITH CORPORATION</v>
    <v>83.05</v>
    <v>21.308700000000002</v>
    <v>82.54</v>
    <v>82.4</v>
    <v>119959000</v>
    <v>AOS</v>
    <v>A. O. SMITH CORPORATION (XNYS:AOS)</v>
    <v>141365</v>
    <v>1040072</v>
    <v>1986</v>
  </rv>
  <rv s="2">
    <v>1423</v>
  </rv>
  <rv s="0">
    <v>https://www.bing.com/financeapi/forcetrigger?t=a1yx9c&amp;q=XNAS%3aNWSA&amp;form=skydnc</v>
    <v>Learn more on Bing</v>
  </rv>
  <rv s="1">
    <v>en-US</v>
    <v>a1yx9c</v>
    <v>268435456</v>
    <v>1</v>
    <v>Powered by Refinitiv</v>
    <v>0</v>
    <v>NEWS CORPORATION (XNAS:NWSA)</v>
    <v>2</v>
    <v>3</v>
    <v>Finance</v>
    <v>4</v>
    <v>28.62</v>
    <v>19.25</v>
    <v>1.3573</v>
    <v>0.08</v>
    <v>2.843E-3</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and The News Media, which consists of News Corp Australia, News UK and the New York Post and includes, among other publications, The Australian and The Daily Telegraph.</v>
    <v>23900</v>
    <v>Nasdaq Stock Market</v>
    <v>XNAS</v>
    <v>XNAS</v>
    <v>1211 Avenue of the Americas, NEW YORK, NY, 10036 US</v>
    <v>28.46</v>
    <v>Media &amp; Publishing</v>
    <v>Stock</v>
    <v>45530.686653147655</v>
    <v>1425</v>
    <v>28.16</v>
    <v>16201650000</v>
    <v>NEWS CORPORATION</v>
    <v>NEWS CORPORATION</v>
    <v>28.21</v>
    <v>60.963200000000001</v>
    <v>28.14</v>
    <v>28.22</v>
    <v>568584700</v>
    <v>NWSA</v>
    <v>NEWS CORPORATION (XNAS:NWSA)</v>
    <v>374190</v>
    <v>2734259</v>
    <v>2012</v>
  </rv>
  <rv s="2">
    <v>1426</v>
  </rv>
  <rv s="0">
    <v>https://www.bing.com/financeapi/forcetrigger?t=a1naqh&amp;q=XNYS%3aALLE&amp;form=skydnc</v>
    <v>Learn more on Bing</v>
  </rv>
  <rv s="1">
    <v>en-US</v>
    <v>a1naqh</v>
    <v>268435456</v>
    <v>1</v>
    <v>Powered by Refinitiv</v>
    <v>0</v>
    <v>ALLEGION PUBLIC LIMITED COMPANY (XNYS:ALLE)</v>
    <v>2</v>
    <v>3</v>
    <v>Finance</v>
    <v>4</v>
    <v>141.9915</v>
    <v>95.94</v>
    <v>1.1246</v>
    <v>0.81</v>
    <v>5.9119999999999997E-3</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doors, and others. Its brands include CISA, Interflex, LCN, Schlage, Boss Door Controls, and others.</v>
    <v>12200</v>
    <v>New York Stock Exchange</v>
    <v>XNYS</v>
    <v>XNYS</v>
    <v>Block D, Iveagh Court, Harcourt Road, DUBLIN, DUBLIN, 00000 IE</v>
    <v>138.59</v>
    <v>Communications &amp; Networking</v>
    <v>Stock</v>
    <v>45530.686807568753</v>
    <v>1428</v>
    <v>136.94</v>
    <v>12007122082</v>
    <v>ALLEGION PUBLIC LIMITED COMPANY</v>
    <v>ALLEGION PUBLIC LIMITED COMPANY</v>
    <v>138.1</v>
    <v>21.762799999999999</v>
    <v>137</v>
    <v>137.81</v>
    <v>87128090</v>
    <v>ALLE</v>
    <v>ALLEGION PUBLIC LIMITED COMPANY (XNYS:ALLE)</v>
    <v>104104</v>
    <v>745864</v>
    <v>2013</v>
  </rv>
  <rv s="2">
    <v>1429</v>
  </rv>
  <rv s="0">
    <v>https://www.bing.com/financeapi/forcetrigger?t=a21ua2&amp;q=XNAS%3aREG&amp;form=skydnc</v>
    <v>Learn more on Bing</v>
  </rv>
  <rv s="1">
    <v>en-US</v>
    <v>a21ua2</v>
    <v>268435456</v>
    <v>1</v>
    <v>Powered by Refinitiv</v>
    <v>0</v>
    <v>REGENCY CENTERS CORPORATION (XNAS:REG)</v>
    <v>2</v>
    <v>3</v>
    <v>Finance</v>
    <v>4</v>
    <v>71.97</v>
    <v>56.29</v>
    <v>1.2185999999999999</v>
    <v>-0.27</v>
    <v>-3.7799999999999999E-3</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The Company's portfolio comprises approximately 483 properties, encompassing more than 61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others.</v>
    <v>492</v>
    <v>Nasdaq Stock Market</v>
    <v>XNAS</v>
    <v>XNAS</v>
    <v>SUITE 114, ONE INDEPENDENT DRIVE, JACKSONVILLE, FL, 32202 US</v>
    <v>71.97</v>
    <v>Residential &amp; Commercial REIT</v>
    <v>Stock</v>
    <v>45530.686788367966</v>
    <v>1431</v>
    <v>71.06</v>
    <v>12913490205</v>
    <v>REGENCY CENTERS CORPORATION</v>
    <v>REGENCY CENTERS CORPORATION</v>
    <v>71.97</v>
    <v>34.2181</v>
    <v>71.42</v>
    <v>71.150000000000006</v>
    <v>181496700</v>
    <v>REG</v>
    <v>REGENCY CENTERS CORPORATION (XNAS:REG)</v>
    <v>168879</v>
    <v>1047103</v>
    <v>1993</v>
  </rv>
  <rv s="2">
    <v>1432</v>
  </rv>
  <rv s="0">
    <v>https://www.bing.com/financeapi/forcetrigger?t=a1stjc&amp;q=XNAS%3aFFIV&amp;form=skydnc</v>
    <v>Learn more on Bing</v>
  </rv>
  <rv s="1">
    <v>en-US</v>
    <v>a1stjc</v>
    <v>268435456</v>
    <v>1</v>
    <v>Powered by Refinitiv</v>
    <v>0</v>
    <v>F5, INC. (XNAS:FFIV)</v>
    <v>2</v>
    <v>3</v>
    <v>Finance</v>
    <v>4</v>
    <v>205.92</v>
    <v>145.44999999999999</v>
    <v>1.0590999999999999</v>
    <v>1.42</v>
    <v>7.1349999999999998E-3</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6524</v>
    <v>Nasdaq Stock Market</v>
    <v>XNAS</v>
    <v>XNAS</v>
    <v>801 5Th Avenue, SEATTLE, WA, 98104 US</v>
    <v>201.16499999999999</v>
    <v>Software &amp; IT Services</v>
    <v>Stock</v>
    <v>45530.686623726564</v>
    <v>1434</v>
    <v>198.6</v>
    <v>11681952313</v>
    <v>F5, INC.</v>
    <v>F5, INC.</v>
    <v>199.56</v>
    <v>21.6252</v>
    <v>199.01</v>
    <v>200.43</v>
    <v>58284450</v>
    <v>FFIV</v>
    <v>F5, INC. (XNAS:FFIV)</v>
    <v>115415</v>
    <v>601751</v>
    <v>1996</v>
  </rv>
  <rv s="2">
    <v>1435</v>
  </rv>
  <rv s="0">
    <v>https://www.bing.com/financeapi/forcetrigger?t=a1pnu2&amp;q=XNAS%3aCHRW&amp;form=skydnc</v>
    <v>Learn more on Bing</v>
  </rv>
  <rv s="1">
    <v>en-US</v>
    <v>a1pnu2</v>
    <v>268435456</v>
    <v>1</v>
    <v>Powered by Refinitiv</v>
    <v>0</v>
    <v>C.H. ROBINSON WORLDWIDE, INC. (XNAS:CHRW)</v>
    <v>2</v>
    <v>3</v>
    <v>Finance</v>
    <v>4</v>
    <v>105.41</v>
    <v>65</v>
    <v>0.82150000000000001</v>
    <v>0.25</v>
    <v>2.4560000000000003E-3</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14731</v>
    <v>Nasdaq Stock Market</v>
    <v>XNAS</v>
    <v>XNAS</v>
    <v>14701 Charlson Rd, EDEN PRAIRIE, MN, 55347 US</v>
    <v>102.48</v>
    <v>Freight &amp; Logistics Services</v>
    <v>Stock</v>
    <v>45530.686753471877</v>
    <v>1437</v>
    <v>101.605</v>
    <v>11967577728</v>
    <v>C.H. ROBINSON WORLDWIDE, INC.</v>
    <v>C.H. ROBINSON WORLDWIDE, INC.</v>
    <v>102.39</v>
    <v>36.7044</v>
    <v>101.79</v>
    <v>102.04</v>
    <v>117283200</v>
    <v>CHRW</v>
    <v>C.H. ROBINSON WORLDWIDE, INC. (XNAS:CHRW)</v>
    <v>137091</v>
    <v>1444362</v>
    <v>1997</v>
  </rv>
  <rv s="2">
    <v>1438</v>
  </rv>
  <rv s="0">
    <v>https://www.bing.com/financeapi/forcetrigger?t=a1qh3m&amp;q=XNYS%3aCTLT&amp;form=skydnc</v>
    <v>Learn more on Bing</v>
  </rv>
  <rv s="6">
    <v>en-US</v>
    <v>a1qh3m</v>
    <v>268435456</v>
    <v>1</v>
    <v>Powered by Refinitiv</v>
    <v>10</v>
    <v>Catalent, Inc. (XNYS:CTLT)</v>
    <v>2</v>
    <v>13</v>
    <v>Finance</v>
    <v>4</v>
    <v>60.2</v>
    <v>31.8001</v>
    <v>1.1518999999999999</v>
    <v>-0.125</v>
    <v>-2.1029999999999998E-3</v>
    <v>USD</v>
    <v>Catalent, Inc. is engaged in enabling pharma, biotech, and consumer health partners to optimize product development, launch, and full life-cycle supply for patients around the world. The Company’s Biologics segment provides development and manufacturing of biologic proteins; cell, gene, and other nucleic acid therapies; plasmid DNA; induced pluripotent stem cells (iPSCs); oncolytic viruses, and vaccines. It also provides formulation, development, and manufacturing for parenteral dose forms, including vials, prefilled syringes, and cartridges, and analytical development and testing services for large molecules. The Company’s Pharma and Consumer Health segment comprises capabilities for complex oral solids, softgel formulations, Zydis fast-dissolve technologies, and gummy, soft chew, and lozenge dosage forms; formulation, development, and manufacturing platforms for oral, nasal, inhaled, and topical dose forms, and clinical trial development and supply services.</v>
    <v>17800</v>
    <v>New York Stock Exchange</v>
    <v>XNYS</v>
    <v>XNYS</v>
    <v>14 Schoolhouse Rd, SOMERSET, NJ, 08873-1213 US</v>
    <v>59.56</v>
    <v>Pharmaceuticals</v>
    <v>Stock</v>
    <v>45530.686814745313</v>
    <v>1440</v>
    <v>59.255000000000003</v>
    <v>10734816837</v>
    <v>Catalent, Inc.</v>
    <v>Catalent, Inc.</v>
    <v>59.545000000000002</v>
    <v>59.44</v>
    <v>59.314999999999998</v>
    <v>180979800</v>
    <v>CTLT</v>
    <v>Catalent, Inc. (XNYS:CTLT)</v>
    <v>533043</v>
    <v>1963429</v>
    <v>2007</v>
  </rv>
  <rv s="2">
    <v>1441</v>
  </rv>
  <rv s="0">
    <v>https://www.bing.com/financeapi/forcetrigger?t=a1uozr&amp;q=XNYS%3aHII&amp;form=skydnc</v>
    <v>Learn more on Bing</v>
  </rv>
  <rv s="1">
    <v>en-US</v>
    <v>a1uozr</v>
    <v>268435456</v>
    <v>1</v>
    <v>Powered by Refinitiv</v>
    <v>0</v>
    <v>HUNTINGTON INGALLS INDUSTRIES, INC. (XNYS:HII)</v>
    <v>2</v>
    <v>3</v>
    <v>Finance</v>
    <v>4</v>
    <v>299.5</v>
    <v>199.11</v>
    <v>0.51319999999999999</v>
    <v>0.7</v>
    <v>2.5500000000000002E-3</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277.98500000000001</v>
    <v>Aerospace &amp; Defense</v>
    <v>Stock</v>
    <v>45530.686841967188</v>
    <v>1443</v>
    <v>274.19009999999997</v>
    <v>10792423448</v>
    <v>HUNTINGTON INGALLS INDUSTRIES, INC.</v>
    <v>HUNTINGTON INGALLS INDUSTRIES, INC.</v>
    <v>276.82</v>
    <v>14.5456</v>
    <v>274.51</v>
    <v>275.20999999999998</v>
    <v>39215230</v>
    <v>HII</v>
    <v>HUNTINGTON INGALLS INDUSTRIES, INC. (XNYS:HII)</v>
    <v>33134</v>
    <v>284500</v>
    <v>2010</v>
  </rv>
  <rv s="2">
    <v>1444</v>
  </rv>
  <rv s="0">
    <v>https://www.bing.com/financeapi/forcetrigger?t=a1s2fr&amp;q=XNYS%3aEPAM&amp;form=skydnc</v>
    <v>Learn more on Bing</v>
  </rv>
  <rv s="1">
    <v>en-US</v>
    <v>a1s2fr</v>
    <v>268435456</v>
    <v>1</v>
    <v>Powered by Refinitiv</v>
    <v>0</v>
    <v>EPAM SYSTEMS, INC. (XNYS:EPAM)</v>
    <v>2</v>
    <v>3</v>
    <v>Finance</v>
    <v>4</v>
    <v>317.5</v>
    <v>169.43</v>
    <v>1.4498</v>
    <v>1.17</v>
    <v>5.8760000000000001E-3</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Europe, and Russia. It offers complex software product development services to address the constant need for innovation and agility among software and technology companies. It partners with global pharmaceutical, medical and scientific technology, biotechnology companies and retail pharmacies to deliver sophisticated scientific informatics and enterprise technology solutions. It also offers health data analytics.</v>
    <v>53150</v>
    <v>New York Stock Exchange</v>
    <v>XNYS</v>
    <v>XNYS</v>
    <v>SUITE 202, 41 UNIVERSITY DRIVE, NEWTOWN, PA, 18940 US</v>
    <v>201.93</v>
    <v>Software &amp; IT Services</v>
    <v>Stock</v>
    <v>45530.68686517344</v>
    <v>1446</v>
    <v>199.32</v>
    <v>11403585257</v>
    <v>EPAM SYSTEMS, INC.</v>
    <v>EPAM SYSTEMS, INC.</v>
    <v>199.96</v>
    <v>28.711500000000001</v>
    <v>199.12</v>
    <v>200.29</v>
    <v>56935370</v>
    <v>EPAM</v>
    <v>EPAM SYSTEMS, INC. (XNYS:EPAM)</v>
    <v>46899</v>
    <v>503199</v>
    <v>2002</v>
  </rv>
  <rv s="2">
    <v>1447</v>
  </rv>
  <rv s="0">
    <v>https://www.bing.com/financeapi/forcetrigger?t=a245u2&amp;q=XNYS%3aTFX&amp;form=skydnc</v>
    <v>Learn more on Bing</v>
  </rv>
  <rv s="1">
    <v>en-US</v>
    <v>a245u2</v>
    <v>268435456</v>
    <v>1</v>
    <v>Powered by Refinitiv</v>
    <v>0</v>
    <v>TELEFLEX INCORPORATED (XNYS:TFX)</v>
    <v>2</v>
    <v>3</v>
    <v>Finance</v>
    <v>4</v>
    <v>257.85000000000002</v>
    <v>177.63300000000001</v>
    <v>1.1517999999999999</v>
    <v>1.5249999999999999</v>
    <v>6.2909999999999997E-3</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245.285</v>
    <v>Healthcare Equipment &amp; Supplies</v>
    <v>Stock</v>
    <v>45530.68624876094</v>
    <v>1449</v>
    <v>242.36</v>
    <v>11493604923</v>
    <v>TELEFLEX INCORPORATED</v>
    <v>TELEFLEX INCORPORATED</v>
    <v>242.36</v>
    <v>43.325699999999998</v>
    <v>242.41</v>
    <v>243.935</v>
    <v>47117490</v>
    <v>TFX</v>
    <v>TELEFLEX INCORPORATED (XNYS:TFX)</v>
    <v>44714</v>
    <v>463569</v>
    <v>1943</v>
  </rv>
  <rv s="2">
    <v>1450</v>
  </rv>
  <rv s="0">
    <v>https://www.bing.com/financeapi/forcetrigger?t=a1wrf2&amp;q=XNYS%3aBBWI&amp;form=skydnc</v>
    <v>Learn more on Bing</v>
  </rv>
  <rv s="1">
    <v>en-US</v>
    <v>a1wrf2</v>
    <v>268435456</v>
    <v>1</v>
    <v>Powered by Refinitiv</v>
    <v>0</v>
    <v>BATH &amp; BODY WORKS, INC. (XNYS:BBWI)</v>
    <v>2</v>
    <v>3</v>
    <v>Finance</v>
    <v>4</v>
    <v>52.984999999999999</v>
    <v>27.3</v>
    <v>1.7890999999999999</v>
    <v>-0.8</v>
    <v>-2.2471999999999999E-2</v>
    <v>USD</v>
    <v>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v>
    <v>8981</v>
    <v>New York Stock Exchange</v>
    <v>XNYS</v>
    <v>XNYS</v>
    <v>THREE LIMITED PKWY, P O BOX 16000, COLUMBUS, OH, 43230 US</v>
    <v>36.15</v>
    <v>Specialty Retailers</v>
    <v>Stock</v>
    <v>45530.68682106406</v>
    <v>1452</v>
    <v>34.78</v>
    <v>7768452719</v>
    <v>BATH &amp; BODY WORKS, INC.</v>
    <v>BATH &amp; BODY WORKS, INC.</v>
    <v>35.734999999999999</v>
    <v>9.2114999999999991</v>
    <v>35.6</v>
    <v>34.799999999999997</v>
    <v>223231400</v>
    <v>BBWI</v>
    <v>BATH &amp; BODY WORKS, INC. (XNYS:BBWI)</v>
    <v>1345498</v>
    <v>3743731</v>
    <v>1982</v>
  </rv>
  <rv s="2">
    <v>1453</v>
  </rv>
  <rv s="0">
    <v>https://www.bing.com/financeapi/forcetrigger?t=a24fmw&amp;q=XNYS%3aTPR&amp;form=skydnc</v>
    <v>Learn more on Bing</v>
  </rv>
  <rv s="1">
    <v>en-US</v>
    <v>a24fmw</v>
    <v>268435456</v>
    <v>1</v>
    <v>Powered by Refinitiv</v>
    <v>0</v>
    <v>TAPESTRY, INC. (XNYS:TPR)</v>
    <v>2</v>
    <v>3</v>
    <v>Finance</v>
    <v>4</v>
    <v>48.8</v>
    <v>25.99</v>
    <v>1.56</v>
    <v>-0.77</v>
    <v>-1.8482999999999999E-2</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12500</v>
    <v>New York Stock Exchange</v>
    <v>XNYS</v>
    <v>XNYS</v>
    <v>10 Hudson Yards, NEW YORK, NY, 10001 US</v>
    <v>42</v>
    <v>Specialty Retailers</v>
    <v>Stock</v>
    <v>45530.686935844533</v>
    <v>1455</v>
    <v>40.74</v>
    <v>9413724423</v>
    <v>TAPESTRY, INC.</v>
    <v>TAPESTRY, INC.</v>
    <v>41.895000000000003</v>
    <v>11.8872</v>
    <v>41.66</v>
    <v>40.89</v>
    <v>230220700</v>
    <v>TPR</v>
    <v>TAPESTRY, INC. (XNYS:TPR)</v>
    <v>695771</v>
    <v>3096386</v>
    <v>2000</v>
  </rv>
  <rv s="2">
    <v>1456</v>
  </rv>
  <rv s="0">
    <v>https://www.bing.com/financeapi/forcetrigger?t=a23xz2&amp;q=XNYS%3aTAP&amp;form=skydnc</v>
    <v>Learn more on Bing</v>
  </rv>
  <rv s="1">
    <v>en-US</v>
    <v>a23xz2</v>
    <v>268435456</v>
    <v>1</v>
    <v>Powered by Refinitiv</v>
    <v>0</v>
    <v>MOLSON COORS BEVERAGE COMPANY (XNYS:TAP)</v>
    <v>2</v>
    <v>3</v>
    <v>Finance</v>
    <v>4</v>
    <v>69.180000000000007</v>
    <v>49.19</v>
    <v>0.8175</v>
    <v>0.06</v>
    <v>1.1150000000000001E-3</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nine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16500</v>
    <v>New York Stock Exchange</v>
    <v>XNYS</v>
    <v>XNYS</v>
    <v>P.O. Box 4030, Bc555, GOLDEN, CO, 80401 US</v>
    <v>54.414999999999999</v>
    <v>Beverages</v>
    <v>Stock</v>
    <v>45530.686891006248</v>
    <v>1458</v>
    <v>53.802</v>
    <v>10517960000</v>
    <v>MOLSON COORS BEVERAGE COMPANY</v>
    <v>MOLSON COORS BEVERAGE COMPANY</v>
    <v>54</v>
    <v>9.8716000000000008</v>
    <v>53.83</v>
    <v>53.89</v>
    <v>195190700</v>
    <v>TAP</v>
    <v>MOLSON COORS BEVERAGE COMPANY (XNYS:TAP)</v>
    <v>215407</v>
    <v>1855004</v>
    <v>2003</v>
  </rv>
  <rv s="2">
    <v>1459</v>
  </rv>
  <rv s="0">
    <v>https://www.bing.com/financeapi/forcetrigger?t=a1uw77&amp;q=XNAS%3aHSIC&amp;form=skydnc</v>
    <v>Learn more on Bing</v>
  </rv>
  <rv s="1">
    <v>en-US</v>
    <v>a1uw77</v>
    <v>268435456</v>
    <v>1</v>
    <v>Powered by Refinitiv</v>
    <v>0</v>
    <v>HENRY SCHEIN, INC. (XNAS:HSIC)</v>
    <v>2</v>
    <v>3</v>
    <v>Finance</v>
    <v>4</v>
    <v>82.63</v>
    <v>60.01</v>
    <v>0.86270000000000002</v>
    <v>0.59499999999999997</v>
    <v>8.4019999999999997E-3</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71.64</v>
    <v>Healthcare Equipment &amp; Supplies</v>
    <v>Stock</v>
    <v>45530.68684186328</v>
    <v>1461</v>
    <v>70.325000000000003</v>
    <v>9048837537</v>
    <v>HENRY SCHEIN, INC.</v>
    <v>HENRY SCHEIN, INC.</v>
    <v>70.75</v>
    <v>26.308599999999998</v>
    <v>70.819999999999993</v>
    <v>71.415000000000006</v>
    <v>126707800</v>
    <v>HSIC</v>
    <v>HENRY SCHEIN, INC. (XNAS:HSIC)</v>
    <v>254941</v>
    <v>2166572</v>
    <v>1992</v>
  </rv>
  <rv s="2">
    <v>1462</v>
  </rv>
  <rv s="0">
    <v>https://www.bing.com/financeapi/forcetrigger?t=a1xv4c&amp;q=XNYS%3aMOS&amp;form=skydnc</v>
    <v>Learn more on Bing</v>
  </rv>
  <rv s="1">
    <v>en-US</v>
    <v>a1xv4c</v>
    <v>268435456</v>
    <v>1</v>
    <v>Powered by Refinitiv</v>
    <v>0</v>
    <v>THE MOSAIC COMPANY (XNYS:MOS)</v>
    <v>2</v>
    <v>3</v>
    <v>Finance</v>
    <v>4</v>
    <v>40.67</v>
    <v>26.09</v>
    <v>1.3674999999999999</v>
    <v>0.39</v>
    <v>1.3675E-2</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29.23</v>
    <v>Chemicals</v>
    <v>Stock</v>
    <v>45530.686937789062</v>
    <v>1464</v>
    <v>28.63</v>
    <v>9211813016</v>
    <v>THE MOSAIC COMPANY</v>
    <v>THE MOSAIC COMPANY</v>
    <v>28.79</v>
    <v>38.549399999999999</v>
    <v>28.52</v>
    <v>28.91</v>
    <v>318637600</v>
    <v>MOS</v>
    <v>THE MOSAIC COMPANY (XNYS:MOS)</v>
    <v>925982</v>
    <v>3047587</v>
    <v>2004</v>
  </rv>
  <rv s="2">
    <v>1465</v>
  </rv>
  <rv s="0">
    <v>https://www.bing.com/financeapi/forcetrigger?t=a1q7jc&amp;q=XNYS%3aCPB&amp;form=skydnc</v>
    <v>Learn more on Bing</v>
  </rv>
  <rv s="1">
    <v>en-US</v>
    <v>a1q7jc</v>
    <v>268435456</v>
    <v>1</v>
    <v>Powered by Refinitiv</v>
    <v>0</v>
    <v>CAMPBELL SOUP COMPANY (XNAS:CPB)</v>
    <v>2</v>
    <v>3</v>
    <v>Finance</v>
    <v>4</v>
    <v>50.99</v>
    <v>37.94</v>
    <v>0.1764</v>
    <v>-0.38</v>
    <v>-7.4799999999999997E-3</v>
    <v>USD</v>
    <v>Campbell Soup Company is a manufacturer and marketer of branded food and beverage products. The Company's segments include Meals &amp; Beverages and Snacks. Its Meals &amp; Beverages segment consists of its soup, simple meals and beverages products in retail and foodservice in the United States and Canada. The segment includes the Campbell’s condensed and ready-to-serve soups; Swanson broth and stocks; Pacific Foods broth, soups and non-dairy beverages; Prego pasta sauces; Pace Mexican sauces; Campbell’s gravies, pasta, beans and dinner sauces; Swanson canned poultry; V8 juices and beverages, and Campbell’s tomato juice. Its Snacks segment consists of Pepperidge Farm cookies, crackers, fresh bakery and frozen products, including Goldfish crackers, Snyder’s of Hanover pretzels, Lance sandwich crackers, Cape Cod potato chips, Kettle Brand potato chips, Late July snacks, Snack Factory pretzel crisps, Pop Secret popcorn, and other snacking products in retail in the United States.</v>
    <v>14500</v>
    <v>Nasdaq Stock Market</v>
    <v>XNAS</v>
    <v>XNAS</v>
    <v>Campbell Pl, CAMDEN, NJ, 08103 US</v>
    <v>50.99</v>
    <v>Food &amp; Tobacco</v>
    <v>Stock</v>
    <v>45530.686886133597</v>
    <v>1467</v>
    <v>50.34</v>
    <v>15053087638</v>
    <v>CAMPBELL SOUP COMPANY</v>
    <v>CAMPBELL SOUP COMPANY</v>
    <v>50.93</v>
    <v>20.5974</v>
    <v>50.8</v>
    <v>50.42</v>
    <v>298553900</v>
    <v>CPB</v>
    <v>CAMPBELL SOUP COMPANY (XNAS:CPB)</v>
    <v>817865</v>
    <v>2236199</v>
    <v>1922</v>
  </rv>
  <rv s="2">
    <v>1468</v>
  </rv>
  <rv s="0">
    <v>https://www.bing.com/financeapi/forcetrigger?t=a1n7mw&amp;q=XNYS%3aAIZ&amp;form=skydnc</v>
    <v>Learn more on Bing</v>
  </rv>
  <rv s="1">
    <v>en-US</v>
    <v>a1n7mw</v>
    <v>268435456</v>
    <v>1</v>
    <v>Powered by Refinitiv</v>
    <v>0</v>
    <v>ASSURANT, INC. (XNYS:AIZ)</v>
    <v>2</v>
    <v>3</v>
    <v>Finance</v>
    <v>4</v>
    <v>194.745</v>
    <v>136.15</v>
    <v>0.56079999999999997</v>
    <v>-0.16</v>
    <v>-8.2899999999999998E-4</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13600</v>
    <v>New York Stock Exchange</v>
    <v>XNYS</v>
    <v>XNYS</v>
    <v>260 INTERSTATE NORTH CIRCLE S.E., ATLANTA, GA, 30339 US</v>
    <v>194.745</v>
    <v>Insurance</v>
    <v>Stock</v>
    <v>45530.686831411716</v>
    <v>1470</v>
    <v>192.61</v>
    <v>9988330191</v>
    <v>ASSURANT, INC.</v>
    <v>ASSURANT, INC.</v>
    <v>193.55</v>
    <v>12.873900000000001</v>
    <v>193.01</v>
    <v>192.85</v>
    <v>51793260</v>
    <v>AIZ</v>
    <v>ASSURANT, INC. (XNYS:AIZ)</v>
    <v>72642</v>
    <v>335857</v>
    <v>2003</v>
  </rv>
  <rv s="2">
    <v>1471</v>
  </rv>
  <rv s="0">
    <v>https://www.bing.com/financeapi/forcetrigger?t=a1uv7w&amp;q=XNYS%3aHRL&amp;form=skydnc</v>
    <v>Learn more on Bing</v>
  </rv>
  <rv s="1">
    <v>en-US</v>
    <v>a1uv7w</v>
    <v>268435456</v>
    <v>1</v>
    <v>Powered by Refinitiv</v>
    <v>0</v>
    <v>HORMEL FOODS CORPORATION (XNYS:HRL)</v>
    <v>2</v>
    <v>3</v>
    <v>Finance</v>
    <v>4</v>
    <v>40.119999999999997</v>
    <v>28.51</v>
    <v>0.2475</v>
    <v>0.44</v>
    <v>1.3802000000000002E-2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32.414999999999999</v>
    <v>Food &amp; Tobacco</v>
    <v>Stock</v>
    <v>45530.686818113281</v>
    <v>1473</v>
    <v>31.9</v>
    <v>17721230528</v>
    <v>HORMEL FOODS CORPORATION</v>
    <v>HORMEL FOODS CORPORATION</v>
    <v>32.034999999999997</v>
    <v>22.792000000000002</v>
    <v>31.88</v>
    <v>32.32</v>
    <v>548305400</v>
    <v>HRL</v>
    <v>HORMEL FOODS CORPORATION (XNYS:HRL)</v>
    <v>596966</v>
    <v>2028535</v>
    <v>1928</v>
  </rv>
  <rv s="2">
    <v>1474</v>
  </rv>
  <rv s="0">
    <v>https://www.bing.com/financeapi/forcetrigger?t=a1p2p2&amp;q=XNYS%3aBXP&amp;form=skydnc</v>
    <v>Learn more on Bing</v>
  </rv>
  <rv s="1">
    <v>en-US</v>
    <v>a1p2p2</v>
    <v>268435456</v>
    <v>1</v>
    <v>Powered by Refinitiv</v>
    <v>0</v>
    <v>BXP, INC. (XNYS:BXP)</v>
    <v>2</v>
    <v>3</v>
    <v>Finance</v>
    <v>4</v>
    <v>74.760000000000005</v>
    <v>50.64</v>
    <v>1.1970000000000001</v>
    <v>1.45</v>
    <v>1.983E-2</v>
    <v>USD</v>
    <v>BXP, Inc., formerly Boston Properties, Inc., is a fully integrated, self-administered and self-managed real estate investment trust (REIT) in the United States. The Company develops, owns and manages primarily workplaces. Its segments by geographic area include Boston, Los Angeles, New York, San Francisco, Seattle and Washington, DC. The Company's segments by property type include Premier Workplace, which includes office, life sciences and retail; Residential, and Hotel. It owns a portfolio of approximately 187 commercial real estate properties, aggregating approximately 53.5 million net rentable square feet, including 11 properties under construction/redevelopment. The Company's properties consist of approximately 165 office and life sciences properties, including seven properties under construction/redevelopment; 14 retail properties, including two properties under construction/redevelopment; seven residential properties, including two properties under construction, and one hotel.</v>
    <v>836</v>
    <v>New York Stock Exchange</v>
    <v>XNYS</v>
    <v>XNYS</v>
    <v>800 Boylston St Ste 1900, BOSTON, MA, 02199 US</v>
    <v>74.760000000000005</v>
    <v>Residential &amp; Commercial REIT</v>
    <v>Stock</v>
    <v>45530.686801006254</v>
    <v>1476</v>
    <v>73.2</v>
    <v>11777123465</v>
    <v>BXP, INC.</v>
    <v>BXP, INC.</v>
    <v>73.55</v>
    <v>68.704999999999998</v>
    <v>73.12</v>
    <v>74.569999999999993</v>
    <v>157933800</v>
    <v>BXP</v>
    <v>BXP, INC. (XNYS:BXP)</v>
    <v>614967</v>
    <v>1157063</v>
    <v>1997</v>
  </rv>
  <rv s="2">
    <v>1477</v>
  </rv>
  <rv s="0">
    <v>https://www.bing.com/financeapi/forcetrigger?t=a2655r&amp;q=XNAS%3aWYNN&amp;form=skydnc</v>
    <v>Learn more on Bing</v>
  </rv>
  <rv s="1">
    <v>en-US</v>
    <v>a2655r</v>
    <v>268435456</v>
    <v>1</v>
    <v>Powered by Refinitiv</v>
    <v>0</v>
    <v>WYNN RESORTS, LIMITED (XNAS:WYNN)</v>
    <v>2</v>
    <v>3</v>
    <v>Finance</v>
    <v>4</v>
    <v>110.38</v>
    <v>71.63</v>
    <v>1.8007</v>
    <v>-0.24</v>
    <v>-3.1019999999999997E-3</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14 food and beverage outlets, approximately 64,300 square feet of high-end, brand-name retail space, and over 31,000 square feet of meeting and convention space.</v>
    <v>27800</v>
    <v>Nasdaq Stock Market</v>
    <v>XNAS</v>
    <v>XNAS</v>
    <v>3131 Las Vegas Blvd S, LAS VEGAS, NV, 89109 US</v>
    <v>77.91</v>
    <v>Hotels &amp; Entertainment Services</v>
    <v>Stock</v>
    <v>45530.686831492967</v>
    <v>1479</v>
    <v>76.790099999999995</v>
    <v>8560782107</v>
    <v>WYNN RESORTS, LIMITED</v>
    <v>WYNN RESORTS, LIMITED</v>
    <v>77.650000000000006</v>
    <v>9.9488000000000003</v>
    <v>77.37</v>
    <v>77.13</v>
    <v>110991600</v>
    <v>WYNN</v>
    <v>WYNN RESORTS, LIMITED (XNAS:WYNN)</v>
    <v>402555</v>
    <v>2604493</v>
    <v>2002</v>
  </rv>
  <rv s="2">
    <v>1480</v>
  </rv>
  <rv s="0">
    <v>https://www.bing.com/financeapi/forcetrigger?t=a1u1z2&amp;q=XNYS%3aGNRC&amp;form=skydnc</v>
    <v>Learn more on Bing</v>
  </rv>
  <rv s="1">
    <v>en-US</v>
    <v>a1u1z2</v>
    <v>268435456</v>
    <v>1</v>
    <v>Powered by Refinitiv</v>
    <v>0</v>
    <v>GENERAC HOLDINGS INC. (XNYS:GNRC)</v>
    <v>2</v>
    <v>3</v>
    <v>Finance</v>
    <v>4</v>
    <v>169.57</v>
    <v>79.86</v>
    <v>1.3847</v>
    <v>-0.5</v>
    <v>-3.1879999999999999E-3</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158.25</v>
    <v>Machinery, Equipment &amp; Components</v>
    <v>Stock</v>
    <v>45530.686790253909</v>
    <v>1482</v>
    <v>155.97</v>
    <v>9404879335</v>
    <v>GENERAC HOLDINGS INC.</v>
    <v>GENERAC HOLDINGS INC.</v>
    <v>157.34</v>
    <v>40.154200000000003</v>
    <v>156.85</v>
    <v>156.35</v>
    <v>60152730</v>
    <v>GNRC</v>
    <v>GENERAC HOLDINGS INC. (XNYS:GNRC)</v>
    <v>170448</v>
    <v>914182</v>
    <v>2006</v>
  </rv>
  <rv s="2">
    <v>1483</v>
  </rv>
  <rv s="0">
    <v>https://www.bing.com/financeapi/forcetrigger?t=a1nkur&amp;q=XNAS%3aAPA&amp;form=skydnc</v>
    <v>Learn more on Bing</v>
  </rv>
  <rv s="1">
    <v>en-US</v>
    <v>a1nkur</v>
    <v>268435456</v>
    <v>1</v>
    <v>Powered by Refinitiv</v>
    <v>0</v>
    <v>APA CORPORATION (XNAS:APA)</v>
    <v>2</v>
    <v>3</v>
    <v>Finance</v>
    <v>4</v>
    <v>46.145000000000003</v>
    <v>26.81</v>
    <v>3.2494000000000001</v>
    <v>0.23499999999999999</v>
    <v>8.2540000000000009E-3</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29.11</v>
    <v>Oil &amp; Gas</v>
    <v>Stock</v>
    <v>45530.686858749999</v>
    <v>1485</v>
    <v>28.49</v>
    <v>10618117284</v>
    <v>APA CORPORATION</v>
    <v>APA CORPORATION</v>
    <v>29</v>
    <v>3.1377999999999999</v>
    <v>28.47</v>
    <v>28.704999999999998</v>
    <v>369904800</v>
    <v>APA</v>
    <v>APA CORPORATION (XNAS:APA)</v>
    <v>1538955</v>
    <v>5147067</v>
    <v>2021</v>
  </rv>
  <rv s="2">
    <v>1486</v>
  </rv>
  <rv s="0">
    <v>https://www.bing.com/financeapi/forcetrigger?t=a2139c&amp;q=XNYS%3aPNW&amp;form=skydnc</v>
    <v>Learn more on Bing</v>
  </rv>
  <rv s="1">
    <v>en-US</v>
    <v>a2139c</v>
    <v>268435456</v>
    <v>1</v>
    <v>Powered by Refinitiv</v>
    <v>0</v>
    <v>PINNACLE WEST CAPITAL CORPORATION (XNYS:PNW)</v>
    <v>2</v>
    <v>3</v>
    <v>Finance</v>
    <v>4</v>
    <v>89.39</v>
    <v>65.2</v>
    <v>0.51600000000000001</v>
    <v>0.255</v>
    <v>2.9289999999999997E-3</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81</v>
    <v>New York Stock Exchange</v>
    <v>XNYS</v>
    <v>XNYS</v>
    <v>400 North 5th Street, PHOENIX, AZ, 85004 US</v>
    <v>87.86</v>
    <v>Electrical Utilities &amp; IPPs</v>
    <v>Stock</v>
    <v>45530.686851180471</v>
    <v>1488</v>
    <v>87.04</v>
    <v>9915395353</v>
    <v>PINNACLE WEST CAPITAL CORPORATION</v>
    <v>PINNACLE WEST CAPITAL CORPORATION</v>
    <v>87.5</v>
    <v>16.108000000000001</v>
    <v>87.06</v>
    <v>87.314999999999998</v>
    <v>113558900</v>
    <v>PNW</v>
    <v>PINNACLE WEST CAPITAL CORPORATION (XNYS:PNW)</v>
    <v>149252</v>
    <v>827637</v>
    <v>1985</v>
  </rv>
  <rv s="2">
    <v>1489</v>
  </rv>
  <rv s="0">
    <v>https://www.bing.com/financeapi/forcetrigger?t=a1y2bh&amp;q=XNAS%3aMTCH&amp;form=skydnc</v>
    <v>Learn more on Bing</v>
  </rv>
  <rv s="1">
    <v>en-US</v>
    <v>a1y2bh</v>
    <v>268435456</v>
    <v>1</v>
    <v>Powered by Refinitiv</v>
    <v>0</v>
    <v>MATCH GROUP, INC. (XNAS:MTCH)</v>
    <v>2</v>
    <v>3</v>
    <v>Finance</v>
    <v>4</v>
    <v>47.81</v>
    <v>27.655000000000001</v>
    <v>1.3133999999999999</v>
    <v>0.185</v>
    <v>4.9569999999999996E-3</v>
    <v>USD</v>
    <v>Match Group, Inc., through its portfolio companies, provides digital technologies. The Company's portfolio of brands includes Tinder, Hinge, Match, Meetic, OkCupid, Pairs, Plenty Of Fish, Azar, Hakuna, and other brands, which are designed for users to find a connection. The Match platform is an online dating category with the ability to search profiles and receive algorithmic recommendations, and it offers a one-to-one real-time video feature. The Meetic is a European online dating brand based in France. The Pairs is a provider of online dating services in Japan, with a presence in Taiwan and South Korea. Its Hakuna application provides live streaming services primarily in Korea and Japan. Plenty Of Fish Live is an interactive, social app that allows for one-to-many live streaming experiences. Azar is a one-to-one video chat service powered by real-time language translations that allow users to meet and interact with people across the globe in their native language.</v>
    <v>2600</v>
    <v>Nasdaq Stock Market</v>
    <v>XNAS</v>
    <v>XNAS</v>
    <v>8750 NORTH CENTRAL EXPRESSWAY, SUITE 1400, DALLAS, TX, 75231 US</v>
    <v>37.9</v>
    <v>Software &amp; IT Services</v>
    <v>Stock</v>
    <v>45530.686808414066</v>
    <v>1491</v>
    <v>37.35</v>
    <v>9672351975</v>
    <v>MATCH GROUP, INC.</v>
    <v>MATCH GROUP, INC.</v>
    <v>37.67</v>
    <v>16.208500000000001</v>
    <v>37.32</v>
    <v>37.505000000000003</v>
    <v>257895000</v>
    <v>MTCH</v>
    <v>MATCH GROUP, INC. (XNAS:MTCH)</v>
    <v>1116004</v>
    <v>5440320</v>
    <v>1986</v>
  </rv>
  <rv s="2">
    <v>1492</v>
  </rv>
  <rv s="0">
    <v>https://www.bing.com/financeapi/forcetrigger?t=bp8fww&amp;q=XNAS%3aFOXA&amp;form=skydnc</v>
    <v>Learn more on Bing</v>
  </rv>
  <rv s="1">
    <v>en-US</v>
    <v>bp8fww</v>
    <v>268435456</v>
    <v>1</v>
    <v>Powered by Refinitiv</v>
    <v>0</v>
    <v>FOX CORPORATION (XNAS:FOXA)</v>
    <v>2</v>
    <v>3</v>
    <v>Finance</v>
    <v>4</v>
    <v>41.395000000000003</v>
    <v>28.285</v>
    <v>0.76680000000000004</v>
    <v>7.4999999999999997E-2</v>
    <v>1.8290000000000001E-3</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The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The Other, Corporate and Eliminations segment consists of the FOX Studio Lot, which provides television and film production services and Credible Labs Inc.</v>
    <v>10200</v>
    <v>Nasdaq Stock Market</v>
    <v>XNAS</v>
    <v>XNAS</v>
    <v>1211 Avenue of the Americas, NEW YORK, NY, 10036-8701 US</v>
    <v>41.395000000000003</v>
    <v>Media &amp; Publishing</v>
    <v>Stock</v>
    <v>45530.686855010936</v>
    <v>1494</v>
    <v>41.02</v>
    <v>18197810000</v>
    <v>FOX CORPORATION</v>
    <v>FOX CORPORATION</v>
    <v>41.02</v>
    <v>13.0863</v>
    <v>41.01</v>
    <v>41.085000000000001</v>
    <v>460227400</v>
    <v>FOXA</v>
    <v>FOX CORPORATION (XNAS:FOXA)</v>
    <v>500678</v>
    <v>2484510</v>
    <v>2018</v>
  </rv>
  <rv s="2">
    <v>1495</v>
  </rv>
  <rv s="0">
    <v>https://www.bing.com/financeapi/forcetrigger?t=a1s5xm&amp;q=XNAS%3aCZR&amp;form=skydnc</v>
    <v>Learn more on Bing</v>
  </rv>
  <rv s="1">
    <v>en-US</v>
    <v>a1s5xm</v>
    <v>268435456</v>
    <v>1</v>
    <v>Powered by Refinitiv</v>
    <v>0</v>
    <v>CAESARS ENTERTAINMENT, INC. (XNAS:CZR)</v>
    <v>2</v>
    <v>3</v>
    <v>Finance</v>
    <v>4</v>
    <v>56.295000000000002</v>
    <v>31.74</v>
    <v>2.9645000000000001</v>
    <v>-0.56999999999999995</v>
    <v>-1.4886E-2</v>
    <v>USD</v>
    <v>Caesars Entertainment, Inc. is a casino-entertainment company in the United States and a diversified casino-entertainment provider. Its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horse racing and online poker are included under the Caesars Digital segment. The Company owns, leases, brands or manages an aggregate of about 53 domestic properties in 18 states with approximately 50,500 slot machines, video lottery terminals and e-tables, approximately 2,700 table games and approximately 45,000 hotel rooms. It also owns WynnBET, a digital sports betting and casino gaming business.</v>
    <v>51000</v>
    <v>Nasdaq Stock Market</v>
    <v>XNAS</v>
    <v>XNAS</v>
    <v>100 West Liberty Street, 12Th Floor, RENO, NV, 89501 US</v>
    <v>39.4011</v>
    <v>Hotels &amp; Entertainment Services</v>
    <v>Stock</v>
    <v>45530.686881550784</v>
    <v>1497</v>
    <v>37.659999999999997</v>
    <v>8160269360</v>
    <v>CAESARS ENTERTAINMENT, INC.</v>
    <v>CAESARS ENTERTAINMENT, INC.</v>
    <v>38.4</v>
    <v>0</v>
    <v>38.29</v>
    <v>37.72</v>
    <v>216338000</v>
    <v>CZR</v>
    <v>CAESARS ENTERTAINMENT, INC. (XNAS:CZR)</v>
    <v>1612619</v>
    <v>5529774</v>
    <v>2020</v>
  </rv>
  <rv s="2">
    <v>1498</v>
  </rv>
  <rv s="0">
    <v>https://www.bing.com/financeapi/forcetrigger?t=a1odxm&amp;q=XNYS%3aBF.B&amp;form=skydnc</v>
    <v>Learn more on Bing</v>
  </rv>
  <rv s="1">
    <v>en-US</v>
    <v>a1odxm</v>
    <v>268435456</v>
    <v>1</v>
    <v>Powered by Refinitiv</v>
    <v>0</v>
    <v>BROWN-FORMAN CORPORATION (XNYS:BF.B)</v>
    <v>2</v>
    <v>3</v>
    <v>Finance</v>
    <v>4</v>
    <v>69.19</v>
    <v>41.42</v>
    <v>0.75029999999999997</v>
    <v>0.47</v>
    <v>1.0367999999999999E-2</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46.06</v>
    <v>Beverages</v>
    <v>Stock</v>
    <v>45530.686765196093</v>
    <v>1500</v>
    <v>45.445</v>
    <v>21577220000</v>
    <v>BROWN-FORMAN CORPORATION</v>
    <v>BROWN-FORMAN CORPORATION</v>
    <v>45.53</v>
    <v>21.123699999999999</v>
    <v>45.33</v>
    <v>45.8</v>
    <v>474660000</v>
    <v>BF.B</v>
    <v>BROWN-FORMAN CORPORATION (XNYS:BF.B)</v>
    <v>313972</v>
    <v>1560331</v>
    <v>1933</v>
  </rv>
  <rv s="2">
    <v>1501</v>
  </rv>
  <rv s="0">
    <v>https://www.bing.com/financeapi/forcetrigger?t=a1ug1h&amp;q=XNAS%3aHAS&amp;form=skydnc</v>
    <v>Learn more on Bing</v>
  </rv>
  <rv s="1">
    <v>en-US</v>
    <v>a1ug1h</v>
    <v>268435456</v>
    <v>1</v>
    <v>Powered by Refinitiv</v>
    <v>0</v>
    <v>Hasbro, Inc. (XNAS:HAS)</v>
    <v>2</v>
    <v>3</v>
    <v>Finance</v>
    <v>4</v>
    <v>73.575000000000003</v>
    <v>42.66</v>
    <v>0.59740000000000004</v>
    <v>0.55500000000000005</v>
    <v>8.1589999999999996E-3</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69.229900000000001</v>
    <v>Leisure Products</v>
    <v>Stock</v>
    <v>45530.686903171096</v>
    <v>1503</v>
    <v>68.150000000000006</v>
    <v>9559841882</v>
    <v>Hasbro, Inc.</v>
    <v>Hasbro, Inc.</v>
    <v>68.290000000000006</v>
    <v>0</v>
    <v>68.02</v>
    <v>68.575000000000003</v>
    <v>139407100</v>
    <v>HAS</v>
    <v>Hasbro, Inc. (XNAS:HAS)</v>
    <v>297029</v>
    <v>1519147</v>
    <v>1926</v>
  </rv>
  <rv s="2">
    <v>1504</v>
  </rv>
  <rv s="0">
    <v>https://www.bing.com/financeapi/forcetrigger?t=a1p18m&amp;q=XNYS%3aBWA&amp;form=skydnc</v>
    <v>Learn more on Bing</v>
  </rv>
  <rv s="1">
    <v>en-US</v>
    <v>a1p18m</v>
    <v>268435456</v>
    <v>1</v>
    <v>Powered by Refinitiv</v>
    <v>0</v>
    <v>BORGWARNER INC. (XNYS:BWA)</v>
    <v>2</v>
    <v>3</v>
    <v>Finance</v>
    <v>4</v>
    <v>42.27</v>
    <v>29.51</v>
    <v>1.202</v>
    <v>7.0000000000000007E-2</v>
    <v>2.0590000000000001E-3</v>
    <v>USD</v>
    <v>BorgWarner Inc. is a global provider of technology solutions for combustion, hybrid, and electric vehicles. The Company’s products help improve vehicle performance, propulsion efficiency, stability, and air quality. The Company manufactures and sells these products worldwide, primarily to original equipment manufacturers (OEMs) of light vehicles (passenger cars, sport-utility vehicles (SUVs), vans and light trucks). Its Air Management segment’s technologies include turbochargers, eBoosters, eTurbos, timing systems, emissions systems, thermal systems, gasoline ignition technology, and others. Its Drivetrain &amp; Battery Systems segment’s technologies include battery modules and systems, control modules, friction and mechanical clutch products for automatic transmissions, torque-management products and rear-wheel drive (RWD), and others. Its ePropulsion segment’s technologies include power electronics, such as inverters, onboard chargers, DC/DC converters and combination boxes.</v>
    <v>39900</v>
    <v>New York Stock Exchange</v>
    <v>XNYS</v>
    <v>XNYS</v>
    <v>3850 Hamlin Rd, AUBURN HILLS, MI, 48326 US</v>
    <v>34.35</v>
    <v>Automobiles &amp; Auto Parts</v>
    <v>Stock</v>
    <v>45530.686867731252</v>
    <v>1506</v>
    <v>33.94</v>
    <v>7757812140</v>
    <v>BORGWARNER INC.</v>
    <v>BORGWARNER INC.</v>
    <v>34.020000000000003</v>
    <v>10.2179</v>
    <v>33.99</v>
    <v>34.06</v>
    <v>227769000</v>
    <v>BWA</v>
    <v>BORGWARNER INC. (XNYS:BWA)</v>
    <v>499804</v>
    <v>2717009</v>
    <v>1987</v>
  </rv>
  <rv s="2">
    <v>1507</v>
  </rv>
  <rv s="0">
    <v>https://www.bing.com/financeapi/forcetrigger?t=a1rec7&amp;q=XNYS%3aDVA&amp;form=skydnc</v>
    <v>Learn more on Bing</v>
  </rv>
  <rv s="1">
    <v>en-US</v>
    <v>a1rec7</v>
    <v>268435456</v>
    <v>1</v>
    <v>Powered by Refinitiv</v>
    <v>0</v>
    <v>DAVITA INC. (XNYS:DVA)</v>
    <v>2</v>
    <v>3</v>
    <v>Finance</v>
    <v>4</v>
    <v>156.44</v>
    <v>71.510000000000005</v>
    <v>0.86329999999999996</v>
    <v>1.9</v>
    <v>1.2338E-2</v>
    <v>USD</v>
    <v>DaVita Inc. is a healthcare provider focused on transforming care delivery to improve the quality of life for patients globally. The Company is a provider of kidney care services in the United States. Its United States dialysis and related lab services (U.S. dialysis) business treats patients with chronic kidney failure, end-stage kidney disease (ESKD). The Company’s robust platform delivers kidney care services and also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70000</v>
    <v>New York Stock Exchange</v>
    <v>XNYS</v>
    <v>XNYS</v>
    <v>2000 16th St, DENVER, CO, 80202-5117 US</v>
    <v>156.44</v>
    <v>Healthcare Providers &amp; Services</v>
    <v>Stock</v>
    <v>45530.686907731251</v>
    <v>1509</v>
    <v>153.1943</v>
    <v>13079170999</v>
    <v>DAVITA INC.</v>
    <v>DAVITA INC.</v>
    <v>154.57</v>
    <v>16.578900000000001</v>
    <v>153.99</v>
    <v>155.88999999999999</v>
    <v>83900000</v>
    <v>DVA</v>
    <v>DAVITA INC. (XNYS:DVA)</v>
    <v>162013</v>
    <v>691913</v>
    <v>1994</v>
  </rv>
  <rv s="2">
    <v>1510</v>
  </rv>
  <rv s="0">
    <v>https://www.bing.com/financeapi/forcetrigger?t=azqpjc&amp;q=XNYS%3aCDAY&amp;form=skydnc</v>
    <v>Learn more on Bing</v>
  </rv>
  <rv s="1">
    <v>en-US</v>
    <v>azqpjc</v>
    <v>268435456</v>
    <v>1</v>
    <v>Powered by Refinitiv</v>
    <v>0</v>
    <v>DAYFORCE, INC. (XNYS:DAY)</v>
    <v>2</v>
    <v>3</v>
    <v>Finance</v>
    <v>4</v>
    <v>75.53</v>
    <v>47.08</v>
    <v>1.2861</v>
    <v>2.0249999999999999</v>
    <v>3.5682999999999999E-2</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9084</v>
    <v>New York Stock Exchange</v>
    <v>XNYS</v>
    <v>XNYS</v>
    <v>3311 EAST OLD SHAKOPEE ROAD, MINNEAPOLIS, MN, 55425 US</v>
    <v>58.95</v>
    <v>Software &amp; IT Services</v>
    <v>Stock</v>
    <v>45530.686892685153</v>
    <v>1512</v>
    <v>57.185000000000002</v>
    <v>9292327500</v>
    <v>DAYFORCE, INC.</v>
    <v>DAYFORCE, INC.</v>
    <v>57.49</v>
    <v>199.6266</v>
    <v>56.75</v>
    <v>58.774999999999999</v>
    <v>158100000</v>
    <v>DAY</v>
    <v>DAYFORCE, INC. (XNYS:DAY)</v>
    <v>410098</v>
    <v>1853422</v>
    <v>2013</v>
  </rv>
  <rv s="2">
    <v>1513</v>
  </rv>
  <rv s="0">
    <v>https://www.bing.com/financeapi/forcetrigger?t=a1tctc&amp;q=XNYS%3aFRT&amp;form=skydnc</v>
    <v>Learn more on Bing</v>
  </rv>
  <rv s="1">
    <v>en-US</v>
    <v>a1tctc</v>
    <v>268435456</v>
    <v>1</v>
    <v>Powered by Refinitiv</v>
    <v>0</v>
    <v>FEDERAL REALTY INVESTMENT TRUST (XNYS:FRT)</v>
    <v>2</v>
    <v>3</v>
    <v>Finance</v>
    <v>4</v>
    <v>117.03</v>
    <v>85.59</v>
    <v>1.2582</v>
    <v>-0.1</v>
    <v>-8.6069999999999994E-4</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117.03</v>
    <v>Residential &amp; Commercial REIT</v>
    <v>Stock</v>
    <v>45530.686904073438</v>
    <v>1515</v>
    <v>115.96</v>
    <v>9704025788</v>
    <v>FEDERAL REALTY INVESTMENT TRUST</v>
    <v>FEDERAL REALTY INVESTMENT TRUST</v>
    <v>117.03</v>
    <v>34.206800000000001</v>
    <v>116.19</v>
    <v>116.09</v>
    <v>83590540</v>
    <v>FRT</v>
    <v>FEDERAL REALTY INVESTMENT TRUST (XNYS:FRT)</v>
    <v>95612</v>
    <v>620316</v>
    <v>2021</v>
  </rv>
  <rv s="2">
    <v>1516</v>
  </rv>
  <rv s="0">
    <v>https://www.bing.com/financeapi/forcetrigger?t=a1moa2&amp;q=XNAS%3aAAL&amp;form=skydnc</v>
    <v>Learn more on Bing</v>
  </rv>
  <rv s="1">
    <v>en-US</v>
    <v>a1moa2</v>
    <v>268435456</v>
    <v>1</v>
    <v>Powered by Refinitiv</v>
    <v>0</v>
    <v>AMERICAN AIRLINES GROUP INC. (XNAS:AAL)</v>
    <v>2</v>
    <v>3</v>
    <v>Finance</v>
    <v>4</v>
    <v>16.149999999999999</v>
    <v>9.07</v>
    <v>1.4327000000000001</v>
    <v>-0.13500000000000001</v>
    <v>-1.2992999999999999E-2</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D.C. and partner gateways, including in London, Doha, Madrid, Seattle/Tacoma, Sydney and Tokyo. Its cargo division provides a range of freight and mail services, with facilities and interline connections available across the globe. Its subsidiaries include American Airlines, Inc., Envoy Aviation Group Inc., PSA Airlines, Inc. and Piedmont Airlines, Inc. It operates approximately 965 mainline aircraft supported by its regional airline subsidiaries and third-party regional carriers, which together operated an additional 556 regional aircraft.</v>
    <v>137400</v>
    <v>Nasdaq Stock Market</v>
    <v>XNAS</v>
    <v>XNAS</v>
    <v>1 Skyview Drive, FORT WORTH, TX, 76155 US</v>
    <v>10.44</v>
    <v>Passenger Transportation Services</v>
    <v>Stock</v>
    <v>45530.686901515626</v>
    <v>1518</v>
    <v>10.199999999999999</v>
    <v>6734498494</v>
    <v>AMERICAN AIRLINES GROUP INC.</v>
    <v>AMERICAN AIRLINES GROUP INC.</v>
    <v>10.43</v>
    <v>0</v>
    <v>10.39</v>
    <v>10.255000000000001</v>
    <v>656703900</v>
    <v>AAL</v>
    <v>AMERICAN AIRLINES GROUP INC. (XNAS:AAL)</v>
    <v>9585503</v>
    <v>36713495</v>
    <v>1982</v>
  </rv>
  <rv s="2">
    <v>1519</v>
  </rv>
  <rv s="8">
    <v>en-US</v>
    <v>ccr2bh</v>
    <v>268435456</v>
    <v>1</v>
    <v>Powered by Refinitiv</v>
    <v>15</v>
    <v>SOLVENTUM CORPORATION (XNYS:SOLV)</v>
    <v>16</v>
    <v>3</v>
    <v>Finance</v>
    <v>4</v>
    <v>96.05</v>
    <v>47.16</v>
    <v>-0.98299999999999998</v>
    <v>-0.88</v>
    <v>-1.4332000000000001E-2</v>
    <v>USD</v>
    <v>Solventum Corp. is a global healthcare company. Its segments include Medical Surgical, Dental Solutions, Health Information Systems, and Purification and Filtration. Medical Surgical is a provider of solutions including advanced wound care, sterilization assurance, temperature management, surgical supplies, stethoscopes, and medical electrodes. Dental Solutions provides dental and orthodontic products include brackets, aligners, restorative cements, and bonding agents that span the life of the tooth, including products designed for preventative dental care, direct and indirect restoration, and broad orthodontic needs. Health Information Systems offers healthcare systems with software solutions, including computer-assisted physician documentation, direct-to-bill and coding automation, speech recognition, and data visualization platforms. Purification and Filtration is a provider of purification and filtration technologies including filters, purifiers, cartridges, and membranes.</v>
    <v>22007</v>
    <v>New York Stock Exchange</v>
    <v>XNYS</v>
    <v>XNYS</v>
    <v>C/O 3M Company, 3M Center, Building 275-6W-02, ST. PAUL, MN, 55144-1000 US</v>
    <v>61.86</v>
    <v>Healthcare Providers &amp; Services</v>
    <v>Stock</v>
    <v>45530.686851863284</v>
    <v>60.445</v>
    <v>10452445512</v>
    <v>SOLVENTUM CORPORATION</v>
    <v>SOLVENTUM CORPORATION</v>
    <v>61.45</v>
    <v>9.9108999999999998</v>
    <v>61.4</v>
    <v>60.52</v>
    <v>172710600</v>
    <v>SOLV</v>
    <v>SOLVENTUM CORPORATION (XNYS:SOLV)</v>
    <v>265091</v>
    <v>1228079</v>
    <v>2023</v>
  </rv>
  <rv s="2">
    <v>1521</v>
  </rv>
  <rv s="0">
    <v>https://www.bing.com/financeapi/forcetrigger?t=a1xonm&amp;q=XNAS%3aMKTX&amp;form=skydnc</v>
    <v>Learn more on Bing</v>
  </rv>
  <rv s="1">
    <v>en-US</v>
    <v>a1xonm</v>
    <v>268435456</v>
    <v>1</v>
    <v>Powered by Refinitiv</v>
    <v>0</v>
    <v>MARKETAXESS HOLDINGS INC. (XNAS:MKTX)</v>
    <v>2</v>
    <v>3</v>
    <v>Finance</v>
    <v>4</v>
    <v>297.97000000000003</v>
    <v>192.42</v>
    <v>1.0685</v>
    <v>0.8</v>
    <v>3.392E-3</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881</v>
    <v>Nasdaq Stock Market</v>
    <v>XNAS</v>
    <v>XNAS</v>
    <v>55 Hudson Yards, 15Th Floor, NEW YORK, NY, 10001 US</v>
    <v>238.42</v>
    <v>Investment Banking &amp; Investment Services</v>
    <v>Stock</v>
    <v>45530.686740092191</v>
    <v>1523</v>
    <v>235.405</v>
    <v>8932873507</v>
    <v>MARKETAXESS HOLDINGS INC.</v>
    <v>MARKETAXESS HOLDINGS INC.</v>
    <v>237.09</v>
    <v>33.938800000000001</v>
    <v>235.82</v>
    <v>236.62</v>
    <v>37751980</v>
    <v>MKTX</v>
    <v>MARKETAXESS HOLDINGS INC. (XNAS:MKTX)</v>
    <v>55946</v>
    <v>349399</v>
    <v>2000</v>
  </rv>
  <rv s="2">
    <v>1524</v>
  </rv>
  <rv s="0">
    <v>https://www.bing.com/financeapi/forcetrigger?t=a222gh&amp;q=XNYS%3aRL&amp;form=skydnc</v>
    <v>Learn more on Bing</v>
  </rv>
  <rv s="1">
    <v>en-US</v>
    <v>a222gh</v>
    <v>268435456</v>
    <v>1</v>
    <v>Powered by Refinitiv</v>
    <v>0</v>
    <v>RALPH LAUREN CORPORATION (XNYS:RL)</v>
    <v>2</v>
    <v>3</v>
    <v>Finance</v>
    <v>4</v>
    <v>192.0299</v>
    <v>108.6</v>
    <v>1.5059</v>
    <v>-2.12</v>
    <v>-1.2142999999999999E-2</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176</v>
    <v>Textiles &amp; Apparel</v>
    <v>Stock</v>
    <v>45530.686411678122</v>
    <v>1526</v>
    <v>172.2</v>
    <v>10682065474</v>
    <v>RALPH LAUREN CORPORATION</v>
    <v>RALPH LAUREN CORPORATION</v>
    <v>175.375</v>
    <v>16.837900000000001</v>
    <v>174.58</v>
    <v>172.46</v>
    <v>61939380</v>
    <v>RL</v>
    <v>RALPH LAUREN CORPORATION (XNYS:RL)</v>
    <v>113554</v>
    <v>809176</v>
    <v>1997</v>
  </rv>
  <rv s="2">
    <v>1527</v>
  </rv>
  <rv s="0">
    <v>https://www.bing.com/financeapi/forcetrigger?t=axxudm&amp;q=XNYS%3aNCLH&amp;form=skydnc</v>
    <v>Learn more on Bing</v>
  </rv>
  <rv s="1">
    <v>en-US</v>
    <v>axxudm</v>
    <v>268435456</v>
    <v>1</v>
    <v>Powered by Refinitiv</v>
    <v>0</v>
    <v>NORWEGIAN CRUISE LINE HOLDINGS LTD. (XNYS:NCLH)</v>
    <v>2</v>
    <v>3</v>
    <v>Finance</v>
    <v>4</v>
    <v>21.73</v>
    <v>12.705</v>
    <v>2.7121</v>
    <v>8.9899999999999994E-2</v>
    <v>5.1370000000000001E-3</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41000</v>
    <v>New York Stock Exchange</v>
    <v>XNYS</v>
    <v>XNYS</v>
    <v>7665 CORPORATE DRIVE, MIAMI, FL, 33126 US</v>
    <v>17.600000000000001</v>
    <v>Hotels &amp; Entertainment Services</v>
    <v>Stock</v>
    <v>45530.686848691403</v>
    <v>1529</v>
    <v>17.3</v>
    <v>7734125997</v>
    <v>NORWEGIAN CRUISE LINE HOLDINGS LTD.</v>
    <v>NORWEGIAN CRUISE LINE HOLDINGS LTD.</v>
    <v>17.48</v>
    <v>22.325600000000001</v>
    <v>17.5</v>
    <v>17.5899</v>
    <v>439691300</v>
    <v>NCLH</v>
    <v>NORWEGIAN CRUISE LINE HOLDINGS LTD. (XNYS:NCLH)</v>
    <v>3438173</v>
    <v>13544566</v>
    <v>2011</v>
  </rv>
  <rv s="2">
    <v>1530</v>
  </rv>
  <rv s="0">
    <v>https://www.bing.com/financeapi/forcetrigger?t=a1t4c7&amp;q=XNYS%3aFMC&amp;form=skydnc</v>
    <v>Learn more on Bing</v>
  </rv>
  <rv s="1">
    <v>en-US</v>
    <v>a1t4c7</v>
    <v>268435456</v>
    <v>1</v>
    <v>Powered by Refinitiv</v>
    <v>0</v>
    <v>FMC CORPORATION (XNYS:FMC)</v>
    <v>2</v>
    <v>3</v>
    <v>Finance</v>
    <v>4</v>
    <v>89.27</v>
    <v>49.49</v>
    <v>0.85429999999999995</v>
    <v>9.5000000000000001E-2</v>
    <v>1.4530000000000001E-3</v>
    <v>USD</v>
    <v>FMC Corporation is an agricultural sciences company. It is engaged in providing solutions to growers with a product in crop protection, crop enhancement, and professional pest and turf management.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6600</v>
    <v>New York Stock Exchange</v>
    <v>XNYS</v>
    <v>XNYS</v>
    <v>2929 Walnut Street, PHILADELPHIA, PA, 19104 US</v>
    <v>66.069999999999993</v>
    <v>Chemicals</v>
    <v>Stock</v>
    <v>45530.686762464844</v>
    <v>1532</v>
    <v>65.23</v>
    <v>8172877589</v>
    <v>FMC CORPORATION</v>
    <v>FMC CORPORATION</v>
    <v>65.72</v>
    <v>5.5871000000000004</v>
    <v>65.38</v>
    <v>65.474999999999994</v>
    <v>124824400</v>
    <v>FMC</v>
    <v>FMC CORPORATION (XNYS:FMC)</v>
    <v>162428</v>
    <v>1665534</v>
    <v>1928</v>
  </rv>
  <rv s="2">
    <v>1533</v>
  </rv>
  <rv s="0">
    <v>https://www.bing.com/financeapi/forcetrigger?t=a1sar7&amp;q=XNAS%3aETSY&amp;form=skydnc</v>
    <v>Learn more on Bing</v>
  </rv>
  <rv s="1">
    <v>en-US</v>
    <v>a1sar7</v>
    <v>268435456</v>
    <v>1</v>
    <v>Powered by Refinitiv</v>
    <v>0</v>
    <v>ETSY, INC. (XNAS:ETSY)</v>
    <v>2</v>
    <v>3</v>
    <v>Finance</v>
    <v>4</v>
    <v>89.58</v>
    <v>51.45</v>
    <v>1.9783999999999999</v>
    <v>0.25</v>
    <v>4.5129999999999997E-3</v>
    <v>USD</v>
    <v>Etsy, Inc. (Etsy) operates two-sided online marketplaces that connect buyers and sellers around the world. The Company’s primary marketplace, Etsy.com, is the global destination for goods made by independent sellers. In addition to its core Etsy marketplace, its brands consist of Reverb Holdings, Inc. (Reverb), its musical instrument marketplace and Depop Limited (Depop), its fashion resale marketplace. Reverb is a two-sided marketplace that connects buyers and sellers of new, used, and vintage music gear from all over the world. It offers Etsy.com sellers a marketplace with buyers along with a range of selling tools and services. The Company’s Depop is engaged in building a diverse and progressive home of fashion. The Reverb and Depop offer on-site advertising services and offer on-site advertising services. The Company’s offerings include jewelry and accessories, clothing and shoes, home and living, wedding and party, toys and entertainment, and art and collections.</v>
    <v>2420</v>
    <v>Nasdaq Stock Market</v>
    <v>XNAS</v>
    <v>XNAS</v>
    <v>117 Adams Street, BROOKLYN, NY, 11201 US</v>
    <v>56.08</v>
    <v>Diversified Retail</v>
    <v>Stock</v>
    <v>45530.686829351565</v>
    <v>1535</v>
    <v>54.604999999999997</v>
    <v>6357275000</v>
    <v>ETSY, INC.</v>
    <v>ETSY, INC.</v>
    <v>55.3</v>
    <v>25.519400000000001</v>
    <v>55.4</v>
    <v>55.65</v>
    <v>114752300</v>
    <v>ETSY</v>
    <v>ETSY, INC. (XNAS:ETSY)</v>
    <v>914285</v>
    <v>3476180</v>
    <v>2006</v>
  </rv>
  <rv s="2">
    <v>1536</v>
  </rv>
  <rv s="0">
    <v>https://www.bing.com/financeapi/forcetrigger?t=a1zha2&amp;q=XNYS%3aPAYC&amp;form=skydnc</v>
    <v>Learn more on Bing</v>
  </rv>
  <rv s="1">
    <v>en-US</v>
    <v>a1zha2</v>
    <v>268435456</v>
    <v>1</v>
    <v>Powered by Refinitiv</v>
    <v>0</v>
    <v>PAYCOM SOFTWARE, INC. (XNYS:PAYC)</v>
    <v>2</v>
    <v>3</v>
    <v>Finance</v>
    <v>4</v>
    <v>299</v>
    <v>139.5</v>
    <v>1.1717</v>
    <v>2</v>
    <v>1.2281E-2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165.75</v>
    <v>Software &amp; IT Services</v>
    <v>Stock</v>
    <v>45530.686570416408</v>
    <v>1538</v>
    <v>163.66499999999999</v>
    <v>9619128000</v>
    <v>PAYCOM SOFTWARE, INC.</v>
    <v>PAYCOM SOFTWARE, INC.</v>
    <v>163.94</v>
    <v>19.9998</v>
    <v>162.85499999999999</v>
    <v>164.85499999999999</v>
    <v>58929900</v>
    <v>PAYC</v>
    <v>PAYCOM SOFTWARE, INC. (XNYS:PAYC)</v>
    <v>148637</v>
    <v>832112</v>
    <v>2013</v>
  </rv>
  <rv s="2">
    <v>1539</v>
  </rv>
  <rv s="0">
    <v>https://www.bing.com/financeapi/forcetrigger?t=a24bpr&amp;q=XNYS%3aGL&amp;form=skydnc</v>
    <v>Learn more on Bing</v>
  </rv>
  <rv s="1">
    <v>en-US</v>
    <v>a24bpr</v>
    <v>268435456</v>
    <v>1</v>
    <v>Powered by Refinitiv</v>
    <v>0</v>
    <v>GLOBE LIFE INC. (XNYS:GL)</v>
    <v>2</v>
    <v>3</v>
    <v>Finance</v>
    <v>4</v>
    <v>132</v>
    <v>38.950000000000003</v>
    <v>0.80620000000000003</v>
    <v>1.71</v>
    <v>1.6958000000000001E-2</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3636</v>
    <v>New York Stock Exchange</v>
    <v>XNYS</v>
    <v>XNYS</v>
    <v>3700 S Stonebridge Dr, MCKINNEY, TX, 75070-5934 US</v>
    <v>102.64</v>
    <v>Insurance</v>
    <v>Stock</v>
    <v>45530.686860253903</v>
    <v>1541</v>
    <v>100.84</v>
    <v>9211024592</v>
    <v>GLOBE LIFE INC.</v>
    <v>GLOBE LIFE INC.</v>
    <v>100.84</v>
    <v>9.1181999999999999</v>
    <v>100.84</v>
    <v>102.55</v>
    <v>89819840</v>
    <v>GL</v>
    <v>GLOBE LIFE INC. (XNYS:GL)</v>
    <v>230566</v>
    <v>893815</v>
    <v>1979</v>
  </rv>
  <rv s="2">
    <v>1542</v>
  </rv>
  <rv s="0">
    <v>https://www.bing.com/financeapi/forcetrigger?t=a21zf2&amp;q=XNYS%3aRHI&amp;form=skydnc</v>
    <v>Learn more on Bing</v>
  </rv>
  <rv s="1">
    <v>en-US</v>
    <v>a21zf2</v>
    <v>268435456</v>
    <v>1</v>
    <v>Powered by Refinitiv</v>
    <v>0</v>
    <v>ROBERT HALF INC. (XNYS:RHI)</v>
    <v>2</v>
    <v>3</v>
    <v>Finance</v>
    <v>4</v>
    <v>88.39</v>
    <v>57.05</v>
    <v>1.2285999999999999</v>
    <v>0.87</v>
    <v>1.3634E-2</v>
    <v>USD</v>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business and technology risk consulting and internal audit services. The Company and its subsidiaries own various trademarks and service marks, including the Robert Half Finance &amp; Accounting, Accountemps, OfficeTeam, Robert Half Technology, Robert Half Management Resources, Robert Half Legal, The Creative Group and Protiviti marks. The Company operates in North America, South America, Europe, Asia, and Australia.</v>
    <v>15000</v>
    <v>New York Stock Exchange</v>
    <v>XNYS</v>
    <v>XNYS</v>
    <v>2884 Sand Hill Rd, Ste 200, MENLO PARK, CA, 94025 US</v>
    <v>64.97</v>
    <v>Professional &amp; Commercial Services</v>
    <v>Stock</v>
    <v>45530.686818089845</v>
    <v>1544</v>
    <v>63.905000000000001</v>
    <v>6730374420</v>
    <v>ROBERT HALF INC.</v>
    <v>ROBERT HALF INC.</v>
    <v>63.98</v>
    <v>21.531300000000002</v>
    <v>63.81</v>
    <v>64.680000000000007</v>
    <v>104056500</v>
    <v>RHI</v>
    <v>ROBERT HALF INC. (XNYS:RHI)</v>
    <v>268377</v>
    <v>1308181</v>
    <v>1979</v>
  </rv>
  <rv s="2">
    <v>1545</v>
  </rv>
  <rv s="0">
    <v>https://www.bing.com/financeapi/forcetrigger?t=a1vwxm&amp;q=XNYS%3aIVZ&amp;form=skydnc</v>
    <v>Learn more on Bing</v>
  </rv>
  <rv s="6">
    <v>en-US</v>
    <v>a1vwxm</v>
    <v>268435456</v>
    <v>1</v>
    <v>Powered by Refinitiv</v>
    <v>10</v>
    <v>INVESCO LTD (XNYS:IVZ)</v>
    <v>2</v>
    <v>13</v>
    <v>Finance</v>
    <v>4</v>
    <v>18.28</v>
    <v>12.48</v>
    <v>1.4260999999999999</v>
    <v>0</v>
    <v>0</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mutual funds,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8536</v>
    <v>New York Stock Exchange</v>
    <v>XNYS</v>
    <v>XNYS</v>
    <v>1331 SPRING STREET NW, SUITE 2500, ATLANTA, GA, 30309 US</v>
    <v>17.46</v>
    <v>Investment Banking &amp; Investment Services</v>
    <v>Stock</v>
    <v>45530.686919247659</v>
    <v>1547</v>
    <v>17.149999999999999</v>
    <v>7740000000</v>
    <v>INVESCO LTD</v>
    <v>INVESCO LTD</v>
    <v>17.36</v>
    <v>17.2</v>
    <v>17.2</v>
    <v>450000000</v>
    <v>IVZ</v>
    <v>INVESCO LTD (XNYS:IVZ)</v>
    <v>562237</v>
    <v>4398555</v>
    <v>2007</v>
  </rv>
  <rv s="2">
    <v>1548</v>
  </rv>
  <rv s="0">
    <v>https://www.bing.com/financeapi/forcetrigger?t=a1odgh&amp;q=XNYS%3aBEN&amp;form=skydnc</v>
    <v>Learn more on Bing</v>
  </rv>
  <rv s="1">
    <v>en-US</v>
    <v>a1odgh</v>
    <v>268435456</v>
    <v>1</v>
    <v>Powered by Refinitiv</v>
    <v>0</v>
    <v>FRANKLIN RESOURCES, INC. (XNYS:BEN)</v>
    <v>2</v>
    <v>3</v>
    <v>Finance</v>
    <v>4</v>
    <v>30.32</v>
    <v>19.605</v>
    <v>1.4146000000000001</v>
    <v>-0.32</v>
    <v>-1.5282E-2</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21.11</v>
    <v>Investment Banking &amp; Investment Services</v>
    <v>Stock</v>
    <v>45530.686894745311</v>
    <v>1550</v>
    <v>20.61</v>
    <v>10784227008</v>
    <v>FRANKLIN RESOURCES, INC.</v>
    <v>FRANKLIN RESOURCES, INC.</v>
    <v>21.04</v>
    <v>12.9239</v>
    <v>20.94</v>
    <v>20.62</v>
    <v>522998400</v>
    <v>BEN</v>
    <v>FRANKLIN RESOURCES, INC. (XNYS:BEN)</v>
    <v>1630488</v>
    <v>5040071</v>
    <v>1969</v>
  </rv>
  <rv s="2">
    <v>1551</v>
  </rv>
  <rv s="0">
    <v>https://www.bing.com/financeapi/forcetrigger?t=a1pw9c&amp;q=XNYS%3aCMA&amp;form=skydnc</v>
    <v>Learn more on Bing</v>
  </rv>
  <rv s="1">
    <v>en-US</v>
    <v>a1pw9c</v>
    <v>268435456</v>
    <v>1</v>
    <v>Powered by Refinitiv</v>
    <v>0</v>
    <v>COMERICA INCORPORATED (XNYS:CMA)</v>
    <v>2</v>
    <v>3</v>
    <v>Finance</v>
    <v>4</v>
    <v>58.5</v>
    <v>37.4</v>
    <v>1.2504</v>
    <v>-0.72250000000000003</v>
    <v>-1.257E-2</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7496</v>
    <v>New York Stock Exchange</v>
    <v>XNYS</v>
    <v>XNYS</v>
    <v>1717 Main Street Mc6404, Kelly Gage, DALLAS, TX, 75201 US</v>
    <v>58.115099999999998</v>
    <v>Banking Services</v>
    <v>Stock</v>
    <v>45530.68688400391</v>
    <v>1553</v>
    <v>56.71</v>
    <v>7530011849</v>
    <v>COMERICA INCORPORATED</v>
    <v>COMERICA INCORPORATED</v>
    <v>57.95</v>
    <v>12.7469</v>
    <v>57.48</v>
    <v>56.7575</v>
    <v>132669900</v>
    <v>CMA</v>
    <v>COMERICA INCORPORATED (XNYS:CMA)</v>
    <v>415158</v>
    <v>1894453</v>
    <v>1972</v>
  </rv>
  <rv s="2">
    <v>1554</v>
  </rv>
  <rv s="0">
    <v>https://www.bing.com/financeapi/forcetrigger?t=a1oi1h&amp;q=XNYS%3aBIO&amp;form=skydnc</v>
    <v>Learn more on Bing</v>
  </rv>
  <rv s="6">
    <v>en-US</v>
    <v>a1oi1h</v>
    <v>268435456</v>
    <v>1</v>
    <v>Powered by Refinitiv</v>
    <v>10</v>
    <v>BIO-RAD LABORATORIES, INC. (XNYS:BIO)</v>
    <v>2</v>
    <v>13</v>
    <v>Finance</v>
    <v>4</v>
    <v>406.44</v>
    <v>261.58999999999997</v>
    <v>0.94379999999999997</v>
    <v>-0.1</v>
    <v>-3.1750000000000002E-4</v>
    <v>USD</v>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The Company operates through two segments: Life Science and Clinical Diagnostics. Its Life Science segment develops, manufactures, and markets instruments, systems, reagents, and consumables used for biological research, biopharmaceutical production processes and food testing regimes. The Clinical Diagnostics segment designs, manufactures, markets and supports test systems, informatics systems, test kits and specialized quality controls that serve clinical laboratories in the global diagnostics market. These products are primarily sold to hospital laboratories, diagnostic reference laboratories, transfusion laboratories, and physician office laboratories.</v>
    <v>8030</v>
    <v>New York Stock Exchange</v>
    <v>XNYS</v>
    <v>XNYS</v>
    <v>1000 ALFRED NOBEL DR, HERCULES, CA, 94547 US</v>
    <v>316.93</v>
    <v>Healthcare Equipment &amp; Supplies</v>
    <v>Stock</v>
    <v>45530.686785878905</v>
    <v>1556</v>
    <v>313.77499999999998</v>
    <v>8837686000</v>
    <v>BIO-RAD LABORATORIES, INC.</v>
    <v>BIO-RAD LABORATORIES, INC.</v>
    <v>316.05</v>
    <v>314.94</v>
    <v>314.83999999999997</v>
    <v>27870660</v>
    <v>BIO</v>
    <v>BIO-RAD LABORATORIES, INC. (XNYS:BIO)</v>
    <v>42302</v>
    <v>227155</v>
    <v>1975</v>
  </rv>
  <rv s="2">
    <v>1557</v>
  </rv>
  <rv s="0">
    <v>https://www.bing.com/financeapi/forcetrigger?t=a1xlk2&amp;q=XNYS%3aMHK&amp;form=skydnc</v>
    <v>Learn more on Bing</v>
  </rv>
  <rv s="6">
    <v>en-US</v>
    <v>a1xlk2</v>
    <v>268435456</v>
    <v>1</v>
    <v>Powered by Refinitiv</v>
    <v>10</v>
    <v>MOHAWK INDUSTRIES, INC. (XNYS:MHK)</v>
    <v>2</v>
    <v>13</v>
    <v>Finance</v>
    <v>4</v>
    <v>164.05500000000001</v>
    <v>76.02</v>
    <v>1.3775999999999999</v>
    <v>-1.07</v>
    <v>-6.783E-3</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159.49</v>
    <v>Household Goods</v>
    <v>Stock</v>
    <v>45530.686858760935</v>
    <v>1559</v>
    <v>155.44</v>
    <v>9889184094</v>
    <v>MOHAWK INDUSTRIES, INC.</v>
    <v>MOHAWK INDUSTRIES, INC.</v>
    <v>158.41</v>
    <v>157.75</v>
    <v>156.68</v>
    <v>63117080</v>
    <v>MHK</v>
    <v>MOHAWK INDUSTRIES, INC. (XNYS:MHK)</v>
    <v>142363</v>
    <v>872531</v>
    <v>1988</v>
  </rv>
  <rv s="2">
    <v>1560</v>
  </rv>
  <rv s="0">
    <v>http://en.wikipedia.org/wiki/CBS_Corporation</v>
    <v>Wikipedia</v>
  </rv>
  <rv s="3">
    <v>3</v>
    <v>1562</v>
  </rv>
  <rv s="4">
    <v>9</v>
    <v>https://www.bing.com/th?id=AMMS_6017cbc2a2b9a7e0267820597f74cec1&amp;qlt=95</v>
    <v>1563</v>
    <v>0</v>
    <v>https://www.bing.com/images/search?form=xlimg&amp;q=cbs+corporation</v>
    <v>Image of PARAMOUNT GLOBAL</v>
  </rv>
  <rv s="0">
    <v>https://www.bing.com/financeapi/forcetrigger?t=a1pb4c&amp;q=XNAS%3aPARA&amp;form=skydnc</v>
    <v>Learn more on Bing</v>
  </rv>
  <rv s="5">
    <v>en-US</v>
    <v>a1pb4c</v>
    <v>268435456</v>
    <v>1</v>
    <v>Powered by Refinitiv</v>
    <v>5</v>
    <v>PARAMOUNT GLOBAL (XNAS:PARA)</v>
    <v>7</v>
    <v>8</v>
    <v>Finance</v>
    <v>4</v>
    <v>17.5</v>
    <v>9.5399999999999991</v>
    <v>1.7742</v>
    <v>6.5000000000000002E-2</v>
    <v>5.7220000000000005E-3</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11.455</v>
    <v>1564</v>
    <v>Media &amp; Publishing</v>
    <v>Stock</v>
    <v>45530.686790832813</v>
    <v>1565</v>
    <v>11.34</v>
    <v>8096499000</v>
    <v>PARAMOUNT GLOBAL</v>
    <v>PARAMOUNT GLOBAL</v>
    <v>11.35</v>
    <v>0</v>
    <v>11.36</v>
    <v>11.425000000000001</v>
    <v>666714400</v>
    <v>PARA</v>
    <v>PARAMOUNT GLOBAL (XNAS:PARA)</v>
    <v>2648840</v>
    <v>10035193</v>
    <v>1986</v>
  </rv>
  <rv s="2">
    <v>1566</v>
  </rv>
  <rv s="0">
    <v>https://www.bing.com/financeapi/forcetrigger?t=a1yx6h&amp;q=XNAS%3aNWS&amp;form=skydnc</v>
    <v>Learn more on Bing</v>
  </rv>
  <rv s="1">
    <v>en-US</v>
    <v>a1yx6h</v>
    <v>268435456</v>
    <v>1</v>
    <v>Powered by Refinitiv</v>
    <v>0</v>
    <v>NEWS CORPORATION (XNAS:NWS)</v>
    <v>2</v>
    <v>3</v>
    <v>Finance</v>
    <v>4</v>
    <v>29.59</v>
    <v>20.010000000000002</v>
    <v>1.3573</v>
    <v>8.5000000000000006E-2</v>
    <v>2.9110000000000004E-3</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17 countries, and The News Media, which consists of News Corp Australia, News UK and the New York Post and includes, among other publications, The Australian and The Daily Telegraph.</v>
    <v>23900</v>
    <v>Nasdaq Stock Market</v>
    <v>XNAS</v>
    <v>XNAS</v>
    <v>1211 Avenue of the Americas, NEW YORK, NY, 10036 US</v>
    <v>29.59</v>
    <v>Media &amp; Publishing</v>
    <v>Stock</v>
    <v>45530.686753541406</v>
    <v>1568</v>
    <v>29.215</v>
    <v>16201650000</v>
    <v>NEWS CORPORATION</v>
    <v>NEWS CORPORATION</v>
    <v>29.27</v>
    <v>81.034599999999998</v>
    <v>29.2</v>
    <v>29.285</v>
    <v>568584700</v>
    <v>NWS</v>
    <v>NEWS CORPORATION (XNAS:NWS)</v>
    <v>189820</v>
    <v>558610</v>
    <v>2012</v>
  </rv>
  <rv s="2">
    <v>1569</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7">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Currency</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2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11</v>
      <v>2</v>
      <v>11</v>
      <v>3</v>
      <v>11</v>
      <v>11</v>
      <v>11</v>
      <v>4</v>
      <v>4</v>
      <v>5</v>
      <v>12</v>
      <v>11</v>
      <v>11</v>
      <v>11</v>
      <v>4</v>
      <v>7</v>
      <v>8</v>
      <v>9</v>
      <v>4</v>
    </spb>
    <spb s="10">
      <v>Delayed 20 minutes</v>
      <v>from previous close</v>
      <v>from previous close</v>
      <v>GMT</v>
    </spb>
    <spb s="9">
      <v>1</v>
      <v>2</v>
      <v>1</v>
      <v>3</v>
      <v>1</v>
      <v>1</v>
      <v>1</v>
      <v>4</v>
      <v>4</v>
      <v>5</v>
      <v>6</v>
      <v>1</v>
      <v>1</v>
      <v>1</v>
      <v>4</v>
      <v>7</v>
      <v>8</v>
      <v>9</v>
      <v>4</v>
    </spb>
    <spb s="3">
      <v>11</v>
      <v>2</v>
      <v>2</v>
      <v>11</v>
      <v>3</v>
      <v>11</v>
      <v>11</v>
      <v>11</v>
      <v>4</v>
      <v>4</v>
      <v>5</v>
      <v>12</v>
      <v>11</v>
      <v>11</v>
      <v>11</v>
      <v>4</v>
      <v>7</v>
      <v>8</v>
      <v>9</v>
      <v>4</v>
    </spb>
    <spb s="11">
      <v>3</v>
      <v>Name</v>
    </spb>
    <spb s="12">
      <v>1</v>
      <v>1</v>
      <v>1</v>
    </spb>
    <spb s="0">
      <v>4</v>
      <v>Name</v>
      <v>LearnMoreOnLink</v>
    </spb>
    <spb s="13">
      <v>2</v>
      <v>2</v>
      <v>3</v>
      <v>1</v>
      <v>4</v>
      <v>4</v>
      <v>6</v>
      <v>1</v>
      <v>1</v>
      <v>4</v>
      <v>7</v>
      <v>8</v>
      <v>9</v>
      <v>4</v>
    </spb>
    <spb s="14">
      <v>Delayed 15 minutes</v>
      <v>LSE</v>
      <v>GMT</v>
    </spb>
    <spb s="0">
      <v>5</v>
      <v>Name</v>
      <v>LearnMoreOnLink</v>
    </spb>
    <spb s="15">
      <v>1</v>
      <v>2</v>
      <v>2</v>
      <v>1</v>
      <v>3</v>
      <v>1</v>
      <v>1</v>
      <v>1</v>
      <v>4</v>
      <v>4</v>
      <v>5</v>
      <v>6</v>
      <v>1</v>
      <v>1</v>
      <v>1</v>
      <v>4</v>
      <v>7</v>
      <v>8</v>
      <v>9</v>
      <v>4</v>
      <v>1</v>
      <v>1</v>
      <v>5</v>
    </spb>
    <spb s="16">
      <v>at close</v>
      <v>from previous close</v>
      <v>from previous close</v>
      <v>Source: Nasdaq</v>
      <v>GMT</v>
      <v>Delayed 15 minutes</v>
      <v>from close</v>
      <v>from close</v>
    </spb>
    <spb s="0">
      <v>6</v>
      <v>Name</v>
      <v>LearnMoreOnLink</v>
    </spb>
    <spb s="17">
      <v>1</v>
      <v>2</v>
      <v>2</v>
      <v>1</v>
      <v>3</v>
      <v>1</v>
      <v>1</v>
      <v>1</v>
      <v>4</v>
      <v>4</v>
      <v>5</v>
      <v>6</v>
      <v>1</v>
      <v>1</v>
      <v>1</v>
      <v>4</v>
      <v>7</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P/E" t="i"/>
    <k n="Beta" t="i"/>
    <k n="Name" t="i"/>
    <k n="Price" t="i"/>
    <k n="Volume" t="i"/>
    <k n="Employees" t="i"/>
    <k n="Market cap" t="i"/>
    <k n="52 week low" t="i"/>
    <k n="52 week high" t="i"/>
    <k n="Volume average" t="i"/>
    <k n="Last trade time" t="i"/>
    <k n="Year incorporated" t="i"/>
    <k n="`%EntityServiceId" t="i"/>
    <k n="Shares outstanding" t="i"/>
  </s>
  <s>
    <k n="Price"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2" formatCode="0.00"/>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0">
      <rpv i="0">_([$$-en-US]* #,##0.00_);_([$$-en-US]* (#,##0.00);_([$$-en-US]* "-"??_);_(@_)</rpv>
    </rSty>
    <rSty dxfid="5">
      <rpv i="0">#,##0.00</rpv>
    </rSty>
    <rSty>
      <rpv i="1">1</rpv>
    </rSty>
    <rSty dxfid="4">
      <rpv i="0">#,##0</rpv>
    </rSty>
    <rSty dxfid="3"/>
    <rSty dxfid="0">
      <rpv i="0">_([$$-en-US]* #,##0_);_([$$-en-US]* (#,##0);_([$$-en-US]* "-"_);_(@_)</rpv>
    </rSty>
    <rSty dxfid="2"/>
    <rSty dxfid="6">
      <rpv i="0">0</rpv>
    </rSty>
    <rSty dxfid="1">
      <rpv i="0">0.00</rpv>
    </rSty>
    <rSty>
      <rpv i="2">1</rpv>
    </rSty>
    <rSty dxfid="0">
      <rpv i="0">_-[$$-en-AU]* #,##0.00_-;-[$$-en-AU]* #,##0.00_-;_-[$$-en-AU]* "-"??_-;_-@_-</rpv>
    </rSty>
    <rSty dxfid="0">
      <rpv i="0">_-[$$-en-AU]* #,##0_-;-[$$-en-AU]* #,##0_-;_-[$$-en-AU]*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D12CD-FD25-4526-ACA6-314560A7D59C}">
  <dimension ref="A1:I504"/>
  <sheetViews>
    <sheetView topLeftCell="C1" workbookViewId="0">
      <selection activeCell="H1" sqref="H1"/>
    </sheetView>
  </sheetViews>
  <sheetFormatPr defaultRowHeight="14.4" x14ac:dyDescent="0.55000000000000004"/>
  <cols>
    <col min="1" max="1" width="1.7890625" bestFit="1" customWidth="1"/>
    <col min="2" max="2" width="65.68359375" bestFit="1" customWidth="1"/>
    <col min="3" max="3" width="14.68359375" bestFit="1" customWidth="1"/>
    <col min="4" max="4" width="18.41796875" bestFit="1" customWidth="1"/>
    <col min="8" max="8" width="9.734375" bestFit="1" customWidth="1"/>
    <col min="9" max="9" width="12" bestFit="1" customWidth="1"/>
  </cols>
  <sheetData>
    <row r="1" spans="1:9" x14ac:dyDescent="0.55000000000000004">
      <c r="A1" t="s">
        <v>114</v>
      </c>
      <c r="B1" t="s">
        <v>109</v>
      </c>
      <c r="C1" t="s">
        <v>108</v>
      </c>
      <c r="D1" t="s">
        <v>110</v>
      </c>
      <c r="E1" t="s">
        <v>111</v>
      </c>
      <c r="F1" t="s">
        <v>112</v>
      </c>
      <c r="G1" t="s">
        <v>107</v>
      </c>
      <c r="H1" t="s">
        <v>47</v>
      </c>
      <c r="I1" t="s">
        <v>113</v>
      </c>
    </row>
    <row r="2" spans="1:9" x14ac:dyDescent="0.55000000000000004">
      <c r="B2" s="24" t="e" vm="1">
        <v>#VALUE!</v>
      </c>
      <c r="C2" s="27" cm="1">
        <f t="array" ref="C2">_FV(B2,"Shares outstanding",TRUE)</f>
        <v>24600000000</v>
      </c>
      <c r="D2" s="30" cm="1">
        <f t="array" ref="D2">_FV(B2,"Market cap",TRUE)</f>
        <v>3126295920000</v>
      </c>
      <c r="E2" s="26" cm="1">
        <f t="array" ref="E2">_FV(B2,"Beta")</f>
        <v>1.6768000000000001</v>
      </c>
      <c r="F2" t="str" cm="1">
        <f t="array" ref="F2">_FV(B2,"Industry")</f>
        <v>Semiconductors &amp; Semiconductor Equipment</v>
      </c>
      <c r="G2" s="26" cm="1">
        <f t="array" ref="G2">_FV(B2,"P/E",TRUE)</f>
        <v>75.712500000000006</v>
      </c>
      <c r="H2" s="28" cm="1">
        <f t="array" ref="H2">_FV(B2,"Price")</f>
        <v>127.0852</v>
      </c>
      <c r="I2" s="32">
        <f>D2/$D$504</f>
        <v>6.0587821877864288E-2</v>
      </c>
    </row>
    <row r="3" spans="1:9" x14ac:dyDescent="0.55000000000000004">
      <c r="B3" s="25" t="e" vm="2">
        <v>#VALUE!</v>
      </c>
      <c r="C3" s="27" cm="1">
        <f t="array" ref="C3">_FV(B3,"Shares outstanding",TRUE)</f>
        <v>7433039000</v>
      </c>
      <c r="D3" s="30" cm="1">
        <f t="array" ref="D3">_FV(B3,"Market cap",TRUE)</f>
        <v>3077278146000</v>
      </c>
      <c r="E3" s="26" cm="1">
        <f t="array" ref="E3">_FV(B3,"Beta")</f>
        <v>0.89570000000000005</v>
      </c>
      <c r="F3" t="str" cm="1">
        <f t="array" ref="F3">_FV(B3,"Industry")</f>
        <v>Software &amp; IT Services</v>
      </c>
      <c r="G3" s="26" cm="1">
        <f t="array" ref="G3">_FV(B3,"P/E",TRUE)</f>
        <v>35.3215</v>
      </c>
      <c r="H3" s="28" cm="1">
        <f t="array" ref="H3">_FV(B3,"Price")</f>
        <v>414</v>
      </c>
      <c r="I3" s="32">
        <f t="shared" ref="I3:I66" si="0">D3/$D$504</f>
        <v>5.9637854172964043E-2</v>
      </c>
    </row>
    <row r="4" spans="1:9" x14ac:dyDescent="0.55000000000000004">
      <c r="B4" s="24" t="e" vm="3">
        <v>#VALUE!</v>
      </c>
      <c r="C4" s="27" cm="1">
        <f t="array" ref="C4">_FV(B4,"Shares outstanding",TRUE)</f>
        <v>15204140000</v>
      </c>
      <c r="D4" s="30" cm="1">
        <f t="array" ref="D4">_FV(B4,"Market cap",TRUE)</f>
        <v>3433245332986</v>
      </c>
      <c r="E4" s="26" cm="1">
        <f t="array" ref="E4">_FV(B4,"Beta")</f>
        <v>1.2412000000000001</v>
      </c>
      <c r="F4" t="str" cm="1">
        <f t="array" ref="F4">_FV(B4,"Industry")</f>
        <v>Computers, Phones &amp; Household Electronics</v>
      </c>
      <c r="G4" s="26" cm="1">
        <f t="array" ref="G4">_FV(B4,"P/E",TRUE)</f>
        <v>34.537700000000001</v>
      </c>
      <c r="H4" s="28" cm="1">
        <f t="array" ref="H4">_FV(B4,"Price")</f>
        <v>225.8099</v>
      </c>
      <c r="I4" s="32">
        <f t="shared" si="0"/>
        <v>6.65365218203543E-2</v>
      </c>
    </row>
    <row r="5" spans="1:9" x14ac:dyDescent="0.55000000000000004">
      <c r="B5" s="25" t="e" vm="4">
        <v>#VALUE!</v>
      </c>
      <c r="C5" s="27" cm="1">
        <f t="array" ref="C5">_FV(B5,"Shares outstanding",TRUE)</f>
        <v>10495570000</v>
      </c>
      <c r="D5" s="30" cm="1">
        <f t="array" ref="D5">_FV(B5,"Market cap",TRUE)</f>
        <v>1858135000000</v>
      </c>
      <c r="E5" s="26" cm="1">
        <f t="array" ref="E5">_FV(B5,"Beta")</f>
        <v>1.1451</v>
      </c>
      <c r="F5" t="str" cm="1">
        <f t="array" ref="F5">_FV(B5,"Industry")</f>
        <v>Diversified Retail</v>
      </c>
      <c r="G5" s="26" cm="1">
        <f t="array" ref="G5">_FV(B5,"P/E",TRUE)</f>
        <v>42.124699999999997</v>
      </c>
      <c r="H5" s="28" cm="1">
        <f t="array" ref="H5">_FV(B5,"Price")</f>
        <v>176.01</v>
      </c>
      <c r="I5" s="32">
        <f t="shared" si="0"/>
        <v>3.6010779301092317E-2</v>
      </c>
    </row>
    <row r="6" spans="1:9" x14ac:dyDescent="0.55000000000000004">
      <c r="B6" s="24" t="e" vm="5">
        <v>#VALUE!</v>
      </c>
      <c r="C6" s="27" cm="1">
        <f t="array" ref="C6">_FV(B6,"Shares outstanding",TRUE)</f>
        <v>2529817000</v>
      </c>
      <c r="D6" s="30" cm="1">
        <f t="array" ref="D6">_FV(B6,"Market cap",TRUE)</f>
        <v>1318358473576</v>
      </c>
      <c r="E6" s="26" cm="1">
        <f t="array" ref="E6">_FV(B6,"Beta")</f>
        <v>1.2105999999999999</v>
      </c>
      <c r="F6" t="str" cm="1">
        <f t="array" ref="F6">_FV(B6,"Industry")</f>
        <v>Software &amp; IT Services</v>
      </c>
      <c r="G6" s="26" cm="1">
        <f t="array" ref="G6">_FV(B6,"P/E",TRUE)</f>
        <v>26.624300000000002</v>
      </c>
      <c r="H6" s="28" cm="1">
        <f t="array" ref="H6">_FV(B6,"Price")</f>
        <v>521.12800000000004</v>
      </c>
      <c r="I6" s="32">
        <f t="shared" si="0"/>
        <v>2.554987448795178E-2</v>
      </c>
    </row>
    <row r="7" spans="1:9" x14ac:dyDescent="0.55000000000000004">
      <c r="B7" s="25" t="e" vm="6">
        <v>#VALUE!</v>
      </c>
      <c r="C7" s="27" cm="1">
        <f t="array" ref="C7">_FV(B7,"Shares outstanding",TRUE)</f>
        <v>12310000000</v>
      </c>
      <c r="D7" s="30" cm="1">
        <f t="array" ref="D7">_FV(B7,"Market cap",TRUE)</f>
        <v>2048891000000</v>
      </c>
      <c r="E7" s="26" cm="1">
        <f t="array" ref="E7">_FV(B7,"Beta")</f>
        <v>1.0410999999999999</v>
      </c>
      <c r="F7" t="str" cm="1">
        <f t="array" ref="F7">_FV(B7,"Industry")</f>
        <v>Software &amp; IT Services</v>
      </c>
      <c r="G7" s="26" cm="1">
        <f t="array" ref="G7">_FV(B7,"P/E",TRUE)</f>
        <v>23.761500000000002</v>
      </c>
      <c r="H7" s="28" cm="1">
        <f t="array" ref="H7">_FV(B7,"Price")</f>
        <v>165.88499999999999</v>
      </c>
      <c r="I7" s="32">
        <f t="shared" si="0"/>
        <v>3.9707643208375248E-2</v>
      </c>
    </row>
    <row r="8" spans="1:9" x14ac:dyDescent="0.55000000000000004">
      <c r="B8" s="24" t="e" vm="7">
        <v>#VALUE!</v>
      </c>
      <c r="C8" s="27" cm="1">
        <f t="array" ref="C8">_FV(B8,"Shares outstanding",TRUE)</f>
        <v>12310000000</v>
      </c>
      <c r="D8" s="30" cm="1">
        <f t="array" ref="D8">_FV(B8,"Market cap",TRUE)</f>
        <v>2048891000000</v>
      </c>
      <c r="E8" s="26" cm="1">
        <f t="array" ref="E8">_FV(B8,"Beta")</f>
        <v>1.0410999999999999</v>
      </c>
      <c r="F8" t="str" cm="1">
        <f t="array" ref="F8">_FV(B8,"Industry")</f>
        <v>Software &amp; IT Services</v>
      </c>
      <c r="G8" s="26" cm="1">
        <f t="array" ref="G8">_FV(B8,"P/E",TRUE)</f>
        <v>24.013300000000001</v>
      </c>
      <c r="H8" s="28" cm="1">
        <f t="array" ref="H8">_FV(B8,"Price")</f>
        <v>167.71</v>
      </c>
      <c r="I8" s="32">
        <f t="shared" si="0"/>
        <v>3.9707643208375248E-2</v>
      </c>
    </row>
    <row r="9" spans="1:9" x14ac:dyDescent="0.55000000000000004">
      <c r="B9" s="25" t="e" vm="8">
        <v>#VALUE!</v>
      </c>
      <c r="C9" s="27" cm="1">
        <f t="array" ref="C9">_FV(B9,"Shares outstanding",TRUE)</f>
        <v>4654884000</v>
      </c>
      <c r="D9" s="30" cm="1">
        <f t="array" ref="D9">_FV(B9,"Market cap",TRUE)</f>
        <v>748319151840</v>
      </c>
      <c r="E9" s="26" cm="1">
        <f t="array" ref="E9">_FV(B9,"Beta")</f>
        <v>1.1832</v>
      </c>
      <c r="F9" t="str" cm="1">
        <f t="array" ref="F9">_FV(B9,"Industry")</f>
        <v>Semiconductors &amp; Semiconductor Equipment</v>
      </c>
      <c r="G9" s="26" cm="1">
        <f t="array" ref="G9">_FV(B9,"P/E",TRUE)</f>
        <v>71.778099999999995</v>
      </c>
      <c r="H9" s="28" cm="1">
        <f t="array" ref="H9">_FV(B9,"Price")</f>
        <v>160.76</v>
      </c>
      <c r="I9" s="32">
        <f t="shared" si="0"/>
        <v>1.4502474698388884E-2</v>
      </c>
    </row>
    <row r="10" spans="1:9" x14ac:dyDescent="0.55000000000000004">
      <c r="B10" s="24" t="e" vm="9">
        <v>#VALUE!</v>
      </c>
      <c r="C10" s="27" cm="1">
        <f t="array" ref="C10">_FV(B10,"Shares outstanding",TRUE)</f>
        <v>1427490</v>
      </c>
      <c r="D10" s="30" cm="1">
        <f t="array" ref="D10">_FV(B10,"Market cap",TRUE)</f>
        <v>970937400000</v>
      </c>
      <c r="E10" s="26" cm="1">
        <f t="array" ref="E10">_FV(B10,"Beta")</f>
        <v>0.86850000000000005</v>
      </c>
      <c r="F10" t="str" cm="1">
        <f t="array" ref="F10">_FV(B10,"Industry")</f>
        <v>Consumer Goods Conglomerates</v>
      </c>
      <c r="G10" s="26" cm="1">
        <f t="array" ref="G10">_FV(B10,"P/E",TRUE)</f>
        <v>10.315799999999999</v>
      </c>
      <c r="H10" s="28" cm="1">
        <f t="array" ref="H10">_FV(B10,"Price")</f>
        <v>456.82</v>
      </c>
      <c r="I10" s="32">
        <f t="shared" si="0"/>
        <v>1.8816831084165785E-2</v>
      </c>
    </row>
    <row r="11" spans="1:9" x14ac:dyDescent="0.55000000000000004">
      <c r="B11" s="25" t="e" vm="10">
        <v>#VALUE!</v>
      </c>
      <c r="C11" s="27" cm="1">
        <f t="array" ref="C11">_FV(B11,"Shares outstanding",TRUE)</f>
        <v>950425800</v>
      </c>
      <c r="D11" s="30" cm="1">
        <f t="array" ref="D11">_FV(B11,"Market cap",TRUE)</f>
        <v>907048366488</v>
      </c>
      <c r="E11" s="26" cm="1">
        <f t="array" ref="E11">_FV(B11,"Beta")</f>
        <v>0.41839999999999999</v>
      </c>
      <c r="F11" t="str" cm="1">
        <f t="array" ref="F11">_FV(B11,"Industry")</f>
        <v>Pharmaceuticals</v>
      </c>
      <c r="G11" s="26" cm="1">
        <f t="array" ref="G11">_FV(B11,"P/E",TRUE)</f>
        <v>117.27670000000001</v>
      </c>
      <c r="H11" s="28" cm="1">
        <f t="array" ref="H11">_FV(B11,"Price")</f>
        <v>954.36</v>
      </c>
      <c r="I11" s="32">
        <f t="shared" si="0"/>
        <v>1.7578657385505181E-2</v>
      </c>
    </row>
    <row r="12" spans="1:9" x14ac:dyDescent="0.55000000000000004">
      <c r="B12" s="24" t="e" vm="11">
        <v>#VALUE!</v>
      </c>
      <c r="C12" s="27" cm="1">
        <f t="array" ref="C12">_FV(B12,"Shares outstanding",TRUE)</f>
        <v>2845165000</v>
      </c>
      <c r="D12" s="30" cm="1">
        <f t="array" ref="D12">_FV(B12,"Market cap",TRUE)</f>
        <v>622493650350</v>
      </c>
      <c r="E12" s="26" cm="1">
        <f t="array" ref="E12">_FV(B12,"Beta")</f>
        <v>1.1053999999999999</v>
      </c>
      <c r="F12" t="str" cm="1">
        <f t="array" ref="F12">_FV(B12,"Industry")</f>
        <v>Banking Services</v>
      </c>
      <c r="G12" s="26" cm="1">
        <f t="array" ref="G12">_FV(B12,"P/E",TRUE)</f>
        <v>12.167400000000001</v>
      </c>
      <c r="H12" s="28" cm="1">
        <f t="array" ref="H12">_FV(B12,"Price")</f>
        <v>218.79</v>
      </c>
      <c r="I12" s="32">
        <f t="shared" si="0"/>
        <v>1.2063968150368609E-2</v>
      </c>
    </row>
    <row r="13" spans="1:9" x14ac:dyDescent="0.55000000000000004">
      <c r="B13" s="25" t="e" vm="12">
        <v>#VALUE!</v>
      </c>
      <c r="C13" s="27" cm="1">
        <f t="array" ref="C13">_FV(B13,"Shares outstanding",TRUE)</f>
        <v>3189196000</v>
      </c>
      <c r="D13" s="30" cm="1">
        <f t="array" ref="D13">_FV(B13,"Market cap",TRUE)</f>
        <v>682280646260</v>
      </c>
      <c r="E13" s="26" cm="1">
        <f t="array" ref="E13">_FV(B13,"Beta")</f>
        <v>2.294</v>
      </c>
      <c r="F13" t="str" cm="1">
        <f t="array" ref="F13">_FV(B13,"Industry")</f>
        <v>Automobiles &amp; Auto Parts</v>
      </c>
      <c r="G13" s="26" cm="1">
        <f t="array" ref="G13">_FV(B13,"P/E",TRUE)</f>
        <v>61.932499999999997</v>
      </c>
      <c r="H13" s="28" cm="1">
        <f t="array" ref="H13">_FV(B13,"Price")</f>
        <v>213.935</v>
      </c>
      <c r="I13" s="32">
        <f t="shared" si="0"/>
        <v>1.3222644088764E-2</v>
      </c>
    </row>
    <row r="14" spans="1:9" x14ac:dyDescent="0.55000000000000004">
      <c r="B14" s="24" t="e" vm="13">
        <v>#VALUE!</v>
      </c>
      <c r="C14" s="27" cm="1">
        <f t="array" ref="C14">_FV(B14,"Shares outstanding",TRUE)</f>
        <v>4443000000</v>
      </c>
      <c r="D14" s="30" cm="1">
        <f t="array" ref="D14">_FV(B14,"Market cap",TRUE)</f>
        <v>523318755000</v>
      </c>
      <c r="E14" s="26" cm="1">
        <f t="array" ref="E14">_FV(B14,"Beta")</f>
        <v>0.87870000000000004</v>
      </c>
      <c r="F14" t="str" cm="1">
        <f t="array" ref="F14">_FV(B14,"Industry")</f>
        <v>Oil &amp; Gas</v>
      </c>
      <c r="G14" s="26" cm="1">
        <f t="array" ref="G14">_FV(B14,"P/E",TRUE)</f>
        <v>13.940899999999999</v>
      </c>
      <c r="H14" s="28" cm="1">
        <f t="array" ref="H14">_FV(B14,"Price")</f>
        <v>117.785</v>
      </c>
      <c r="I14" s="32">
        <f t="shared" si="0"/>
        <v>1.0141952113504885E-2</v>
      </c>
    </row>
    <row r="15" spans="1:9" x14ac:dyDescent="0.55000000000000004">
      <c r="B15" s="25" t="e" vm="14">
        <v>#VALUE!</v>
      </c>
      <c r="C15" s="27" cm="1">
        <f t="array" ref="C15">_FV(B15,"Shares outstanding",TRUE)</f>
        <v>923418200</v>
      </c>
      <c r="D15" s="30" cm="1">
        <f t="array" ref="D15">_FV(B15,"Market cap",TRUE)</f>
        <v>541196938656</v>
      </c>
      <c r="E15" s="26" cm="1">
        <f t="array" ref="E15">_FV(B15,"Beta")</f>
        <v>0.59179999999999999</v>
      </c>
      <c r="F15" t="str" cm="1">
        <f t="array" ref="F15">_FV(B15,"Industry")</f>
        <v>Healthcare Providers &amp; Services</v>
      </c>
      <c r="G15" s="26" cm="1">
        <f t="array" ref="G15">_FV(B15,"P/E",TRUE)</f>
        <v>38.692599999999999</v>
      </c>
      <c r="H15" s="28" cm="1">
        <f t="array" ref="H15">_FV(B15,"Price")</f>
        <v>586.08000000000004</v>
      </c>
      <c r="I15" s="32">
        <f t="shared" si="0"/>
        <v>1.0488432496222295E-2</v>
      </c>
    </row>
    <row r="16" spans="1:9" x14ac:dyDescent="0.55000000000000004">
      <c r="B16" s="24" t="e" vm="15">
        <v>#VALUE!</v>
      </c>
      <c r="C16" s="27" cm="1">
        <f t="array" ref="C16">_FV(B16,"Shares outstanding",TRUE)</f>
        <v>1975907000</v>
      </c>
      <c r="D16" s="30" cm="1">
        <f t="array" ref="D16">_FV(B16,"Market cap",TRUE)</f>
        <v>531746212305</v>
      </c>
      <c r="E16" s="26" cm="1">
        <f t="array" ref="E16">_FV(B16,"Beta")</f>
        <v>0.95879999999999999</v>
      </c>
      <c r="F16" t="str" cm="1">
        <f t="array" ref="F16">_FV(B16,"Industry")</f>
        <v>Software &amp; IT Services</v>
      </c>
      <c r="G16" s="26" cm="1">
        <f t="array" ref="G16">_FV(B16,"P/E",TRUE)</f>
        <v>28.620999999999999</v>
      </c>
      <c r="H16" s="28" cm="1">
        <f t="array" ref="H16">_FV(B16,"Price")</f>
        <v>269.11500000000001</v>
      </c>
      <c r="I16" s="32">
        <f t="shared" si="0"/>
        <v>1.0305276793939694E-2</v>
      </c>
    </row>
    <row r="17" spans="2:9" x14ac:dyDescent="0.55000000000000004">
      <c r="B17" s="25" t="e" vm="16">
        <v>#VALUE!</v>
      </c>
      <c r="C17" s="27" cm="1">
        <f t="array" ref="C17">_FV(B17,"Shares outstanding",TRUE)</f>
        <v>2354051000</v>
      </c>
      <c r="D17" s="30" cm="1">
        <f t="array" ref="D17">_FV(B17,"Market cap",TRUE)</f>
        <v>400638293741</v>
      </c>
      <c r="E17" s="26" cm="1">
        <f t="array" ref="E17">_FV(B17,"Beta")</f>
        <v>0.40670000000000001</v>
      </c>
      <c r="F17" t="str" cm="1">
        <f t="array" ref="F17">_FV(B17,"Industry")</f>
        <v>Personal &amp; Household Products &amp; Services</v>
      </c>
      <c r="G17" s="26" cm="1">
        <f t="array" ref="G17">_FV(B17,"P/E",TRUE)</f>
        <v>28.106000000000002</v>
      </c>
      <c r="H17" s="28" cm="1">
        <f t="array" ref="H17">_FV(B17,"Price")</f>
        <v>170.191</v>
      </c>
      <c r="I17" s="32">
        <f t="shared" si="0"/>
        <v>7.7643966533504543E-3</v>
      </c>
    </row>
    <row r="18" spans="2:9" x14ac:dyDescent="0.55000000000000004">
      <c r="B18" s="24" t="e" vm="17">
        <v>#VALUE!</v>
      </c>
      <c r="C18" s="27" cm="1">
        <f t="array" ref="C18">_FV(B18,"Shares outstanding",TRUE)</f>
        <v>443335000</v>
      </c>
      <c r="D18" s="30" cm="1">
        <f t="array" ref="D18">_FV(B18,"Market cap",TRUE)</f>
        <v>394257771166</v>
      </c>
      <c r="E18" s="26" cm="1">
        <f t="array" ref="E18">_FV(B18,"Beta")</f>
        <v>0.7944</v>
      </c>
      <c r="F18" t="str" cm="1">
        <f t="array" ref="F18">_FV(B18,"Industry")</f>
        <v>Diversified Retail</v>
      </c>
      <c r="G18" s="26" cm="1">
        <f t="array" ref="G18">_FV(B18,"P/E",TRUE)</f>
        <v>54.4955</v>
      </c>
      <c r="H18" s="28" cm="1">
        <f t="array" ref="H18">_FV(B18,"Price")</f>
        <v>889.29989999999998</v>
      </c>
      <c r="I18" s="32">
        <f t="shared" si="0"/>
        <v>7.6407417034819233E-3</v>
      </c>
    </row>
    <row r="19" spans="2:9" x14ac:dyDescent="0.55000000000000004">
      <c r="B19" s="25" t="e" vm="18">
        <v>#VALUE!</v>
      </c>
      <c r="C19" s="27" cm="1">
        <f t="array" ref="C19">_FV(B19,"Shares outstanding",TRUE)</f>
        <v>923835000</v>
      </c>
      <c r="D19" s="30" cm="1">
        <f t="array" ref="D19">_FV(B19,"Market cap",TRUE)</f>
        <v>433962252900</v>
      </c>
      <c r="E19" s="26" cm="1">
        <f t="array" ref="E19">_FV(B19,"Beta")</f>
        <v>1.0992999999999999</v>
      </c>
      <c r="F19" t="str" cm="1">
        <f t="array" ref="F19">_FV(B19,"Industry")</f>
        <v>Software &amp; IT Services</v>
      </c>
      <c r="G19" s="26" cm="1">
        <f t="array" ref="G19">_FV(B19,"P/E",TRUE)</f>
        <v>35.603900000000003</v>
      </c>
      <c r="H19" s="28" cm="1">
        <f t="array" ref="H19">_FV(B19,"Price")</f>
        <v>469.74</v>
      </c>
      <c r="I19" s="32">
        <f t="shared" si="0"/>
        <v>8.4102171877644561E-3</v>
      </c>
    </row>
    <row r="20" spans="2:9" x14ac:dyDescent="0.55000000000000004">
      <c r="B20" s="24" t="e" vm="19">
        <v>#VALUE!</v>
      </c>
      <c r="C20" s="27" cm="1">
        <f t="array" ref="C20">_FV(B20,"Shares outstanding",TRUE)</f>
        <v>993293400</v>
      </c>
      <c r="D20" s="30" cm="1">
        <f t="array" ref="D20">_FV(B20,"Market cap",TRUE)</f>
        <v>373244894451</v>
      </c>
      <c r="E20" s="26" cm="1">
        <f t="array" ref="E20">_FV(B20,"Beta")</f>
        <v>1.0049999999999999</v>
      </c>
      <c r="F20" t="str" cm="1">
        <f t="array" ref="F20">_FV(B20,"Industry")</f>
        <v>Specialty Retailers</v>
      </c>
      <c r="G20" s="26" cm="1">
        <f t="array" ref="G20">_FV(B20,"P/E",TRUE)</f>
        <v>25.282299999999999</v>
      </c>
      <c r="H20" s="28" cm="1">
        <f t="array" ref="H20">_FV(B20,"Price")</f>
        <v>375.76499999999999</v>
      </c>
      <c r="I20" s="32">
        <f t="shared" si="0"/>
        <v>7.2335107617769734E-3</v>
      </c>
    </row>
    <row r="21" spans="2:9" x14ac:dyDescent="0.55000000000000004">
      <c r="B21" s="25" t="e" vm="20">
        <v>#VALUE!</v>
      </c>
      <c r="C21" s="27" cm="1">
        <f t="array" ref="C21">_FV(B21,"Shares outstanding",TRUE)</f>
        <v>2407244000</v>
      </c>
      <c r="D21" s="30" cm="1">
        <f t="array" ref="D21">_FV(B21,"Market cap",TRUE)</f>
        <v>396834173400</v>
      </c>
      <c r="E21" s="26" cm="1">
        <f t="array" ref="E21">_FV(B21,"Beta")</f>
        <v>0.51839999999999997</v>
      </c>
      <c r="F21" t="str" cm="1">
        <f t="array" ref="F21">_FV(B21,"Industry")</f>
        <v>Pharmaceuticals</v>
      </c>
      <c r="G21" s="26" cm="1">
        <f t="array" ref="G21">_FV(B21,"P/E",TRUE)</f>
        <v>24.626300000000001</v>
      </c>
      <c r="H21" s="28" cm="1">
        <f t="array" ref="H21">_FV(B21,"Price")</f>
        <v>164.85</v>
      </c>
      <c r="I21" s="32">
        <f t="shared" si="0"/>
        <v>7.690672549324349E-3</v>
      </c>
    </row>
    <row r="22" spans="2:9" x14ac:dyDescent="0.55000000000000004">
      <c r="B22" s="24" t="e" vm="21">
        <v>#VALUE!</v>
      </c>
      <c r="C22" s="27" cm="1">
        <f t="array" ref="C22">_FV(B22,"Shares outstanding",TRUE)</f>
        <v>2534809000</v>
      </c>
      <c r="D22" s="30" cm="1">
        <f t="array" ref="D22">_FV(B22,"Market cap",TRUE)</f>
        <v>295406640860</v>
      </c>
      <c r="E22" s="26" cm="1">
        <f t="array" ref="E22">_FV(B22,"Beta")</f>
        <v>0.40210000000000001</v>
      </c>
      <c r="F22" t="str" cm="1">
        <f t="array" ref="F22">_FV(B22,"Industry")</f>
        <v>Pharmaceuticals</v>
      </c>
      <c r="G22" s="26" cm="1">
        <f t="array" ref="G22">_FV(B22,"P/E",TRUE)</f>
        <v>21.630500000000001</v>
      </c>
      <c r="H22" s="28" cm="1">
        <f t="array" ref="H22">_FV(B22,"Price")</f>
        <v>116.54</v>
      </c>
      <c r="I22" s="32">
        <f t="shared" si="0"/>
        <v>5.7250002546028675E-3</v>
      </c>
    </row>
    <row r="23" spans="2:9" x14ac:dyDescent="0.55000000000000004">
      <c r="B23" s="25" t="e" vm="22">
        <v>#VALUE!</v>
      </c>
      <c r="C23" s="27" cm="1">
        <f t="array" ref="C23">_FV(B23,"Shares outstanding",TRUE)</f>
        <v>1766344000</v>
      </c>
      <c r="D23" s="30" cm="1">
        <f t="array" ref="D23">_FV(B23,"Market cap",TRUE)</f>
        <v>348164065840</v>
      </c>
      <c r="E23" s="26" cm="1">
        <f t="array" ref="E23">_FV(B23,"Beta")</f>
        <v>0.62250000000000005</v>
      </c>
      <c r="F23" t="str" cm="1">
        <f t="array" ref="F23">_FV(B23,"Industry")</f>
        <v>Pharmaceuticals</v>
      </c>
      <c r="G23" s="26" cm="1">
        <f t="array" ref="G23">_FV(B23,"P/E",TRUE)</f>
        <v>66.100099999999998</v>
      </c>
      <c r="H23" s="28" cm="1">
        <f t="array" ref="H23">_FV(B23,"Price")</f>
        <v>197.11</v>
      </c>
      <c r="I23" s="32">
        <f t="shared" si="0"/>
        <v>6.747442643045427E-3</v>
      </c>
    </row>
    <row r="24" spans="2:9" x14ac:dyDescent="0.55000000000000004">
      <c r="B24" s="24" t="e" vm="23">
        <v>#VALUE!</v>
      </c>
      <c r="C24" s="27" cm="1">
        <f t="array" ref="C24">_FV(B24,"Shares outstanding",TRUE)</f>
        <v>429164600</v>
      </c>
      <c r="D24" s="30" cm="1">
        <f t="array" ref="D24">_FV(B24,"Market cap",TRUE)</f>
        <v>295690117754</v>
      </c>
      <c r="E24" s="26" cm="1">
        <f t="array" ref="E24">_FV(B24,"Beta")</f>
        <v>1.256</v>
      </c>
      <c r="F24" t="str" cm="1">
        <f t="array" ref="F24">_FV(B24,"Industry")</f>
        <v>Software &amp; IT Services</v>
      </c>
      <c r="G24" s="26" cm="1">
        <f t="array" ref="G24">_FV(B24,"P/E",TRUE)</f>
        <v>42.911799999999999</v>
      </c>
      <c r="H24" s="28" cm="1">
        <f t="array" ref="H24">_FV(B24,"Price")</f>
        <v>688.99</v>
      </c>
      <c r="I24" s="32">
        <f t="shared" si="0"/>
        <v>5.7304940555736221E-3</v>
      </c>
    </row>
    <row r="25" spans="2:9" x14ac:dyDescent="0.55000000000000004">
      <c r="B25" s="25" t="e" vm="24">
        <v>#VALUE!</v>
      </c>
      <c r="C25" s="27" cm="1">
        <f t="array" ref="C25">_FV(B25,"Shares outstanding",TRUE)</f>
        <v>8043543000</v>
      </c>
      <c r="D25" s="30" cm="1">
        <f t="array" ref="D25">_FV(B25,"Market cap",TRUE)</f>
        <v>611389703430</v>
      </c>
      <c r="E25" s="26" cm="1">
        <f t="array" ref="E25">_FV(B25,"Beta")</f>
        <v>0.51290000000000002</v>
      </c>
      <c r="F25" t="str" cm="1">
        <f t="array" ref="F25">_FV(B25,"Industry")</f>
        <v>Food &amp; Drug Retailing</v>
      </c>
      <c r="G25" s="26" cm="1">
        <f t="array" ref="G25">_FV(B25,"P/E",TRUE)</f>
        <v>51.550800000000002</v>
      </c>
      <c r="H25" s="28" cm="1">
        <f t="array" ref="H25">_FV(B25,"Price")</f>
        <v>76.010000000000005</v>
      </c>
      <c r="I25" s="32">
        <f t="shared" si="0"/>
        <v>1.1848772924022212E-2</v>
      </c>
    </row>
    <row r="26" spans="2:9" x14ac:dyDescent="0.55000000000000004">
      <c r="B26" s="24" t="e" vm="25">
        <v>#VALUE!</v>
      </c>
      <c r="C26" s="27" cm="1">
        <f t="array" ref="C26">_FV(B26,"Shares outstanding",TRUE)</f>
        <v>7759578000</v>
      </c>
      <c r="D26" s="30" cm="1">
        <f t="array" ref="D26">_FV(B26,"Market cap",TRUE)</f>
        <v>309403861256</v>
      </c>
      <c r="E26" s="26" cm="1">
        <f t="array" ref="E26">_FV(B26,"Beta")</f>
        <v>1.3405</v>
      </c>
      <c r="F26" t="str" cm="1">
        <f t="array" ref="F26">_FV(B26,"Industry")</f>
        <v>Banking Services</v>
      </c>
      <c r="G26" s="26" cm="1">
        <f t="array" ref="G26">_FV(B26,"P/E",TRUE)</f>
        <v>14.012</v>
      </c>
      <c r="H26" s="28" cm="1">
        <f t="array" ref="H26">_FV(B26,"Price")</f>
        <v>39.873800000000003</v>
      </c>
      <c r="I26" s="32">
        <f t="shared" si="0"/>
        <v>5.9962673124372579E-3</v>
      </c>
    </row>
    <row r="27" spans="2:9" x14ac:dyDescent="0.55000000000000004">
      <c r="B27" s="25" t="e" vm="26">
        <v>#VALUE!</v>
      </c>
      <c r="C27" s="27" cm="1">
        <f t="array" ref="C27">_FV(B27,"Shares outstanding",TRUE)</f>
        <v>1828917000</v>
      </c>
      <c r="D27" s="30" cm="1">
        <f t="array" ref="D27">_FV(B27,"Market cap",TRUE)</f>
        <v>270460245960</v>
      </c>
      <c r="E27" s="26" cm="1">
        <f t="array" ref="E27">_FV(B27,"Beta")</f>
        <v>1.0815999999999999</v>
      </c>
      <c r="F27" t="str" cm="1">
        <f t="array" ref="F27">_FV(B27,"Industry")</f>
        <v>Oil &amp; Gas</v>
      </c>
      <c r="G27" s="26" cm="1">
        <f t="array" ref="G27">_FV(B27,"P/E",TRUE)</f>
        <v>14.650600000000001</v>
      </c>
      <c r="H27" s="28" cm="1">
        <f t="array" ref="H27">_FV(B27,"Price")</f>
        <v>147.88</v>
      </c>
      <c r="I27" s="32">
        <f t="shared" si="0"/>
        <v>5.2415374700894735E-3</v>
      </c>
    </row>
    <row r="28" spans="2:9" x14ac:dyDescent="0.55000000000000004">
      <c r="B28" s="24" t="e" vm="27">
        <v>#VALUE!</v>
      </c>
      <c r="C28" s="27" cm="1">
        <f t="array" ref="C28">_FV(B28,"Shares outstanding",TRUE)</f>
        <v>1114000000</v>
      </c>
      <c r="D28" s="30" cm="1">
        <f t="array" ref="D28">_FV(B28,"Market cap",TRUE)</f>
        <v>189591660000</v>
      </c>
      <c r="E28" s="26" cm="1">
        <f t="array" ref="E28">_FV(B28,"Beta")</f>
        <v>1.2841</v>
      </c>
      <c r="F28" t="str" cm="1">
        <f t="array" ref="F28">_FV(B28,"Industry")</f>
        <v>Semiconductors &amp; Semiconductor Equipment</v>
      </c>
      <c r="G28" s="26" cm="1">
        <f t="array" ref="G28">_FV(B28,"P/E",TRUE)</f>
        <v>22.206299999999999</v>
      </c>
      <c r="H28" s="28" cm="1">
        <f t="array" ref="H28">_FV(B28,"Price")</f>
        <v>170.19</v>
      </c>
      <c r="I28" s="32">
        <f t="shared" si="0"/>
        <v>3.6742989210082865E-3</v>
      </c>
    </row>
    <row r="29" spans="2:9" x14ac:dyDescent="0.55000000000000004">
      <c r="B29" s="25" t="e" vm="28">
        <v>#VALUE!</v>
      </c>
      <c r="C29" s="27" cm="1">
        <f t="array" ref="C29">_FV(B29,"Shares outstanding",TRUE)</f>
        <v>1618482000</v>
      </c>
      <c r="D29" s="30" cm="1">
        <f t="array" ref="D29">_FV(B29,"Market cap",TRUE)</f>
        <v>243687066026</v>
      </c>
      <c r="E29" s="26" cm="1">
        <f t="array" ref="E29">_FV(B29,"Beta")</f>
        <v>1.6913</v>
      </c>
      <c r="F29" t="str" cm="1">
        <f t="array" ref="F29">_FV(B29,"Industry")</f>
        <v>Semiconductors &amp; Semiconductor Equipment</v>
      </c>
      <c r="G29" s="26" cm="1">
        <f t="array" ref="G29">_FV(B29,"P/E",TRUE)</f>
        <v>186.5206</v>
      </c>
      <c r="H29" s="28" cm="1">
        <f t="array" ref="H29">_FV(B29,"Price")</f>
        <v>150.5652</v>
      </c>
      <c r="I29" s="32">
        <f t="shared" si="0"/>
        <v>4.72267147069131E-3</v>
      </c>
    </row>
    <row r="30" spans="2:9" x14ac:dyDescent="0.55000000000000004">
      <c r="B30" s="24" t="e" vm="29">
        <v>#VALUE!</v>
      </c>
      <c r="C30" s="27" cm="1">
        <f t="array" ref="C30">_FV(B30,"Shares outstanding",TRUE)</f>
        <v>4309868000</v>
      </c>
      <c r="D30" s="30" cm="1">
        <f t="array" ref="D30">_FV(B30,"Market cap",TRUE)</f>
        <v>304729216940</v>
      </c>
      <c r="E30" s="26" cm="1">
        <f t="array" ref="E30">_FV(B30,"Beta")</f>
        <v>0.60499999999999998</v>
      </c>
      <c r="F30" t="str" cm="1">
        <f t="array" ref="F30">_FV(B30,"Industry")</f>
        <v>Beverages</v>
      </c>
      <c r="G30" s="26" cm="1">
        <f t="array" ref="G30">_FV(B30,"P/E",TRUE)</f>
        <v>28.3614</v>
      </c>
      <c r="H30" s="28" cm="1">
        <f t="array" ref="H30">_FV(B30,"Price")</f>
        <v>70.704999999999998</v>
      </c>
      <c r="I30" s="32">
        <f t="shared" si="0"/>
        <v>5.9056723961504526E-3</v>
      </c>
    </row>
    <row r="31" spans="2:9" x14ac:dyDescent="0.55000000000000004">
      <c r="B31" s="25" t="e" vm="30">
        <v>#VALUE!</v>
      </c>
      <c r="C31" s="27" cm="1">
        <f t="array" ref="C31">_FV(B31,"Shares outstanding",TRUE)</f>
        <v>443400000</v>
      </c>
      <c r="D31" s="30" cm="1">
        <f t="array" ref="D31">_FV(B31,"Market cap",TRUE)</f>
        <v>247820694000</v>
      </c>
      <c r="E31" s="26" cm="1">
        <f t="array" ref="E31">_FV(B31,"Beta")</f>
        <v>1.2923</v>
      </c>
      <c r="F31" t="str" cm="1">
        <f t="array" ref="F31">_FV(B31,"Industry")</f>
        <v>Software &amp; IT Services</v>
      </c>
      <c r="G31" s="26" cm="1">
        <f t="array" ref="G31">_FV(B31,"P/E",TRUE)</f>
        <v>50.135100000000001</v>
      </c>
      <c r="H31" s="28" cm="1">
        <f t="array" ref="H31">_FV(B31,"Price")</f>
        <v>558.91</v>
      </c>
      <c r="I31" s="32">
        <f t="shared" si="0"/>
        <v>4.8027814544570405E-3</v>
      </c>
    </row>
    <row r="32" spans="2:9" x14ac:dyDescent="0.55000000000000004">
      <c r="B32" s="24" t="e" vm="31">
        <v>#VALUE!</v>
      </c>
      <c r="C32" s="27" cm="1">
        <f t="array" ref="C32">_FV(B32,"Shares outstanding",TRUE)</f>
        <v>2755860000</v>
      </c>
      <c r="D32" s="30" cm="1">
        <f t="array" ref="D32">_FV(B32,"Market cap",TRUE)</f>
        <v>383036981400</v>
      </c>
      <c r="E32" s="26" cm="1">
        <f t="array" ref="E32">_FV(B32,"Beta")</f>
        <v>1.0003</v>
      </c>
      <c r="F32" t="str" cm="1">
        <f t="array" ref="F32">_FV(B32,"Industry")</f>
        <v>Software &amp; IT Services</v>
      </c>
      <c r="G32" s="26" cm="1">
        <f t="array" ref="G32">_FV(B32,"P/E",TRUE)</f>
        <v>37.541200000000003</v>
      </c>
      <c r="H32" s="28" cm="1">
        <f t="array" ref="H32">_FV(B32,"Price")</f>
        <v>138.99</v>
      </c>
      <c r="I32" s="32">
        <f t="shared" si="0"/>
        <v>7.4232820550455174E-3</v>
      </c>
    </row>
    <row r="33" spans="2:9" x14ac:dyDescent="0.55000000000000004">
      <c r="B33" s="25" t="e" vm="32">
        <v>#VALUE!</v>
      </c>
      <c r="C33" s="27" cm="1">
        <f t="array" ref="C33">_FV(B33,"Shares outstanding",TRUE)</f>
        <v>1373572000</v>
      </c>
      <c r="D33" s="30" cm="1">
        <f t="array" ref="D33">_FV(B33,"Market cap",TRUE)</f>
        <v>241570200000</v>
      </c>
      <c r="E33" s="26" cm="1">
        <f t="array" ref="E33">_FV(B33,"Beta")</f>
        <v>0.54159999999999997</v>
      </c>
      <c r="F33" t="str" cm="1">
        <f t="array" ref="F33">_FV(B33,"Industry")</f>
        <v>Beverages</v>
      </c>
      <c r="G33" s="26" cm="1">
        <f t="array" ref="G33">_FV(B33,"P/E",TRUE)</f>
        <v>25.506900000000002</v>
      </c>
      <c r="H33" s="28" cm="1">
        <f t="array" ref="H33">_FV(B33,"Price")</f>
        <v>176.06</v>
      </c>
      <c r="I33" s="32">
        <f t="shared" si="0"/>
        <v>4.6816464669793808E-3</v>
      </c>
    </row>
    <row r="34" spans="2:9" x14ac:dyDescent="0.55000000000000004">
      <c r="B34" s="24" t="e" vm="33">
        <v>#VALUE!</v>
      </c>
      <c r="C34" s="27" cm="1">
        <f t="array" ref="C34">_FV(B34,"Shares outstanding",TRUE)</f>
        <v>969000000</v>
      </c>
      <c r="D34" s="30" cm="1">
        <f t="array" ref="D34">_FV(B34,"Market cap",TRUE)</f>
        <v>258553425000</v>
      </c>
      <c r="E34" s="26" cm="1">
        <f t="array" ref="E34">_FV(B34,"Beta")</f>
        <v>1.298</v>
      </c>
      <c r="F34" t="str" cm="1">
        <f t="array" ref="F34">_FV(B34,"Industry")</f>
        <v>Software &amp; IT Services</v>
      </c>
      <c r="G34" s="26" cm="1">
        <f t="array" ref="G34">_FV(B34,"P/E",TRUE)</f>
        <v>47.441200000000002</v>
      </c>
      <c r="H34" s="28" cm="1">
        <f t="array" ref="H34">_FV(B34,"Price")</f>
        <v>266.82499999999999</v>
      </c>
      <c r="I34" s="32">
        <f t="shared" si="0"/>
        <v>5.0107824917008312E-3</v>
      </c>
    </row>
    <row r="35" spans="2:9" x14ac:dyDescent="0.55000000000000004">
      <c r="B35" s="25" t="e" vm="34">
        <v>#VALUE!</v>
      </c>
      <c r="C35" s="27" cm="1">
        <f t="array" ref="C35">_FV(B35,"Shares outstanding",TRUE)</f>
        <v>381995600</v>
      </c>
      <c r="D35" s="30" cm="1">
        <f t="array" ref="D35">_FV(B35,"Market cap",TRUE)</f>
        <v>230719612466</v>
      </c>
      <c r="E35" s="26" cm="1">
        <f t="array" ref="E35">_FV(B35,"Beta")</f>
        <v>0.77749999999999997</v>
      </c>
      <c r="F35" t="str" cm="1">
        <f t="array" ref="F35">_FV(B35,"Industry")</f>
        <v>Healthcare Equipment &amp; Supplies</v>
      </c>
      <c r="G35" s="26" cm="1">
        <f t="array" ref="G35">_FV(B35,"P/E",TRUE)</f>
        <v>37.436999999999998</v>
      </c>
      <c r="H35" s="28" cm="1">
        <f t="array" ref="H35">_FV(B35,"Price")</f>
        <v>603.98500000000001</v>
      </c>
      <c r="I35" s="32">
        <f t="shared" si="0"/>
        <v>4.4713613623050385E-3</v>
      </c>
    </row>
    <row r="36" spans="2:9" x14ac:dyDescent="0.55000000000000004">
      <c r="B36" s="24" t="e" vm="35">
        <v>#VALUE!</v>
      </c>
      <c r="C36" s="27" cm="1">
        <f t="array" ref="C36">_FV(B36,"Shares outstanding",TRUE)</f>
        <v>1152922000</v>
      </c>
      <c r="D36" s="31" cm="1">
        <f t="array" ref="D36">_FV(B36,"Market cap",TRUE)</f>
        <v>126821400</v>
      </c>
      <c r="E36" s="26" cm="1">
        <f t="array" ref="E36">_FV(B36,"Beta")</f>
        <v>0.49159999999999998</v>
      </c>
      <c r="F36" t="str" cm="1">
        <f t="array" ref="F36">_FV(B36,"Industry")</f>
        <v>Metals &amp; Mining</v>
      </c>
      <c r="G36" t="e" cm="1" vm="36">
        <f t="array" ref="G36">_FV(B36,"P/E",TRUE)</f>
        <v>#VALUE!</v>
      </c>
      <c r="H36" s="29" cm="1">
        <f t="array" ref="H36">_FV(B36,"Price")</f>
        <v>0.115</v>
      </c>
      <c r="I36" s="32">
        <f t="shared" si="0"/>
        <v>2.4578071270685653E-6</v>
      </c>
    </row>
    <row r="37" spans="2:9" x14ac:dyDescent="0.55000000000000004">
      <c r="B37" s="25" t="e" vm="37">
        <v>#VALUE!</v>
      </c>
      <c r="C37" s="27" cm="1">
        <f t="array" ref="C37">_FV(B37,"Shares outstanding",TRUE)</f>
        <v>3403770000</v>
      </c>
      <c r="D37" s="30" cm="1">
        <f t="array" ref="D37">_FV(B37,"Market cap",TRUE)</f>
        <v>193742588400</v>
      </c>
      <c r="E37" s="26" cm="1">
        <f t="array" ref="E37">_FV(B37,"Beta")</f>
        <v>1.1627000000000001</v>
      </c>
      <c r="F37" t="str" cm="1">
        <f t="array" ref="F37">_FV(B37,"Industry")</f>
        <v>Banking Services</v>
      </c>
      <c r="G37" s="26" cm="1">
        <f t="array" ref="G37">_FV(B37,"P/E",TRUE)</f>
        <v>11.6328</v>
      </c>
      <c r="H37" s="28" cm="1">
        <f t="array" ref="H37">_FV(B37,"Price")</f>
        <v>56.92</v>
      </c>
      <c r="I37" s="32">
        <f t="shared" si="0"/>
        <v>3.7547441881751156E-3</v>
      </c>
    </row>
    <row r="38" spans="2:9" x14ac:dyDescent="0.55000000000000004">
      <c r="B38" s="24" t="e" vm="38">
        <v>#VALUE!</v>
      </c>
      <c r="C38" s="27" cm="1">
        <f t="array" ref="C38">_FV(B38,"Shares outstanding",TRUE)</f>
        <v>824404100</v>
      </c>
      <c r="D38" s="30" cm="1">
        <f t="array" ref="D38">_FV(B38,"Market cap",TRUE)</f>
        <v>162646684889</v>
      </c>
      <c r="E38" s="26" cm="1">
        <f t="array" ref="E38">_FV(B38,"Beta")</f>
        <v>1.5439000000000001</v>
      </c>
      <c r="F38" t="str" cm="1">
        <f t="array" ref="F38">_FV(B38,"Industry")</f>
        <v>Semiconductors &amp; Semiconductor Equipment</v>
      </c>
      <c r="G38" s="26" cm="1">
        <f t="array" ref="G38">_FV(B38,"P/E",TRUE)</f>
        <v>22.774799999999999</v>
      </c>
      <c r="H38" s="28" cm="1">
        <f t="array" ref="H38">_FV(B38,"Price")</f>
        <v>197.29</v>
      </c>
      <c r="I38" s="32">
        <f t="shared" si="0"/>
        <v>3.1521035197077099E-3</v>
      </c>
    </row>
    <row r="39" spans="2:9" x14ac:dyDescent="0.55000000000000004">
      <c r="B39" s="25" t="e" vm="39">
        <v>#VALUE!</v>
      </c>
      <c r="C39" s="27" cm="1">
        <f t="array" ref="C39">_FV(B39,"Shares outstanding",TRUE)</f>
        <v>4028815000</v>
      </c>
      <c r="D39" s="30" cm="1">
        <f t="array" ref="D39">_FV(B39,"Market cap",TRUE)</f>
        <v>204804810525</v>
      </c>
      <c r="E39" s="26" cm="1">
        <f t="array" ref="E39">_FV(B39,"Beta")</f>
        <v>0.82110000000000005</v>
      </c>
      <c r="F39" t="str" cm="1">
        <f t="array" ref="F39">_FV(B39,"Industry")</f>
        <v>Communications &amp; Networking</v>
      </c>
      <c r="G39" s="26" cm="1">
        <f t="array" ref="G39">_FV(B39,"P/E",TRUE)</f>
        <v>19.9984</v>
      </c>
      <c r="H39" s="28" cm="1">
        <f t="array" ref="H39">_FV(B39,"Price")</f>
        <v>50.835000000000001</v>
      </c>
      <c r="I39" s="32">
        <f t="shared" si="0"/>
        <v>3.9691307852323986E-3</v>
      </c>
    </row>
    <row r="40" spans="2:9" x14ac:dyDescent="0.55000000000000004">
      <c r="B40" s="25" t="e" vm="40">
        <v>#VALUE!</v>
      </c>
      <c r="C40" s="27" cm="1">
        <f t="array" ref="C40">_FV(B40,"Shares outstanding",TRUE)</f>
        <v>717343300</v>
      </c>
      <c r="D40" s="30" cm="1">
        <f t="array" ref="D40">_FV(B40,"Market cap",TRUE)</f>
        <v>207122548131</v>
      </c>
      <c r="E40" s="26" cm="1">
        <f t="array" ref="E40">_FV(B40,"Beta")</f>
        <v>0.72199999999999998</v>
      </c>
      <c r="F40" t="str" cm="1">
        <f t="array" ref="F40">_FV(B40,"Industry")</f>
        <v>Hotels &amp; Entertainment Services</v>
      </c>
      <c r="G40" s="26" cm="1">
        <f t="array" ref="G40">_FV(B40,"P/E",TRUE)</f>
        <v>25.334499999999998</v>
      </c>
      <c r="H40" s="28" cm="1">
        <f t="array" ref="H40">_FV(B40,"Price")</f>
        <v>288.73559999999998</v>
      </c>
      <c r="I40" s="32">
        <f t="shared" si="0"/>
        <v>4.0140486934616224E-3</v>
      </c>
    </row>
    <row r="41" spans="2:9" x14ac:dyDescent="0.55000000000000004">
      <c r="B41" s="24" t="e" vm="41">
        <v>#VALUE!</v>
      </c>
      <c r="C41" s="27" cm="1">
        <f t="array" ref="C41">_FV(B41,"Shares outstanding",TRUE)</f>
        <v>1739897000</v>
      </c>
      <c r="D41" s="30" cm="1">
        <f t="array" ref="D41">_FV(B41,"Market cap",TRUE)</f>
        <v>196808449155</v>
      </c>
      <c r="E41" s="26" cm="1">
        <f t="array" ref="E41">_FV(B41,"Beta")</f>
        <v>0.72009999999999996</v>
      </c>
      <c r="F41" t="str" cm="1">
        <f t="array" ref="F41">_FV(B41,"Industry")</f>
        <v>Healthcare Equipment &amp; Supplies</v>
      </c>
      <c r="G41" s="26" cm="1">
        <f t="array" ref="G41">_FV(B41,"P/E",TRUE)</f>
        <v>35.451999999999998</v>
      </c>
      <c r="H41" s="28" cm="1">
        <f t="array" ref="H41">_FV(B41,"Price")</f>
        <v>113.11499999999999</v>
      </c>
      <c r="I41" s="32">
        <f t="shared" si="0"/>
        <v>3.8141607725547138E-3</v>
      </c>
    </row>
    <row r="42" spans="2:9" x14ac:dyDescent="0.55000000000000004">
      <c r="B42" s="25" t="e" vm="42">
        <v>#VALUE!</v>
      </c>
      <c r="C42" s="27" cm="1">
        <f t="array" ref="C42">_FV(B42,"Shares outstanding",TRUE)</f>
        <v>1084311000</v>
      </c>
      <c r="D42" s="30" cm="1">
        <f t="array" ref="D42">_FV(B42,"Market cap",TRUE)</f>
        <v>185726209635</v>
      </c>
      <c r="E42" s="26" cm="1">
        <f t="array" ref="E42">_FV(B42,"Beta")</f>
        <v>1.1843999999999999</v>
      </c>
      <c r="F42" t="str" cm="1">
        <f t="array" ref="F42">_FV(B42,"Industry")</f>
        <v>Consumer Goods Conglomerates</v>
      </c>
      <c r="G42" s="26" cm="1">
        <f t="array" ref="G42">_FV(B42,"P/E",TRUE)</f>
        <v>39.9664</v>
      </c>
      <c r="H42" s="28" cm="1">
        <f t="array" ref="H42">_FV(B42,"Price")</f>
        <v>171.285</v>
      </c>
      <c r="I42" s="32">
        <f t="shared" si="0"/>
        <v>3.5993862370572592E-3</v>
      </c>
    </row>
    <row r="43" spans="2:9" x14ac:dyDescent="0.55000000000000004">
      <c r="B43" s="24" t="e" vm="43">
        <v>#VALUE!</v>
      </c>
      <c r="C43" s="27" cm="1">
        <f t="array" ref="C43">_FV(B43,"Shares outstanding",TRUE)</f>
        <v>626384400</v>
      </c>
      <c r="D43" s="30" cm="1">
        <f t="array" ref="D43">_FV(B43,"Market cap",TRUE)</f>
        <v>210286638845</v>
      </c>
      <c r="E43" s="26" cm="1">
        <f t="array" ref="E43">_FV(B43,"Beta")</f>
        <v>1.2361</v>
      </c>
      <c r="F43" t="str" cm="1">
        <f t="array" ref="F43">_FV(B43,"Industry")</f>
        <v>Software &amp; IT Services</v>
      </c>
      <c r="G43" s="26" cm="1">
        <f t="array" ref="G43">_FV(B43,"P/E",TRUE)</f>
        <v>30.502500000000001</v>
      </c>
      <c r="H43" s="28" cm="1">
        <f t="array" ref="H43">_FV(B43,"Price")</f>
        <v>335.71499999999997</v>
      </c>
      <c r="I43" s="32">
        <f t="shared" si="0"/>
        <v>4.0753689809490705E-3</v>
      </c>
    </row>
    <row r="44" spans="2:9" x14ac:dyDescent="0.55000000000000004">
      <c r="B44" s="25" t="e" vm="44">
        <v>#VALUE!</v>
      </c>
      <c r="C44" s="27" cm="1">
        <f t="array" ref="C44">_FV(B44,"Shares outstanding",TRUE)</f>
        <v>913046000</v>
      </c>
      <c r="D44" s="30" cm="1">
        <f t="array" ref="D44">_FV(B44,"Market cap",TRUE)</f>
        <v>190561830660</v>
      </c>
      <c r="E44" s="26" cm="1">
        <f t="array" ref="E44">_FV(B44,"Beta")</f>
        <v>0.97550000000000003</v>
      </c>
      <c r="F44" t="str" cm="1">
        <f t="array" ref="F44">_FV(B44,"Industry")</f>
        <v>Semiconductors &amp; Semiconductor Equipment</v>
      </c>
      <c r="G44" s="26" cm="1">
        <f t="array" ref="G44">_FV(B44,"P/E",TRUE)</f>
        <v>36.417299999999997</v>
      </c>
      <c r="H44" s="28" cm="1">
        <f t="array" ref="H44">_FV(B44,"Price")</f>
        <v>208.71</v>
      </c>
      <c r="I44" s="32">
        <f t="shared" si="0"/>
        <v>3.693100892620497E-3</v>
      </c>
    </row>
    <row r="45" spans="2:9" x14ac:dyDescent="0.55000000000000004">
      <c r="B45" s="24" t="e" vm="45">
        <v>#VALUE!</v>
      </c>
      <c r="C45" s="27" cm="1">
        <f t="array" ref="C45">_FV(B45,"Shares outstanding",TRUE)</f>
        <v>279547000</v>
      </c>
      <c r="D45" s="30" cm="1">
        <f t="array" ref="D45">_FV(B45,"Market cap",TRUE)</f>
        <v>173273014745</v>
      </c>
      <c r="E45" s="26" cm="1">
        <f t="array" ref="E45">_FV(B45,"Beta")</f>
        <v>1.2403</v>
      </c>
      <c r="F45" t="str" cm="1">
        <f t="array" ref="F45">_FV(B45,"Industry")</f>
        <v>Financial Technology (Fintech) &amp; Infrastructure</v>
      </c>
      <c r="G45" s="26" cm="1">
        <f t="array" ref="G45">_FV(B45,"P/E",TRUE)</f>
        <v>59.098599999999998</v>
      </c>
      <c r="H45" s="28" cm="1">
        <f t="array" ref="H45">_FV(B45,"Price")</f>
        <v>619.83500000000004</v>
      </c>
      <c r="I45" s="32">
        <f t="shared" si="0"/>
        <v>3.3580424957374514E-3</v>
      </c>
    </row>
    <row r="46" spans="2:9" x14ac:dyDescent="0.55000000000000004">
      <c r="B46" s="25" t="e" vm="46">
        <v>#VALUE!</v>
      </c>
      <c r="C46" s="27" cm="1">
        <f t="array" ref="C46">_FV(B46,"Shares outstanding",TRUE)</f>
        <v>1108841000</v>
      </c>
      <c r="D46" s="30" cm="1">
        <f t="array" ref="D46">_FV(B46,"Market cap",TRUE)</f>
        <v>110784304310</v>
      </c>
      <c r="E46" s="26" cm="1">
        <f t="array" ref="E46">_FV(B46,"Beta")</f>
        <v>1.1795</v>
      </c>
      <c r="F46" t="str" cm="1">
        <f t="array" ref="F46">_FV(B46,"Industry")</f>
        <v>Semiconductors &amp; Semiconductor Equipment</v>
      </c>
      <c r="G46" s="26" cm="1">
        <f t="array" ref="G46">_FV(B46,"P/E",TRUE)</f>
        <v>0</v>
      </c>
      <c r="H46" s="28" cm="1">
        <f t="array" ref="H46">_FV(B46,"Price")</f>
        <v>99.91</v>
      </c>
      <c r="I46" s="32">
        <f t="shared" si="0"/>
        <v>2.1470071510048842E-3</v>
      </c>
    </row>
    <row r="47" spans="2:9" x14ac:dyDescent="0.55000000000000004">
      <c r="B47" s="24" t="e" vm="47">
        <v>#VALUE!</v>
      </c>
      <c r="C47" s="27" cm="1">
        <f t="array" ref="C47">_FV(B47,"Shares outstanding",TRUE)</f>
        <v>722213100</v>
      </c>
      <c r="D47" s="30" cm="1">
        <f t="array" ref="D47">_FV(B47,"Market cap",TRUE)</f>
        <v>193603665717</v>
      </c>
      <c r="E47" s="26" cm="1">
        <f t="array" ref="E47">_FV(B47,"Beta")</f>
        <v>0.84089999999999998</v>
      </c>
      <c r="F47" t="str" cm="1">
        <f t="array" ref="F47">_FV(B47,"Industry")</f>
        <v>Healthcare Equipment &amp; Supplies</v>
      </c>
      <c r="G47" s="26" cm="1">
        <f t="array" ref="G47">_FV(B47,"P/E",TRUE)</f>
        <v>47.364699999999999</v>
      </c>
      <c r="H47" s="28" cm="1">
        <f t="array" ref="H47">_FV(B47,"Price")</f>
        <v>268.07</v>
      </c>
      <c r="I47" s="32">
        <f t="shared" si="0"/>
        <v>3.7520518573824504E-3</v>
      </c>
    </row>
    <row r="48" spans="2:9" x14ac:dyDescent="0.55000000000000004">
      <c r="B48" s="25" t="e" vm="48">
        <v>#VALUE!</v>
      </c>
      <c r="C48" s="27" cm="1">
        <f t="array" ref="C48">_FV(B48,"Shares outstanding",TRUE)</f>
        <v>4209520000</v>
      </c>
      <c r="D48" s="30" cm="1">
        <f t="array" ref="D48">_FV(B48,"Market cap",TRUE)</f>
        <v>174370105056</v>
      </c>
      <c r="E48" s="26" cm="1">
        <f t="array" ref="E48">_FV(B48,"Beta")</f>
        <v>0.40710000000000002</v>
      </c>
      <c r="F48" t="str" cm="1">
        <f t="array" ref="F48">_FV(B48,"Industry")</f>
        <v>Telecommunications Services</v>
      </c>
      <c r="G48" s="26" cm="1">
        <f t="array" ref="G48">_FV(B48,"P/E",TRUE)</f>
        <v>15.643000000000001</v>
      </c>
      <c r="H48" s="28" cm="1">
        <f t="array" ref="H48">_FV(B48,"Price")</f>
        <v>41.422800000000002</v>
      </c>
      <c r="I48" s="32">
        <f t="shared" si="0"/>
        <v>3.3793041785876148E-3</v>
      </c>
    </row>
    <row r="49" spans="2:9" x14ac:dyDescent="0.55000000000000004">
      <c r="B49" s="24" t="e" vm="49">
        <v>#VALUE!</v>
      </c>
      <c r="C49" s="27" cm="1">
        <f t="array" ref="C49">_FV(B49,"Shares outstanding",TRUE)</f>
        <v>484898100</v>
      </c>
      <c r="D49" s="30" cm="1">
        <f t="array" ref="D49">_FV(B49,"Market cap",TRUE)</f>
        <v>170844147573</v>
      </c>
      <c r="E49" s="26" cm="1">
        <f t="array" ref="E49">_FV(B49,"Beta")</f>
        <v>1.0891</v>
      </c>
      <c r="F49" t="str" cm="1">
        <f t="array" ref="F49">_FV(B49,"Industry")</f>
        <v>Machinery, Equipment &amp; Components</v>
      </c>
      <c r="G49" s="26" cm="1">
        <f t="array" ref="G49">_FV(B49,"P/E",TRUE)</f>
        <v>15.8727</v>
      </c>
      <c r="H49" s="28" cm="1">
        <f t="array" ref="H49">_FV(B49,"Price")</f>
        <v>352.33</v>
      </c>
      <c r="I49" s="32">
        <f t="shared" si="0"/>
        <v>3.3109708891628162E-3</v>
      </c>
    </row>
    <row r="50" spans="2:9" x14ac:dyDescent="0.55000000000000004">
      <c r="B50" s="25" t="e" vm="50">
        <v>#VALUE!</v>
      </c>
      <c r="C50" s="27" cm="1">
        <f t="array" ref="C50">_FV(B50,"Shares outstanding",TRUE)</f>
        <v>537329200</v>
      </c>
      <c r="D50" s="30" cm="1">
        <f t="array" ref="D50">_FV(B50,"Market cap",TRUE)</f>
        <v>175437983800</v>
      </c>
      <c r="E50" s="26" cm="1">
        <f t="array" ref="E50">_FV(B50,"Beta")</f>
        <v>0.60189999999999999</v>
      </c>
      <c r="F50" t="str" cm="1">
        <f t="array" ref="F50">_FV(B50,"Industry")</f>
        <v>Pharmaceuticals</v>
      </c>
      <c r="G50" s="26" cm="1">
        <f t="array" ref="G50">_FV(B50,"P/E",TRUE)</f>
        <v>56.597900000000003</v>
      </c>
      <c r="H50" s="28" cm="1">
        <f t="array" ref="H50">_FV(B50,"Price")</f>
        <v>326.5</v>
      </c>
      <c r="I50" s="32">
        <f t="shared" si="0"/>
        <v>3.3999997393356291E-3</v>
      </c>
    </row>
    <row r="51" spans="2:9" x14ac:dyDescent="0.55000000000000004">
      <c r="B51" s="24" t="e" vm="51">
        <v>#VALUE!</v>
      </c>
      <c r="C51" s="27" cm="1">
        <f t="array" ref="C51">_FV(B51,"Shares outstanding",TRUE)</f>
        <v>1554802000</v>
      </c>
      <c r="D51" s="30" cm="1">
        <f t="array" ref="D51">_FV(B51,"Market cap",TRUE)</f>
        <v>188379810320</v>
      </c>
      <c r="E51" s="26" cm="1">
        <f t="array" ref="E51">_FV(B51,"Beta")</f>
        <v>0.57669999999999999</v>
      </c>
      <c r="F51" t="str" cm="1">
        <f t="array" ref="F51">_FV(B51,"Industry")</f>
        <v>Food &amp; Tobacco</v>
      </c>
      <c r="G51" s="26" cm="1">
        <f t="array" ref="G51">_FV(B51,"P/E",TRUE)</f>
        <v>21.269500000000001</v>
      </c>
      <c r="H51" s="28" cm="1">
        <f t="array" ref="H51">_FV(B51,"Price")</f>
        <v>121.16</v>
      </c>
      <c r="I51" s="32">
        <f t="shared" si="0"/>
        <v>3.6508131939902927E-3</v>
      </c>
    </row>
    <row r="52" spans="2:9" x14ac:dyDescent="0.55000000000000004">
      <c r="B52" s="25" t="e" vm="52">
        <v>#VALUE!</v>
      </c>
      <c r="C52" s="27" cm="1">
        <f t="array" ref="C52">_FV(B52,"Shares outstanding",TRUE)</f>
        <v>921148200</v>
      </c>
      <c r="D52" s="30" cm="1">
        <f t="array" ref="D52">_FV(B52,"Market cap",TRUE)</f>
        <v>181853077644</v>
      </c>
      <c r="E52" s="26" cm="1">
        <f t="array" ref="E52">_FV(B52,"Beta")</f>
        <v>0.68679999999999997</v>
      </c>
      <c r="F52" t="str" cm="1">
        <f t="array" ref="F52">_FV(B52,"Industry")</f>
        <v>Software &amp; IT Services</v>
      </c>
      <c r="G52" s="26" cm="1">
        <f t="array" ref="G52">_FV(B52,"P/E",TRUE)</f>
        <v>20.571899999999999</v>
      </c>
      <c r="H52" s="28" cm="1">
        <f t="array" ref="H52">_FV(B52,"Price")</f>
        <v>197.42</v>
      </c>
      <c r="I52" s="32">
        <f t="shared" si="0"/>
        <v>3.5243246826858594E-3</v>
      </c>
    </row>
    <row r="53" spans="2:9" x14ac:dyDescent="0.55000000000000004">
      <c r="B53" s="24" t="e" vm="53">
        <v>#VALUE!</v>
      </c>
      <c r="C53" s="27" cm="1">
        <f t="array" ref="C53">_FV(B53,"Shares outstanding",TRUE)</f>
        <v>5666695000</v>
      </c>
      <c r="D53" s="30" cm="1">
        <f t="array" ref="D53">_FV(B53,"Market cap",TRUE)</f>
        <v>163710818550</v>
      </c>
      <c r="E53" s="26" cm="1">
        <f t="array" ref="E53">_FV(B53,"Beta")</f>
        <v>0.65359999999999996</v>
      </c>
      <c r="F53" t="str" cm="1">
        <f t="array" ref="F53">_FV(B53,"Industry")</f>
        <v>Pharmaceuticals</v>
      </c>
      <c r="G53" t="e" cm="1" vm="36">
        <f t="array" ref="G53">_FV(B53,"P/E",TRUE)</f>
        <v>#VALUE!</v>
      </c>
      <c r="H53" s="28" cm="1">
        <f t="array" ref="H53">_FV(B53,"Price")</f>
        <v>28.89</v>
      </c>
      <c r="I53" s="32">
        <f t="shared" si="0"/>
        <v>3.1727265004992747E-3</v>
      </c>
    </row>
    <row r="54" spans="2:9" x14ac:dyDescent="0.55000000000000004">
      <c r="B54" s="25" t="e" vm="54">
        <v>#VALUE!</v>
      </c>
      <c r="C54" s="27" cm="1">
        <f t="array" ref="C54">_FV(B54,"Shares outstanding",TRUE)</f>
        <v>354705800</v>
      </c>
      <c r="D54" s="30" cm="1">
        <f t="array" ref="D54">_FV(B54,"Market cap",TRUE)</f>
        <v>170324404573</v>
      </c>
      <c r="E54" s="26" cm="1">
        <f t="array" ref="E54">_FV(B54,"Beta")</f>
        <v>1.3943000000000001</v>
      </c>
      <c r="F54" t="str" cm="1">
        <f t="array" ref="F54">_FV(B54,"Industry")</f>
        <v>Healthcare Equipment &amp; Supplies</v>
      </c>
      <c r="G54" s="26" cm="1">
        <f t="array" ref="G54">_FV(B54,"P/E",TRUE)</f>
        <v>82.307000000000002</v>
      </c>
      <c r="H54" s="28" cm="1">
        <f t="array" ref="H54">_FV(B54,"Price")</f>
        <v>480.185</v>
      </c>
      <c r="I54" s="32">
        <f t="shared" si="0"/>
        <v>3.3008982354179118E-3</v>
      </c>
    </row>
    <row r="55" spans="2:9" x14ac:dyDescent="0.55000000000000004">
      <c r="B55" s="24" t="e" vm="55">
        <v>#VALUE!</v>
      </c>
      <c r="C55" s="27" cm="1">
        <f t="array" ref="C55">_FV(B55,"Shares outstanding",TRUE)</f>
        <v>206000000</v>
      </c>
      <c r="D55" s="30" cm="1">
        <f t="array" ref="D55">_FV(B55,"Market cap",TRUE)</f>
        <v>171646410000</v>
      </c>
      <c r="E55" s="26" cm="1">
        <f t="array" ref="E55">_FV(B55,"Beta")</f>
        <v>0.98329999999999995</v>
      </c>
      <c r="F55" t="str" cm="1">
        <f t="array" ref="F55">_FV(B55,"Industry")</f>
        <v>Software &amp; IT Services</v>
      </c>
      <c r="G55" s="26" cm="1">
        <f t="array" ref="G55">_FV(B55,"P/E",TRUE)</f>
        <v>149.71799999999999</v>
      </c>
      <c r="H55" s="28" cm="1">
        <f t="array" ref="H55">_FV(B55,"Price")</f>
        <v>833.23500000000001</v>
      </c>
      <c r="I55" s="32">
        <f t="shared" si="0"/>
        <v>3.3265187881046346E-3</v>
      </c>
    </row>
    <row r="56" spans="2:9" x14ac:dyDescent="0.55000000000000004">
      <c r="B56" s="25" t="e" vm="56">
        <v>#VALUE!</v>
      </c>
      <c r="C56" s="27" cm="1">
        <f t="array" ref="C56">_FV(B56,"Shares outstanding",TRUE)</f>
        <v>315799600</v>
      </c>
      <c r="D56" s="30" cm="1">
        <f t="array" ref="D56">_FV(B56,"Market cap",TRUE)</f>
        <v>160183031108</v>
      </c>
      <c r="E56" s="26" cm="1">
        <f t="array" ref="E56">_FV(B56,"Beta")</f>
        <v>1.353</v>
      </c>
      <c r="F56" t="str" cm="1">
        <f t="array" ref="F56">_FV(B56,"Industry")</f>
        <v>Investment Banking &amp; Investment Services</v>
      </c>
      <c r="G56" s="26" cm="1">
        <f t="array" ref="G56">_FV(B56,"P/E",TRUE)</f>
        <v>16.3566</v>
      </c>
      <c r="H56" s="28" cm="1">
        <f t="array" ref="H56">_FV(B56,"Price")</f>
        <v>507.23</v>
      </c>
      <c r="I56" s="32">
        <f t="shared" si="0"/>
        <v>3.1043577463479204E-3</v>
      </c>
    </row>
    <row r="57" spans="2:9" x14ac:dyDescent="0.55000000000000004">
      <c r="B57" s="24" t="e" vm="57">
        <v>#VALUE!</v>
      </c>
      <c r="C57" s="27" cm="1">
        <f t="array" ref="C57">_FV(B57,"Shares outstanding",TRUE)</f>
        <v>3872502000</v>
      </c>
      <c r="D57" s="30" cm="1">
        <f t="array" ref="D57">_FV(B57,"Market cap",TRUE)</f>
        <v>156410355780</v>
      </c>
      <c r="E57" s="26" cm="1">
        <f t="array" ref="E57">_FV(B57,"Beta")</f>
        <v>1.0115000000000001</v>
      </c>
      <c r="F57" t="str" cm="1">
        <f t="array" ref="F57">_FV(B57,"Industry")</f>
        <v>Telecommunications Services</v>
      </c>
      <c r="G57" s="26" cm="1">
        <f t="array" ref="G57">_FV(B57,"P/E",TRUE)</f>
        <v>10.600899999999999</v>
      </c>
      <c r="H57" s="28" cm="1">
        <f t="array" ref="H57">_FV(B57,"Price")</f>
        <v>40.39</v>
      </c>
      <c r="I57" s="32">
        <f t="shared" si="0"/>
        <v>3.0312430487552892E-3</v>
      </c>
    </row>
    <row r="58" spans="2:9" x14ac:dyDescent="0.55000000000000004">
      <c r="B58" s="25" t="e" vm="58">
        <v>#VALUE!</v>
      </c>
      <c r="C58" s="27" cm="1">
        <f t="array" ref="C58">_FV(B58,"Shares outstanding",TRUE)</f>
        <v>2100937000</v>
      </c>
      <c r="D58" s="30" cm="1">
        <f t="array" ref="D58">_FV(B58,"Market cap",TRUE)</f>
        <v>152696101160</v>
      </c>
      <c r="E58" s="26" cm="1">
        <f t="array" ref="E58">_FV(B58,"Beta")</f>
        <v>1.3281000000000001</v>
      </c>
      <c r="F58" t="str" cm="1">
        <f t="array" ref="F58">_FV(B58,"Industry")</f>
        <v>Software &amp; IT Services</v>
      </c>
      <c r="G58" s="26" cm="1">
        <f t="array" ref="G58">_FV(B58,"P/E",TRUE)</f>
        <v>79.458600000000004</v>
      </c>
      <c r="H58" s="28" cm="1">
        <f t="array" ref="H58">_FV(B58,"Price")</f>
        <v>72.680000000000007</v>
      </c>
      <c r="I58" s="32">
        <f t="shared" si="0"/>
        <v>2.9592605483509146E-3</v>
      </c>
    </row>
    <row r="59" spans="2:9" x14ac:dyDescent="0.55000000000000004">
      <c r="B59" s="24" t="e" vm="59">
        <v>#VALUE!</v>
      </c>
      <c r="C59" s="27" cm="1">
        <f t="array" ref="C59">_FV(B59,"Shares outstanding",TRUE)</f>
        <v>2054532000</v>
      </c>
      <c r="D59" s="30" cm="1">
        <f t="array" ref="D59">_FV(B59,"Market cap",TRUE)</f>
        <v>163664100000</v>
      </c>
      <c r="E59" s="26" cm="1">
        <f t="array" ref="E59">_FV(B59,"Beta")</f>
        <v>0.5514</v>
      </c>
      <c r="F59" t="str" cm="1">
        <f t="array" ref="F59">_FV(B59,"Industry")</f>
        <v>Electrical Utilities &amp; IPPs</v>
      </c>
      <c r="G59" s="26" cm="1">
        <f t="array" ref="G59">_FV(B59,"P/E",TRUE)</f>
        <v>21.700299999999999</v>
      </c>
      <c r="H59" s="28" cm="1">
        <f t="array" ref="H59">_FV(B59,"Price")</f>
        <v>80.825000000000003</v>
      </c>
      <c r="I59" s="32">
        <f t="shared" si="0"/>
        <v>3.1718210919076941E-3</v>
      </c>
    </row>
    <row r="60" spans="2:9" x14ac:dyDescent="0.55000000000000004">
      <c r="B60" s="25" t="e" vm="60">
        <v>#VALUE!</v>
      </c>
      <c r="C60" s="27" cm="1">
        <f t="array" ref="C60">_FV(B60,"Shares outstanding",TRUE)</f>
        <v>130377000</v>
      </c>
      <c r="D60" s="30" cm="1">
        <f t="array" ref="D60">_FV(B60,"Market cap",TRUE)</f>
        <v>110477600000</v>
      </c>
      <c r="E60" s="26" cm="1">
        <f t="array" ref="E60">_FV(B60,"Beta")</f>
        <v>1.4890000000000001</v>
      </c>
      <c r="F60" t="str" cm="1">
        <f t="array" ref="F60">_FV(B60,"Industry")</f>
        <v>Semiconductors &amp; Semiconductor Equipment</v>
      </c>
      <c r="G60" s="26" cm="1">
        <f t="array" ref="G60">_FV(B60,"P/E",TRUE)</f>
        <v>31.086200000000002</v>
      </c>
      <c r="H60" s="28" cm="1">
        <f t="array" ref="H60">_FV(B60,"Price")</f>
        <v>822.22500000000002</v>
      </c>
      <c r="I60" s="32">
        <f t="shared" si="0"/>
        <v>2.1410632011744876E-3</v>
      </c>
    </row>
    <row r="61" spans="2:9" x14ac:dyDescent="0.55000000000000004">
      <c r="B61" s="24" t="e" vm="61">
        <v>#VALUE!</v>
      </c>
      <c r="C61" s="27" cm="1">
        <f t="array" ref="C61">_FV(B61,"Shares outstanding",TRUE)</f>
        <v>651185500</v>
      </c>
      <c r="D61" s="30" cm="1">
        <f t="array" ref="D61">_FV(B61,"Market cap",TRUE)</f>
        <v>132366476585</v>
      </c>
      <c r="E61" s="26" cm="1">
        <f t="array" ref="E61">_FV(B61,"Beta")</f>
        <v>1.0269999999999999</v>
      </c>
      <c r="F61" t="str" cm="1">
        <f t="array" ref="F61">_FV(B61,"Industry")</f>
        <v>Consumer Goods Conglomerates</v>
      </c>
      <c r="G61" s="26" cm="1">
        <f t="array" ref="G61">_FV(B61,"P/E",TRUE)</f>
        <v>23.095400000000001</v>
      </c>
      <c r="H61" s="28" cm="1">
        <f t="array" ref="H61">_FV(B61,"Price")</f>
        <v>203.27</v>
      </c>
      <c r="I61" s="32">
        <f t="shared" si="0"/>
        <v>2.565271078347719E-3</v>
      </c>
    </row>
    <row r="62" spans="2:9" x14ac:dyDescent="0.55000000000000004">
      <c r="B62" s="25" t="e" vm="62">
        <v>#VALUE!</v>
      </c>
      <c r="C62" s="27" cm="1">
        <f t="array" ref="C62">_FV(B62,"Shares outstanding",TRUE)</f>
        <v>313000000</v>
      </c>
      <c r="D62" s="30" cm="1">
        <f t="array" ref="D62">_FV(B62,"Market cap",TRUE)</f>
        <v>157237115000</v>
      </c>
      <c r="E62" s="26" cm="1">
        <f t="array" ref="E62">_FV(B62,"Beta")</f>
        <v>1.1731</v>
      </c>
      <c r="F62" t="str" cm="1">
        <f t="array" ref="F62">_FV(B62,"Industry")</f>
        <v>Professional &amp; Commercial Services</v>
      </c>
      <c r="G62" s="26" cm="1">
        <f t="array" ref="G62">_FV(B62,"P/E",TRUE)</f>
        <v>47.449300000000001</v>
      </c>
      <c r="H62" s="28" cm="1">
        <f t="array" ref="H62">_FV(B62,"Price")</f>
        <v>502.35500000000002</v>
      </c>
      <c r="I62" s="32">
        <f t="shared" si="0"/>
        <v>3.0472656971670367E-3</v>
      </c>
    </row>
    <row r="63" spans="2:9" x14ac:dyDescent="0.55000000000000004">
      <c r="B63" s="24" t="e" vm="63">
        <v>#VALUE!</v>
      </c>
      <c r="C63" s="27" cm="1">
        <f t="array" ref="C63">_FV(B63,"Shares outstanding",TRUE)</f>
        <v>1330239000</v>
      </c>
      <c r="D63" s="30" cm="1">
        <f t="array" ref="D63">_FV(B63,"Market cap",TRUE)</f>
        <v>157660000000</v>
      </c>
      <c r="E63" s="26" cm="1">
        <f t="array" ref="E63">_FV(B63,"Beta")</f>
        <v>0.88590000000000002</v>
      </c>
      <c r="F63" t="str" cm="1">
        <f t="array" ref="F63">_FV(B63,"Industry")</f>
        <v>Aerospace &amp; Defense</v>
      </c>
      <c r="G63" s="26" cm="1">
        <f t="array" ref="G63">_FV(B63,"P/E",TRUE)</f>
        <v>68.000200000000007</v>
      </c>
      <c r="H63" s="28" cm="1">
        <f t="array" ref="H63">_FV(B63,"Price")</f>
        <v>118.84</v>
      </c>
      <c r="I63" s="32">
        <f t="shared" si="0"/>
        <v>3.0554612364603294E-3</v>
      </c>
    </row>
    <row r="64" spans="2:9" x14ac:dyDescent="0.55000000000000004">
      <c r="B64" s="25" t="e" vm="64">
        <v>#VALUE!</v>
      </c>
      <c r="C64" s="27" cm="1">
        <f t="array" ref="C64">_FV(B64,"Shares outstanding",TRUE)</f>
        <v>33524390</v>
      </c>
      <c r="D64" s="30" cm="1">
        <f t="array" ref="D64">_FV(B64,"Market cap",TRUE)</f>
        <v>127923708337</v>
      </c>
      <c r="E64" s="26" cm="1">
        <f t="array" ref="E64">_FV(B64,"Beta")</f>
        <v>1.3982000000000001</v>
      </c>
      <c r="F64" t="str" cm="1">
        <f t="array" ref="F64">_FV(B64,"Industry")</f>
        <v>Hotels &amp; Entertainment Services</v>
      </c>
      <c r="G64" s="26" cm="1">
        <f t="array" ref="G64">_FV(B64,"P/E",TRUE)</f>
        <v>26.819800000000001</v>
      </c>
      <c r="H64" s="28" cm="1">
        <f t="array" ref="H64">_FV(B64,"Price")</f>
        <v>3815.84</v>
      </c>
      <c r="I64" s="32">
        <f t="shared" si="0"/>
        <v>2.479169935608021E-3</v>
      </c>
    </row>
    <row r="65" spans="2:9" x14ac:dyDescent="0.55000000000000004">
      <c r="B65" s="24" t="e" vm="65">
        <v>#VALUE!</v>
      </c>
      <c r="C65" s="27" cm="1">
        <f t="array" ref="C65">_FV(B65,"Shares outstanding",TRUE)</f>
        <v>609197600</v>
      </c>
      <c r="D65" s="30" cm="1">
        <f t="array" ref="D65">_FV(B65,"Market cap",TRUE)</f>
        <v>151266810068</v>
      </c>
      <c r="E65" s="26" cm="1">
        <f t="array" ref="E65">_FV(B65,"Beta")</f>
        <v>1.0499000000000001</v>
      </c>
      <c r="F65" t="str" cm="1">
        <f t="array" ref="F65">_FV(B65,"Industry")</f>
        <v>Freight &amp; Logistics Services</v>
      </c>
      <c r="G65" s="26" cm="1">
        <f t="array" ref="G65">_FV(B65,"P/E",TRUE)</f>
        <v>23.181100000000001</v>
      </c>
      <c r="H65" s="28" cm="1">
        <f t="array" ref="H65">_FV(B65,"Price")</f>
        <v>248.30500000000001</v>
      </c>
      <c r="I65" s="32">
        <f t="shared" si="0"/>
        <v>2.9315607923746105E-3</v>
      </c>
    </row>
    <row r="66" spans="2:9" x14ac:dyDescent="0.55000000000000004">
      <c r="B66" s="25" t="e" vm="66">
        <v>#VALUE!</v>
      </c>
      <c r="C66" s="27" cm="1">
        <f t="array" ref="C66">_FV(B66,"Shares outstanding",TRUE)</f>
        <v>710911600</v>
      </c>
      <c r="D66" s="30" cm="1">
        <f t="array" ref="D66">_FV(B66,"Market cap",TRUE)</f>
        <v>180678183140</v>
      </c>
      <c r="E66" s="26" cm="1">
        <f t="array" ref="E66">_FV(B66,"Beta")</f>
        <v>1.2094</v>
      </c>
      <c r="F66" t="str" cm="1">
        <f t="array" ref="F66">_FV(B66,"Industry")</f>
        <v>Banking Services</v>
      </c>
      <c r="G66" s="26" cm="1">
        <f t="array" ref="G66">_FV(B66,"P/E",TRUE)</f>
        <v>18.745100000000001</v>
      </c>
      <c r="H66" s="28" cm="1">
        <f t="array" ref="H66">_FV(B66,"Price")</f>
        <v>254.15</v>
      </c>
      <c r="I66" s="32">
        <f t="shared" si="0"/>
        <v>3.5015551494250305E-3</v>
      </c>
    </row>
    <row r="67" spans="2:9" x14ac:dyDescent="0.55000000000000004">
      <c r="B67" s="24" t="e" vm="67">
        <v>#VALUE!</v>
      </c>
      <c r="C67" s="27" cm="1">
        <f t="array" ref="C67">_FV(B67,"Shares outstanding",TRUE)</f>
        <v>568000000</v>
      </c>
      <c r="D67" s="30" cm="1">
        <f t="array" ref="D67">_FV(B67,"Market cap",TRUE)</f>
        <v>142779920800</v>
      </c>
      <c r="E67" s="26" cm="1">
        <f t="array" ref="E67">_FV(B67,"Beta")</f>
        <v>1.0893999999999999</v>
      </c>
      <c r="F67" t="str" cm="1">
        <f t="array" ref="F67">_FV(B67,"Industry")</f>
        <v>Specialty Retailers</v>
      </c>
      <c r="G67" s="26" cm="1">
        <f t="array" ref="G67">_FV(B67,"P/E",TRUE)</f>
        <v>20.081099999999999</v>
      </c>
      <c r="H67" s="28" cm="1">
        <f t="array" ref="H67">_FV(B67,"Price")</f>
        <v>251.37309999999999</v>
      </c>
      <c r="I67" s="32">
        <f t="shared" ref="I67:I130" si="1">D67/$D$504</f>
        <v>2.767084316562704E-3</v>
      </c>
    </row>
    <row r="68" spans="2:9" x14ac:dyDescent="0.55000000000000004">
      <c r="B68" s="25" t="e" vm="68">
        <v>#VALUE!</v>
      </c>
      <c r="C68" s="27" cm="1">
        <f t="array" ref="C68">_FV(B68,"Shares outstanding",TRUE)</f>
        <v>398100000</v>
      </c>
      <c r="D68" s="30" cm="1">
        <f t="array" ref="D68">_FV(B68,"Market cap",TRUE)</f>
        <v>118615885500</v>
      </c>
      <c r="E68" s="26" cm="1">
        <f t="array" ref="E68">_FV(B68,"Beta")</f>
        <v>1.0068999999999999</v>
      </c>
      <c r="F68" t="str" cm="1">
        <f t="array" ref="F68">_FV(B68,"Industry")</f>
        <v>Machinery, Equipment &amp; Components</v>
      </c>
      <c r="G68" s="26" cm="1">
        <f t="array" ref="G68">_FV(B68,"P/E",TRUE)</f>
        <v>32.981699999999996</v>
      </c>
      <c r="H68" s="28" cm="1">
        <f t="array" ref="H68">_FV(B68,"Price")</f>
        <v>297.95499999999998</v>
      </c>
      <c r="I68" s="32">
        <f t="shared" si="1"/>
        <v>2.2987837128863814E-3</v>
      </c>
    </row>
    <row r="69" spans="2:9" x14ac:dyDescent="0.55000000000000004">
      <c r="B69" s="24" t="e" vm="69">
        <v>#VALUE!</v>
      </c>
      <c r="C69" s="27" cm="1">
        <f t="array" ref="C69">_FV(B69,"Shares outstanding",TRUE)</f>
        <v>4267000000</v>
      </c>
      <c r="D69" s="30" cm="1">
        <f t="array" ref="D69">_FV(B69,"Market cap",TRUE)</f>
        <v>85894710000</v>
      </c>
      <c r="E69" s="26" cm="1">
        <f t="array" ref="E69">_FV(B69,"Beta")</f>
        <v>1.0246</v>
      </c>
      <c r="F69" t="str" cm="1">
        <f t="array" ref="F69">_FV(B69,"Industry")</f>
        <v>Semiconductors &amp; Semiconductor Equipment</v>
      </c>
      <c r="G69" s="26" cm="1">
        <f t="array" ref="G69">_FV(B69,"P/E",TRUE)</f>
        <v>90.188599999999994</v>
      </c>
      <c r="H69" s="28" cm="1">
        <f t="array" ref="H69">_FV(B69,"Price")</f>
        <v>20.13</v>
      </c>
      <c r="I69" s="32">
        <f t="shared" si="1"/>
        <v>1.6646451656856618E-3</v>
      </c>
    </row>
    <row r="70" spans="2:9" x14ac:dyDescent="0.55000000000000004">
      <c r="B70" s="25" t="e" vm="70">
        <v>#VALUE!</v>
      </c>
      <c r="C70" s="27" cm="1">
        <f t="array" ref="C70">_FV(B70,"Shares outstanding",TRUE)</f>
        <v>7170244000</v>
      </c>
      <c r="D70" s="30" cm="1">
        <f t="array" ref="D70">_FV(B70,"Market cap",TRUE)</f>
        <v>142078384860</v>
      </c>
      <c r="E70" s="26" cm="1">
        <f t="array" ref="E70">_FV(B70,"Beta")</f>
        <v>0.57110000000000005</v>
      </c>
      <c r="F70" t="str" cm="1">
        <f t="array" ref="F70">_FV(B70,"Industry")</f>
        <v>Telecommunications Services</v>
      </c>
      <c r="G70" s="26" cm="1">
        <f t="array" ref="G70">_FV(B70,"P/E",TRUE)</f>
        <v>11.335699999999999</v>
      </c>
      <c r="H70" s="28" cm="1">
        <f t="array" ref="H70">_FV(B70,"Price")</f>
        <v>19.815000000000001</v>
      </c>
      <c r="I70" s="32">
        <f t="shared" si="1"/>
        <v>2.7534885036066357E-3</v>
      </c>
    </row>
    <row r="71" spans="2:9" x14ac:dyDescent="0.55000000000000004">
      <c r="B71" s="24" t="e" vm="71">
        <v>#VALUE!</v>
      </c>
      <c r="C71" s="27" cm="1">
        <f t="array" ref="C71">_FV(B71,"Shares outstanding",TRUE)</f>
        <v>1161250000</v>
      </c>
      <c r="D71" s="30" cm="1">
        <f t="array" ref="D71">_FV(B71,"Market cap",TRUE)</f>
        <v>129363200000</v>
      </c>
      <c r="E71" s="26" cm="1">
        <f t="array" ref="E71">_FV(B71,"Beta")</f>
        <v>1.2293000000000001</v>
      </c>
      <c r="F71" t="str" cm="1">
        <f t="array" ref="F71">_FV(B71,"Industry")</f>
        <v>Oil &amp; Gas</v>
      </c>
      <c r="G71" s="26" cm="1">
        <f t="array" ref="G71">_FV(B71,"P/E",TRUE)</f>
        <v>12.400399999999999</v>
      </c>
      <c r="H71" s="28" cm="1">
        <f t="array" ref="H71">_FV(B71,"Price")</f>
        <v>113.45</v>
      </c>
      <c r="I71" s="32">
        <f t="shared" si="1"/>
        <v>2.5070673793255419E-3</v>
      </c>
    </row>
    <row r="72" spans="2:9" x14ac:dyDescent="0.55000000000000004">
      <c r="B72" s="25" t="e" vm="72">
        <v>#VALUE!</v>
      </c>
      <c r="C72" s="27" cm="1">
        <f t="array" ref="C72">_FV(B72,"Shares outstanding",TRUE)</f>
        <v>1130149000</v>
      </c>
      <c r="D72" s="30" cm="1">
        <f t="array" ref="D72">_FV(B72,"Market cap",TRUE)</f>
        <v>136103844070</v>
      </c>
      <c r="E72" s="26" cm="1">
        <f t="array" ref="E72">_FV(B72,"Beta")</f>
        <v>0.89</v>
      </c>
      <c r="F72" t="str" cm="1">
        <f t="array" ref="F72">_FV(B72,"Industry")</f>
        <v>Diversified Retail</v>
      </c>
      <c r="G72" s="26" cm="1">
        <f t="array" ref="G72">_FV(B72,"P/E",TRUE)</f>
        <v>28.861999999999998</v>
      </c>
      <c r="H72" s="28" cm="1">
        <f t="array" ref="H72">_FV(B72,"Price")</f>
        <v>120.43</v>
      </c>
      <c r="I72" s="32">
        <f t="shared" si="1"/>
        <v>2.6377015076057726E-3</v>
      </c>
    </row>
    <row r="73" spans="2:9" x14ac:dyDescent="0.55000000000000004">
      <c r="B73" s="24" t="e" vm="73">
        <v>#VALUE!</v>
      </c>
      <c r="C73" s="27" cm="1">
        <f t="array" ref="C73">_FV(B73,"Shares outstanding",TRUE)</f>
        <v>231885900</v>
      </c>
      <c r="D73" s="30" cm="1">
        <f t="array" ref="D73">_FV(B73,"Market cap",TRUE)</f>
        <v>126702455760</v>
      </c>
      <c r="E73" s="26" cm="1">
        <f t="array" ref="E73">_FV(B73,"Beta")</f>
        <v>0.82820000000000005</v>
      </c>
      <c r="F73" t="str" cm="1">
        <f t="array" ref="F73">_FV(B73,"Industry")</f>
        <v>Healthcare Providers &amp; Services</v>
      </c>
      <c r="G73" s="26" cm="1">
        <f t="array" ref="G73">_FV(B73,"P/E",TRUE)</f>
        <v>19.127199999999998</v>
      </c>
      <c r="H73" s="28" cm="1">
        <f t="array" ref="H73">_FV(B73,"Price")</f>
        <v>546.4</v>
      </c>
      <c r="I73" s="32">
        <f t="shared" si="1"/>
        <v>2.4555019798237336E-3</v>
      </c>
    </row>
    <row r="74" spans="2:9" x14ac:dyDescent="0.55000000000000004">
      <c r="B74" s="25" t="e" vm="74">
        <v>#VALUE!</v>
      </c>
      <c r="C74" s="27" cm="1">
        <f t="array" ref="C74">_FV(B74,"Shares outstanding",TRUE)</f>
        <v>585666700</v>
      </c>
      <c r="D74" s="30" cm="1">
        <f t="array" ref="D74">_FV(B74,"Market cap",TRUE)</f>
        <v>142603984783</v>
      </c>
      <c r="E74" s="26" cm="1">
        <f t="array" ref="E74">_FV(B74,"Beta")</f>
        <v>0.34739999999999999</v>
      </c>
      <c r="F74" t="str" cm="1">
        <f t="array" ref="F74">_FV(B74,"Industry")</f>
        <v>Insurance</v>
      </c>
      <c r="G74" s="26" cm="1">
        <f t="array" ref="G74">_FV(B74,"P/E",TRUE)</f>
        <v>20.653600000000001</v>
      </c>
      <c r="H74" s="28" cm="1">
        <f t="array" ref="H74">_FV(B74,"Price")</f>
        <v>243.49</v>
      </c>
      <c r="I74" s="32">
        <f t="shared" si="1"/>
        <v>2.7636746649069848E-3</v>
      </c>
    </row>
    <row r="75" spans="2:9" x14ac:dyDescent="0.55000000000000004">
      <c r="B75" s="24" t="e" vm="75">
        <v>#VALUE!</v>
      </c>
      <c r="C75" s="27" cm="1">
        <f t="array" ref="C75">_FV(B75,"Shares outstanding",TRUE)</f>
        <v>1617864000</v>
      </c>
      <c r="D75" s="30" cm="1">
        <f t="array" ref="D75">_FV(B75,"Market cap",TRUE)</f>
        <v>164844100000</v>
      </c>
      <c r="E75" s="26" cm="1">
        <f t="array" ref="E75">_FV(B75,"Beta")</f>
        <v>1.3566</v>
      </c>
      <c r="F75" t="str" cm="1">
        <f t="array" ref="F75">_FV(B75,"Industry")</f>
        <v>Investment Banking &amp; Investment Services</v>
      </c>
      <c r="G75" s="26" cm="1">
        <f t="array" ref="G75">_FV(B75,"P/E",TRUE)</f>
        <v>16.7715</v>
      </c>
      <c r="H75" s="28" cm="1">
        <f t="array" ref="H75">_FV(B75,"Price")</f>
        <v>102.37</v>
      </c>
      <c r="I75" s="32">
        <f t="shared" si="1"/>
        <v>3.1946895700189662E-3</v>
      </c>
    </row>
    <row r="76" spans="2:9" x14ac:dyDescent="0.55000000000000004">
      <c r="B76" s="25" t="e" vm="76">
        <v>#VALUE!</v>
      </c>
      <c r="C76" s="27" cm="1">
        <f t="array" ref="C76">_FV(B76,"Shares outstanding",TRUE)</f>
        <v>258102200</v>
      </c>
      <c r="D76" s="30" cm="1">
        <f t="array" ref="D76">_FV(B76,"Market cap",TRUE)</f>
        <v>124844034140</v>
      </c>
      <c r="E76" s="26" cm="1">
        <f t="array" ref="E76">_FV(B76,"Beta")</f>
        <v>0.40289999999999998</v>
      </c>
      <c r="F76" t="str" cm="1">
        <f t="array" ref="F76">_FV(B76,"Industry")</f>
        <v>Biotechnology &amp; Medical Research</v>
      </c>
      <c r="G76" s="26" cm="1">
        <f t="array" ref="G76">_FV(B76,"P/E",TRUE)</f>
        <v>0</v>
      </c>
      <c r="H76" s="28" cm="1">
        <f t="array" ref="H76">_FV(B76,"Price")</f>
        <v>483.7</v>
      </c>
      <c r="I76" s="32">
        <f t="shared" si="1"/>
        <v>2.4194856458080679E-3</v>
      </c>
    </row>
    <row r="77" spans="2:9" x14ac:dyDescent="0.55000000000000004">
      <c r="B77" s="24" t="e" vm="77">
        <v>#VALUE!</v>
      </c>
      <c r="C77" s="27" cm="1">
        <f t="array" ref="C77">_FV(B77,"Shares outstanding",TRUE)</f>
        <v>380949800</v>
      </c>
      <c r="D77" s="30" cm="1">
        <f t="array" ref="D77">_FV(B77,"Market cap",TRUE)</f>
        <v>134964799893</v>
      </c>
      <c r="E77" s="26" cm="1">
        <f t="array" ref="E77">_FV(B77,"Beta")</f>
        <v>0.91590000000000005</v>
      </c>
      <c r="F77" t="str" cm="1">
        <f t="array" ref="F77">_FV(B77,"Industry")</f>
        <v>Healthcare Equipment &amp; Supplies</v>
      </c>
      <c r="G77" s="26" cm="1">
        <f t="array" ref="G77">_FV(B77,"P/E",TRUE)</f>
        <v>39.518099999999997</v>
      </c>
      <c r="H77" s="28" cm="1">
        <f t="array" ref="H77">_FV(B77,"Price")</f>
        <v>354.28500000000003</v>
      </c>
      <c r="I77" s="32">
        <f t="shared" si="1"/>
        <v>2.6156267560553518E-3</v>
      </c>
    </row>
    <row r="78" spans="2:9" x14ac:dyDescent="0.55000000000000004">
      <c r="B78" s="25" t="e" vm="78">
        <v>#VALUE!</v>
      </c>
      <c r="C78" s="27" cm="1">
        <f t="array" ref="C78">_FV(B78,"Shares outstanding",TRUE)</f>
        <v>134425000</v>
      </c>
      <c r="D78" s="30" cm="1">
        <f t="array" ref="D78">_FV(B78,"Market cap",TRUE)</f>
        <v>109938200000</v>
      </c>
      <c r="E78" s="26" cm="1">
        <f t="array" ref="E78">_FV(B78,"Beta")</f>
        <v>1.2779</v>
      </c>
      <c r="F78" t="str" cm="1">
        <f t="array" ref="F78">_FV(B78,"Industry")</f>
        <v>Semiconductors &amp; Semiconductor Equipment</v>
      </c>
      <c r="G78" s="26" cm="1">
        <f t="array" ref="G78">_FV(B78,"P/E",TRUE)</f>
        <v>39.143799999999999</v>
      </c>
      <c r="H78" s="28" cm="1">
        <f t="array" ref="H78">_FV(B78,"Price")</f>
        <v>800.87</v>
      </c>
      <c r="I78" s="32">
        <f t="shared" si="1"/>
        <v>2.1306095934683685E-3</v>
      </c>
    </row>
    <row r="79" spans="2:9" x14ac:dyDescent="0.55000000000000004">
      <c r="B79" s="24" t="e" vm="79">
        <v>#VALUE!</v>
      </c>
      <c r="C79" s="27" cm="1">
        <f t="array" ref="C79">_FV(B79,"Shares outstanding",TRUE)</f>
        <v>496493400</v>
      </c>
      <c r="D79" s="30" cm="1">
        <f t="array" ref="D79">_FV(B79,"Market cap",TRUE)</f>
        <v>111909612360</v>
      </c>
      <c r="E79" s="26" cm="1">
        <f t="array" ref="E79">_FV(B79,"Beta")</f>
        <v>1.0720000000000001</v>
      </c>
      <c r="F79" t="str" cm="1">
        <f t="array" ref="F79">_FV(B79,"Industry")</f>
        <v>Semiconductors &amp; Semiconductor Equipment</v>
      </c>
      <c r="G79" s="26" cm="1">
        <f t="array" ref="G79">_FV(B79,"P/E",TRUE)</f>
        <v>72.149699999999996</v>
      </c>
      <c r="H79" s="28" cm="1">
        <f t="array" ref="H79">_FV(B79,"Price")</f>
        <v>225.4</v>
      </c>
      <c r="I79" s="32">
        <f t="shared" si="1"/>
        <v>2.1688156955047685E-3</v>
      </c>
    </row>
    <row r="80" spans="2:9" x14ac:dyDescent="0.55000000000000004">
      <c r="B80" s="25" t="e" vm="80">
        <v>#VALUE!</v>
      </c>
      <c r="C80" s="27" cm="1">
        <f t="array" ref="C80">_FV(B80,"Shares outstanding",TRUE)</f>
        <v>1907795000</v>
      </c>
      <c r="D80" s="30" cm="1">
        <f t="array" ref="D80">_FV(B80,"Market cap",TRUE)</f>
        <v>117796802275</v>
      </c>
      <c r="E80" s="26" cm="1">
        <f t="array" ref="E80">_FV(B80,"Beta")</f>
        <v>1.4372</v>
      </c>
      <c r="F80" t="str" cm="1">
        <f t="array" ref="F80">_FV(B80,"Industry")</f>
        <v>Investment Banking &amp; Investment Services</v>
      </c>
      <c r="G80" s="26" cm="1">
        <f t="array" ref="G80">_FV(B80,"P/E",TRUE)</f>
        <v>17.366299999999999</v>
      </c>
      <c r="H80" s="28" cm="1">
        <f t="array" ref="H80">_FV(B80,"Price")</f>
        <v>61.744999999999997</v>
      </c>
      <c r="I80" s="32">
        <f t="shared" si="1"/>
        <v>2.2829098257658533E-3</v>
      </c>
    </row>
    <row r="81" spans="2:9" x14ac:dyDescent="0.55000000000000004">
      <c r="B81" s="24" t="e" vm="81">
        <v>#VALUE!</v>
      </c>
      <c r="C81" s="27" cm="1">
        <f t="array" ref="C81">_FV(B81,"Shares outstanding",TRUE)</f>
        <v>1499359000</v>
      </c>
      <c r="D81" s="30" cm="1">
        <f t="array" ref="D81">_FV(B81,"Market cap",TRUE)</f>
        <v>126665848320</v>
      </c>
      <c r="E81" s="26" cm="1">
        <f t="array" ref="E81">_FV(B81,"Beta")</f>
        <v>1.0166999999999999</v>
      </c>
      <c r="F81" t="str" cm="1">
        <f t="array" ref="F81">_FV(B81,"Industry")</f>
        <v>Textiles &amp; Apparel</v>
      </c>
      <c r="G81" s="26" cm="1">
        <f t="array" ref="G81">_FV(B81,"P/E",TRUE)</f>
        <v>22.548100000000002</v>
      </c>
      <c r="H81" s="28" cm="1">
        <f t="array" ref="H81">_FV(B81,"Price")</f>
        <v>84.48</v>
      </c>
      <c r="I81" s="32">
        <f t="shared" si="1"/>
        <v>2.4547925252132678E-3</v>
      </c>
    </row>
    <row r="82" spans="2:9" x14ac:dyDescent="0.55000000000000004">
      <c r="B82" s="25" t="e" vm="82">
        <v>#VALUE!</v>
      </c>
      <c r="C82" s="27" cm="1">
        <f t="array" ref="C82">_FV(B82,"Shares outstanding",TRUE)</f>
        <v>1472626000</v>
      </c>
      <c r="D82" s="30" cm="1">
        <f t="array" ref="D82">_FV(B82,"Market cap",TRUE)</f>
        <v>117147398300</v>
      </c>
      <c r="E82" s="26" cm="1">
        <f t="array" ref="E82">_FV(B82,"Beta")</f>
        <v>0.79249999999999998</v>
      </c>
      <c r="F82" t="str" cm="1">
        <f t="array" ref="F82">_FV(B82,"Industry")</f>
        <v>Healthcare Equipment &amp; Supplies</v>
      </c>
      <c r="G82" s="26" cm="1">
        <f t="array" ref="G82">_FV(B82,"P/E",TRUE)</f>
        <v>64.033299999999997</v>
      </c>
      <c r="H82" s="28" cm="1">
        <f t="array" ref="H82">_FV(B82,"Price")</f>
        <v>79.55</v>
      </c>
      <c r="I82" s="32">
        <f t="shared" si="1"/>
        <v>2.2703243337424124E-3</v>
      </c>
    </row>
    <row r="83" spans="2:9" x14ac:dyDescent="0.55000000000000004">
      <c r="B83" s="24" t="e" vm="83">
        <v>#VALUE!</v>
      </c>
      <c r="C83" s="27" cm="1">
        <f t="array" ref="C83">_FV(B83,"Shares outstanding",TRUE)</f>
        <v>110234500</v>
      </c>
      <c r="D83" s="30" cm="1">
        <f t="array" ref="D83">_FV(B83,"Market cap",TRUE)</f>
        <v>132358012977</v>
      </c>
      <c r="E83" s="26" cm="1">
        <f t="array" ref="E83">_FV(B83,"Beta")</f>
        <v>0.1195</v>
      </c>
      <c r="F83" t="str" cm="1">
        <f t="array" ref="F83">_FV(B83,"Industry")</f>
        <v>Biotechnology &amp; Medical Research</v>
      </c>
      <c r="G83" s="26" cm="1">
        <f t="array" ref="G83">_FV(B83,"P/E",TRUE)</f>
        <v>31.747699999999998</v>
      </c>
      <c r="H83" s="28" cm="1">
        <f t="array" ref="H83">_FV(B83,"Price")</f>
        <v>1200.6949999999999</v>
      </c>
      <c r="I83" s="32">
        <f t="shared" si="1"/>
        <v>2.5651070530644218E-3</v>
      </c>
    </row>
    <row r="84" spans="2:9" x14ac:dyDescent="0.55000000000000004">
      <c r="B84" s="25" t="e" vm="84">
        <v>#VALUE!</v>
      </c>
      <c r="C84" s="27" cm="1">
        <f t="array" ref="C84">_FV(B84,"Shares outstanding",TRUE)</f>
        <v>148128500</v>
      </c>
      <c r="D84" s="30" cm="1">
        <f t="array" ref="D84">_FV(B84,"Market cap",TRUE)</f>
        <v>130773700000</v>
      </c>
      <c r="E84" s="26" cm="1">
        <f t="array" ref="E84">_FV(B84,"Beta")</f>
        <v>1.3166</v>
      </c>
      <c r="F84" t="str" cm="1">
        <f t="array" ref="F84">_FV(B84,"Industry")</f>
        <v>Investment Banking &amp; Investment Services</v>
      </c>
      <c r="G84" s="26" cm="1">
        <f t="array" ref="G84">_FV(B84,"P/E",TRUE)</f>
        <v>21.930900000000001</v>
      </c>
      <c r="H84" s="28" cm="1">
        <f t="array" ref="H84">_FV(B84,"Price")</f>
        <v>883.19</v>
      </c>
      <c r="I84" s="32">
        <f t="shared" si="1"/>
        <v>2.5344029626949904E-3</v>
      </c>
    </row>
    <row r="85" spans="2:9" x14ac:dyDescent="0.55000000000000004">
      <c r="B85" s="24" t="e" vm="85">
        <v>#VALUE!</v>
      </c>
      <c r="C85" s="27" cm="1">
        <f t="array" ref="C85">_FV(B85,"Shares outstanding",TRUE)</f>
        <v>1829339000</v>
      </c>
      <c r="D85" s="30" cm="1">
        <f t="array" ref="D85">_FV(B85,"Market cap",TRUE)</f>
        <v>118285059740</v>
      </c>
      <c r="E85" s="26" cm="1">
        <f t="array" ref="E85">_FV(B85,"Beta")</f>
        <v>0.96619999999999995</v>
      </c>
      <c r="F85" t="str" cm="1">
        <f t="array" ref="F85">_FV(B85,"Industry")</f>
        <v>Investment Banking &amp; Investment Services</v>
      </c>
      <c r="G85" s="26" cm="1">
        <f t="array" ref="G85">_FV(B85,"P/E",TRUE)</f>
        <v>26.564</v>
      </c>
      <c r="H85" s="28" cm="1">
        <f t="array" ref="H85">_FV(B85,"Price")</f>
        <v>64.66</v>
      </c>
      <c r="I85" s="32">
        <f t="shared" si="1"/>
        <v>2.2923722877582413E-3</v>
      </c>
    </row>
    <row r="86" spans="2:9" x14ac:dyDescent="0.55000000000000004">
      <c r="B86" s="25" t="e" vm="86">
        <v>#VALUE!</v>
      </c>
      <c r="C86" s="27" cm="1">
        <f t="array" ref="C86">_FV(B86,"Shares outstanding",TRUE)</f>
        <v>403934200</v>
      </c>
      <c r="D86" s="30" cm="1">
        <f t="array" ref="D86">_FV(B86,"Market cap",TRUE)</f>
        <v>111481799858</v>
      </c>
      <c r="E86" s="26" cm="1">
        <f t="array" ref="E86">_FV(B86,"Beta")</f>
        <v>0.67310000000000003</v>
      </c>
      <c r="F86" t="str" cm="1">
        <f t="array" ref="F86">_FV(B86,"Industry")</f>
        <v>Insurance</v>
      </c>
      <c r="G86" s="26" cm="1">
        <f t="array" ref="G86">_FV(B86,"P/E",TRUE)</f>
        <v>11.6861</v>
      </c>
      <c r="H86" s="28" cm="1">
        <f t="array" ref="H86">_FV(B86,"Price")</f>
        <v>275.99</v>
      </c>
      <c r="I86" s="32">
        <f t="shared" si="1"/>
        <v>2.1605246608965346E-3</v>
      </c>
    </row>
    <row r="87" spans="2:9" x14ac:dyDescent="0.55000000000000004">
      <c r="B87" s="24" t="e" vm="87">
        <v>#VALUE!</v>
      </c>
      <c r="C87" s="27" cm="1">
        <f t="array" ref="C87">_FV(B87,"Shares outstanding",TRUE)</f>
        <v>1282600000</v>
      </c>
      <c r="D87" s="30" cm="1">
        <f t="array" ref="D87">_FV(B87,"Market cap",TRUE)</f>
        <v>115414761000</v>
      </c>
      <c r="E87" s="26" cm="1">
        <f t="array" ref="E87">_FV(B87,"Beta")</f>
        <v>0.85229999999999995</v>
      </c>
      <c r="F87" t="str" cm="1">
        <f t="array" ref="F87">_FV(B87,"Industry")</f>
        <v>Healthcare Equipment &amp; Supplies</v>
      </c>
      <c r="G87" s="26" cm="1">
        <f t="array" ref="G87">_FV(B87,"P/E",TRUE)</f>
        <v>29.710699999999999</v>
      </c>
      <c r="H87" s="28" cm="1">
        <f t="array" ref="H87">_FV(B87,"Price")</f>
        <v>89.984999999999999</v>
      </c>
      <c r="I87" s="32">
        <f t="shared" si="1"/>
        <v>2.236745708174765E-3</v>
      </c>
    </row>
    <row r="88" spans="2:9" x14ac:dyDescent="0.55000000000000004">
      <c r="B88" s="25" t="e" vm="88">
        <v>#VALUE!</v>
      </c>
      <c r="C88" s="27" cm="1">
        <f t="array" ref="C88">_FV(B88,"Shares outstanding",TRUE)</f>
        <v>491755900</v>
      </c>
      <c r="D88" s="30" cm="1">
        <f t="array" ref="D88">_FV(B88,"Market cap",TRUE)</f>
        <v>110364776637</v>
      </c>
      <c r="E88" s="26" cm="1">
        <f t="array" ref="E88">_FV(B88,"Beta")</f>
        <v>0.9355</v>
      </c>
      <c r="F88" t="str" cm="1">
        <f t="array" ref="F88">_FV(B88,"Industry")</f>
        <v>Insurance</v>
      </c>
      <c r="G88" s="26" cm="1">
        <f t="array" ref="G88">_FV(B88,"P/E",TRUE)</f>
        <v>27.6981</v>
      </c>
      <c r="H88" s="28" cm="1">
        <f t="array" ref="H88">_FV(B88,"Price")</f>
        <v>224.43</v>
      </c>
      <c r="I88" s="32">
        <f t="shared" si="1"/>
        <v>2.1388766769310928E-3</v>
      </c>
    </row>
    <row r="89" spans="2:9" x14ac:dyDescent="0.55000000000000004">
      <c r="B89" s="24" t="e" vm="89">
        <v>#VALUE!</v>
      </c>
      <c r="C89" s="27" cm="1">
        <f t="array" ref="C89">_FV(B89,"Shares outstanding",TRUE)</f>
        <v>925911000</v>
      </c>
      <c r="D89" s="30" cm="1">
        <f t="array" ref="D89">_FV(B89,"Market cap",TRUE)</f>
        <v>119433259890</v>
      </c>
      <c r="E89" s="26" cm="1">
        <f t="array" ref="E89">_FV(B89,"Beta")</f>
        <v>1.0837000000000001</v>
      </c>
      <c r="F89" t="str" cm="1">
        <f t="array" ref="F89">_FV(B89,"Industry")</f>
        <v>Residential &amp; Commercial REIT</v>
      </c>
      <c r="G89" s="26" cm="1">
        <f t="array" ref="G89">_FV(B89,"P/E",TRUE)</f>
        <v>42.4542</v>
      </c>
      <c r="H89" s="28" cm="1">
        <f t="array" ref="H89">_FV(B89,"Price")</f>
        <v>128.99</v>
      </c>
      <c r="I89" s="32">
        <f t="shared" si="1"/>
        <v>2.3146244826714913E-3</v>
      </c>
    </row>
    <row r="90" spans="2:9" x14ac:dyDescent="0.55000000000000004">
      <c r="B90" s="25" t="e" vm="90">
        <v>#VALUE!</v>
      </c>
      <c r="C90" s="27" cm="1">
        <f t="array" ref="C90">_FV(B90,"Shares outstanding",TRUE)</f>
        <v>407795200</v>
      </c>
      <c r="D90" s="30" cm="1">
        <f t="array" ref="D90">_FV(B90,"Market cap",TRUE)</f>
        <v>110394238591</v>
      </c>
      <c r="E90" s="26" cm="1">
        <f t="array" ref="E90">_FV(B90,"Beta")</f>
        <v>0.79820000000000002</v>
      </c>
      <c r="F90" t="str" cm="1">
        <f t="array" ref="F90">_FV(B90,"Industry")</f>
        <v>Software &amp; IT Services</v>
      </c>
      <c r="G90" s="26" cm="1">
        <f t="array" ref="G90">_FV(B90,"P/E",TRUE)</f>
        <v>29.6189</v>
      </c>
      <c r="H90" s="28" cm="1">
        <f t="array" ref="H90">_FV(B90,"Price")</f>
        <v>270.70999999999998</v>
      </c>
      <c r="I90" s="32">
        <f t="shared" si="1"/>
        <v>2.1394476515498762E-3</v>
      </c>
    </row>
    <row r="91" spans="2:9" x14ac:dyDescent="0.55000000000000004">
      <c r="B91" s="24" t="e" vm="91">
        <v>#VALUE!</v>
      </c>
      <c r="C91" s="27" cm="1">
        <f t="array" ref="C91">_FV(B91,"Shares outstanding",TRUE)</f>
        <v>616167200</v>
      </c>
      <c r="D91" s="30" cm="1">
        <f t="array" ref="D91">_FV(B91,"Market cap",TRUE)</f>
        <v>106843392480</v>
      </c>
      <c r="E91" s="26" cm="1">
        <f t="array" ref="E91">_FV(B91,"Beta")</f>
        <v>1.5784</v>
      </c>
      <c r="F91" t="str" cm="1">
        <f t="array" ref="F91">_FV(B91,"Industry")</f>
        <v>Aerospace &amp; Defense</v>
      </c>
      <c r="G91" t="e" cm="1" vm="36">
        <f t="array" ref="G91">_FV(B91,"P/E",TRUE)</f>
        <v>#VALUE!</v>
      </c>
      <c r="H91" s="28" cm="1">
        <f t="array" ref="H91">_FV(B91,"Price")</f>
        <v>173.4</v>
      </c>
      <c r="I91" s="32">
        <f t="shared" si="1"/>
        <v>2.0706320188669104E-3</v>
      </c>
    </row>
    <row r="92" spans="2:9" x14ac:dyDescent="0.55000000000000004">
      <c r="B92" s="25" t="e" vm="92">
        <v>#VALUE!</v>
      </c>
      <c r="C92" s="27" cm="1">
        <f t="array" ref="C92">_FV(B92,"Shares outstanding",TRUE)</f>
        <v>323800000</v>
      </c>
      <c r="D92" s="30" cm="1">
        <f t="array" ref="D92">_FV(B92,"Market cap",TRUE)</f>
        <v>113572900000</v>
      </c>
      <c r="E92" s="26" cm="1">
        <f t="array" ref="E92">_FV(B92,"Beta")</f>
        <v>1.1285000000000001</v>
      </c>
      <c r="F92" t="str" cm="1">
        <f t="array" ref="F92">_FV(B92,"Industry")</f>
        <v>Software &amp; IT Services</v>
      </c>
      <c r="G92" s="26" cm="1">
        <f t="array" ref="G92">_FV(B92,"P/E",TRUE)</f>
        <v>48.455500000000001</v>
      </c>
      <c r="H92" s="28" cm="1">
        <f t="array" ref="H92">_FV(B92,"Price")</f>
        <v>352.7</v>
      </c>
      <c r="I92" s="32">
        <f t="shared" si="1"/>
        <v>2.2010503200709463E-3</v>
      </c>
    </row>
    <row r="93" spans="2:9" x14ac:dyDescent="0.55000000000000004">
      <c r="B93" s="24" t="e" vm="93">
        <v>#VALUE!</v>
      </c>
      <c r="C93" s="27" cm="1">
        <f t="array" ref="C93">_FV(B93,"Shares outstanding",TRUE)</f>
        <v>275570300</v>
      </c>
      <c r="D93" s="30" cm="1">
        <f t="array" ref="D93">_FV(B93,"Market cap",TRUE)</f>
        <v>105560648043</v>
      </c>
      <c r="E93" s="26" cm="1">
        <f t="array" ref="E93">_FV(B93,"Beta")</f>
        <v>0.93</v>
      </c>
      <c r="F93" t="str" cm="1">
        <f t="array" ref="F93">_FV(B93,"Industry")</f>
        <v>Machinery, Equipment &amp; Components</v>
      </c>
      <c r="G93" s="26" cm="1">
        <f t="array" ref="G93">_FV(B93,"P/E",TRUE)</f>
        <v>13.112299999999999</v>
      </c>
      <c r="H93" s="28" cm="1">
        <f t="array" ref="H93">_FV(B93,"Price")</f>
        <v>383.0625</v>
      </c>
      <c r="I93" s="32">
        <f t="shared" si="1"/>
        <v>2.0457723467653078E-3</v>
      </c>
    </row>
    <row r="94" spans="2:9" x14ac:dyDescent="0.55000000000000004">
      <c r="B94" s="25" t="e" vm="94">
        <v>#VALUE!</v>
      </c>
      <c r="C94" s="27" cm="1">
        <f t="array" ref="C94">_FV(B94,"Shares outstanding",TRUE)</f>
        <v>238358000</v>
      </c>
      <c r="D94" s="30" cm="1">
        <f t="array" ref="D94">_FV(B94,"Market cap",TRUE)</f>
        <v>133213519040</v>
      </c>
      <c r="E94" s="26" cm="1">
        <f t="array" ref="E94">_FV(B94,"Beta")</f>
        <v>0.46739999999999998</v>
      </c>
      <c r="F94" t="str" cm="1">
        <f t="array" ref="F94">_FV(B94,"Industry")</f>
        <v>Aerospace &amp; Defense</v>
      </c>
      <c r="G94" s="26" cm="1">
        <f t="array" ref="G94">_FV(B94,"P/E",TRUE)</f>
        <v>20.114799999999999</v>
      </c>
      <c r="H94" s="28" cm="1">
        <f t="array" ref="H94">_FV(B94,"Price")</f>
        <v>558.88</v>
      </c>
      <c r="I94" s="32">
        <f t="shared" si="1"/>
        <v>2.5816868171964357E-3</v>
      </c>
    </row>
    <row r="95" spans="2:9" x14ac:dyDescent="0.55000000000000004">
      <c r="B95" s="24" t="e" vm="95">
        <v>#VALUE!</v>
      </c>
      <c r="C95" s="27" cm="1">
        <f t="array" ref="C95">_FV(B95,"Shares outstanding",TRUE)</f>
        <v>279548800</v>
      </c>
      <c r="D95" s="30" cm="1">
        <f t="array" ref="D95">_FV(B95,"Market cap",TRUE)</f>
        <v>98661157984</v>
      </c>
      <c r="E95" s="26" cm="1">
        <f t="array" ref="E95">_FV(B95,"Beta")</f>
        <v>0.50670000000000004</v>
      </c>
      <c r="F95" t="str" cm="1">
        <f t="array" ref="F95">_FV(B95,"Industry")</f>
        <v>Healthcare Providers &amp; Services</v>
      </c>
      <c r="G95" s="26" cm="1">
        <f t="array" ref="G95">_FV(B95,"P/E",TRUE)</f>
        <v>27.836400000000001</v>
      </c>
      <c r="H95" s="28" cm="1">
        <f t="array" ref="H95">_FV(B95,"Price")</f>
        <v>352.93</v>
      </c>
      <c r="I95" s="32">
        <f t="shared" si="1"/>
        <v>1.9120597727032892E-3</v>
      </c>
    </row>
    <row r="96" spans="2:9" x14ac:dyDescent="0.55000000000000004">
      <c r="B96" s="25" t="e" vm="96">
        <v>#VALUE!</v>
      </c>
      <c r="C96" s="27" cm="1">
        <f t="array" ref="C96">_FV(B96,"Shares outstanding",TRUE)</f>
        <v>856577800</v>
      </c>
      <c r="D96" s="30" cm="1">
        <f t="array" ref="D96">_FV(B96,"Market cap",TRUE)</f>
        <v>109616300000</v>
      </c>
      <c r="E96" s="26" cm="1">
        <f t="array" ref="E96">_FV(B96,"Beta")</f>
        <v>0.97709999999999997</v>
      </c>
      <c r="F96" t="str" cm="1">
        <f t="array" ref="F96">_FV(B96,"Industry")</f>
        <v>Freight &amp; Logistics Services</v>
      </c>
      <c r="G96" s="26" cm="1">
        <f t="array" ref="G96">_FV(B96,"P/E",TRUE)</f>
        <v>21.115300000000001</v>
      </c>
      <c r="H96" s="28" cm="1">
        <f t="array" ref="H96">_FV(B96,"Price")</f>
        <v>128.91</v>
      </c>
      <c r="I96" s="32">
        <f t="shared" si="1"/>
        <v>2.1243711501598784E-3</v>
      </c>
    </row>
    <row r="97" spans="2:9" x14ac:dyDescent="0.55000000000000004">
      <c r="B97" s="24" t="e" vm="97">
        <v>#VALUE!</v>
      </c>
      <c r="C97" s="27" cm="1">
        <f t="array" ref="C97">_FV(B97,"Shares outstanding",TRUE)</f>
        <v>153613000</v>
      </c>
      <c r="D97" s="30" cm="1">
        <f t="array" ref="D97">_FV(B97,"Market cap",TRUE)</f>
        <v>81307360900</v>
      </c>
      <c r="E97" s="26" cm="1">
        <f t="array" ref="E97">_FV(B97,"Beta")</f>
        <v>1.0797000000000001</v>
      </c>
      <c r="F97" t="str" cm="1">
        <f t="array" ref="F97">_FV(B97,"Industry")</f>
        <v>Software &amp; IT Services</v>
      </c>
      <c r="G97" s="26" cm="1">
        <f t="array" ref="G97">_FV(B97,"P/E",TRUE)</f>
        <v>55.582599999999999</v>
      </c>
      <c r="H97" s="28" cm="1">
        <f t="array" ref="H97">_FV(B97,"Price")</f>
        <v>529.29999999999995</v>
      </c>
      <c r="I97" s="32">
        <f t="shared" si="1"/>
        <v>1.5757420364635307E-3</v>
      </c>
    </row>
    <row r="98" spans="2:9" x14ac:dyDescent="0.55000000000000004">
      <c r="B98" s="25" t="e" vm="98">
        <v>#VALUE!</v>
      </c>
      <c r="C98" s="27" cm="1">
        <f t="array" ref="C98">_FV(B98,"Shares outstanding",TRUE)</f>
        <v>1369476000</v>
      </c>
      <c r="D98" s="30" cm="1">
        <f t="array" ref="D98">_FV(B98,"Market cap",TRUE)</f>
        <v>75006611362</v>
      </c>
      <c r="E98" s="26" cm="1">
        <f t="array" ref="E98">_FV(B98,"Beta")</f>
        <v>1.2529999999999999</v>
      </c>
      <c r="F98" t="str" cm="1">
        <f t="array" ref="F98">_FV(B98,"Industry")</f>
        <v>Hotels &amp; Entertainment Services</v>
      </c>
      <c r="G98" s="26" cm="1">
        <f t="array" ref="G98">_FV(B98,"P/E",TRUE)</f>
        <v>52.640900000000002</v>
      </c>
      <c r="H98" s="28" cm="1">
        <f t="array" ref="H98">_FV(B98,"Price")</f>
        <v>54.770299999999999</v>
      </c>
      <c r="I98" s="32">
        <f t="shared" si="1"/>
        <v>1.4536330933327154E-3</v>
      </c>
    </row>
    <row r="99" spans="2:9" x14ac:dyDescent="0.55000000000000004">
      <c r="B99" s="24" t="e" vm="99">
        <v>#VALUE!</v>
      </c>
      <c r="C99" s="27" cm="1">
        <f t="array" ref="C99">_FV(B99,"Shares outstanding",TRUE)</f>
        <v>1166784000</v>
      </c>
      <c r="D99" s="30" cm="1">
        <f t="array" ref="D99">_FV(B99,"Market cap",TRUE)</f>
        <v>233059270080</v>
      </c>
      <c r="E99" s="26" cm="1">
        <f t="array" ref="E99">_FV(B99,"Beta")</f>
        <v>0.50560000000000005</v>
      </c>
      <c r="F99" t="str" cm="1">
        <f t="array" ref="F99">_FV(B99,"Industry")</f>
        <v>Telecommunications Services</v>
      </c>
      <c r="G99" s="26" cm="1">
        <f t="array" ref="G99">_FV(B99,"P/E",TRUE)</f>
        <v>24.869800000000001</v>
      </c>
      <c r="H99" s="28" cm="1">
        <f t="array" ref="H99">_FV(B99,"Price")</f>
        <v>199.745</v>
      </c>
      <c r="I99" s="32">
        <f t="shared" si="1"/>
        <v>4.5167040817403192E-3</v>
      </c>
    </row>
    <row r="100" spans="2:9" x14ac:dyDescent="0.55000000000000004">
      <c r="B100" s="25" t="e" vm="100">
        <v>#VALUE!</v>
      </c>
      <c r="C100" s="27" cm="1">
        <f t="array" ref="C100">_FV(B100,"Shares outstanding",TRUE)</f>
        <v>1133200000</v>
      </c>
      <c r="D100" s="30" cm="1">
        <f t="array" ref="D100">_FV(B100,"Market cap",TRUE)</f>
        <v>108288592000</v>
      </c>
      <c r="E100" s="26" cm="1">
        <f t="array" ref="E100">_FV(B100,"Beta")</f>
        <v>0.95409999999999995</v>
      </c>
      <c r="F100" t="str" cm="1">
        <f t="array" ref="F100">_FV(B100,"Industry")</f>
        <v>Hotels &amp; Entertainment Services</v>
      </c>
      <c r="G100" s="26" cm="1">
        <f t="array" ref="G100">_FV(B100,"P/E",TRUE)</f>
        <v>26.350200000000001</v>
      </c>
      <c r="H100" s="28" cm="1">
        <f t="array" ref="H100">_FV(B100,"Price")</f>
        <v>95.56</v>
      </c>
      <c r="I100" s="32">
        <f t="shared" si="1"/>
        <v>2.0986400812309284E-3</v>
      </c>
    </row>
    <row r="101" spans="2:9" x14ac:dyDescent="0.55000000000000004">
      <c r="B101" s="24" t="e" vm="101">
        <v>#VALUE!</v>
      </c>
      <c r="C101" s="27" cm="1">
        <f t="array" ref="C101">_FV(B101,"Shares outstanding",TRUE)</f>
        <v>467081700</v>
      </c>
      <c r="D101" s="30" cm="1">
        <f t="array" ref="D101">_FV(B101,"Market cap",TRUE)</f>
        <v>106027500000</v>
      </c>
      <c r="E101" s="26" cm="1">
        <f t="array" ref="E101">_FV(B101,"Beta")</f>
        <v>0.82950000000000002</v>
      </c>
      <c r="F101" t="str" cm="1">
        <f t="array" ref="F101">_FV(B101,"Industry")</f>
        <v>Residential &amp; Commercial REIT</v>
      </c>
      <c r="G101" s="26" cm="1">
        <f t="array" ref="G101">_FV(B101,"P/E",TRUE)</f>
        <v>42.6355</v>
      </c>
      <c r="H101" s="28" cm="1">
        <f t="array" ref="H101">_FV(B101,"Price")</f>
        <v>225.93</v>
      </c>
      <c r="I101" s="32">
        <f t="shared" si="1"/>
        <v>2.054819968595697E-3</v>
      </c>
    </row>
    <row r="102" spans="2:9" x14ac:dyDescent="0.55000000000000004">
      <c r="B102" s="25" t="e" vm="102">
        <v>#VALUE!</v>
      </c>
      <c r="C102" s="27" cm="1">
        <f t="array" ref="C102">_FV(B102,"Shares outstanding",TRUE)</f>
        <v>575725200</v>
      </c>
      <c r="D102" s="30" cm="1">
        <f t="array" ref="D102">_FV(B102,"Market cap",TRUE)</f>
        <v>98126603088</v>
      </c>
      <c r="E102" s="26" cm="1">
        <f t="array" ref="E102">_FV(B102,"Beta")</f>
        <v>0.92959999999999998</v>
      </c>
      <c r="F102" t="str" cm="1">
        <f t="array" ref="F102">_FV(B102,"Industry")</f>
        <v>Professional &amp; Commercial Services</v>
      </c>
      <c r="G102" s="26" cm="1">
        <f t="array" ref="G102">_FV(B102,"P/E",TRUE)</f>
        <v>29.558</v>
      </c>
      <c r="H102" s="28" cm="1">
        <f t="array" ref="H102">_FV(B102,"Price")</f>
        <v>170.44</v>
      </c>
      <c r="I102" s="32">
        <f t="shared" si="1"/>
        <v>1.9017000634334166E-3</v>
      </c>
    </row>
    <row r="103" spans="2:9" x14ac:dyDescent="0.55000000000000004">
      <c r="B103" s="24" t="e" vm="103">
        <v>#VALUE!</v>
      </c>
      <c r="C103" s="27" cm="1">
        <f t="array" ref="C103">_FV(B103,"Shares outstanding",TRUE)</f>
        <v>1335798000</v>
      </c>
      <c r="D103" s="30" cm="1">
        <f t="array" ref="D103">_FV(B103,"Market cap",TRUE)</f>
        <v>95843506500</v>
      </c>
      <c r="E103" s="26" cm="1">
        <f t="array" ref="E103">_FV(B103,"Beta")</f>
        <v>0.54710000000000003</v>
      </c>
      <c r="F103" t="str" cm="1">
        <f t="array" ref="F103">_FV(B103,"Industry")</f>
        <v>Food &amp; Tobacco</v>
      </c>
      <c r="G103" s="26" cm="1">
        <f t="array" ref="G103">_FV(B103,"P/E",TRUE)</f>
        <v>24.763200000000001</v>
      </c>
      <c r="H103" s="28" cm="1">
        <f t="array" ref="H103">_FV(B103,"Price")</f>
        <v>71.75</v>
      </c>
      <c r="I103" s="32">
        <f t="shared" si="1"/>
        <v>1.8574535004261298E-3</v>
      </c>
    </row>
    <row r="104" spans="2:9" x14ac:dyDescent="0.55000000000000004">
      <c r="B104" s="25" t="e" vm="104">
        <v>#VALUE!</v>
      </c>
      <c r="C104" s="27" cm="1">
        <f t="array" ref="C104">_FV(B104,"Shares outstanding",TRUE)</f>
        <v>273820000</v>
      </c>
      <c r="D104" s="30" cm="1">
        <f t="array" ref="D104">_FV(B104,"Market cap",TRUE)</f>
        <v>72830643600</v>
      </c>
      <c r="E104" s="26" cm="1">
        <f t="array" ref="E104">_FV(B104,"Beta")</f>
        <v>1.0197000000000001</v>
      </c>
      <c r="F104" t="str" cm="1">
        <f t="array" ref="F104">_FV(B104,"Industry")</f>
        <v>Software &amp; IT Services</v>
      </c>
      <c r="G104" s="26" cm="1">
        <f t="array" ref="G104">_FV(B104,"P/E",TRUE)</f>
        <v>70.830100000000002</v>
      </c>
      <c r="H104" s="28" cm="1">
        <f t="array" ref="H104">_FV(B104,"Price")</f>
        <v>265.98</v>
      </c>
      <c r="I104" s="32">
        <f t="shared" si="1"/>
        <v>1.4114626940648078E-3</v>
      </c>
    </row>
    <row r="105" spans="2:9" x14ac:dyDescent="0.55000000000000004">
      <c r="B105" s="24" t="e" vm="105">
        <v>#VALUE!</v>
      </c>
      <c r="C105" s="27" cm="1">
        <f t="array" ref="C105">_FV(B105,"Shares outstanding",TRUE)</f>
        <v>1221403000</v>
      </c>
      <c r="D105" s="30" cm="1">
        <f t="array" ref="D105">_FV(B105,"Market cap",TRUE)</f>
        <v>170117100000</v>
      </c>
      <c r="E105" s="26" cm="1">
        <f t="array" ref="E105">_FV(B105,"Beta")</f>
        <v>1.498</v>
      </c>
      <c r="F105" t="str" cm="1">
        <f t="array" ref="F105">_FV(B105,"Industry")</f>
        <v>Investment Banking &amp; Investment Services</v>
      </c>
      <c r="G105" s="26" cm="1">
        <f t="array" ref="G105">_FV(B105,"P/E",TRUE)</f>
        <v>54.041499999999999</v>
      </c>
      <c r="H105" s="28" cm="1">
        <f t="array" ref="H105">_FV(B105,"Price")</f>
        <v>141.535</v>
      </c>
      <c r="I105" s="32">
        <f t="shared" si="1"/>
        <v>3.2968806590704396E-3</v>
      </c>
    </row>
    <row r="106" spans="2:9" x14ac:dyDescent="0.55000000000000004">
      <c r="B106" s="25" t="e" vm="106">
        <v>#VALUE!</v>
      </c>
      <c r="C106" s="27" cm="1">
        <f t="array" ref="C106">_FV(B106,"Shares outstanding",TRUE)</f>
        <v>314152900</v>
      </c>
      <c r="D106" s="30" cm="1">
        <f t="array" ref="D106">_FV(B106,"Market cap",TRUE)</f>
        <v>108310495333</v>
      </c>
      <c r="E106" s="26" cm="1">
        <f t="array" ref="E106">_FV(B106,"Beta")</f>
        <v>1.0742</v>
      </c>
      <c r="F106" t="str" cm="1">
        <f t="array" ref="F106">_FV(B106,"Industry")</f>
        <v>Communications &amp; Networking</v>
      </c>
      <c r="G106" s="26" cm="1">
        <f t="array" ref="G106">_FV(B106,"P/E",TRUE)</f>
        <v>45.277999999999999</v>
      </c>
      <c r="H106" s="28" cm="1">
        <f t="array" ref="H106">_FV(B106,"Price")</f>
        <v>344.77</v>
      </c>
      <c r="I106" s="32">
        <f t="shared" si="1"/>
        <v>2.099064569274381E-3</v>
      </c>
    </row>
    <row r="107" spans="2:9" x14ac:dyDescent="0.55000000000000004">
      <c r="B107" s="24" t="e" vm="107">
        <v>#VALUE!</v>
      </c>
      <c r="C107" s="27" cm="1">
        <f t="array" ref="C107">_FV(B107,"Shares outstanding",TRUE)</f>
        <v>1093426000</v>
      </c>
      <c r="D107" s="30" cm="1">
        <f t="array" ref="D107">_FV(B107,"Market cap",TRUE)</f>
        <v>94625086040</v>
      </c>
      <c r="E107" s="26" cm="1">
        <f t="array" ref="E107">_FV(B107,"Beta")</f>
        <v>0.51019999999999999</v>
      </c>
      <c r="F107" t="str" cm="1">
        <f t="array" ref="F107">_FV(B107,"Industry")</f>
        <v>Electrical Utilities &amp; IPPs</v>
      </c>
      <c r="G107" s="26" cm="1">
        <f t="array" ref="G107">_FV(B107,"P/E",TRUE)</f>
        <v>20.62</v>
      </c>
      <c r="H107" s="28" cm="1">
        <f t="array" ref="H107">_FV(B107,"Price")</f>
        <v>86.54</v>
      </c>
      <c r="I107" s="32">
        <f t="shared" si="1"/>
        <v>1.833840431256777E-3</v>
      </c>
    </row>
    <row r="108" spans="2:9" x14ac:dyDescent="0.55000000000000004">
      <c r="B108" s="25" t="e" vm="108">
        <v>#VALUE!</v>
      </c>
      <c r="C108" s="27" cm="1">
        <f t="array" ref="C108">_FV(B108,"Shares outstanding",TRUE)</f>
        <v>1204289000</v>
      </c>
      <c r="D108" s="30" cm="1">
        <f t="array" ref="D108">_FV(B108,"Market cap",TRUE)</f>
        <v>80651354758</v>
      </c>
      <c r="E108" s="26" cm="1">
        <f t="array" ref="E108">_FV(B108,"Beta")</f>
        <v>1.2483</v>
      </c>
      <c r="F108" t="str" cm="1">
        <f t="array" ref="F108">_FV(B108,"Industry")</f>
        <v>Electronic Equipment &amp; Parts</v>
      </c>
      <c r="G108" s="26" cm="1">
        <f t="array" ref="G108">_FV(B108,"P/E",TRUE)</f>
        <v>40.121499999999997</v>
      </c>
      <c r="H108" s="28" cm="1">
        <f t="array" ref="H108">_FV(B108,"Price")</f>
        <v>66.970100000000002</v>
      </c>
      <c r="I108" s="32">
        <f t="shared" si="1"/>
        <v>1.5630285940065926E-3</v>
      </c>
    </row>
    <row r="109" spans="2:9" x14ac:dyDescent="0.55000000000000004">
      <c r="B109" s="24" t="e" vm="109">
        <v>#VALUE!</v>
      </c>
      <c r="C109" s="27" cm="1">
        <f t="array" ref="C109">_FV(B109,"Shares outstanding",TRUE)</f>
        <v>2027395000</v>
      </c>
      <c r="D109" s="30" cm="1">
        <f t="array" ref="D109">_FV(B109,"Market cap",TRUE)</f>
        <v>97771123875</v>
      </c>
      <c r="E109" s="26" cm="1">
        <f t="array" ref="E109">_FV(B109,"Beta")</f>
        <v>0.45689999999999997</v>
      </c>
      <c r="F109" t="str" cm="1">
        <f t="array" ref="F109">_FV(B109,"Industry")</f>
        <v>Pharmaceuticals</v>
      </c>
      <c r="G109" t="e" cm="1" vm="36">
        <f t="array" ref="G109">_FV(B109,"P/E",TRUE)</f>
        <v>#VALUE!</v>
      </c>
      <c r="H109" s="28" cm="1">
        <f t="array" ref="H109">_FV(B109,"Price")</f>
        <v>48.225000000000001</v>
      </c>
      <c r="I109" s="32">
        <f t="shared" si="1"/>
        <v>1.894810852754177E-3</v>
      </c>
    </row>
    <row r="110" spans="2:9" x14ac:dyDescent="0.55000000000000004">
      <c r="B110" s="25" t="e" vm="110">
        <v>#VALUE!</v>
      </c>
      <c r="C110" s="27" cm="1">
        <f t="array" ref="C110">_FV(B110,"Shares outstanding",TRUE)</f>
        <v>817087200</v>
      </c>
      <c r="D110" s="30" cm="1">
        <f t="array" ref="D110">_FV(B110,"Market cap",TRUE)</f>
        <v>85667507484</v>
      </c>
      <c r="E110" s="26" cm="1">
        <f t="array" ref="E110">_FV(B110,"Beta")</f>
        <v>0.39650000000000002</v>
      </c>
      <c r="F110" t="str" cm="1">
        <f t="array" ref="F110">_FV(B110,"Industry")</f>
        <v>Personal &amp; Household Products &amp; Services</v>
      </c>
      <c r="G110" s="26" cm="1">
        <f t="array" ref="G110">_FV(B110,"P/E",TRUE)</f>
        <v>30.294799999999999</v>
      </c>
      <c r="H110" s="28" cm="1">
        <f t="array" ref="H110">_FV(B110,"Price")</f>
        <v>104.845</v>
      </c>
      <c r="I110" s="32">
        <f t="shared" si="1"/>
        <v>1.6602419658856855E-3</v>
      </c>
    </row>
    <row r="111" spans="2:9" x14ac:dyDescent="0.55000000000000004">
      <c r="B111" s="24" t="e" vm="111">
        <v>#VALUE!</v>
      </c>
      <c r="C111" s="27" cm="1">
        <f t="array" ref="C111">_FV(B111,"Shares outstanding",TRUE)</f>
        <v>129676800</v>
      </c>
      <c r="D111" s="30" cm="1">
        <f t="array" ref="D111">_FV(B111,"Market cap",TRUE)</f>
        <v>71601020000</v>
      </c>
      <c r="E111" s="26" cm="1">
        <f t="array" ref="E111">_FV(B111,"Beta")</f>
        <v>0.44059999999999999</v>
      </c>
      <c r="F111" t="str" cm="1">
        <f t="array" ref="F111">_FV(B111,"Industry")</f>
        <v>Pharmaceuticals</v>
      </c>
      <c r="G111" s="26" cm="1">
        <f t="array" ref="G111">_FV(B111,"P/E",TRUE)</f>
        <v>24.690300000000001</v>
      </c>
      <c r="H111" s="28" cm="1">
        <f t="array" ref="H111">_FV(B111,"Price")</f>
        <v>549.46</v>
      </c>
      <c r="I111" s="32">
        <f t="shared" si="1"/>
        <v>1.387632507300652E-3</v>
      </c>
    </row>
    <row r="112" spans="2:9" x14ac:dyDescent="0.55000000000000004">
      <c r="B112" s="25" t="e" vm="112">
        <v>#VALUE!</v>
      </c>
      <c r="C112" s="27" cm="1">
        <f t="array" ref="C112">_FV(B112,"Shares outstanding",TRUE)</f>
        <v>1706224000</v>
      </c>
      <c r="D112" s="30" cm="1">
        <f t="array" ref="D112">_FV(B112,"Market cap",TRUE)</f>
        <v>90063886952</v>
      </c>
      <c r="E112" s="26" cm="1">
        <f t="array" ref="E112">_FV(B112,"Beta")</f>
        <v>0.68259999999999998</v>
      </c>
      <c r="F112" t="str" cm="1">
        <f t="array" ref="F112">_FV(B112,"Industry")</f>
        <v>Food &amp; Tobacco</v>
      </c>
      <c r="G112" s="26" cm="1">
        <f t="array" ref="G112">_FV(B112,"P/E",TRUE)</f>
        <v>9.0441000000000003</v>
      </c>
      <c r="H112" s="28" cm="1">
        <f t="array" ref="H112">_FV(B112,"Price")</f>
        <v>52.785499999999999</v>
      </c>
      <c r="I112" s="32">
        <f t="shared" si="1"/>
        <v>1.745444090998232E-3</v>
      </c>
    </row>
    <row r="113" spans="2:9" x14ac:dyDescent="0.55000000000000004">
      <c r="B113" s="24" t="e" vm="113">
        <v>#VALUE!</v>
      </c>
      <c r="C113" s="27" cm="1">
        <f t="array" ref="C113">_FV(B113,"Shares outstanding",TRUE)</f>
        <v>225670200</v>
      </c>
      <c r="D113" s="30" cm="1">
        <f t="array" ref="D113">_FV(B113,"Market cap",TRUE)</f>
        <v>79258759293</v>
      </c>
      <c r="E113" s="26" cm="1">
        <f t="array" ref="E113">_FV(B113,"Beta")</f>
        <v>1.0502</v>
      </c>
      <c r="F113" t="str" cm="1">
        <f t="array" ref="F113">_FV(B113,"Industry")</f>
        <v>Machinery, Equipment &amp; Components</v>
      </c>
      <c r="G113" s="26" cm="1">
        <f t="array" ref="G113">_FV(B113,"P/E",TRUE)</f>
        <v>34.4878</v>
      </c>
      <c r="H113" s="28" cm="1">
        <f t="array" ref="H113">_FV(B113,"Price")</f>
        <v>351.21499999999997</v>
      </c>
      <c r="I113" s="32">
        <f t="shared" si="1"/>
        <v>1.5360400017106523E-3</v>
      </c>
    </row>
    <row r="114" spans="2:9" x14ac:dyDescent="0.55000000000000004">
      <c r="B114" s="25" t="e" vm="114">
        <v>#VALUE!</v>
      </c>
      <c r="C114" s="27" cm="1">
        <f t="array" ref="C114">_FV(B114,"Shares outstanding",TRUE)</f>
        <v>1244992000</v>
      </c>
      <c r="D114" s="30" cm="1">
        <f t="array" ref="D114">_FV(B114,"Market cap",TRUE)</f>
        <v>95540686080</v>
      </c>
      <c r="E114" s="26" cm="1">
        <f t="array" ref="E114">_FV(B114,"Beta")</f>
        <v>0.1943</v>
      </c>
      <c r="F114" t="str" cm="1">
        <f t="array" ref="F114">_FV(B114,"Industry")</f>
        <v>Pharmaceuticals</v>
      </c>
      <c r="G114" s="26" cm="1">
        <f t="array" ref="G114">_FV(B114,"P/E",TRUE)</f>
        <v>93.566100000000006</v>
      </c>
      <c r="H114" s="28" cm="1">
        <f t="array" ref="H114">_FV(B114,"Price")</f>
        <v>76.739999999999995</v>
      </c>
      <c r="I114" s="32">
        <f t="shared" si="1"/>
        <v>1.8515848206410313E-3</v>
      </c>
    </row>
    <row r="115" spans="2:9" x14ac:dyDescent="0.55000000000000004">
      <c r="B115" s="24" t="e" vm="115">
        <v>#VALUE!</v>
      </c>
      <c r="C115" s="27" cm="1">
        <f t="array" ref="C115">_FV(B115,"Shares outstanding",TRUE)</f>
        <v>574142100</v>
      </c>
      <c r="D115" s="30" cm="1">
        <f t="array" ref="D115">_FV(B115,"Market cap",TRUE)</f>
        <v>92198609128</v>
      </c>
      <c r="E115" s="26" cm="1">
        <f t="array" ref="E115">_FV(B115,"Beta")</f>
        <v>1.0891999999999999</v>
      </c>
      <c r="F115" t="str" cm="1">
        <f t="array" ref="F115">_FV(B115,"Industry")</f>
        <v>Investment Banking &amp; Investment Services</v>
      </c>
      <c r="G115" s="26" cm="1">
        <f t="array" ref="G115">_FV(B115,"P/E",TRUE)</f>
        <v>39.602600000000002</v>
      </c>
      <c r="H115" s="28" cm="1">
        <f t="array" ref="H115">_FV(B115,"Price")</f>
        <v>160.58500000000001</v>
      </c>
      <c r="I115" s="32">
        <f t="shared" si="1"/>
        <v>1.7868151480791672E-3</v>
      </c>
    </row>
    <row r="116" spans="2:9" x14ac:dyDescent="0.55000000000000004">
      <c r="B116" s="25" t="e" vm="116">
        <v>#VALUE!</v>
      </c>
      <c r="C116" s="27" cm="1">
        <f t="array" ref="C116">_FV(B116,"Shares outstanding",TRUE)</f>
        <v>453051000</v>
      </c>
      <c r="D116" s="30" cm="1">
        <f t="array" ref="D116">_FV(B116,"Market cap",TRUE)</f>
        <v>82573075260</v>
      </c>
      <c r="E116" s="26" cm="1">
        <f t="array" ref="E116">_FV(B116,"Beta")</f>
        <v>0.8821</v>
      </c>
      <c r="F116" t="str" cm="1">
        <f t="array" ref="F116">_FV(B116,"Industry")</f>
        <v>Pharmaceuticals</v>
      </c>
      <c r="G116" s="26" cm="1">
        <f t="array" ref="G116">_FV(B116,"P/E",TRUE)</f>
        <v>35.624099999999999</v>
      </c>
      <c r="H116" s="28" cm="1">
        <f t="array" ref="H116">_FV(B116,"Price")</f>
        <v>182.26</v>
      </c>
      <c r="I116" s="32">
        <f t="shared" si="1"/>
        <v>1.6002716645455502E-3</v>
      </c>
    </row>
    <row r="117" spans="2:9" x14ac:dyDescent="0.55000000000000004">
      <c r="B117" s="24" t="e" vm="117">
        <v>#VALUE!</v>
      </c>
      <c r="C117" s="27" cm="1">
        <f t="array" ref="C117">_FV(B117,"Shares outstanding",TRUE)</f>
        <v>772000000</v>
      </c>
      <c r="D117" s="30" cm="1">
        <f t="array" ref="D117">_FV(B117,"Market cap",TRUE)</f>
        <v>87127920000</v>
      </c>
      <c r="E117" s="26" cm="1">
        <f t="array" ref="E117">_FV(B117,"Beta")</f>
        <v>0.45600000000000002</v>
      </c>
      <c r="F117" t="str" cm="1">
        <f t="array" ref="F117">_FV(B117,"Industry")</f>
        <v>Electrical Utilities &amp; IPPs</v>
      </c>
      <c r="G117" s="26" cm="1">
        <f t="array" ref="G117">_FV(B117,"P/E",TRUE)</f>
        <v>19.346499999999999</v>
      </c>
      <c r="H117" s="28" cm="1">
        <f t="array" ref="H117">_FV(B117,"Price")</f>
        <v>112.86</v>
      </c>
      <c r="I117" s="32">
        <f t="shared" si="1"/>
        <v>1.688544857119223E-3</v>
      </c>
    </row>
    <row r="118" spans="2:9" x14ac:dyDescent="0.55000000000000004">
      <c r="B118" s="25" t="e" vm="118">
        <v>#VALUE!</v>
      </c>
      <c r="C118" s="27" cm="1">
        <f t="array" ref="C118">_FV(B118,"Shares outstanding",TRUE)</f>
        <v>1257979000</v>
      </c>
      <c r="D118" s="30" cm="1">
        <f t="array" ref="D118">_FV(B118,"Market cap",TRUE)</f>
        <v>74396878060</v>
      </c>
      <c r="E118" s="26" cm="1">
        <f t="array" ref="E118">_FV(B118,"Beta")</f>
        <v>0.53090000000000004</v>
      </c>
      <c r="F118" t="str" cm="1">
        <f t="array" ref="F118">_FV(B118,"Industry")</f>
        <v>Healthcare Providers &amp; Services</v>
      </c>
      <c r="G118" s="26" cm="1">
        <f t="array" ref="G118">_FV(B118,"P/E",TRUE)</f>
        <v>10.5776</v>
      </c>
      <c r="H118" s="28" cm="1">
        <f t="array" ref="H118">_FV(B118,"Price")</f>
        <v>59.14</v>
      </c>
      <c r="I118" s="32">
        <f t="shared" si="1"/>
        <v>1.4418164215780538E-3</v>
      </c>
    </row>
    <row r="119" spans="2:9" x14ac:dyDescent="0.55000000000000004">
      <c r="B119" s="24" t="e" vm="119">
        <v>#VALUE!</v>
      </c>
      <c r="C119" s="27" cm="1">
        <f t="array" ref="C119">_FV(B119,"Shares outstanding",TRUE)</f>
        <v>401314800</v>
      </c>
      <c r="D119" s="30" cm="1">
        <f t="array" ref="D119">_FV(B119,"Market cap",TRUE)</f>
        <v>83969102178</v>
      </c>
      <c r="E119" s="26" cm="1">
        <f t="array" ref="E119">_FV(B119,"Beta")</f>
        <v>0.75049999999999994</v>
      </c>
      <c r="F119" t="str" cm="1">
        <f t="array" ref="F119">_FV(B119,"Industry")</f>
        <v>Professional &amp; Commercial Services</v>
      </c>
      <c r="G119" s="26" cm="1">
        <f t="array" ref="G119">_FV(B119,"P/E",TRUE)</f>
        <v>33.531999999999996</v>
      </c>
      <c r="H119" s="28" cm="1">
        <f t="array" ref="H119">_FV(B119,"Price")</f>
        <v>209.23500000000001</v>
      </c>
      <c r="I119" s="32">
        <f t="shared" si="1"/>
        <v>1.627326758627779E-3</v>
      </c>
    </row>
    <row r="120" spans="2:9" x14ac:dyDescent="0.55000000000000004">
      <c r="B120" s="25" t="e" vm="120">
        <v>#VALUE!</v>
      </c>
      <c r="C120" s="27" cm="1">
        <f t="array" ref="C120">_FV(B120,"Shares outstanding",TRUE)</f>
        <v>56111390</v>
      </c>
      <c r="D120" s="30" cm="1">
        <f t="array" ref="D120">_FV(B120,"Market cap",TRUE)</f>
        <v>73637221552</v>
      </c>
      <c r="E120" s="26" cm="1">
        <f t="array" ref="E120">_FV(B120,"Beta")</f>
        <v>1.4232</v>
      </c>
      <c r="F120" t="str" cm="1">
        <f t="array" ref="F120">_FV(B120,"Industry")</f>
        <v>Aerospace &amp; Defense</v>
      </c>
      <c r="G120" s="26" cm="1">
        <f t="array" ref="G120">_FV(B120,"P/E",TRUE)</f>
        <v>49.055799999999998</v>
      </c>
      <c r="H120" s="28" cm="1">
        <f t="array" ref="H120">_FV(B120,"Price")</f>
        <v>1312.34</v>
      </c>
      <c r="I120" s="32">
        <f t="shared" si="1"/>
        <v>1.4270942281667965E-3</v>
      </c>
    </row>
    <row r="121" spans="2:9" x14ac:dyDescent="0.55000000000000004">
      <c r="B121" s="24" t="e" vm="121">
        <v>#VALUE!</v>
      </c>
      <c r="C121" s="27" cm="1">
        <f t="array" ref="C121">_FV(B121,"Shares outstanding",TRUE)</f>
        <v>94944990</v>
      </c>
      <c r="D121" s="30" cm="1">
        <f t="array" ref="D121">_FV(B121,"Market cap",TRUE)</f>
        <v>78306829952</v>
      </c>
      <c r="E121" s="26" cm="1">
        <f t="array" ref="E121">_FV(B121,"Beta")</f>
        <v>0.7</v>
      </c>
      <c r="F121" t="str" cm="1">
        <f t="array" ref="F121">_FV(B121,"Industry")</f>
        <v>Residential &amp; Commercial REIT</v>
      </c>
      <c r="G121" s="26" cm="1">
        <f t="array" ref="G121">_FV(B121,"P/E",TRUE)</f>
        <v>75.616600000000005</v>
      </c>
      <c r="H121" s="28" cm="1">
        <f t="array" ref="H121">_FV(B121,"Price")</f>
        <v>824.76</v>
      </c>
      <c r="I121" s="32">
        <f t="shared" si="1"/>
        <v>1.5175915480681638E-3</v>
      </c>
    </row>
    <row r="122" spans="2:9" x14ac:dyDescent="0.55000000000000004">
      <c r="B122" s="25" t="e" vm="122">
        <v>#VALUE!</v>
      </c>
      <c r="C122" s="27" cm="1">
        <f t="array" ref="C122">_FV(B122,"Shares outstanding",TRUE)</f>
        <v>360093600</v>
      </c>
      <c r="D122" s="30" cm="1">
        <f t="array" ref="D122">_FV(B122,"Market cap",TRUE)</f>
        <v>74913872544</v>
      </c>
      <c r="E122" s="26" cm="1">
        <f t="array" ref="E122">_FV(B122,"Beta")</f>
        <v>0.55600000000000005</v>
      </c>
      <c r="F122" t="str" cm="1">
        <f t="array" ref="F122">_FV(B122,"Industry")</f>
        <v>Investment Banking &amp; Investment Services</v>
      </c>
      <c r="G122" s="26" cm="1">
        <f t="array" ref="G122">_FV(B122,"P/E",TRUE)</f>
        <v>22.829000000000001</v>
      </c>
      <c r="H122" s="28" cm="1">
        <f t="array" ref="H122">_FV(B122,"Price")</f>
        <v>208.04</v>
      </c>
      <c r="I122" s="32">
        <f t="shared" si="1"/>
        <v>1.4518358089009374E-3</v>
      </c>
    </row>
    <row r="123" spans="2:9" x14ac:dyDescent="0.55000000000000004">
      <c r="B123" s="24" t="e" vm="123">
        <v>#VALUE!</v>
      </c>
      <c r="C123" s="27" cm="1">
        <f t="array" ref="C123">_FV(B123,"Shares outstanding",TRUE)</f>
        <v>252257600</v>
      </c>
      <c r="D123" s="30" cm="1">
        <f t="array" ref="D123">_FV(B123,"Market cap",TRUE)</f>
        <v>91160851488</v>
      </c>
      <c r="E123" s="26" cm="1">
        <f t="array" ref="E123">_FV(B123,"Beta")</f>
        <v>1.1673</v>
      </c>
      <c r="F123" t="str" cm="1">
        <f t="array" ref="F123">_FV(B123,"Industry")</f>
        <v>Chemicals</v>
      </c>
      <c r="G123" s="26" cm="1">
        <f t="array" ref="G123">_FV(B123,"P/E",TRUE)</f>
        <v>36.996699999999997</v>
      </c>
      <c r="H123" s="28" cm="1">
        <f t="array" ref="H123">_FV(B123,"Price")</f>
        <v>361.38</v>
      </c>
      <c r="I123" s="32">
        <f t="shared" si="1"/>
        <v>1.7667033363205694E-3</v>
      </c>
    </row>
    <row r="124" spans="2:9" x14ac:dyDescent="0.55000000000000004">
      <c r="B124" s="25" t="e" vm="124">
        <v>#VALUE!</v>
      </c>
      <c r="C124" s="27" cm="1">
        <f t="array" ref="C124">_FV(B124,"Shares outstanding",TRUE)</f>
        <v>312689100</v>
      </c>
      <c r="D124" s="30" cm="1">
        <f t="array" ref="D124">_FV(B124,"Market cap",TRUE)</f>
        <v>60702334983</v>
      </c>
      <c r="E124" s="26" cm="1">
        <f t="array" ref="E124">_FV(B124,"Beta")</f>
        <v>0.99299999999999999</v>
      </c>
      <c r="F124" t="str" cm="1">
        <f t="array" ref="F124">_FV(B124,"Industry")</f>
        <v>Electrical Utilities &amp; IPPs</v>
      </c>
      <c r="G124" s="26" cm="1">
        <f t="array" ref="G124">_FV(B124,"P/E",TRUE)</f>
        <v>25.997900000000001</v>
      </c>
      <c r="H124" s="28" cm="1">
        <f t="array" ref="H124">_FV(B124,"Price")</f>
        <v>194.13</v>
      </c>
      <c r="I124" s="32">
        <f t="shared" si="1"/>
        <v>1.1764152702219098E-3</v>
      </c>
    </row>
    <row r="125" spans="2:9" x14ac:dyDescent="0.55000000000000004">
      <c r="B125" s="24" t="e" vm="125">
        <v>#VALUE!</v>
      </c>
      <c r="C125" s="27" cm="1">
        <f t="array" ref="C125">_FV(B125,"Shares outstanding",TRUE)</f>
        <v>254732900</v>
      </c>
      <c r="D125" s="30" cm="1">
        <f t="array" ref="D125">_FV(B125,"Market cap",TRUE)</f>
        <v>63836064740</v>
      </c>
      <c r="E125" s="26" cm="1">
        <f t="array" ref="E125">_FV(B125,"Beta")</f>
        <v>1.4992000000000001</v>
      </c>
      <c r="F125" t="str" cm="1">
        <f t="array" ref="F125">_FV(B125,"Industry")</f>
        <v>Semiconductors &amp; Semiconductor Equipment</v>
      </c>
      <c r="G125" s="26" cm="1">
        <f t="array" ref="G125">_FV(B125,"P/E",TRUE)</f>
        <v>23.608499999999999</v>
      </c>
      <c r="H125" s="28" cm="1">
        <f t="array" ref="H125">_FV(B125,"Price")</f>
        <v>250.6</v>
      </c>
      <c r="I125" s="32">
        <f t="shared" si="1"/>
        <v>1.2371471603529244E-3</v>
      </c>
    </row>
    <row r="126" spans="2:9" x14ac:dyDescent="0.55000000000000004">
      <c r="B126" s="25" t="e" vm="126">
        <v>#VALUE!</v>
      </c>
      <c r="C126" s="27" cm="1">
        <f t="array" ref="C126">_FV(B126,"Shares outstanding",TRUE)</f>
        <v>568599500</v>
      </c>
      <c r="D126" s="30" cm="1">
        <f t="array" ref="D126">_FV(B126,"Market cap",TRUE)</f>
        <v>73701867190</v>
      </c>
      <c r="E126" s="26" cm="1">
        <f t="array" ref="E126">_FV(B126,"Beta")</f>
        <v>1.2785</v>
      </c>
      <c r="F126" t="str" cm="1">
        <f t="array" ref="F126">_FV(B126,"Industry")</f>
        <v>Oil &amp; Gas</v>
      </c>
      <c r="G126" s="26" cm="1">
        <f t="array" ref="G126">_FV(B126,"P/E",TRUE)</f>
        <v>9.8058999999999994</v>
      </c>
      <c r="H126" s="28" cm="1">
        <f t="array" ref="H126">_FV(B126,"Price")</f>
        <v>129.62</v>
      </c>
      <c r="I126" s="32">
        <f t="shared" si="1"/>
        <v>1.4283470649105188E-3</v>
      </c>
    </row>
    <row r="127" spans="2:9" x14ac:dyDescent="0.55000000000000004">
      <c r="B127" s="24" t="e" vm="127">
        <v>#VALUE!</v>
      </c>
      <c r="C127" s="27" cm="1">
        <f t="array" ref="C127">_FV(B127,"Shares outstanding",TRUE)</f>
        <v>1436856000</v>
      </c>
      <c r="D127" s="30" cm="1">
        <f t="array" ref="D127">_FV(B127,"Market cap",TRUE)</f>
        <v>64751915640</v>
      </c>
      <c r="E127" s="26" cm="1">
        <f t="array" ref="E127">_FV(B127,"Beta")</f>
        <v>1.8927</v>
      </c>
      <c r="F127" t="str" cm="1">
        <f t="array" ref="F127">_FV(B127,"Industry")</f>
        <v>Metals &amp; Mining</v>
      </c>
      <c r="G127" s="26" cm="1">
        <f t="array" ref="G127">_FV(B127,"P/E",TRUE)</f>
        <v>33.4983</v>
      </c>
      <c r="H127" s="28" cm="1">
        <f t="array" ref="H127">_FV(B127,"Price")</f>
        <v>45.064999999999998</v>
      </c>
      <c r="I127" s="32">
        <f t="shared" si="1"/>
        <v>1.2548964114205846E-3</v>
      </c>
    </row>
    <row r="128" spans="2:9" x14ac:dyDescent="0.55000000000000004">
      <c r="B128" s="25" t="e" vm="128">
        <v>#VALUE!</v>
      </c>
      <c r="C128" s="27" cm="1">
        <f t="array" ref="C128">_FV(B128,"Shares outstanding",TRUE)</f>
        <v>289042400</v>
      </c>
      <c r="D128" s="30" cm="1">
        <f t="array" ref="D128">_FV(B128,"Market cap",TRUE)</f>
        <v>68589761520</v>
      </c>
      <c r="E128" s="26" cm="1">
        <f t="array" ref="E128">_FV(B128,"Beta")</f>
        <v>0.43049999999999999</v>
      </c>
      <c r="F128" t="str" cm="1">
        <f t="array" ref="F128">_FV(B128,"Industry")</f>
        <v>Healthcare Equipment &amp; Supplies</v>
      </c>
      <c r="G128" s="26" cm="1">
        <f t="array" ref="G128">_FV(B128,"P/E",TRUE)</f>
        <v>47.147399999999998</v>
      </c>
      <c r="H128" s="28" cm="1">
        <f t="array" ref="H128">_FV(B128,"Price")</f>
        <v>237.3</v>
      </c>
      <c r="I128" s="32">
        <f t="shared" si="1"/>
        <v>1.3292741186250053E-3</v>
      </c>
    </row>
    <row r="129" spans="2:9" x14ac:dyDescent="0.55000000000000004">
      <c r="B129" s="24" t="e" vm="129">
        <v>#VALUE!</v>
      </c>
      <c r="C129" s="27" cm="1">
        <f t="array" ref="C129">_FV(B129,"Shares outstanding",TRUE)</f>
        <v>258073500</v>
      </c>
      <c r="D129" s="30" cm="1">
        <f t="array" ref="D129">_FV(B129,"Market cap",TRUE)</f>
        <v>100424141055</v>
      </c>
      <c r="E129" s="26" cm="1">
        <f t="array" ref="E129">_FV(B129,"Beta")</f>
        <v>1.6756</v>
      </c>
      <c r="F129" t="str" cm="1">
        <f t="array" ref="F129">_FV(B129,"Industry")</f>
        <v>Healthcare Providers &amp; Services</v>
      </c>
      <c r="G129" s="26" cm="1">
        <f t="array" ref="G129">_FV(B129,"P/E",TRUE)</f>
        <v>18.283200000000001</v>
      </c>
      <c r="H129" s="28" cm="1">
        <f t="array" ref="H129">_FV(B129,"Price")</f>
        <v>389.13</v>
      </c>
      <c r="I129" s="32">
        <f t="shared" si="1"/>
        <v>1.946226501321685E-3</v>
      </c>
    </row>
    <row r="130" spans="2:9" x14ac:dyDescent="0.55000000000000004">
      <c r="B130" s="25" t="e" vm="130">
        <v>#VALUE!</v>
      </c>
      <c r="C130" s="27" cm="1">
        <f t="array" ref="C130">_FV(B130,"Shares outstanding",TRUE)</f>
        <v>274777600</v>
      </c>
      <c r="D130" s="30" cm="1">
        <f t="array" ref="D130">_FV(B130,"Market cap",TRUE)</f>
        <v>80041340992</v>
      </c>
      <c r="E130" s="26" cm="1">
        <f t="array" ref="E130">_FV(B130,"Beta")</f>
        <v>0.60389999999999999</v>
      </c>
      <c r="F130" t="str" cm="1">
        <f t="array" ref="F130">_FV(B130,"Industry")</f>
        <v>Aerospace &amp; Defense</v>
      </c>
      <c r="G130" s="26" cm="1">
        <f t="array" ref="G130">_FV(B130,"P/E",TRUE)</f>
        <v>22.738299999999999</v>
      </c>
      <c r="H130" s="28" cm="1">
        <f t="array" ref="H130">_FV(B130,"Price")</f>
        <v>291.29500000000002</v>
      </c>
      <c r="I130" s="32">
        <f t="shared" si="1"/>
        <v>1.5512064868410452E-3</v>
      </c>
    </row>
    <row r="131" spans="2:9" x14ac:dyDescent="0.55000000000000004">
      <c r="B131" s="24" t="e" vm="131">
        <v>#VALUE!</v>
      </c>
      <c r="C131" s="27" cm="1">
        <f t="array" ref="C131">_FV(B131,"Shares outstanding",TRUE)</f>
        <v>182100000</v>
      </c>
      <c r="D131" s="30" cm="1">
        <f t="array" ref="D131">_FV(B131,"Market cap",TRUE)</f>
        <v>87704823000</v>
      </c>
      <c r="E131" s="26" cm="1">
        <f t="array" ref="E131">_FV(B131,"Beta")</f>
        <v>1.2862</v>
      </c>
      <c r="F131" t="str" cm="1">
        <f t="array" ref="F131">_FV(B131,"Industry")</f>
        <v>Professional &amp; Commercial Services</v>
      </c>
      <c r="G131" s="26" cm="1">
        <f t="array" ref="G131">_FV(B131,"P/E",TRUE)</f>
        <v>47.155500000000004</v>
      </c>
      <c r="H131" s="28" cm="1">
        <f t="array" ref="H131">_FV(B131,"Price")</f>
        <v>481.63</v>
      </c>
      <c r="I131" s="32">
        <f t="shared" ref="I131:I194" si="2">D131/$D$504</f>
        <v>1.69972527544789E-3</v>
      </c>
    </row>
    <row r="132" spans="2:9" x14ac:dyDescent="0.55000000000000004">
      <c r="B132" s="25" t="e" vm="132">
        <v>#VALUE!</v>
      </c>
      <c r="C132" s="27" cm="1">
        <f t="array" ref="C132">_FV(B132,"Shares outstanding",TRUE)</f>
        <v>461600200</v>
      </c>
      <c r="D132" s="30" cm="1">
        <f t="array" ref="D132">_FV(B132,"Market cap",TRUE)</f>
        <v>73052847652</v>
      </c>
      <c r="E132" s="26" cm="1">
        <f t="array" ref="E132">_FV(B132,"Beta")</f>
        <v>1.2393000000000001</v>
      </c>
      <c r="F132" t="str" cm="1">
        <f t="array" ref="F132">_FV(B132,"Industry")</f>
        <v>Diversified Retail</v>
      </c>
      <c r="G132" s="26" cm="1">
        <f t="array" ref="G132">_FV(B132,"P/E",TRUE)</f>
        <v>16.363900000000001</v>
      </c>
      <c r="H132" s="28" cm="1">
        <f t="array" ref="H132">_FV(B132,"Price")</f>
        <v>158.26</v>
      </c>
      <c r="I132" s="32">
        <f t="shared" si="2"/>
        <v>1.4157690233015858E-3</v>
      </c>
    </row>
    <row r="133" spans="2:9" x14ac:dyDescent="0.55000000000000004">
      <c r="B133" s="24" t="e" vm="133">
        <v>#VALUE!</v>
      </c>
      <c r="C133" s="27" cm="1">
        <f t="array" ref="C133">_FV(B133,"Shares outstanding",TRUE)</f>
        <v>296900000</v>
      </c>
      <c r="D133" s="30" cm="1">
        <f t="array" ref="D133">_FV(B133,"Market cap",TRUE)</f>
        <v>73650498500</v>
      </c>
      <c r="E133" s="26" cm="1">
        <f t="array" ref="E133">_FV(B133,"Beta")</f>
        <v>1.1123000000000001</v>
      </c>
      <c r="F133" t="str" cm="1">
        <f t="array" ref="F133">_FV(B133,"Industry")</f>
        <v>Consumer Goods Conglomerates</v>
      </c>
      <c r="G133" s="26" cm="1">
        <f t="array" ref="G133">_FV(B133,"P/E",TRUE)</f>
        <v>24.203700000000001</v>
      </c>
      <c r="H133" s="28" cm="1">
        <f t="array" ref="H133">_FV(B133,"Price")</f>
        <v>248.065</v>
      </c>
      <c r="I133" s="32">
        <f t="shared" si="2"/>
        <v>1.4273515362979174E-3</v>
      </c>
    </row>
    <row r="134" spans="2:9" x14ac:dyDescent="0.55000000000000004">
      <c r="B134" s="25" t="e" vm="134">
        <v>#VALUE!</v>
      </c>
      <c r="C134" s="27" cm="1">
        <f t="array" ref="C134">_FV(B134,"Shares outstanding",TRUE)</f>
        <v>1938740000</v>
      </c>
      <c r="D134" s="30" cm="1">
        <f t="array" ref="D134">_FV(B134,"Market cap",TRUE)</f>
        <v>65442168700</v>
      </c>
      <c r="E134" s="26" cm="1">
        <f t="array" ref="E134">_FV(B134,"Beta")</f>
        <v>1.1900999999999999</v>
      </c>
      <c r="F134" t="str" cm="1">
        <f t="array" ref="F134">_FV(B134,"Industry")</f>
        <v>Freight &amp; Logistics Services</v>
      </c>
      <c r="G134" s="26" cm="1">
        <f t="array" ref="G134">_FV(B134,"P/E",TRUE)</f>
        <v>18.531400000000001</v>
      </c>
      <c r="H134" s="28" cm="1">
        <f t="array" ref="H134">_FV(B134,"Price")</f>
        <v>33.755000000000003</v>
      </c>
      <c r="I134" s="32">
        <f t="shared" si="2"/>
        <v>1.2682735614153715E-3</v>
      </c>
    </row>
    <row r="135" spans="2:9" x14ac:dyDescent="0.55000000000000004">
      <c r="B135" s="24" t="e" vm="135">
        <v>#VALUE!</v>
      </c>
      <c r="C135" s="27" cm="1">
        <f t="array" ref="C135">_FV(B135,"Shares outstanding",TRUE)</f>
        <v>128595700</v>
      </c>
      <c r="D135" s="30" cm="1">
        <f t="array" ref="D135">_FV(B135,"Market cap",TRUE)</f>
        <v>75976911474</v>
      </c>
      <c r="E135" s="26" cm="1">
        <f t="array" ref="E135">_FV(B135,"Beta")</f>
        <v>1.4314</v>
      </c>
      <c r="F135" t="str" cm="1">
        <f t="array" ref="F135">_FV(B135,"Industry")</f>
        <v>Machinery, Equipment &amp; Components</v>
      </c>
      <c r="G135" s="26" cm="1">
        <f t="array" ref="G135">_FV(B135,"P/E",TRUE)</f>
        <v>27.2469</v>
      </c>
      <c r="H135" s="28" cm="1">
        <f t="array" ref="H135">_FV(B135,"Price")</f>
        <v>590.82000000000005</v>
      </c>
      <c r="I135" s="32">
        <f t="shared" si="2"/>
        <v>1.4724375737332554E-3</v>
      </c>
    </row>
    <row r="136" spans="2:9" x14ac:dyDescent="0.55000000000000004">
      <c r="B136" s="25" t="e" vm="136">
        <v>#VALUE!</v>
      </c>
      <c r="C136" s="27" cm="1">
        <f t="array" ref="C136">_FV(B136,"Shares outstanding",TRUE)</f>
        <v>632423500</v>
      </c>
      <c r="D136" s="30" cm="1">
        <f t="array" ref="D136">_FV(B136,"Market cap",TRUE)</f>
        <v>73392747175</v>
      </c>
      <c r="E136" s="26" cm="1">
        <f t="array" ref="E136">_FV(B136,"Beta")</f>
        <v>1.1702999999999999</v>
      </c>
      <c r="F136" t="str" cm="1">
        <f t="array" ref="F136">_FV(B136,"Industry")</f>
        <v>Software &amp; IT Services</v>
      </c>
      <c r="G136" s="26" cm="1">
        <f t="array" ref="G136">_FV(B136,"P/E",TRUE)</f>
        <v>15.9079</v>
      </c>
      <c r="H136" s="28" cm="1">
        <f t="array" ref="H136">_FV(B136,"Price")</f>
        <v>116.05</v>
      </c>
      <c r="I136" s="32">
        <f t="shared" si="2"/>
        <v>1.4223562985573124E-3</v>
      </c>
    </row>
    <row r="137" spans="2:9" x14ac:dyDescent="0.55000000000000004">
      <c r="B137" s="24" t="e" vm="137">
        <v>#VALUE!</v>
      </c>
      <c r="C137" s="27" cm="1">
        <f t="array" ref="C137">_FV(B137,"Shares outstanding",TRUE)</f>
        <v>166841000</v>
      </c>
      <c r="D137" s="30" cm="1">
        <f t="array" ref="D137">_FV(B137,"Market cap",TRUE)</f>
        <v>72175416600</v>
      </c>
      <c r="E137" s="26" cm="1">
        <f t="array" ref="E137">_FV(B137,"Beta")</f>
        <v>0.97199999999999998</v>
      </c>
      <c r="F137" t="str" cm="1">
        <f t="array" ref="F137">_FV(B137,"Industry")</f>
        <v>Communications &amp; Networking</v>
      </c>
      <c r="G137" s="26" cm="1">
        <f t="array" ref="G137">_FV(B137,"P/E",TRUE)</f>
        <v>50.374200000000002</v>
      </c>
      <c r="H137" s="28" cm="1">
        <f t="array" ref="H137">_FV(B137,"Price")</f>
        <v>432.6</v>
      </c>
      <c r="I137" s="32">
        <f t="shared" si="2"/>
        <v>1.3987643514314055E-3</v>
      </c>
    </row>
    <row r="138" spans="2:9" x14ac:dyDescent="0.55000000000000004">
      <c r="B138" s="25" t="e" vm="138">
        <v>#VALUE!</v>
      </c>
      <c r="C138" s="27" cm="1">
        <f t="array" ref="C138">_FV(B138,"Shares outstanding",TRUE)</f>
        <v>334684100</v>
      </c>
      <c r="D138" s="30" cm="1">
        <f t="array" ref="D138">_FV(B138,"Market cap",TRUE)</f>
        <v>58327071527</v>
      </c>
      <c r="E138" s="26" cm="1">
        <f t="array" ref="E138">_FV(B138,"Beta")</f>
        <v>1.37</v>
      </c>
      <c r="F138" t="str" cm="1">
        <f t="array" ref="F138">_FV(B138,"Industry")</f>
        <v>Oil &amp; Gas</v>
      </c>
      <c r="G138" s="26" cm="1">
        <f t="array" ref="G138">_FV(B138,"P/E",TRUE)</f>
        <v>9.1992999999999991</v>
      </c>
      <c r="H138" s="28" cm="1">
        <f t="array" ref="H138">_FV(B138,"Price")</f>
        <v>174.27500000000001</v>
      </c>
      <c r="I138" s="32">
        <f t="shared" si="2"/>
        <v>1.1303825072117057E-3</v>
      </c>
    </row>
    <row r="139" spans="2:9" x14ac:dyDescent="0.55000000000000004">
      <c r="B139" s="24" t="e" vm="139">
        <v>#VALUE!</v>
      </c>
      <c r="C139" s="27" cm="1">
        <f t="array" ref="C139">_FV(B139,"Shares outstanding",TRUE)</f>
        <v>1022333000</v>
      </c>
      <c r="D139" s="30" cm="1">
        <f t="array" ref="D139">_FV(B139,"Market cap",TRUE)</f>
        <v>74384949080</v>
      </c>
      <c r="E139" s="26" cm="1">
        <f t="array" ref="E139">_FV(B139,"Beta")</f>
        <v>1.4348000000000001</v>
      </c>
      <c r="F139" t="str" cm="1">
        <f t="array" ref="F139">_FV(B139,"Industry")</f>
        <v>Professional &amp; Commercial Services</v>
      </c>
      <c r="G139" s="26" cm="1">
        <f t="array" ref="G139">_FV(B139,"P/E",TRUE)</f>
        <v>17.364100000000001</v>
      </c>
      <c r="H139" s="28" cm="1">
        <f t="array" ref="H139">_FV(B139,"Price")</f>
        <v>72.760000000000005</v>
      </c>
      <c r="I139" s="32">
        <f t="shared" si="2"/>
        <v>1.4415852371560032E-3</v>
      </c>
    </row>
    <row r="140" spans="2:9" x14ac:dyDescent="0.55000000000000004">
      <c r="B140" s="25" t="e" vm="140">
        <v>#VALUE!</v>
      </c>
      <c r="C140" s="27" cm="1">
        <f t="array" ref="C140">_FV(B140,"Shares outstanding",TRUE)</f>
        <v>1420000000</v>
      </c>
      <c r="D140" s="30" cm="1">
        <f t="array" ref="D140">_FV(B140,"Market cap",TRUE)</f>
        <v>64688100000</v>
      </c>
      <c r="E140" s="26" cm="1">
        <f t="array" ref="E140">_FV(B140,"Beta")</f>
        <v>1.5323</v>
      </c>
      <c r="F140" t="str" cm="1">
        <f t="array" ref="F140">_FV(B140,"Industry")</f>
        <v>Oil &amp; Gas Related Equipment and Services</v>
      </c>
      <c r="G140" s="26" cm="1">
        <f t="array" ref="G140">_FV(B140,"P/E",TRUE)</f>
        <v>14.762</v>
      </c>
      <c r="H140" s="28" cm="1">
        <f t="array" ref="H140">_FV(B140,"Price")</f>
        <v>45.555</v>
      </c>
      <c r="I140" s="32">
        <f t="shared" si="2"/>
        <v>1.2536596600930447E-3</v>
      </c>
    </row>
    <row r="141" spans="2:9" x14ac:dyDescent="0.55000000000000004">
      <c r="B141" s="24" t="e" vm="141">
        <v>#VALUE!</v>
      </c>
      <c r="C141" s="27" cm="1">
        <f t="array" ref="C141">_FV(B141,"Shares outstanding",TRUE)</f>
        <v>58005660</v>
      </c>
      <c r="D141" s="30" cm="1">
        <f t="array" ref="D141">_FV(B141,"Market cap",TRUE)</f>
        <v>64938786511</v>
      </c>
      <c r="E141" s="26" cm="1">
        <f t="array" ref="E141">_FV(B141,"Beta")</f>
        <v>0.92449999999999999</v>
      </c>
      <c r="F141" t="str" cm="1">
        <f t="array" ref="F141">_FV(B141,"Industry")</f>
        <v>Specialty Retailers</v>
      </c>
      <c r="G141" s="26" cm="1">
        <f t="array" ref="G141">_FV(B141,"P/E",TRUE)</f>
        <v>28.097200000000001</v>
      </c>
      <c r="H141" s="28" cm="1">
        <f t="array" ref="H141">_FV(B141,"Price")</f>
        <v>1119.5250000000001</v>
      </c>
      <c r="I141" s="32">
        <f t="shared" si="2"/>
        <v>1.2585179812706674E-3</v>
      </c>
    </row>
    <row r="142" spans="2:9" x14ac:dyDescent="0.55000000000000004">
      <c r="B142" s="25" t="e" vm="142">
        <v>#VALUE!</v>
      </c>
      <c r="C142" s="27" cm="1">
        <f t="array" ref="C142">_FV(B142,"Shares outstanding",TRUE)</f>
        <v>572700000</v>
      </c>
      <c r="D142" s="30" cm="1">
        <f t="array" ref="D142">_FV(B142,"Market cap",TRUE)</f>
        <v>59928988830</v>
      </c>
      <c r="E142" s="26" cm="1">
        <f t="array" ref="E142">_FV(B142,"Beta")</f>
        <v>1.2984</v>
      </c>
      <c r="F142" t="str" cm="1">
        <f t="array" ref="F142">_FV(B142,"Industry")</f>
        <v>Machinery, Equipment &amp; Components</v>
      </c>
      <c r="G142" s="26" cm="1">
        <f t="array" ref="G142">_FV(B142,"P/E",TRUE)</f>
        <v>36.0351</v>
      </c>
      <c r="H142" s="28" cm="1">
        <f t="array" ref="H142">_FV(B142,"Price")</f>
        <v>104.6429</v>
      </c>
      <c r="I142" s="32">
        <f t="shared" si="2"/>
        <v>1.1614277705843529E-3</v>
      </c>
    </row>
    <row r="143" spans="2:9" x14ac:dyDescent="0.55000000000000004">
      <c r="B143" s="24" t="e" vm="143">
        <v>#VALUE!</v>
      </c>
      <c r="C143" s="27" cm="1">
        <f t="array" ref="C143">_FV(B143,"Shares outstanding",TRUE)</f>
        <v>28994470</v>
      </c>
      <c r="D143" s="31" cm="1">
        <f t="array" ref="D143">_FV(B143,"Market cap",TRUE)</f>
        <v>90462740</v>
      </c>
      <c r="E143" s="26" cm="1">
        <f t="array" ref="E143">_FV(B143,"Beta")</f>
        <v>0.18290000000000001</v>
      </c>
      <c r="F143" t="str" cm="1">
        <f t="array" ref="F143">_FV(B143,"Industry")</f>
        <v>Machinery, Equipment &amp; Components</v>
      </c>
      <c r="G143" s="26" cm="1">
        <f t="array" ref="G143">_FV(B143,"P/E",TRUE)</f>
        <v>8.83</v>
      </c>
      <c r="H143" s="29" cm="1">
        <f t="array" ref="H143">_FV(B143,"Price")</f>
        <v>3.27</v>
      </c>
      <c r="I143" s="32">
        <f t="shared" si="2"/>
        <v>1.7531738894709457E-6</v>
      </c>
    </row>
    <row r="144" spans="2:9" x14ac:dyDescent="0.55000000000000004">
      <c r="B144" s="25" t="e" vm="144">
        <v>#VALUE!</v>
      </c>
      <c r="C144" s="27" cm="1">
        <f t="array" ref="C144">_FV(B144,"Shares outstanding",TRUE)</f>
        <v>397496200</v>
      </c>
      <c r="D144" s="30" cm="1">
        <f t="array" ref="D144">_FV(B144,"Market cap",TRUE)</f>
        <v>71084245446</v>
      </c>
      <c r="E144" s="26" cm="1">
        <f t="array" ref="E144">_FV(B144,"Beta")</f>
        <v>1.1285000000000001</v>
      </c>
      <c r="F144" t="str" cm="1">
        <f t="array" ref="F144">_FV(B144,"Industry")</f>
        <v>Banking Services</v>
      </c>
      <c r="G144" s="26" cm="1">
        <f t="array" ref="G144">_FV(B144,"P/E",TRUE)</f>
        <v>14.923400000000001</v>
      </c>
      <c r="H144" s="28" cm="1">
        <f t="array" ref="H144">_FV(B144,"Price")</f>
        <v>178.83</v>
      </c>
      <c r="I144" s="32">
        <f t="shared" si="2"/>
        <v>1.377617382235727E-3</v>
      </c>
    </row>
    <row r="145" spans="2:9" x14ac:dyDescent="0.55000000000000004">
      <c r="B145" s="24" t="e" vm="145">
        <v>#VALUE!</v>
      </c>
      <c r="C145" s="27" cm="1">
        <f t="array" ref="C145">_FV(B145,"Shares outstanding",TRUE)</f>
        <v>100768900</v>
      </c>
      <c r="D145" s="30" cm="1">
        <f t="array" ref="D145">_FV(B145,"Market cap",TRUE)</f>
        <v>79857337872</v>
      </c>
      <c r="E145" s="26" cm="1">
        <f t="array" ref="E145">_FV(B145,"Beta")</f>
        <v>1.3103</v>
      </c>
      <c r="F145" t="str" cm="1">
        <f t="array" ref="F145">_FV(B145,"Industry")</f>
        <v>Professional &amp; Commercial Services</v>
      </c>
      <c r="G145" s="26" cm="1">
        <f t="array" ref="G145">_FV(B145,"P/E",TRUE)</f>
        <v>52.027999999999999</v>
      </c>
      <c r="H145" s="28" cm="1">
        <f t="array" ref="H145">_FV(B145,"Price")</f>
        <v>792.48</v>
      </c>
      <c r="I145" s="32">
        <f t="shared" si="2"/>
        <v>1.5476404941951758E-3</v>
      </c>
    </row>
    <row r="146" spans="2:9" x14ac:dyDescent="0.55000000000000004">
      <c r="B146" s="25" t="e" vm="146">
        <v>#VALUE!</v>
      </c>
      <c r="C146" s="27" cm="1">
        <f t="array" ref="C146">_FV(B146,"Shares outstanding",TRUE)</f>
        <v>1560460000</v>
      </c>
      <c r="D146" s="30" cm="1">
        <f t="array" ref="D146">_FV(B146,"Market cap",TRUE)</f>
        <v>71063348400</v>
      </c>
      <c r="E146" s="26" cm="1">
        <f t="array" ref="E146">_FV(B146,"Beta")</f>
        <v>1.0522</v>
      </c>
      <c r="F146" t="str" cm="1">
        <f t="array" ref="F146">_FV(B146,"Industry")</f>
        <v>Banking Services</v>
      </c>
      <c r="G146" s="26" cm="1">
        <f t="array" ref="G146">_FV(B146,"P/E",TRUE)</f>
        <v>14.383599999999999</v>
      </c>
      <c r="H146" s="28" cm="1">
        <f t="array" ref="H146">_FV(B146,"Price")</f>
        <v>45.54</v>
      </c>
      <c r="I146" s="32">
        <f t="shared" si="2"/>
        <v>1.3772123961009462E-3</v>
      </c>
    </row>
    <row r="147" spans="2:9" x14ac:dyDescent="0.55000000000000004">
      <c r="B147" s="24" t="e" vm="147">
        <v>#VALUE!</v>
      </c>
      <c r="C147" s="27" cm="1">
        <f t="array" ref="C147">_FV(B147,"Shares outstanding",TRUE)</f>
        <v>222314500</v>
      </c>
      <c r="D147" s="30" cm="1">
        <f t="array" ref="D147">_FV(B147,"Market cap",TRUE)</f>
        <v>62067985255</v>
      </c>
      <c r="E147" s="26" cm="1">
        <f t="array" ref="E147">_FV(B147,"Beta")</f>
        <v>0.8256</v>
      </c>
      <c r="F147" t="str" cm="1">
        <f t="array" ref="F147">_FV(B147,"Industry")</f>
        <v>Chemicals</v>
      </c>
      <c r="G147" s="26" cm="1">
        <f t="array" ref="G147">_FV(B147,"P/E",TRUE)</f>
        <v>23.9495</v>
      </c>
      <c r="H147" s="28" cm="1">
        <f t="array" ref="H147">_FV(B147,"Price")</f>
        <v>279.19</v>
      </c>
      <c r="I147" s="32">
        <f t="shared" si="2"/>
        <v>1.2028816628938462E-3</v>
      </c>
    </row>
    <row r="148" spans="2:9" x14ac:dyDescent="0.55000000000000004">
      <c r="B148" s="25" t="e" vm="148">
        <v>#VALUE!</v>
      </c>
      <c r="C148" s="27" cm="1">
        <f t="array" ref="C148">_FV(B148,"Shares outstanding",TRUE)</f>
        <v>146245300</v>
      </c>
      <c r="D148" s="30" cm="1">
        <f t="array" ref="D148">_FV(B148,"Market cap",TRUE)</f>
        <v>74724767261</v>
      </c>
      <c r="E148" s="26" cm="1">
        <f t="array" ref="E148">_FV(B148,"Beta")</f>
        <v>0.33510000000000001</v>
      </c>
      <c r="F148" t="str" cm="1">
        <f t="array" ref="F148">_FV(B148,"Industry")</f>
        <v>Aerospace &amp; Defense</v>
      </c>
      <c r="G148" s="26" cm="1">
        <f t="array" ref="G148">_FV(B148,"P/E",TRUE)</f>
        <v>33.374000000000002</v>
      </c>
      <c r="H148" s="28" cm="1">
        <f t="array" ref="H148">_FV(B148,"Price")</f>
        <v>510.95499999999998</v>
      </c>
      <c r="I148" s="32">
        <f t="shared" si="2"/>
        <v>1.4481709359983853E-3</v>
      </c>
    </row>
    <row r="149" spans="2:9" x14ac:dyDescent="0.55000000000000004">
      <c r="B149" s="24" t="e" vm="149">
        <v>#VALUE!</v>
      </c>
      <c r="C149" s="27" cm="1">
        <f t="array" ref="C149">_FV(B149,"Shares outstanding",TRUE)</f>
        <v>281522800</v>
      </c>
      <c r="D149" s="30" cm="1">
        <f t="array" ref="D149">_FV(B149,"Market cap",TRUE)</f>
        <v>63581924380</v>
      </c>
      <c r="E149" s="26" cm="1">
        <f t="array" ref="E149">_FV(B149,"Beta")</f>
        <v>1.5878000000000001</v>
      </c>
      <c r="F149" t="str" cm="1">
        <f t="array" ref="F149">_FV(B149,"Industry")</f>
        <v>Hotels &amp; Entertainment Services</v>
      </c>
      <c r="G149" s="26" cm="1">
        <f t="array" ref="G149">_FV(B149,"P/E",TRUE)</f>
        <v>22.520900000000001</v>
      </c>
      <c r="H149" s="28" cm="1">
        <f t="array" ref="H149">_FV(B149,"Price")</f>
        <v>225.85</v>
      </c>
      <c r="I149" s="32">
        <f t="shared" si="2"/>
        <v>1.2322219033530507E-3</v>
      </c>
    </row>
    <row r="150" spans="2:9" x14ac:dyDescent="0.55000000000000004">
      <c r="B150" s="25" t="e" vm="150">
        <v>#VALUE!</v>
      </c>
      <c r="C150" s="27" cm="1">
        <f t="array" ref="C150">_FV(B150,"Shares outstanding",TRUE)</f>
        <v>217242200</v>
      </c>
      <c r="D150" s="30" cm="1">
        <f t="array" ref="D150">_FV(B150,"Market cap",TRUE)</f>
        <v>73466967196</v>
      </c>
      <c r="E150" s="26" cm="1">
        <f t="array" ref="E150">_FV(B150,"Beta")</f>
        <v>0.91569999999999996</v>
      </c>
      <c r="F150" t="str" cm="1">
        <f t="array" ref="F150">_FV(B150,"Industry")</f>
        <v>Insurance</v>
      </c>
      <c r="G150" s="26" cm="1">
        <f t="array" ref="G150">_FV(B150,"P/E",TRUE)</f>
        <v>26.4041</v>
      </c>
      <c r="H150" s="28" cm="1">
        <f t="array" ref="H150">_FV(B150,"Price")</f>
        <v>338.18</v>
      </c>
      <c r="I150" s="32">
        <f t="shared" si="2"/>
        <v>1.4237946874773603E-3</v>
      </c>
    </row>
    <row r="151" spans="2:9" x14ac:dyDescent="0.55000000000000004">
      <c r="B151" s="24" t="e" vm="151">
        <v>#VALUE!</v>
      </c>
      <c r="C151" s="27" cm="1">
        <f t="array" ref="C151">_FV(B151,"Shares outstanding",TRUE)</f>
        <v>107198700</v>
      </c>
      <c r="D151" s="30" cm="1">
        <f t="array" ref="D151">_FV(B151,"Market cap",TRUE)</f>
        <v>58725570000</v>
      </c>
      <c r="E151" s="26" cm="1">
        <f t="array" ref="E151">_FV(B151,"Beta")</f>
        <v>1.0206</v>
      </c>
      <c r="F151" t="str" cm="1">
        <f t="array" ref="F151">_FV(B151,"Industry")</f>
        <v>Software &amp; IT Services</v>
      </c>
      <c r="G151" s="26" cm="1">
        <f t="array" ref="G151">_FV(B151,"P/E",TRUE)</f>
        <v>40.938499999999998</v>
      </c>
      <c r="H151" s="28" cm="1">
        <f t="array" ref="H151">_FV(B151,"Price")</f>
        <v>548.98</v>
      </c>
      <c r="I151" s="32">
        <f t="shared" si="2"/>
        <v>1.1381054339974479E-3</v>
      </c>
    </row>
    <row r="152" spans="2:9" x14ac:dyDescent="0.55000000000000004">
      <c r="B152" s="25" t="e" vm="152">
        <v>#VALUE!</v>
      </c>
      <c r="C152" s="27" cm="1">
        <f t="array" ref="C152">_FV(B152,"Shares outstanding",TRUE)</f>
        <v>418569200</v>
      </c>
      <c r="D152" s="30" cm="1">
        <f t="array" ref="D152">_FV(B152,"Market cap",TRUE)</f>
        <v>56418942468</v>
      </c>
      <c r="E152" s="26" cm="1">
        <f t="array" ref="E152">_FV(B152,"Beta")</f>
        <v>1.3222</v>
      </c>
      <c r="F152" t="str" cm="1">
        <f t="array" ref="F152">_FV(B152,"Industry")</f>
        <v>Oil &amp; Gas</v>
      </c>
      <c r="G152" s="26" cm="1">
        <f t="array" ref="G152">_FV(B152,"P/E",TRUE)</f>
        <v>11.5824</v>
      </c>
      <c r="H152" s="28" cm="1">
        <f t="array" ref="H152">_FV(B152,"Price")</f>
        <v>134.79</v>
      </c>
      <c r="I152" s="32">
        <f t="shared" si="2"/>
        <v>1.0934028397377869E-3</v>
      </c>
    </row>
    <row r="153" spans="2:9" x14ac:dyDescent="0.55000000000000004">
      <c r="B153" s="24" t="e" vm="153">
        <v>#VALUE!</v>
      </c>
      <c r="C153" s="27" cm="1">
        <f t="array" ref="C153">_FV(B153,"Shares outstanding",TRUE)</f>
        <v>609147500</v>
      </c>
      <c r="D153" s="30" cm="1">
        <f t="array" ref="D153">_FV(B153,"Market cap",TRUE)</f>
        <v>72643885112</v>
      </c>
      <c r="E153" s="26" cm="1">
        <f t="array" ref="E153">_FV(B153,"Beta")</f>
        <v>1.1993</v>
      </c>
      <c r="F153" t="str" cm="1">
        <f t="array" ref="F153">_FV(B153,"Industry")</f>
        <v>Residential &amp; Commercial REIT</v>
      </c>
      <c r="G153" s="26" cm="1">
        <f t="array" ref="G153">_FV(B153,"P/E",TRUE)</f>
        <v>186.7157</v>
      </c>
      <c r="H153" s="28" cm="1">
        <f t="array" ref="H153">_FV(B153,"Price")</f>
        <v>119.255</v>
      </c>
      <c r="I153" s="32">
        <f t="shared" si="2"/>
        <v>1.4078433022047042E-3</v>
      </c>
    </row>
    <row r="154" spans="2:9" x14ac:dyDescent="0.55000000000000004">
      <c r="B154" s="25" t="e" vm="154">
        <v>#VALUE!</v>
      </c>
      <c r="C154" s="27" cm="1">
        <f t="array" ref="C154">_FV(B154,"Shares outstanding",TRUE)</f>
        <v>244962700</v>
      </c>
      <c r="D154" s="30" cm="1">
        <f t="array" ref="D154">_FV(B154,"Market cap",TRUE)</f>
        <v>72905798774</v>
      </c>
      <c r="E154" s="26" cm="1">
        <f t="array" ref="E154">_FV(B154,"Beta")</f>
        <v>1.1820999999999999</v>
      </c>
      <c r="F154" t="str" cm="1">
        <f t="array" ref="F154">_FV(B154,"Industry")</f>
        <v>Freight &amp; Logistics Services</v>
      </c>
      <c r="G154" s="26" cm="1">
        <f t="array" ref="G154">_FV(B154,"P/E",TRUE)</f>
        <v>17.2408</v>
      </c>
      <c r="H154" s="28" cm="1">
        <f t="array" ref="H154">_FV(B154,"Price")</f>
        <v>297.62</v>
      </c>
      <c r="I154" s="32">
        <f t="shared" si="2"/>
        <v>1.4129192063118991E-3</v>
      </c>
    </row>
    <row r="155" spans="2:9" x14ac:dyDescent="0.55000000000000004">
      <c r="B155" s="24" t="e" vm="155">
        <v>#VALUE!</v>
      </c>
      <c r="C155" s="27" cm="1">
        <f t="array" ref="C155">_FV(B155,"Shares outstanding",TRUE)</f>
        <v>219100000</v>
      </c>
      <c r="D155" s="30" cm="1">
        <f t="array" ref="D155">_FV(B155,"Market cap",TRUE)</f>
        <v>62978104000</v>
      </c>
      <c r="E155" s="26" cm="1">
        <f t="array" ref="E155">_FV(B155,"Beta")</f>
        <v>0.72670000000000001</v>
      </c>
      <c r="F155" t="str" cm="1">
        <f t="array" ref="F155">_FV(B155,"Industry")</f>
        <v>Insurance</v>
      </c>
      <c r="G155" s="26" cm="1">
        <f t="array" ref="G155">_FV(B155,"P/E",TRUE)</f>
        <v>55.972499999999997</v>
      </c>
      <c r="H155" s="28" cm="1">
        <f t="array" ref="H155">_FV(B155,"Price")</f>
        <v>287.44</v>
      </c>
      <c r="I155" s="32">
        <f t="shared" si="2"/>
        <v>1.2205198244181607E-3</v>
      </c>
    </row>
    <row r="156" spans="2:9" x14ac:dyDescent="0.55000000000000004">
      <c r="B156" s="25" t="e" vm="156">
        <v>#VALUE!</v>
      </c>
      <c r="C156" s="27" cm="1">
        <f t="array" ref="C156">_FV(B156,"Shares outstanding",TRUE)</f>
        <v>524221800</v>
      </c>
      <c r="D156" s="30" cm="1">
        <f t="array" ref="D156">_FV(B156,"Market cap",TRUE)</f>
        <v>50254522857</v>
      </c>
      <c r="E156" s="26" cm="1">
        <f t="array" ref="E156">_FV(B156,"Beta")</f>
        <v>0.90769999999999995</v>
      </c>
      <c r="F156" t="str" cm="1">
        <f t="array" ref="F156">_FV(B156,"Industry")</f>
        <v>Machinery, Equipment &amp; Components</v>
      </c>
      <c r="G156" s="26" cm="1">
        <f t="array" ref="G156">_FV(B156,"P/E",TRUE)</f>
        <v>10.2203</v>
      </c>
      <c r="H156" s="28" cm="1">
        <f t="array" ref="H156">_FV(B156,"Price")</f>
        <v>95.864999999999995</v>
      </c>
      <c r="I156" s="32">
        <f t="shared" si="2"/>
        <v>9.739359796167266E-4</v>
      </c>
    </row>
    <row r="157" spans="2:9" x14ac:dyDescent="0.55000000000000004">
      <c r="B157" s="24" t="e" vm="157">
        <v>#VALUE!</v>
      </c>
      <c r="C157" s="27" cm="1">
        <f t="array" ref="C157">_FV(B157,"Shares outstanding",TRUE)</f>
        <v>549353600</v>
      </c>
      <c r="D157" s="30" cm="1">
        <f t="array" ref="D157">_FV(B157,"Market cap",TRUE)</f>
        <v>71718120000</v>
      </c>
      <c r="E157" s="26" cm="1">
        <f t="array" ref="E157">_FV(B157,"Beta")</f>
        <v>0.93259999999999998</v>
      </c>
      <c r="F157" t="str" cm="1">
        <f t="array" ref="F157">_FV(B157,"Industry")</f>
        <v>Consumer Goods Conglomerates</v>
      </c>
      <c r="G157" cm="1">
        <f t="array" ref="G157">_FV(B157,"P/E",TRUE)</f>
        <v>93.590800000000002</v>
      </c>
      <c r="H157" s="28" cm="1">
        <f t="array" ref="H157">_FV(B157,"Price")</f>
        <v>131.05500000000001</v>
      </c>
      <c r="I157" s="32">
        <f t="shared" si="2"/>
        <v>1.3899019130522029E-3</v>
      </c>
    </row>
    <row r="158" spans="2:9" x14ac:dyDescent="0.55000000000000004">
      <c r="B158" s="25" t="e" vm="158">
        <v>#VALUE!</v>
      </c>
      <c r="C158" s="27" cm="1">
        <f t="array" ref="C158">_FV(B158,"Shares outstanding",TRUE)</f>
        <v>902752000</v>
      </c>
      <c r="D158" s="30" cm="1">
        <f t="array" ref="D158">_FV(B158,"Market cap",TRUE)</f>
        <v>64885300000</v>
      </c>
      <c r="E158" s="26" cm="1">
        <f t="array" ref="E158">_FV(B158,"Beta")</f>
        <v>1.1888000000000001</v>
      </c>
      <c r="F158" t="str" cm="1">
        <f t="array" ref="F158">_FV(B158,"Industry")</f>
        <v>Machinery, Equipment &amp; Components</v>
      </c>
      <c r="G158" s="26" cm="1">
        <f t="array" ref="G158">_FV(B158,"P/E",TRUE)</f>
        <v>18.962399999999999</v>
      </c>
      <c r="H158" s="28" cm="1">
        <f t="array" ref="H158">_FV(B158,"Price")</f>
        <v>71.875</v>
      </c>
      <c r="I158" s="32">
        <f t="shared" si="2"/>
        <v>1.2574814091468947E-3</v>
      </c>
    </row>
    <row r="159" spans="2:9" x14ac:dyDescent="0.55000000000000004">
      <c r="B159" s="24" t="e" vm="159">
        <v>#VALUE!</v>
      </c>
      <c r="C159" s="27" cm="1">
        <f t="array" ref="C159">_FV(B159,"Shares outstanding",TRUE)</f>
        <v>1123922000</v>
      </c>
      <c r="D159" s="30" cm="1">
        <f t="array" ref="D159">_FV(B159,"Market cap",TRUE)</f>
        <v>54892350480</v>
      </c>
      <c r="E159" s="26" cm="1">
        <f t="array" ref="E159">_FV(B159,"Beta")</f>
        <v>1.4355</v>
      </c>
      <c r="F159" t="str" cm="1">
        <f t="array" ref="F159">_FV(B159,"Industry")</f>
        <v>Automobiles &amp; Auto Parts</v>
      </c>
      <c r="G159" s="26" cm="1">
        <f t="array" ref="G159">_FV(B159,"P/E",TRUE)</f>
        <v>5.4592000000000001</v>
      </c>
      <c r="H159" s="28" cm="1">
        <f t="array" ref="H159">_FV(B159,"Price")</f>
        <v>48.84</v>
      </c>
      <c r="I159" s="32">
        <f t="shared" si="2"/>
        <v>1.0638173859560736E-3</v>
      </c>
    </row>
    <row r="160" spans="2:9" x14ac:dyDescent="0.55000000000000004">
      <c r="B160" s="25" t="e" vm="160">
        <v>#VALUE!</v>
      </c>
      <c r="C160" s="27" cm="1">
        <f t="array" ref="C160">_FV(B160,"Shares outstanding",TRUE)</f>
        <v>246427100</v>
      </c>
      <c r="D160" s="30" cm="1">
        <f t="array" ref="D160">_FV(B160,"Market cap",TRUE)</f>
        <v>53156789741</v>
      </c>
      <c r="E160" s="26" cm="1">
        <f t="array" ref="E160">_FV(B160,"Beta")</f>
        <v>1.3091999999999999</v>
      </c>
      <c r="F160" t="str" cm="1">
        <f t="array" ref="F160">_FV(B160,"Industry")</f>
        <v>Hotels &amp; Entertainment Services</v>
      </c>
      <c r="G160" s="26" cm="1">
        <f t="array" ref="G160">_FV(B160,"P/E",TRUE)</f>
        <v>45.698900000000002</v>
      </c>
      <c r="H160" s="28" cm="1">
        <f t="array" ref="H160">_FV(B160,"Price")</f>
        <v>215.71</v>
      </c>
      <c r="I160" s="32">
        <f t="shared" si="2"/>
        <v>1.0301821039470863E-3</v>
      </c>
    </row>
    <row r="161" spans="2:9" x14ac:dyDescent="0.55000000000000004">
      <c r="B161" s="24" t="e" vm="161">
        <v>#VALUE!</v>
      </c>
      <c r="C161" s="27" cm="1">
        <f t="array" ref="C161">_FV(B161,"Shares outstanding",TRUE)</f>
        <v>602400000</v>
      </c>
      <c r="D161" s="30" cm="1">
        <f t="array" ref="D161">_FV(B161,"Market cap",TRUE)</f>
        <v>41737284000</v>
      </c>
      <c r="E161" s="26" cm="1">
        <f t="array" ref="E161">_FV(B161,"Beta")</f>
        <v>1.1304000000000001</v>
      </c>
      <c r="F161" t="str" cm="1">
        <f t="array" ref="F161">_FV(B161,"Industry")</f>
        <v>Healthcare Equipment &amp; Supplies</v>
      </c>
      <c r="G161" s="26" cm="1">
        <f t="array" ref="G161">_FV(B161,"P/E",TRUE)</f>
        <v>29.638100000000001</v>
      </c>
      <c r="H161" s="28" cm="1">
        <f t="array" ref="H161">_FV(B161,"Price")</f>
        <v>69.284999999999997</v>
      </c>
      <c r="I161" s="32">
        <f t="shared" si="2"/>
        <v>8.0887132676097891E-4</v>
      </c>
    </row>
    <row r="162" spans="2:9" x14ac:dyDescent="0.55000000000000004">
      <c r="B162" s="25" t="e" vm="162">
        <v>#VALUE!</v>
      </c>
      <c r="C162" s="27" cm="1">
        <f t="array" ref="C162">_FV(B162,"Shares outstanding",TRUE)</f>
        <v>381900000</v>
      </c>
      <c r="D162" s="30" cm="1">
        <f t="array" ref="D162">_FV(B162,"Market cap",TRUE)</f>
        <v>54493311000</v>
      </c>
      <c r="E162" s="26" cm="1">
        <f t="array" ref="E162">_FV(B162,"Beta")</f>
        <v>1.4473</v>
      </c>
      <c r="F162" t="str" cm="1">
        <f t="array" ref="F162">_FV(B162,"Industry")</f>
        <v>Banking Services</v>
      </c>
      <c r="G162" s="26" cm="1">
        <f t="array" ref="G162">_FV(B162,"P/E",TRUE)</f>
        <v>13.4084</v>
      </c>
      <c r="H162" s="28" cm="1">
        <f t="array" ref="H162">_FV(B162,"Price")</f>
        <v>142.69</v>
      </c>
      <c r="I162" s="32">
        <f t="shared" si="2"/>
        <v>1.0560839744188587E-3</v>
      </c>
    </row>
    <row r="163" spans="2:9" x14ac:dyDescent="0.55000000000000004">
      <c r="B163" s="24" t="e" vm="163">
        <v>#VALUE!</v>
      </c>
      <c r="C163" s="27" cm="1">
        <f t="array" ref="C163">_FV(B163,"Shares outstanding",TRUE)</f>
        <v>215447000</v>
      </c>
      <c r="D163" s="30" cm="1">
        <f t="array" ref="D163">_FV(B163,"Market cap",TRUE)</f>
        <v>55397887110</v>
      </c>
      <c r="E163" s="26" cm="1">
        <f t="array" ref="E163">_FV(B163,"Beta")</f>
        <v>1.4755</v>
      </c>
      <c r="F163" t="str" cm="1">
        <f t="array" ref="F163">_FV(B163,"Industry")</f>
        <v>Software &amp; IT Services</v>
      </c>
      <c r="G163" s="26" cm="1">
        <f t="array" ref="G163">_FV(B163,"P/E",TRUE)</f>
        <v>55.308500000000002</v>
      </c>
      <c r="H163" s="28" cm="1">
        <f t="array" ref="H163">_FV(B163,"Price")</f>
        <v>257.13</v>
      </c>
      <c r="I163" s="32">
        <f t="shared" si="2"/>
        <v>1.073614719309973E-3</v>
      </c>
    </row>
    <row r="164" spans="2:9" x14ac:dyDescent="0.55000000000000004">
      <c r="B164" s="25" t="e" vm="164">
        <v>#VALUE!</v>
      </c>
      <c r="C164" s="27" cm="1">
        <f t="array" ref="C164">_FV(B164,"Shares outstanding",TRUE)</f>
        <v>643951400</v>
      </c>
      <c r="D164" s="30" cm="1">
        <f t="array" ref="D164">_FV(B164,"Market cap",TRUE)</f>
        <v>48322113056</v>
      </c>
      <c r="E164" s="26" cm="1">
        <f t="array" ref="E164">_FV(B164,"Beta")</f>
        <v>1.0766</v>
      </c>
      <c r="F164" t="str" cm="1">
        <f t="array" ref="F164">_FV(B164,"Industry")</f>
        <v>Insurance</v>
      </c>
      <c r="G164" s="26" cm="1">
        <f t="array" ref="G164">_FV(B164,"P/E",TRUE)</f>
        <v>18.384</v>
      </c>
      <c r="H164" s="28" cm="1">
        <f t="array" ref="H164">_FV(B164,"Price")</f>
        <v>75.040000000000006</v>
      </c>
      <c r="I164" s="32">
        <f t="shared" si="2"/>
        <v>9.3648574975556008E-4</v>
      </c>
    </row>
    <row r="165" spans="2:9" x14ac:dyDescent="0.55000000000000004">
      <c r="B165" s="24" t="e" vm="165">
        <v>#VALUE!</v>
      </c>
      <c r="C165" s="27" cm="1">
        <f t="array" ref="C165">_FV(B165,"Shares outstanding",TRUE)</f>
        <v>17082810</v>
      </c>
      <c r="D165" s="30" cm="1">
        <f t="array" ref="D165">_FV(B165,"Market cap",TRUE)</f>
        <v>54007303815</v>
      </c>
      <c r="E165" s="26" cm="1">
        <f t="array" ref="E165">_FV(B165,"Beta")</f>
        <v>0.70699999999999996</v>
      </c>
      <c r="F165" t="str" cm="1">
        <f t="array" ref="F165">_FV(B165,"Industry")</f>
        <v>Specialty Retailers</v>
      </c>
      <c r="G165" s="26" cm="1">
        <f t="array" ref="G165">_FV(B165,"P/E",TRUE)</f>
        <v>21.6326</v>
      </c>
      <c r="H165" s="28" cm="1">
        <f t="array" ref="H165">_FV(B165,"Price")</f>
        <v>3161.5</v>
      </c>
      <c r="I165" s="32">
        <f t="shared" si="2"/>
        <v>1.0466651230018303E-3</v>
      </c>
    </row>
    <row r="166" spans="2:9" x14ac:dyDescent="0.55000000000000004">
      <c r="B166" s="25" t="e" vm="166">
        <v>#VALUE!</v>
      </c>
      <c r="C166" s="27" cm="1">
        <f t="array" ref="C166">_FV(B166,"Shares outstanding",TRUE)</f>
        <v>320380500</v>
      </c>
      <c r="D166" s="30" cm="1">
        <f t="array" ref="D166">_FV(B166,"Market cap",TRUE)</f>
        <v>46221294735</v>
      </c>
      <c r="E166" s="26" cm="1">
        <f t="array" ref="E166">_FV(B166,"Beta")</f>
        <v>1.3861000000000001</v>
      </c>
      <c r="F166" t="str" cm="1">
        <f t="array" ref="F166">_FV(B166,"Industry")</f>
        <v>Oil &amp; Gas</v>
      </c>
      <c r="G166" s="26" cm="1">
        <f t="array" ref="G166">_FV(B166,"P/E",TRUE)</f>
        <v>8.2256</v>
      </c>
      <c r="H166" s="28" cm="1">
        <f t="array" ref="H166">_FV(B166,"Price")</f>
        <v>144.27000000000001</v>
      </c>
      <c r="I166" s="32">
        <f t="shared" si="2"/>
        <v>8.9577175162882424E-4</v>
      </c>
    </row>
    <row r="167" spans="2:9" x14ac:dyDescent="0.55000000000000004">
      <c r="B167" s="24" t="e" vm="167">
        <v>#VALUE!</v>
      </c>
      <c r="C167" s="27" cm="1">
        <f t="array" ref="C167">_FV(B167,"Shares outstanding",TRUE)</f>
        <v>1218931000</v>
      </c>
      <c r="D167" s="30" cm="1">
        <f t="array" ref="D167">_FV(B167,"Market cap",TRUE)</f>
        <v>55497928430</v>
      </c>
      <c r="E167" s="26" cm="1">
        <f t="array" ref="E167">_FV(B167,"Beta")</f>
        <v>1.0775999999999999</v>
      </c>
      <c r="F167" t="str" cm="1">
        <f t="array" ref="F167">_FV(B167,"Industry")</f>
        <v>Oil &amp; Gas Related Equipment and Services</v>
      </c>
      <c r="G167" s="26" cm="1">
        <f t="array" ref="G167">_FV(B167,"P/E",TRUE)</f>
        <v>19.511500000000002</v>
      </c>
      <c r="H167" s="28" cm="1">
        <f t="array" ref="H167">_FV(B167,"Price")</f>
        <v>45.53</v>
      </c>
      <c r="I167" s="32">
        <f t="shared" si="2"/>
        <v>1.0755535267139077E-3</v>
      </c>
    </row>
    <row r="168" spans="2:9" x14ac:dyDescent="0.55000000000000004">
      <c r="B168" s="25" t="e" vm="168">
        <v>#VALUE!</v>
      </c>
      <c r="C168" s="27" cm="1">
        <f t="array" ref="C168">_FV(B168,"Shares outstanding",TRUE)</f>
        <v>536505100</v>
      </c>
      <c r="D168" s="30" cm="1">
        <f t="array" ref="D168">_FV(B168,"Market cap",TRUE)</f>
        <v>43207438228</v>
      </c>
      <c r="E168" s="26" cm="1">
        <f t="array" ref="E168">_FV(B168,"Beta")</f>
        <v>1.5219</v>
      </c>
      <c r="F168" t="str" cm="1">
        <f t="array" ref="F168">_FV(B168,"Industry")</f>
        <v>Semiconductors &amp; Semiconductor Equipment</v>
      </c>
      <c r="G168" s="26" cm="1">
        <f t="array" ref="G168">_FV(B168,"P/E",TRUE)</f>
        <v>32.678100000000001</v>
      </c>
      <c r="H168" s="28" cm="1">
        <f t="array" ref="H168">_FV(B168,"Price")</f>
        <v>80.534999999999997</v>
      </c>
      <c r="I168" s="32">
        <f t="shared" si="2"/>
        <v>8.3736301301793855E-4</v>
      </c>
    </row>
    <row r="169" spans="2:9" x14ac:dyDescent="0.55000000000000004">
      <c r="B169" s="24" t="e" vm="169">
        <v>#VALUE!</v>
      </c>
      <c r="C169" s="27" cm="1">
        <f t="array" ref="C169">_FV(B169,"Shares outstanding",TRUE)</f>
        <v>333574900</v>
      </c>
      <c r="D169" s="30" cm="1">
        <f t="array" ref="D169">_FV(B169,"Market cap",TRUE)</f>
        <v>51937611930</v>
      </c>
      <c r="E169" s="26" cm="1">
        <f t="array" ref="E169">_FV(B169,"Beta")</f>
        <v>1.0936999999999999</v>
      </c>
      <c r="F169" t="str" cm="1">
        <f t="array" ref="F169">_FV(B169,"Industry")</f>
        <v>Specialty Retailers</v>
      </c>
      <c r="G169" s="26" cm="1">
        <f t="array" ref="G169">_FV(B169,"P/E",TRUE)</f>
        <v>26.1693</v>
      </c>
      <c r="H169" s="28" cm="1">
        <f t="array" ref="H169">_FV(B169,"Price")</f>
        <v>155.69999999999999</v>
      </c>
      <c r="I169" s="32">
        <f t="shared" si="2"/>
        <v>1.0065543572652198E-3</v>
      </c>
    </row>
    <row r="170" spans="2:9" x14ac:dyDescent="0.55000000000000004">
      <c r="B170" s="25" t="e" vm="170">
        <v>#VALUE!</v>
      </c>
      <c r="C170" s="27" cm="1">
        <f t="array" ref="C170">_FV(B170,"Shares outstanding",TRUE)</f>
        <v>226096400</v>
      </c>
      <c r="D170" s="30" cm="1">
        <f t="array" ref="D170">_FV(B170,"Market cap",TRUE)</f>
        <v>54984383516</v>
      </c>
      <c r="E170" s="26" cm="1">
        <f t="array" ref="E170">_FV(B170,"Beta")</f>
        <v>1.3050999999999999</v>
      </c>
      <c r="F170" t="str" cm="1">
        <f t="array" ref="F170">_FV(B170,"Industry")</f>
        <v>Freight &amp; Logistics Services</v>
      </c>
      <c r="G170" s="26" cm="1">
        <f t="array" ref="G170">_FV(B170,"P/E",TRUE)</f>
        <v>30.401</v>
      </c>
      <c r="H170" s="28" cm="1">
        <f t="array" ref="H170">_FV(B170,"Price")</f>
        <v>243.19</v>
      </c>
      <c r="I170" s="32">
        <f t="shared" si="2"/>
        <v>1.0656009922859718E-3</v>
      </c>
    </row>
    <row r="171" spans="2:9" x14ac:dyDescent="0.55000000000000004">
      <c r="B171" s="24" t="e" vm="171">
        <v>#VALUE!</v>
      </c>
      <c r="C171" s="27" cm="1">
        <f t="array" ref="C171">_FV(B171,"Shares outstanding",TRUE)</f>
        <v>274802000</v>
      </c>
      <c r="D171" s="30" cm="1">
        <f t="array" ref="D171">_FV(B171,"Market cap",TRUE)</f>
        <v>50280521940</v>
      </c>
      <c r="E171" s="26" cm="1">
        <f t="array" ref="E171">_FV(B171,"Beta")</f>
        <v>0.82399999999999995</v>
      </c>
      <c r="F171" t="str" cm="1">
        <f t="array" ref="F171">_FV(B171,"Industry")</f>
        <v>Electrical Utilities &amp; IPPs</v>
      </c>
      <c r="G171" cm="1">
        <f t="array" ref="G171">_FV(B171,"P/E",TRUE)</f>
        <v>42.863</v>
      </c>
      <c r="H171" s="28" cm="1">
        <f t="array" ref="H171">_FV(B171,"Price")</f>
        <v>182.97</v>
      </c>
      <c r="I171" s="32">
        <f t="shared" si="2"/>
        <v>9.7443984356630168E-4</v>
      </c>
    </row>
    <row r="172" spans="2:9" x14ac:dyDescent="0.55000000000000004">
      <c r="B172" s="25" t="e" vm="172">
        <v>#VALUE!</v>
      </c>
      <c r="C172" s="27" cm="1">
        <f t="array" ref="C172">_FV(B172,"Shares outstanding",TRUE)</f>
        <v>1339143000</v>
      </c>
      <c r="D172" s="30" cm="1">
        <f t="array" ref="D172">_FV(B172,"Market cap",TRUE)</f>
        <v>58708050000</v>
      </c>
      <c r="E172" s="26" cm="1">
        <f t="array" ref="E172">_FV(B172,"Beta")</f>
        <v>1.0434000000000001</v>
      </c>
      <c r="F172" t="str" cm="1">
        <f t="array" ref="F172">_FV(B172,"Industry")</f>
        <v>Banking Services</v>
      </c>
      <c r="G172" t="e" cm="1" vm="36">
        <f t="array" ref="G172">_FV(B172,"P/E",TRUE)</f>
        <v>#VALUE!</v>
      </c>
      <c r="H172" s="28" cm="1">
        <f t="array" ref="H172">_FV(B172,"Price")</f>
        <v>44.225000000000001</v>
      </c>
      <c r="I172" s="32">
        <f t="shared" si="2"/>
        <v>1.1377658952376941E-3</v>
      </c>
    </row>
    <row r="173" spans="2:9" x14ac:dyDescent="0.55000000000000004">
      <c r="B173" s="24" t="e" vm="173">
        <v>#VALUE!</v>
      </c>
      <c r="C173" s="27" cm="1">
        <f t="array" ref="C173">_FV(B173,"Shares outstanding",TRUE)</f>
        <v>327411000</v>
      </c>
      <c r="D173" s="30" cm="1">
        <f t="array" ref="D173">_FV(B173,"Market cap",TRUE)</f>
        <v>49560203070</v>
      </c>
      <c r="E173" s="26" cm="1">
        <f t="array" ref="E173">_FV(B173,"Beta")</f>
        <v>0.62029999999999996</v>
      </c>
      <c r="F173" t="str" cm="1">
        <f t="array" ref="F173">_FV(B173,"Industry")</f>
        <v>Residential &amp; Commercial REIT</v>
      </c>
      <c r="G173" s="26" cm="1">
        <f t="array" ref="G173">_FV(B173,"P/E",TRUE)</f>
        <v>44.625</v>
      </c>
      <c r="H173" s="28" cm="1">
        <f t="array" ref="H173">_FV(B173,"Price")</f>
        <v>151.37</v>
      </c>
      <c r="I173" s="32">
        <f t="shared" si="2"/>
        <v>9.6048001618347849E-4</v>
      </c>
    </row>
    <row r="174" spans="2:9" x14ac:dyDescent="0.55000000000000004">
      <c r="B174" s="25" t="e" vm="174">
        <v>#VALUE!</v>
      </c>
      <c r="C174" s="27" cm="1">
        <f t="array" ref="C174">_FV(B174,"Shares outstanding",TRUE)</f>
        <v>1147429000</v>
      </c>
      <c r="D174" s="30" cm="1">
        <f t="array" ref="D174">_FV(B174,"Market cap",TRUE)</f>
        <v>59999177152</v>
      </c>
      <c r="E174" s="26" cm="1">
        <f t="array" ref="E174">_FV(B174,"Beta")</f>
        <v>0.50900000000000001</v>
      </c>
      <c r="F174" t="str" cm="1">
        <f t="array" ref="F174">_FV(B174,"Industry")</f>
        <v>Metals &amp; Mining</v>
      </c>
      <c r="G174" t="e" cm="1" vm="36">
        <f t="array" ref="G174">_FV(B174,"P/E",TRUE)</f>
        <v>#VALUE!</v>
      </c>
      <c r="H174" s="28" cm="1">
        <f t="array" ref="H174">_FV(B174,"Price")</f>
        <v>52.290100000000002</v>
      </c>
      <c r="I174" s="32">
        <f t="shared" si="2"/>
        <v>1.1627880249108985E-3</v>
      </c>
    </row>
    <row r="175" spans="2:9" x14ac:dyDescent="0.55000000000000004">
      <c r="B175" s="24" t="e" vm="175">
        <v>#VALUE!</v>
      </c>
      <c r="C175" s="27" cm="1">
        <f t="array" ref="C175">_FV(B175,"Shares outstanding",TRUE)</f>
        <v>326043400</v>
      </c>
      <c r="D175" s="30" cm="1">
        <f t="array" ref="D175">_FV(B175,"Market cap",TRUE)</f>
        <v>54445987366</v>
      </c>
      <c r="E175" s="26" cm="1">
        <f t="array" ref="E175">_FV(B175,"Beta")</f>
        <v>1.7685999999999999</v>
      </c>
      <c r="F175" t="str" cm="1">
        <f t="array" ref="F175">_FV(B175,"Industry")</f>
        <v>Residential &amp; Commercial REIT</v>
      </c>
      <c r="G175" s="26" cm="1">
        <f t="array" ref="G175">_FV(B175,"P/E",TRUE)</f>
        <v>17.691199999999998</v>
      </c>
      <c r="H175" s="28" cm="1">
        <f t="array" ref="H175">_FV(B175,"Price")</f>
        <v>166.99</v>
      </c>
      <c r="I175" s="32">
        <f t="shared" si="2"/>
        <v>1.0551668392593039E-3</v>
      </c>
    </row>
    <row r="176" spans="2:9" x14ac:dyDescent="0.55000000000000004">
      <c r="B176" s="25" t="e" vm="176">
        <v>#VALUE!</v>
      </c>
      <c r="C176" s="27" cm="1">
        <f t="array" ref="C176">_FV(B176,"Shares outstanding",TRUE)</f>
        <v>336804400</v>
      </c>
      <c r="D176" s="30" cm="1">
        <f t="array" ref="D176">_FV(B176,"Market cap",TRUE)</f>
        <v>48253966388</v>
      </c>
      <c r="E176" s="26" cm="1">
        <f t="array" ref="E176">_FV(B176,"Beta")</f>
        <v>0.4012</v>
      </c>
      <c r="F176" t="str" cm="1">
        <f t="array" ref="F176">_FV(B176,"Industry")</f>
        <v>Personal &amp; Household Products &amp; Services</v>
      </c>
      <c r="G176" s="26" cm="1">
        <f t="array" ref="G176">_FV(B176,"P/E",TRUE)</f>
        <v>21.256900000000002</v>
      </c>
      <c r="H176" s="28" cm="1">
        <f t="array" ref="H176">_FV(B176,"Price")</f>
        <v>143.27000000000001</v>
      </c>
      <c r="I176" s="32">
        <f t="shared" si="2"/>
        <v>9.3516506281868369E-4</v>
      </c>
    </row>
    <row r="177" spans="2:9" x14ac:dyDescent="0.55000000000000004">
      <c r="B177" s="24" t="e" vm="177">
        <v>#VALUE!</v>
      </c>
      <c r="C177" s="27" cm="1">
        <f t="array" ref="C177">_FV(B177,"Shares outstanding",TRUE)</f>
        <v>962297600</v>
      </c>
      <c r="D177" s="30" cm="1">
        <f t="array" ref="D177">_FV(B177,"Market cap",TRUE)</f>
        <v>50876674112</v>
      </c>
      <c r="E177" s="26" cm="1">
        <f t="array" ref="E177">_FV(B177,"Beta")</f>
        <v>1.2726999999999999</v>
      </c>
      <c r="F177" t="str" cm="1">
        <f t="array" ref="F177">_FV(B177,"Industry")</f>
        <v>Software &amp; IT Services</v>
      </c>
      <c r="G177" s="26" cm="1">
        <f t="array" ref="G177">_FV(B177,"P/E",TRUE)</f>
        <v>47.798499999999997</v>
      </c>
      <c r="H177" s="28" cm="1">
        <f t="array" ref="H177">_FV(B177,"Price")</f>
        <v>52.87</v>
      </c>
      <c r="I177" s="32">
        <f t="shared" si="2"/>
        <v>9.859933121225471E-4</v>
      </c>
    </row>
    <row r="178" spans="2:9" x14ac:dyDescent="0.55000000000000004">
      <c r="B178" s="25" t="e" vm="178">
        <v>#VALUE!</v>
      </c>
      <c r="C178" s="27" cm="1">
        <f t="array" ref="C178">_FV(B178,"Shares outstanding",TRUE)</f>
        <v>227931400</v>
      </c>
      <c r="D178" s="30" cm="1">
        <f t="array" ref="D178">_FV(B178,"Market cap",TRUE)</f>
        <v>50853774654</v>
      </c>
      <c r="E178" s="26" cm="1">
        <f t="array" ref="E178">_FV(B178,"Beta")</f>
        <v>0.62719999999999998</v>
      </c>
      <c r="F178" t="str" cm="1">
        <f t="array" ref="F178">_FV(B178,"Industry")</f>
        <v>Insurance</v>
      </c>
      <c r="G178" s="26" cm="1">
        <f t="array" ref="G178">_FV(B178,"P/E",TRUE)</f>
        <v>14.0436</v>
      </c>
      <c r="H178" s="28" cm="1">
        <f t="array" ref="H178">_FV(B178,"Price")</f>
        <v>223.11</v>
      </c>
      <c r="I178" s="32">
        <f t="shared" si="2"/>
        <v>9.855495191106547E-4</v>
      </c>
    </row>
    <row r="179" spans="2:9" x14ac:dyDescent="0.55000000000000004">
      <c r="B179" s="24" t="e" vm="179">
        <v>#VALUE!</v>
      </c>
      <c r="C179" s="27" cm="1">
        <f t="array" ref="C179">_FV(B179,"Shares outstanding",TRUE)</f>
        <v>632845800</v>
      </c>
      <c r="D179" s="30" cm="1">
        <f t="array" ref="D179">_FV(B179,"Market cap",TRUE)</f>
        <v>51887027142</v>
      </c>
      <c r="E179" s="26" cm="1">
        <f t="array" ref="E179">_FV(B179,"Beta")</f>
        <v>0.75919999999999999</v>
      </c>
      <c r="F179" t="str" cm="1">
        <f t="array" ref="F179">_FV(B179,"Industry")</f>
        <v>Multiline Utilities</v>
      </c>
      <c r="G179" s="26" cm="1">
        <f t="array" ref="G179">_FV(B179,"P/E",TRUE)</f>
        <v>17.380600000000001</v>
      </c>
      <c r="H179" s="28" cm="1">
        <f t="array" ref="H179">_FV(B179,"Price")</f>
        <v>81.99</v>
      </c>
      <c r="I179" s="32">
        <f t="shared" si="2"/>
        <v>1.0055740207252696E-3</v>
      </c>
    </row>
    <row r="180" spans="2:9" x14ac:dyDescent="0.55000000000000004">
      <c r="B180" s="25" t="e" vm="180">
        <v>#VALUE!</v>
      </c>
      <c r="C180" s="27" cm="1">
        <f t="array" ref="C180">_FV(B180,"Shares outstanding",TRUE)</f>
        <v>668013500</v>
      </c>
      <c r="D180" s="30" cm="1">
        <f t="array" ref="D180">_FV(B180,"Market cap",TRUE)</f>
        <v>47669443360</v>
      </c>
      <c r="E180" s="26" cm="1">
        <f t="array" ref="E180">_FV(B180,"Beta")</f>
        <v>1.2991999999999999</v>
      </c>
      <c r="F180" t="str" cm="1">
        <f t="array" ref="F180">_FV(B180,"Industry")</f>
        <v>Machinery, Equipment &amp; Components</v>
      </c>
      <c r="G180" s="26" cm="1">
        <f t="array" ref="G180">_FV(B180,"P/E",TRUE)</f>
        <v>29.767199999999999</v>
      </c>
      <c r="H180" s="28" cm="1">
        <f t="array" ref="H180">_FV(B180,"Price")</f>
        <v>71.36</v>
      </c>
      <c r="I180" s="32">
        <f t="shared" si="2"/>
        <v>9.2383696784296108E-4</v>
      </c>
    </row>
    <row r="181" spans="2:9" x14ac:dyDescent="0.55000000000000004">
      <c r="B181" s="24" t="e" vm="181">
        <v>#VALUE!</v>
      </c>
      <c r="C181" s="27" cm="1">
        <f t="array" ref="C181">_FV(B181,"Shares outstanding",TRUE)</f>
        <v>303918700</v>
      </c>
      <c r="D181" s="30" cm="1">
        <f t="array" ref="D181">_FV(B181,"Market cap",TRUE)</f>
        <v>46447894921</v>
      </c>
      <c r="E181" s="26" cm="1">
        <f t="array" ref="E181">_FV(B181,"Beta")</f>
        <v>1.3257000000000001</v>
      </c>
      <c r="F181" t="str" cm="1">
        <f t="array" ref="F181">_FV(B181,"Industry")</f>
        <v>Machinery, Equipment &amp; Components</v>
      </c>
      <c r="G181" s="26" cm="1">
        <f t="array" ref="G181">_FV(B181,"P/E",TRUE)</f>
        <v>13.747400000000001</v>
      </c>
      <c r="H181" s="28" cm="1">
        <f t="array" ref="H181">_FV(B181,"Price")</f>
        <v>152.83000000000001</v>
      </c>
      <c r="I181" s="32">
        <f t="shared" si="2"/>
        <v>9.001632782335286E-4</v>
      </c>
    </row>
    <row r="182" spans="2:9" x14ac:dyDescent="0.55000000000000004">
      <c r="B182" s="25" t="e" vm="182">
        <v>#VALUE!</v>
      </c>
      <c r="C182" s="27" cm="1">
        <f t="array" ref="C182">_FV(B182,"Shares outstanding",TRUE)</f>
        <v>560026300</v>
      </c>
      <c r="D182" s="30" cm="1">
        <f t="array" ref="D182">_FV(B182,"Market cap",TRUE)</f>
        <v>60314832510</v>
      </c>
      <c r="E182" s="26" cm="1">
        <f t="array" ref="E182">_FV(B182,"Beta")</f>
        <v>0.94650000000000001</v>
      </c>
      <c r="F182" t="str" cm="1">
        <f t="array" ref="F182">_FV(B182,"Industry")</f>
        <v>Insurance</v>
      </c>
      <c r="G182" s="26" cm="1">
        <f t="array" ref="G182">_FV(B182,"P/E",TRUE)</f>
        <v>11.3559</v>
      </c>
      <c r="H182" s="28" cm="1">
        <f t="array" ref="H182">_FV(B182,"Price")</f>
        <v>107.7</v>
      </c>
      <c r="I182" s="32">
        <f t="shared" si="2"/>
        <v>1.1689054466440586E-3</v>
      </c>
    </row>
    <row r="183" spans="2:9" x14ac:dyDescent="0.55000000000000004">
      <c r="B183" s="24" t="e" vm="183">
        <v>#VALUE!</v>
      </c>
      <c r="C183" s="27" cm="1">
        <f t="array" ref="C183">_FV(B183,"Shares outstanding",TRUE)</f>
        <v>584073900</v>
      </c>
      <c r="D183" s="30" cm="1">
        <f t="array" ref="D183">_FV(B183,"Market cap",TRUE)</f>
        <v>51804434560</v>
      </c>
      <c r="E183" s="26" cm="1">
        <f t="array" ref="E183">_FV(B183,"Beta")</f>
        <v>1.6303000000000001</v>
      </c>
      <c r="F183" t="str" cm="1">
        <f t="array" ref="F183">_FV(B183,"Industry")</f>
        <v>Oil &amp; Gas Related Equipment and Services</v>
      </c>
      <c r="G183" s="26" cm="1">
        <f t="array" ref="G183">_FV(B183,"P/E",TRUE)</f>
        <v>19.2058</v>
      </c>
      <c r="H183" s="28" cm="1">
        <f t="array" ref="H183">_FV(B183,"Price")</f>
        <v>88.694999999999993</v>
      </c>
      <c r="I183" s="32">
        <f t="shared" si="2"/>
        <v>1.0039733710188116E-3</v>
      </c>
    </row>
    <row r="184" spans="2:9" x14ac:dyDescent="0.55000000000000004">
      <c r="B184" s="25" t="e" vm="184">
        <v>#VALUE!</v>
      </c>
      <c r="C184" s="27" cm="1">
        <f t="array" ref="C184">_FV(B184,"Shares outstanding",TRUE)</f>
        <v>58556530</v>
      </c>
      <c r="D184" s="30" cm="1">
        <f t="array" ref="D184">_FV(B184,"Market cap",TRUE)</f>
        <v>33232581615</v>
      </c>
      <c r="E184" s="26" cm="1">
        <f t="array" ref="E184">_FV(B184,"Beta")</f>
        <v>1.2556</v>
      </c>
      <c r="F184" t="str" cm="1">
        <f t="array" ref="F184">_FV(B184,"Industry")</f>
        <v>Computers, Phones &amp; Household Electronics</v>
      </c>
      <c r="G184" s="26" cm="1">
        <f t="array" ref="G184">_FV(B184,"P/E",TRUE)</f>
        <v>30.837299999999999</v>
      </c>
      <c r="H184" s="28" cm="1">
        <f t="array" ref="H184">_FV(B184,"Price")</f>
        <v>567.5299</v>
      </c>
      <c r="I184" s="32">
        <f t="shared" si="2"/>
        <v>6.4404963156245538E-4</v>
      </c>
    </row>
    <row r="185" spans="2:9" x14ac:dyDescent="0.55000000000000004">
      <c r="B185" s="24" t="e" vm="185">
        <v>#VALUE!</v>
      </c>
      <c r="C185" s="27" cm="1">
        <f t="array" ref="C185">_FV(B185,"Shares outstanding",TRUE)</f>
        <v>175018400</v>
      </c>
      <c r="D185" s="30" cm="1">
        <f t="array" ref="D185">_FV(B185,"Market cap",TRUE)</f>
        <v>59543884955</v>
      </c>
      <c r="E185" s="26" cm="1">
        <f t="array" ref="E185">_FV(B185,"Beta")</f>
        <v>0.6855</v>
      </c>
      <c r="F185" t="str" cm="1">
        <f t="array" ref="F185">_FV(B185,"Industry")</f>
        <v>Residential &amp; Commercial REIT</v>
      </c>
      <c r="G185" s="26" cm="1">
        <f t="array" ref="G185">_FV(B185,"P/E",TRUE)</f>
        <v>31.892800000000001</v>
      </c>
      <c r="H185" s="28" cm="1">
        <f t="array" ref="H185">_FV(B185,"Price")</f>
        <v>340.21499999999997</v>
      </c>
      <c r="I185" s="32">
        <f t="shared" si="2"/>
        <v>1.1539644319945193E-3</v>
      </c>
    </row>
    <row r="186" spans="2:9" x14ac:dyDescent="0.55000000000000004">
      <c r="B186" s="25" t="e" vm="186">
        <v>#VALUE!</v>
      </c>
      <c r="C186" s="27" cm="1">
        <f t="array" ref="C186">_FV(B186,"Shares outstanding",TRUE)</f>
        <v>532120000</v>
      </c>
      <c r="D186" s="30" cm="1">
        <f t="array" ref="D186">_FV(B186,"Market cap",TRUE)</f>
        <v>52717128400</v>
      </c>
      <c r="E186" s="26" cm="1">
        <f t="array" ref="E186">_FV(B186,"Beta")</f>
        <v>0.53320000000000001</v>
      </c>
      <c r="F186" t="str" cm="1">
        <f t="array" ref="F186">_FV(B186,"Industry")</f>
        <v>Electrical Utilities &amp; IPPs</v>
      </c>
      <c r="G186" s="26" cm="1">
        <f t="array" ref="G186">_FV(B186,"P/E",TRUE)</f>
        <v>19.6127</v>
      </c>
      <c r="H186" s="28" cm="1">
        <f t="array" ref="H186">_FV(B186,"Price")</f>
        <v>99.07</v>
      </c>
      <c r="I186" s="32">
        <f t="shared" si="2"/>
        <v>1.021661438054687E-3</v>
      </c>
    </row>
    <row r="187" spans="2:9" x14ac:dyDescent="0.55000000000000004">
      <c r="B187" s="24" t="e" vm="187">
        <v>#VALUE!</v>
      </c>
      <c r="C187" s="27" cm="1">
        <f t="array" ref="C187">_FV(B187,"Shares outstanding",TRUE)</f>
        <v>3975250000</v>
      </c>
      <c r="D187" s="30" cm="1">
        <f t="array" ref="D187">_FV(B187,"Market cap",TRUE)</f>
        <v>44165027500</v>
      </c>
      <c r="E187" s="26" cm="1">
        <f t="array" ref="E187">_FV(B187,"Beta")</f>
        <v>1.6281000000000001</v>
      </c>
      <c r="F187" t="str" cm="1">
        <f t="array" ref="F187">_FV(B187,"Industry")</f>
        <v>Automobiles &amp; Auto Parts</v>
      </c>
      <c r="G187" s="26" cm="1">
        <f t="array" ref="G187">_FV(B187,"P/E",TRUE)</f>
        <v>11.8629</v>
      </c>
      <c r="H187" s="28" cm="1">
        <f t="array" ref="H187">_FV(B187,"Price")</f>
        <v>11.11</v>
      </c>
      <c r="I187" s="32">
        <f t="shared" si="2"/>
        <v>8.5592115649787178E-4</v>
      </c>
    </row>
    <row r="188" spans="2:9" x14ac:dyDescent="0.55000000000000004">
      <c r="B188" s="25" t="e" vm="188">
        <v>#VALUE!</v>
      </c>
      <c r="C188" s="27" cm="1">
        <f t="array" ref="C188">_FV(B188,"Shares outstanding",TRUE)</f>
        <v>545565900</v>
      </c>
      <c r="D188" s="30" cm="1">
        <f t="array" ref="D188">_FV(B188,"Market cap",TRUE)</f>
        <v>43885320996</v>
      </c>
      <c r="E188" s="26" cm="1">
        <f t="array" ref="E188">_FV(B188,"Beta")</f>
        <v>1.0821000000000001</v>
      </c>
      <c r="F188" t="str" cm="1">
        <f t="array" ref="F188">_FV(B188,"Industry")</f>
        <v>Financial Technology (Fintech) &amp; Infrastructure</v>
      </c>
      <c r="G188" cm="1">
        <f t="array" ref="G188">_FV(B188,"P/E",TRUE)</f>
        <v>79.663300000000007</v>
      </c>
      <c r="H188" s="28" cm="1">
        <f t="array" ref="H188">_FV(B188,"Price")</f>
        <v>80.44</v>
      </c>
      <c r="I188" s="32">
        <f t="shared" si="2"/>
        <v>8.5050042593490184E-4</v>
      </c>
    </row>
    <row r="189" spans="2:9" x14ac:dyDescent="0.55000000000000004">
      <c r="B189" s="24" t="e" vm="189">
        <v>#VALUE!</v>
      </c>
      <c r="C189" s="27" cm="1">
        <f t="array" ref="C189">_FV(B189,"Shares outstanding",TRUE)</f>
        <v>400726800</v>
      </c>
      <c r="D189" s="30" cm="1">
        <f t="array" ref="D189">_FV(B189,"Market cap",TRUE)</f>
        <v>29918262888</v>
      </c>
      <c r="E189" s="26" cm="1">
        <f t="array" ref="E189">_FV(B189,"Beta")</f>
        <v>1.1822999999999999</v>
      </c>
      <c r="F189" t="str" cm="1">
        <f t="array" ref="F189">_FV(B189,"Industry")</f>
        <v>Healthcare Equipment &amp; Supplies</v>
      </c>
      <c r="G189" s="26" cm="1">
        <f t="array" ref="G189">_FV(B189,"P/E",TRUE)</f>
        <v>46.500100000000003</v>
      </c>
      <c r="H189" s="28" cm="1">
        <f t="array" ref="H189">_FV(B189,"Price")</f>
        <v>74.66</v>
      </c>
      <c r="I189" s="32">
        <f t="shared" si="2"/>
        <v>5.7981791523857465E-4</v>
      </c>
    </row>
    <row r="190" spans="2:9" x14ac:dyDescent="0.55000000000000004">
      <c r="B190" s="25" t="e" vm="190">
        <v>#VALUE!</v>
      </c>
      <c r="C190" s="27" cm="1">
        <f t="array" ref="C190">_FV(B190,"Shares outstanding",TRUE)</f>
        <v>737957000</v>
      </c>
      <c r="D190" s="30" cm="1">
        <f t="array" ref="D190">_FV(B190,"Market cap",TRUE)</f>
        <v>49402531364</v>
      </c>
      <c r="E190" s="26" cm="1">
        <f t="array" ref="E190">_FV(B190,"Beta")</f>
        <v>1.0671999999999999</v>
      </c>
      <c r="F190" t="str" cm="1">
        <f t="array" ref="F190">_FV(B190,"Industry")</f>
        <v>Investment Banking &amp; Investment Services</v>
      </c>
      <c r="G190" s="26" cm="1">
        <f t="array" ref="G190">_FV(B190,"P/E",TRUE)</f>
        <v>15.9177</v>
      </c>
      <c r="H190" s="28" cm="1">
        <f t="array" ref="H190">_FV(B190,"Price")</f>
        <v>66.944999999999993</v>
      </c>
      <c r="I190" s="32">
        <f t="shared" si="2"/>
        <v>9.5742432808396333E-4</v>
      </c>
    </row>
    <row r="191" spans="2:9" x14ac:dyDescent="0.55000000000000004">
      <c r="B191" s="24" t="e" vm="191">
        <v>#VALUE!</v>
      </c>
      <c r="C191" s="27" cm="1">
        <f t="array" ref="C191">_FV(B191,"Shares outstanding",TRUE)</f>
        <v>384396000</v>
      </c>
      <c r="D191" s="30" cm="1">
        <f t="array" ref="D191">_FV(B191,"Market cap",TRUE)</f>
        <v>31555067640</v>
      </c>
      <c r="E191" s="26" cm="1">
        <f t="array" ref="E191">_FV(B191,"Beta")</f>
        <v>1.6787000000000001</v>
      </c>
      <c r="F191" t="str" cm="1">
        <f t="array" ref="F191">_FV(B191,"Industry")</f>
        <v>Biotechnology &amp; Medical Research</v>
      </c>
      <c r="G191" s="26" cm="1">
        <f t="array" ref="G191">_FV(B191,"P/E",TRUE)</f>
        <v>0</v>
      </c>
      <c r="H191" s="28" cm="1">
        <f t="array" ref="H191">_FV(B191,"Price")</f>
        <v>82.09</v>
      </c>
      <c r="I191" s="32">
        <f t="shared" si="2"/>
        <v>6.1153929968225126E-4</v>
      </c>
    </row>
    <row r="192" spans="2:9" x14ac:dyDescent="0.55000000000000004">
      <c r="B192" s="25" t="e" vm="192">
        <v>#VALUE!</v>
      </c>
      <c r="C192" s="27" cm="1">
        <f t="array" ref="C192">_FV(B192,"Shares outstanding",TRUE)</f>
        <v>870867600</v>
      </c>
      <c r="D192" s="30" cm="1">
        <f t="array" ref="D192">_FV(B192,"Market cap",TRUE)</f>
        <v>53802200328</v>
      </c>
      <c r="E192" s="26" cm="1">
        <f t="array" ref="E192">_FV(B192,"Beta")</f>
        <v>0.98770000000000002</v>
      </c>
      <c r="F192" t="str" cm="1">
        <f t="array" ref="F192">_FV(B192,"Industry")</f>
        <v>Residential &amp; Commercial REIT</v>
      </c>
      <c r="G192" s="26" cm="1">
        <f t="array" ref="G192">_FV(B192,"P/E",TRUE)</f>
        <v>57.286999999999999</v>
      </c>
      <c r="H192" s="28" cm="1">
        <f t="array" ref="H192">_FV(B192,"Price")</f>
        <v>61.78</v>
      </c>
      <c r="I192" s="32">
        <f t="shared" si="2"/>
        <v>1.0426902038467413E-3</v>
      </c>
    </row>
    <row r="193" spans="2:9" x14ac:dyDescent="0.55000000000000004">
      <c r="B193" s="24" t="e" vm="193">
        <v>#VALUE!</v>
      </c>
      <c r="C193" s="27" cm="1">
        <f t="array" ref="C193">_FV(B193,"Shares outstanding",TRUE)</f>
        <v>98188660</v>
      </c>
      <c r="D193" s="30" cm="1">
        <f t="array" ref="D193">_FV(B193,"Market cap",TRUE)</f>
        <v>43369440178</v>
      </c>
      <c r="E193" s="26" cm="1">
        <f t="array" ref="E193">_FV(B193,"Beta")</f>
        <v>1.3478000000000001</v>
      </c>
      <c r="F193" t="str" cm="1">
        <f t="array" ref="F193">_FV(B193,"Industry")</f>
        <v>Investment Banking &amp; Investment Services</v>
      </c>
      <c r="G193" s="26" cm="1">
        <f t="array" ref="G193">_FV(B193,"P/E",TRUE)</f>
        <v>15.112</v>
      </c>
      <c r="H193" s="28" cm="1">
        <f t="array" ref="H193">_FV(B193,"Price")</f>
        <v>441.69499999999999</v>
      </c>
      <c r="I193" s="32">
        <f t="shared" si="2"/>
        <v>8.4050262153281862E-4</v>
      </c>
    </row>
    <row r="194" spans="2:9" x14ac:dyDescent="0.55000000000000004">
      <c r="B194" s="25" t="e" vm="194">
        <v>#VALUE!</v>
      </c>
      <c r="C194" s="27" cm="1">
        <f t="array" ref="C194">_FV(B194,"Shares outstanding",TRUE)</f>
        <v>66589930</v>
      </c>
      <c r="D194" s="30" cm="1">
        <f t="array" ref="D194">_FV(B194,"Market cap",TRUE)</f>
        <v>49691736413</v>
      </c>
      <c r="E194" s="26" cm="1">
        <f t="array" ref="E194">_FV(B194,"Beta")</f>
        <v>1.6841999999999999</v>
      </c>
      <c r="F194" t="str" cm="1">
        <f t="array" ref="F194">_FV(B194,"Industry")</f>
        <v>Professional &amp; Commercial Services</v>
      </c>
      <c r="G194" s="26" cm="1">
        <f t="array" ref="G194">_FV(B194,"P/E",TRUE)</f>
        <v>19.6694</v>
      </c>
      <c r="H194" s="28" cm="1">
        <f t="array" ref="H194">_FV(B194,"Price")</f>
        <v>746.23500000000001</v>
      </c>
      <c r="I194" s="32">
        <f t="shared" si="2"/>
        <v>9.6302914107779887E-4</v>
      </c>
    </row>
    <row r="195" spans="2:9" x14ac:dyDescent="0.55000000000000004">
      <c r="B195" s="24" t="e" vm="195">
        <v>#VALUE!</v>
      </c>
      <c r="C195" s="27" cm="1">
        <f t="array" ref="C195">_FV(B195,"Shares outstanding",TRUE)</f>
        <v>700324800</v>
      </c>
      <c r="D195" s="30" cm="1">
        <f t="array" ref="D195">_FV(B195,"Market cap",TRUE)</f>
        <v>52328269056</v>
      </c>
      <c r="E195" s="26" cm="1">
        <f t="array" ref="E195">_FV(B195,"Beta")</f>
        <v>1.0288999999999999</v>
      </c>
      <c r="F195" t="str" cm="1">
        <f t="array" ref="F195">_FV(B195,"Industry")</f>
        <v>Insurance</v>
      </c>
      <c r="G195" s="26" cm="1">
        <f t="array" ref="G195">_FV(B195,"P/E",TRUE)</f>
        <v>20.024799999999999</v>
      </c>
      <c r="H195" s="28" cm="1">
        <f t="array" ref="H195">_FV(B195,"Price")</f>
        <v>74.72</v>
      </c>
      <c r="I195" s="32">
        <f t="shared" ref="I195:I258" si="3">D195/$D$504</f>
        <v>1.0141253182270364E-3</v>
      </c>
    </row>
    <row r="196" spans="2:9" x14ac:dyDescent="0.55000000000000004">
      <c r="B196" s="25" t="e" vm="196">
        <v>#VALUE!</v>
      </c>
      <c r="C196" s="27" cm="1">
        <f t="array" ref="C196">_FV(B196,"Shares outstanding",TRUE)</f>
        <v>120401700</v>
      </c>
      <c r="D196" s="30" cm="1">
        <f t="array" ref="D196">_FV(B196,"Market cap",TRUE)</f>
        <v>42563204967</v>
      </c>
      <c r="E196" s="26" cm="1">
        <f t="array" ref="E196">_FV(B196,"Beta")</f>
        <v>0.50619999999999998</v>
      </c>
      <c r="F196" t="str" cm="1">
        <f t="array" ref="F196">_FV(B196,"Industry")</f>
        <v>Healthcare Providers &amp; Services</v>
      </c>
      <c r="G196" s="26" cm="1">
        <f t="array" ref="G196">_FV(B196,"P/E",TRUE)</f>
        <v>24.831399999999999</v>
      </c>
      <c r="H196" s="28" cm="1">
        <f t="array" ref="H196">_FV(B196,"Price")</f>
        <v>353.51</v>
      </c>
      <c r="I196" s="32">
        <f t="shared" si="3"/>
        <v>8.2487772977409782E-4</v>
      </c>
    </row>
    <row r="197" spans="2:9" x14ac:dyDescent="0.55000000000000004">
      <c r="B197" s="24" t="e" vm="197">
        <v>#VALUE!</v>
      </c>
      <c r="C197" s="27" cm="1">
        <f t="array" ref="C197">_FV(B197,"Shares outstanding",TRUE)</f>
        <v>182192400</v>
      </c>
      <c r="D197" s="30" cm="1">
        <f t="array" ref="D197">_FV(B197,"Market cap",TRUE)</f>
        <v>44460466029</v>
      </c>
      <c r="E197" s="26" cm="1">
        <f t="array" ref="E197">_FV(B197,"Beta")</f>
        <v>0.87519999999999998</v>
      </c>
      <c r="F197" t="str" cm="1">
        <f t="array" ref="F197">_FV(B197,"Industry")</f>
        <v>Beverages</v>
      </c>
      <c r="G197" s="26" cm="1">
        <f t="array" ref="G197">_FV(B197,"P/E",TRUE)</f>
        <v>18.2605</v>
      </c>
      <c r="H197" s="28" cm="1">
        <f t="array" ref="H197">_FV(B197,"Price")</f>
        <v>244.03030000000001</v>
      </c>
      <c r="I197" s="32">
        <f t="shared" si="3"/>
        <v>8.6164677474673864E-4</v>
      </c>
    </row>
    <row r="198" spans="2:9" x14ac:dyDescent="0.55000000000000004">
      <c r="B198" s="25" t="e" vm="198">
        <v>#VALUE!</v>
      </c>
      <c r="C198" s="27" cm="1">
        <f t="array" ref="C198">_FV(B198,"Shares outstanding",TRUE)</f>
        <v>189705200</v>
      </c>
      <c r="D198" s="30" cm="1">
        <f t="array" ref="D198">_FV(B198,"Market cap",TRUE)</f>
        <v>43489917100</v>
      </c>
      <c r="E198" s="26" cm="1">
        <f t="array" ref="E198">_FV(B198,"Beta")</f>
        <v>0.72960000000000003</v>
      </c>
      <c r="F198" t="str" cm="1">
        <f t="array" ref="F198">_FV(B198,"Industry")</f>
        <v>Aerospace &amp; Defense</v>
      </c>
      <c r="G198" s="26" cm="1">
        <f t="array" ref="G198">_FV(B198,"P/E",TRUE)</f>
        <v>36.923699999999997</v>
      </c>
      <c r="H198" s="28" cm="1">
        <f t="array" ref="H198">_FV(B198,"Price")</f>
        <v>229.25</v>
      </c>
      <c r="I198" s="32">
        <f t="shared" si="3"/>
        <v>8.4283747225626809E-4</v>
      </c>
    </row>
    <row r="199" spans="2:9" x14ac:dyDescent="0.55000000000000004">
      <c r="B199" s="24" t="e" vm="199">
        <v>#VALUE!</v>
      </c>
      <c r="C199" s="27" cm="1">
        <f t="array" ref="C199">_FV(B199,"Shares outstanding",TRUE)</f>
        <v>264040600</v>
      </c>
      <c r="D199" s="30" cm="1">
        <f t="array" ref="D199">_FV(B199,"Market cap",TRUE)</f>
        <v>48233616605</v>
      </c>
      <c r="E199" s="26" cm="1">
        <f t="array" ref="E199">_FV(B199,"Beta")</f>
        <v>0.47449999999999998</v>
      </c>
      <c r="F199" t="str" cm="1">
        <f t="array" ref="F199">_FV(B199,"Industry")</f>
        <v>Insurance</v>
      </c>
      <c r="G199" s="26" cm="1">
        <f t="array" ref="G199">_FV(B199,"P/E",TRUE)</f>
        <v>16.407499999999999</v>
      </c>
      <c r="H199" s="28" cm="1">
        <f t="array" ref="H199">_FV(B199,"Price")</f>
        <v>182.67500000000001</v>
      </c>
      <c r="I199" s="32">
        <f t="shared" si="3"/>
        <v>9.3477068267706952E-4</v>
      </c>
    </row>
    <row r="200" spans="2:9" x14ac:dyDescent="0.55000000000000004">
      <c r="B200" s="25" t="e" vm="200">
        <v>#VALUE!</v>
      </c>
      <c r="C200" s="27" cm="1">
        <f t="array" ref="C200">_FV(B200,"Shares outstanding",TRUE)</f>
        <v>82305900</v>
      </c>
      <c r="D200" s="30" cm="1">
        <f t="array" ref="D200">_FV(B200,"Market cap",TRUE)</f>
        <v>40344294532</v>
      </c>
      <c r="E200" s="26" cm="1">
        <f t="array" ref="E200">_FV(B200,"Beta")</f>
        <v>1.3307</v>
      </c>
      <c r="F200" t="str" cm="1">
        <f t="array" ref="F200">_FV(B200,"Industry")</f>
        <v>Healthcare Equipment &amp; Supplies</v>
      </c>
      <c r="G200" s="26" cm="1">
        <f t="array" ref="G200">_FV(B200,"P/E",TRUE)</f>
        <v>48.387799999999999</v>
      </c>
      <c r="H200" s="28" cm="1">
        <f t="array" ref="H200">_FV(B200,"Price")</f>
        <v>490.17500000000001</v>
      </c>
      <c r="I200" s="32">
        <f t="shared" si="3"/>
        <v>7.8187509866081716E-4</v>
      </c>
    </row>
    <row r="201" spans="2:9" x14ac:dyDescent="0.55000000000000004">
      <c r="B201" s="24" t="e" vm="201">
        <v>#VALUE!</v>
      </c>
      <c r="C201" s="27" cm="1">
        <f t="array" ref="C201">_FV(B201,"Shares outstanding",TRUE)</f>
        <v>357000000</v>
      </c>
      <c r="D201" s="30" cm="1">
        <f t="array" ref="D201">_FV(B201,"Market cap",TRUE)</f>
        <v>42315210000</v>
      </c>
      <c r="E201" s="26" cm="1">
        <f t="array" ref="E201">_FV(B201,"Beta")</f>
        <v>1.2887999999999999</v>
      </c>
      <c r="F201" t="str" cm="1">
        <f t="array" ref="F201">_FV(B201,"Industry")</f>
        <v>Insurance</v>
      </c>
      <c r="G201" s="26" cm="1">
        <f t="array" ref="G201">_FV(B201,"P/E",TRUE)</f>
        <v>15.0716</v>
      </c>
      <c r="H201" s="28" cm="1">
        <f t="array" ref="H201">_FV(B201,"Price")</f>
        <v>118.53</v>
      </c>
      <c r="I201" s="32">
        <f t="shared" si="3"/>
        <v>8.2007157089736455E-4</v>
      </c>
    </row>
    <row r="202" spans="2:9" x14ac:dyDescent="0.55000000000000004">
      <c r="B202" s="25" t="e" vm="202">
        <v>#VALUE!</v>
      </c>
      <c r="C202" s="27" cm="1">
        <f t="array" ref="C202">_FV(B202,"Shares outstanding",TRUE)</f>
        <v>326040100</v>
      </c>
      <c r="D202" s="30" cm="1">
        <f t="array" ref="D202">_FV(B202,"Market cap",TRUE)</f>
        <v>62126941055</v>
      </c>
      <c r="E202" s="26" cm="1">
        <f t="array" ref="E202">_FV(B202,"Beta")</f>
        <v>1.7301</v>
      </c>
      <c r="F202" t="str" cm="1">
        <f t="array" ref="F202">_FV(B202,"Industry")</f>
        <v>Homebuilding &amp; Construction Supplies</v>
      </c>
      <c r="G202" s="26" cm="1">
        <f t="array" ref="G202">_FV(B202,"P/E",TRUE)</f>
        <v>12.8812</v>
      </c>
      <c r="H202" s="28" cm="1">
        <f t="array" ref="H202">_FV(B202,"Price")</f>
        <v>190.55</v>
      </c>
      <c r="I202" s="32">
        <f t="shared" si="3"/>
        <v>1.204024230200484E-3</v>
      </c>
    </row>
    <row r="203" spans="2:9" x14ac:dyDescent="0.55000000000000004">
      <c r="B203" s="24" t="e" vm="203">
        <v>#VALUE!</v>
      </c>
      <c r="C203" s="27" cm="1">
        <f t="array" ref="C203">_FV(B203,"Shares outstanding",TRUE)</f>
        <v>434567300</v>
      </c>
      <c r="D203" s="30" cm="1">
        <f t="array" ref="D203">_FV(B203,"Market cap",TRUE)</f>
        <v>48969216200</v>
      </c>
      <c r="E203" s="26" cm="1">
        <f t="array" ref="E203">_FV(B203,"Beta")</f>
        <v>0.85970000000000002</v>
      </c>
      <c r="F203" t="str" cm="1">
        <f t="array" ref="F203">_FV(B203,"Industry")</f>
        <v>Residential &amp; Commercial REIT</v>
      </c>
      <c r="G203" s="26" cm="1">
        <f t="array" ref="G203">_FV(B203,"P/E",TRUE)</f>
        <v>41.036900000000003</v>
      </c>
      <c r="H203" s="28" cm="1">
        <f t="array" ref="H203">_FV(B203,"Price")</f>
        <v>112.685</v>
      </c>
      <c r="I203" s="32">
        <f t="shared" si="3"/>
        <v>9.4902665152191558E-4</v>
      </c>
    </row>
    <row r="204" spans="2:9" x14ac:dyDescent="0.55000000000000004">
      <c r="B204" s="25" t="e" vm="204">
        <v>#VALUE!</v>
      </c>
      <c r="C204" s="27" cm="1">
        <f t="array" ref="C204">_FV(B204,"Shares outstanding",TRUE)</f>
        <v>838938400</v>
      </c>
      <c r="D204" s="30" cm="1">
        <f t="array" ref="D204">_FV(B204,"Market cap",TRUE)</f>
        <v>47408408984</v>
      </c>
      <c r="E204" s="26" cm="1">
        <f t="array" ref="E204">_FV(B204,"Beta")</f>
        <v>0.60289999999999999</v>
      </c>
      <c r="F204" t="str" cm="1">
        <f t="array" ref="F204">_FV(B204,"Industry")</f>
        <v>Electrical Utilities &amp; IPPs</v>
      </c>
      <c r="G204" s="26" cm="1">
        <f t="array" ref="G204">_FV(B204,"P/E",TRUE)</f>
        <v>24.068100000000001</v>
      </c>
      <c r="H204" s="28" cm="1">
        <f t="array" ref="H204">_FV(B204,"Price")</f>
        <v>56.51</v>
      </c>
      <c r="I204" s="32">
        <f t="shared" si="3"/>
        <v>9.1877810435665123E-4</v>
      </c>
    </row>
    <row r="205" spans="2:9" x14ac:dyDescent="0.55000000000000004">
      <c r="B205" s="24" t="e" vm="205">
        <v>#VALUE!</v>
      </c>
      <c r="C205" s="27" cm="1">
        <f t="array" ref="C205">_FV(B205,"Shares outstanding",TRUE)</f>
        <v>147329800</v>
      </c>
      <c r="D205" s="30" cm="1">
        <f t="array" ref="D205">_FV(B205,"Market cap",TRUE)</f>
        <v>40065602461</v>
      </c>
      <c r="E205" s="26" cm="1">
        <f t="array" ref="E205">_FV(B205,"Beta")</f>
        <v>1.0115000000000001</v>
      </c>
      <c r="F205" t="str" cm="1">
        <f t="array" ref="F205">_FV(B205,"Industry")</f>
        <v>Construction &amp; Engineering</v>
      </c>
      <c r="G205" s="26" cm="1">
        <f t="array" ref="G205">_FV(B205,"P/E",TRUE)</f>
        <v>51.242100000000001</v>
      </c>
      <c r="H205" s="28" cm="1">
        <f t="array" ref="H205">_FV(B205,"Price")</f>
        <v>271.94499999999999</v>
      </c>
      <c r="I205" s="32">
        <f t="shared" si="3"/>
        <v>7.7647402787653862E-4</v>
      </c>
    </row>
    <row r="206" spans="2:9" x14ac:dyDescent="0.55000000000000004">
      <c r="B206" s="25" t="e" vm="206">
        <v>#VALUE!</v>
      </c>
      <c r="C206" s="27" cm="1">
        <f t="array" ref="C206">_FV(B206,"Shares outstanding",TRUE)</f>
        <v>48825700</v>
      </c>
      <c r="D206" s="30" cm="1">
        <f t="array" ref="D206">_FV(B206,"Market cap",TRUE)</f>
        <v>47449742948</v>
      </c>
      <c r="E206" s="26" cm="1">
        <f t="array" ref="E206">_FV(B206,"Beta")</f>
        <v>1.1616</v>
      </c>
      <c r="F206" t="str" cm="1">
        <f t="array" ref="F206">_FV(B206,"Industry")</f>
        <v>Machinery, Equipment &amp; Components</v>
      </c>
      <c r="G206" s="26" cm="1">
        <f t="array" ref="G206">_FV(B206,"P/E",TRUE)</f>
        <v>26.430299999999999</v>
      </c>
      <c r="H206" s="28" cm="1">
        <f t="array" ref="H206">_FV(B206,"Price")</f>
        <v>971.81899999999996</v>
      </c>
      <c r="I206" s="32">
        <f t="shared" si="3"/>
        <v>9.1957915931511407E-4</v>
      </c>
    </row>
    <row r="207" spans="2:9" x14ac:dyDescent="0.55000000000000004">
      <c r="B207" s="24" t="e" vm="207">
        <v>#VALUE!</v>
      </c>
      <c r="C207" s="27" cm="1">
        <f t="array" ref="C207">_FV(B207,"Shares outstanding",TRUE)</f>
        <v>48752000</v>
      </c>
      <c r="D207" s="30" cm="1">
        <f t="array" ref="D207">_FV(B207,"Market cap",TRUE)</f>
        <v>44918630240</v>
      </c>
      <c r="E207" s="26" cm="1">
        <f t="array" ref="E207">_FV(B207,"Beta")</f>
        <v>1.1195999999999999</v>
      </c>
      <c r="F207" t="str" cm="1">
        <f t="array" ref="F207">_FV(B207,"Industry")</f>
        <v>Semiconductors &amp; Semiconductor Equipment</v>
      </c>
      <c r="G207" s="26" cm="1">
        <f t="array" ref="G207">_FV(B207,"P/E",TRUE)</f>
        <v>111.361</v>
      </c>
      <c r="H207" s="28" cm="1">
        <f t="array" ref="H207">_FV(B207,"Price")</f>
        <v>921.37</v>
      </c>
      <c r="I207" s="32">
        <f t="shared" si="3"/>
        <v>8.7052602748455374E-4</v>
      </c>
    </row>
    <row r="208" spans="2:9" x14ac:dyDescent="0.55000000000000004">
      <c r="B208" s="25" t="e" vm="208">
        <v>#VALUE!</v>
      </c>
      <c r="C208" s="27" cm="1">
        <f t="array" ref="C208">_FV(B208,"Shares outstanding",TRUE)</f>
        <v>916197400</v>
      </c>
      <c r="D208" s="30" cm="1">
        <f t="array" ref="D208">_FV(B208,"Market cap",TRUE)</f>
        <v>52612635695</v>
      </c>
      <c r="E208" s="26" cm="1">
        <f t="array" ref="E208">_FV(B208,"Beta")</f>
        <v>1.6067</v>
      </c>
      <c r="F208" t="str" cm="1">
        <f t="array" ref="F208">_FV(B208,"Industry")</f>
        <v>Oil &amp; Gas</v>
      </c>
      <c r="G208" s="26" cm="1">
        <f t="array" ref="G208">_FV(B208,"P/E",TRUE)</f>
        <v>14.801500000000001</v>
      </c>
      <c r="H208" s="28" cm="1">
        <f t="array" ref="H208">_FV(B208,"Price")</f>
        <v>57.424999999999997</v>
      </c>
      <c r="I208" s="32">
        <f t="shared" si="3"/>
        <v>1.0196363625147886E-3</v>
      </c>
    </row>
    <row r="209" spans="2:9" x14ac:dyDescent="0.55000000000000004">
      <c r="B209" s="24" t="e" vm="209">
        <v>#VALUE!</v>
      </c>
      <c r="C209" s="27" cm="1">
        <f t="array" ref="C209">_FV(B209,"Shares outstanding",TRUE)</f>
        <v>360126900</v>
      </c>
      <c r="D209" s="30" cm="1">
        <f t="array" ref="D209">_FV(B209,"Market cap",TRUE)</f>
        <v>47158617554</v>
      </c>
      <c r="E209" s="26" cm="1">
        <f t="array" ref="E209">_FV(B209,"Beta")</f>
        <v>0.99229999999999996</v>
      </c>
      <c r="F209" t="str" cm="1">
        <f t="array" ref="F209">_FV(B209,"Industry")</f>
        <v>Professional &amp; Commercial Services</v>
      </c>
      <c r="G209" s="26" cm="1">
        <f t="array" ref="G209">_FV(B209,"P/E",TRUE)</f>
        <v>27.8462</v>
      </c>
      <c r="H209" s="28" cm="1">
        <f t="array" ref="H209">_FV(B209,"Price")</f>
        <v>130.94999999999999</v>
      </c>
      <c r="I209" s="32">
        <f t="shared" si="3"/>
        <v>9.1393712990805944E-4</v>
      </c>
    </row>
    <row r="210" spans="2:9" x14ac:dyDescent="0.55000000000000004">
      <c r="B210" s="25" t="e" vm="210">
        <v>#VALUE!</v>
      </c>
      <c r="C210" s="27" cm="1">
        <f t="array" ref="C210">_FV(B210,"Shares outstanding",TRUE)</f>
        <v>308114900</v>
      </c>
      <c r="D210" s="30" cm="1">
        <f t="array" ref="D210">_FV(B210,"Market cap",TRUE)</f>
        <v>42513693902</v>
      </c>
      <c r="E210" s="26" cm="1">
        <f t="array" ref="E210">_FV(B210,"Beta")</f>
        <v>1.1646000000000001</v>
      </c>
      <c r="F210" t="str" cm="1">
        <f t="array" ref="F210">_FV(B210,"Industry")</f>
        <v>Oil &amp; Gas</v>
      </c>
      <c r="G210" s="26" cm="1">
        <f t="array" ref="G210">_FV(B210,"P/E",TRUE)</f>
        <v>16.113399999999999</v>
      </c>
      <c r="H210" s="28" cm="1">
        <f t="array" ref="H210">_FV(B210,"Price")</f>
        <v>137.97999999999999</v>
      </c>
      <c r="I210" s="32">
        <f t="shared" si="3"/>
        <v>8.239182020569637E-4</v>
      </c>
    </row>
    <row r="211" spans="2:9" x14ac:dyDescent="0.55000000000000004">
      <c r="B211" s="24" t="e" vm="211">
        <v>#VALUE!</v>
      </c>
      <c r="C211" s="27" cm="1">
        <f t="array" ref="C211">_FV(B211,"Shares outstanding",TRUE)</f>
        <v>287529600</v>
      </c>
      <c r="D211" s="30" cm="1">
        <f t="array" ref="D211">_FV(B211,"Market cap",TRUE)</f>
        <v>40278584016</v>
      </c>
      <c r="E211" s="26" cm="1">
        <f t="array" ref="E211">_FV(B211,"Beta")</f>
        <v>1.0551999999999999</v>
      </c>
      <c r="F211" t="str" cm="1">
        <f t="array" ref="F211">_FV(B211,"Industry")</f>
        <v>Healthcare Equipment &amp; Supplies</v>
      </c>
      <c r="G211" s="26" cm="1">
        <f t="array" ref="G211">_FV(B211,"P/E",TRUE)</f>
        <v>29.173200000000001</v>
      </c>
      <c r="H211" s="28" cm="1">
        <f t="array" ref="H211">_FV(B211,"Price")</f>
        <v>140.08500000000001</v>
      </c>
      <c r="I211" s="32">
        <f t="shared" si="3"/>
        <v>7.8060162451096423E-4</v>
      </c>
    </row>
    <row r="212" spans="2:9" x14ac:dyDescent="0.55000000000000004">
      <c r="B212" s="25" t="e" vm="212">
        <v>#VALUE!</v>
      </c>
      <c r="C212" s="27" cm="1">
        <f t="array" ref="C212">_FV(B212,"Shares outstanding",TRUE)</f>
        <v>197046800</v>
      </c>
      <c r="D212" s="30" cm="1">
        <f t="array" ref="D212">_FV(B212,"Market cap",TRUE)</f>
        <v>46359200636</v>
      </c>
      <c r="E212" s="26" cm="1">
        <f t="array" ref="E212">_FV(B212,"Beta")</f>
        <v>0.44019999999999998</v>
      </c>
      <c r="F212" t="str" cm="1">
        <f t="array" ref="F212">_FV(B212,"Industry")</f>
        <v>Healthcare Equipment &amp; Supplies</v>
      </c>
      <c r="G212" s="26" cm="1">
        <f t="array" ref="G212">_FV(B212,"P/E",TRUE)</f>
        <v>25.553599999999999</v>
      </c>
      <c r="H212" s="28" cm="1">
        <f t="array" ref="H212">_FV(B212,"Price")</f>
        <v>235.27</v>
      </c>
      <c r="I212" s="32">
        <f t="shared" si="3"/>
        <v>8.984443771190223E-4</v>
      </c>
    </row>
    <row r="213" spans="2:9" x14ac:dyDescent="0.55000000000000004">
      <c r="B213" s="24" t="e" vm="213">
        <v>#VALUE!</v>
      </c>
      <c r="C213" s="27" cm="1">
        <f t="array" ref="C213">_FV(B213,"Shares outstanding",TRUE)</f>
        <v>231536000</v>
      </c>
      <c r="D213" s="30" cm="1">
        <f t="array" ref="D213">_FV(B213,"Market cap",TRUE)</f>
        <v>38983716320</v>
      </c>
      <c r="E213" s="26" cm="1">
        <f t="array" ref="E213">_FV(B213,"Beta")</f>
        <v>1.1742999999999999</v>
      </c>
      <c r="F213" t="str" cm="1">
        <f t="array" ref="F213">_FV(B213,"Industry")</f>
        <v>Machinery, Equipment &amp; Components</v>
      </c>
      <c r="G213" s="26" cm="1">
        <f t="array" ref="G213">_FV(B213,"P/E",TRUE)</f>
        <v>29.14</v>
      </c>
      <c r="H213" s="28" cm="1">
        <f t="array" ref="H213">_FV(B213,"Price")</f>
        <v>168.37</v>
      </c>
      <c r="I213" s="32">
        <f t="shared" si="3"/>
        <v>7.5550700284743072E-4</v>
      </c>
    </row>
    <row r="214" spans="2:9" x14ac:dyDescent="0.55000000000000004">
      <c r="B214" s="25" t="e" vm="214">
        <v>#VALUE!</v>
      </c>
      <c r="C214" s="27" cm="1">
        <f t="array" ref="C214">_FV(B214,"Shares outstanding",TRUE)</f>
        <v>400554800</v>
      </c>
      <c r="D214" s="30" cm="1">
        <f t="array" ref="D214">_FV(B214,"Market cap",TRUE)</f>
        <v>37463890444</v>
      </c>
      <c r="E214" s="26" cm="1">
        <f t="array" ref="E214">_FV(B214,"Beta")</f>
        <v>0.93</v>
      </c>
      <c r="F214" t="str" cm="1">
        <f t="array" ref="F214">_FV(B214,"Industry")</f>
        <v>Machinery, Equipment &amp; Components</v>
      </c>
      <c r="G214" s="26" cm="1">
        <f t="array" ref="G214">_FV(B214,"P/E",TRUE)</f>
        <v>26.289400000000001</v>
      </c>
      <c r="H214" s="28" cm="1">
        <f t="array" ref="H214">_FV(B214,"Price")</f>
        <v>93.53</v>
      </c>
      <c r="I214" s="32">
        <f t="shared" si="3"/>
        <v>7.2605267676416699E-4</v>
      </c>
    </row>
    <row r="215" spans="2:9" x14ac:dyDescent="0.55000000000000004">
      <c r="B215" s="24" t="e" vm="215">
        <v>#VALUE!</v>
      </c>
      <c r="C215" s="27" cm="1">
        <f t="array" ref="C215">_FV(B215,"Shares outstanding",TRUE)</f>
        <v>314068300</v>
      </c>
      <c r="D215" s="30" cm="1">
        <f t="array" ref="D215">_FV(B215,"Market cap",TRUE)</f>
        <v>64987012635</v>
      </c>
      <c r="E215" s="26" cm="1">
        <f t="array" ref="E215">_FV(B215,"Beta")</f>
        <v>0.70440000000000003</v>
      </c>
      <c r="F215" t="str" cm="1">
        <f t="array" ref="F215">_FV(B215,"Industry")</f>
        <v>Professional &amp; Commercial Services</v>
      </c>
      <c r="G215" s="26" cm="1">
        <f t="array" ref="G215">_FV(B215,"P/E",TRUE)</f>
        <v>34.557000000000002</v>
      </c>
      <c r="H215" s="28" cm="1">
        <f t="array" ref="H215">_FV(B215,"Price")</f>
        <v>206.92</v>
      </c>
      <c r="I215" s="32">
        <f t="shared" si="3"/>
        <v>1.2594526067461636E-3</v>
      </c>
    </row>
    <row r="216" spans="2:9" x14ac:dyDescent="0.55000000000000004">
      <c r="B216" s="25" t="e" vm="216">
        <v>#VALUE!</v>
      </c>
      <c r="C216" s="27" cm="1">
        <f t="array" ref="C216">_FV(B216,"Shares outstanding",TRUE)</f>
        <v>142423800</v>
      </c>
      <c r="D216" s="30" cm="1">
        <f t="array" ref="D216">_FV(B216,"Market cap",TRUE)</f>
        <v>38302032534</v>
      </c>
      <c r="E216" s="26" cm="1">
        <f t="array" ref="E216">_FV(B216,"Beta")</f>
        <v>0.86040000000000005</v>
      </c>
      <c r="F216" t="str" cm="1">
        <f t="array" ref="F216">_FV(B216,"Industry")</f>
        <v>Software &amp; IT Services</v>
      </c>
      <c r="G216" s="26" cm="1">
        <f t="array" ref="G216">_FV(B216,"P/E",TRUE)</f>
        <v>43.135199999999998</v>
      </c>
      <c r="H216" s="28" cm="1">
        <f t="array" ref="H216">_FV(B216,"Price")</f>
        <v>268.93</v>
      </c>
      <c r="I216" s="32">
        <f t="shared" si="3"/>
        <v>7.4229592595001525E-4</v>
      </c>
    </row>
    <row r="217" spans="2:9" x14ac:dyDescent="0.55000000000000004">
      <c r="B217" s="24" t="e" vm="217">
        <v>#VALUE!</v>
      </c>
      <c r="C217" s="27" cm="1">
        <f t="array" ref="C217">_FV(B217,"Shares outstanding",TRUE)</f>
        <v>182300000</v>
      </c>
      <c r="D217" s="30" cm="1">
        <f t="array" ref="D217">_FV(B217,"Market cap",TRUE)</f>
        <v>45215869000</v>
      </c>
      <c r="E217" s="26" cm="1">
        <f t="array" ref="E217">_FV(B217,"Beta")</f>
        <v>1.496</v>
      </c>
      <c r="F217" t="str" cm="1">
        <f t="array" ref="F217">_FV(B217,"Industry")</f>
        <v>Biotechnology &amp; Medical Research</v>
      </c>
      <c r="G217" s="26" cm="1">
        <f t="array" ref="G217">_FV(B217,"P/E",TRUE)</f>
        <v>32.231400000000001</v>
      </c>
      <c r="H217" s="28" cm="1">
        <f t="array" ref="H217">_FV(B217,"Price")</f>
        <v>248.03</v>
      </c>
      <c r="I217" s="32">
        <f t="shared" si="3"/>
        <v>8.7628653432936883E-4</v>
      </c>
    </row>
    <row r="218" spans="2:9" x14ac:dyDescent="0.55000000000000004">
      <c r="B218" s="25" t="e" vm="218">
        <v>#VALUE!</v>
      </c>
      <c r="C218" s="27" cm="1">
        <f t="array" ref="C218">_FV(B218,"Shares outstanding",TRUE)</f>
        <v>700921000</v>
      </c>
      <c r="D218" s="30" cm="1">
        <f t="array" ref="D218">_FV(B218,"Market cap",TRUE)</f>
        <v>37965385965</v>
      </c>
      <c r="E218" s="26" cm="1">
        <f t="array" ref="E218">_FV(B218,"Beta")</f>
        <v>1.2171000000000001</v>
      </c>
      <c r="F218" t="str" cm="1">
        <f t="array" ref="F218">_FV(B218,"Industry")</f>
        <v>Chemicals</v>
      </c>
      <c r="G218" s="26" cm="1">
        <f t="array" ref="G218">_FV(B218,"P/E",TRUE)</f>
        <v>33.120899999999999</v>
      </c>
      <c r="H218" s="28" cm="1">
        <f t="array" ref="H218">_FV(B218,"Price")</f>
        <v>54.164999999999999</v>
      </c>
      <c r="I218" s="32">
        <f t="shared" si="3"/>
        <v>7.3577169315814121E-4</v>
      </c>
    </row>
    <row r="219" spans="2:9" x14ac:dyDescent="0.55000000000000004">
      <c r="B219" s="24" t="e" vm="219">
        <v>#VALUE!</v>
      </c>
      <c r="C219" s="27" cm="1">
        <f t="array" ref="C219">_FV(B219,"Shares outstanding",TRUE)</f>
        <v>403484200</v>
      </c>
      <c r="D219" s="30" cm="1">
        <f t="array" ref="D219">_FV(B219,"Market cap",TRUE)</f>
        <v>36813898408</v>
      </c>
      <c r="E219" s="26" cm="1">
        <f t="array" ref="E219">_FV(B219,"Beta")</f>
        <v>1.4236</v>
      </c>
      <c r="F219" t="str" cm="1">
        <f t="array" ref="F219">_FV(B219,"Industry")</f>
        <v>Machinery, Equipment &amp; Components</v>
      </c>
      <c r="G219" s="26" cm="1">
        <f t="array" ref="G219">_FV(B219,"P/E",TRUE)</f>
        <v>45.3367</v>
      </c>
      <c r="H219" s="28" cm="1">
        <f t="array" ref="H219">_FV(B219,"Price")</f>
        <v>91.24</v>
      </c>
      <c r="I219" s="32">
        <f t="shared" si="3"/>
        <v>7.1345578807961837E-4</v>
      </c>
    </row>
    <row r="220" spans="2:9" x14ac:dyDescent="0.55000000000000004">
      <c r="B220" s="25" t="e" vm="220">
        <v>#VALUE!</v>
      </c>
      <c r="C220" s="27" cm="1">
        <f t="array" ref="C220">_FV(B220,"Shares outstanding",TRUE)</f>
        <v>237338000</v>
      </c>
      <c r="D220" s="30" cm="1">
        <f t="array" ref="D220">_FV(B220,"Market cap",TRUE)</f>
        <v>35969760590</v>
      </c>
      <c r="E220" s="26" cm="1">
        <f t="array" ref="E220">_FV(B220,"Beta")</f>
        <v>1.5636000000000001</v>
      </c>
      <c r="F220" t="str" cm="1">
        <f t="array" ref="F220">_FV(B220,"Industry")</f>
        <v>Metals &amp; Mining</v>
      </c>
      <c r="G220" s="26" cm="1">
        <f t="array" ref="G220">_FV(B220,"P/E",TRUE)</f>
        <v>10.6356</v>
      </c>
      <c r="H220" s="28" cm="1">
        <f t="array" ref="H220">_FV(B220,"Price")</f>
        <v>151.55500000000001</v>
      </c>
      <c r="I220" s="32">
        <f t="shared" si="3"/>
        <v>6.9709634128823695E-4</v>
      </c>
    </row>
    <row r="221" spans="2:9" x14ac:dyDescent="0.55000000000000004">
      <c r="B221" s="24" t="e" vm="221">
        <v>#VALUE!</v>
      </c>
      <c r="C221" s="27" cm="1">
        <f t="array" ref="C221">_FV(B221,"Shares outstanding",TRUE)</f>
        <v>2219463000</v>
      </c>
      <c r="D221" s="30" cm="1">
        <f t="array" ref="D221">_FV(B221,"Market cap",TRUE)</f>
        <v>47607481350</v>
      </c>
      <c r="E221" s="26" cm="1">
        <f t="array" ref="E221">_FV(B221,"Beta")</f>
        <v>0.92059999999999997</v>
      </c>
      <c r="F221" t="str" cm="1">
        <f t="array" ref="F221">_FV(B221,"Industry")</f>
        <v>Oil &amp; Gas Related Equipment and Services</v>
      </c>
      <c r="G221" s="26" cm="1">
        <f t="array" ref="G221">_FV(B221,"P/E",TRUE)</f>
        <v>19.438199999999998</v>
      </c>
      <c r="H221" s="28" cm="1">
        <f t="array" ref="H221">_FV(B221,"Price")</f>
        <v>21.45</v>
      </c>
      <c r="I221" s="32">
        <f t="shared" si="3"/>
        <v>9.2263613998752429E-4</v>
      </c>
    </row>
    <row r="222" spans="2:9" x14ac:dyDescent="0.55000000000000004">
      <c r="B222" s="25" t="e" vm="222">
        <v>#VALUE!</v>
      </c>
      <c r="C222" s="27" cm="1">
        <f t="array" ref="C222">_FV(B222,"Shares outstanding",TRUE)</f>
        <v>281165000</v>
      </c>
      <c r="D222" s="30" cm="1">
        <f t="array" ref="D222">_FV(B222,"Market cap",TRUE)</f>
        <v>38050059450</v>
      </c>
      <c r="E222" s="26" cm="1">
        <f t="array" ref="E222">_FV(B222,"Beta")</f>
        <v>1.0805</v>
      </c>
      <c r="F222" t="str" cm="1">
        <f t="array" ref="F222">_FV(B222,"Industry")</f>
        <v>Hotels &amp; Entertainment Services</v>
      </c>
      <c r="G222" s="26" cm="1">
        <f t="array" ref="G222">_FV(B222,"P/E",TRUE)</f>
        <v>24.736599999999999</v>
      </c>
      <c r="H222" s="28" cm="1">
        <f t="array" ref="H222">_FV(B222,"Price")</f>
        <v>135.33000000000001</v>
      </c>
      <c r="I222" s="32">
        <f t="shared" si="3"/>
        <v>7.3741267090248668E-4</v>
      </c>
    </row>
    <row r="223" spans="2:9" x14ac:dyDescent="0.55000000000000004">
      <c r="B223" s="24" t="e" vm="223">
        <v>#VALUE!</v>
      </c>
      <c r="C223" s="27" cm="1">
        <f t="array" ref="C223">_FV(B223,"Shares outstanding",TRUE)</f>
        <v>2615205000</v>
      </c>
      <c r="D223" s="30" cm="1">
        <f t="array" ref="D223">_FV(B223,"Market cap",TRUE)</f>
        <v>49885035375</v>
      </c>
      <c r="E223" s="26" cm="1">
        <f t="array" ref="E223">_FV(B223,"Beta")</f>
        <v>1.0116000000000001</v>
      </c>
      <c r="F223" t="str" cm="1">
        <f t="array" ref="F223">_FV(B223,"Industry")</f>
        <v>Electrical Utilities &amp; IPPs</v>
      </c>
      <c r="G223" s="26" cm="1">
        <f t="array" ref="G223">_FV(B223,"P/E",TRUE)</f>
        <v>15.9589</v>
      </c>
      <c r="H223" s="28" cm="1">
        <f t="array" ref="H223">_FV(B223,"Price")</f>
        <v>19.074999999999999</v>
      </c>
      <c r="I223" s="32">
        <f t="shared" si="3"/>
        <v>9.667752877569757E-4</v>
      </c>
    </row>
    <row r="224" spans="2:9" x14ac:dyDescent="0.55000000000000004">
      <c r="B224" s="25" t="e" vm="224">
        <v>#VALUE!</v>
      </c>
      <c r="C224" s="27" cm="1">
        <f t="array" ref="C224">_FV(B224,"Shares outstanding",TRUE)</f>
        <v>556619700</v>
      </c>
      <c r="D224" s="30" cm="1">
        <f t="array" ref="D224">_FV(B224,"Market cap",TRUE)</f>
        <v>39595142359</v>
      </c>
      <c r="E224" s="26" cm="1">
        <f t="array" ref="E224">_FV(B224,"Beta")</f>
        <v>8.9200000000000002E-2</v>
      </c>
      <c r="F224" t="str" cm="1">
        <f t="array" ref="F224">_FV(B224,"Industry")</f>
        <v>Food &amp; Tobacco</v>
      </c>
      <c r="G224" s="26" cm="1">
        <f t="array" ref="G224">_FV(B224,"P/E",TRUE)</f>
        <v>16.4467</v>
      </c>
      <c r="H224" s="28" cm="1">
        <f t="array" ref="H224">_FV(B224,"Price")</f>
        <v>71.135000000000005</v>
      </c>
      <c r="I224" s="32">
        <f t="shared" si="3"/>
        <v>7.673564799572048E-4</v>
      </c>
    </row>
    <row r="225" spans="2:9" x14ac:dyDescent="0.55000000000000004">
      <c r="B225" s="24" t="e" vm="225">
        <v>#VALUE!</v>
      </c>
      <c r="C225" s="27" cm="1">
        <f t="array" ref="C225">_FV(B225,"Shares outstanding",TRUE)</f>
        <v>78649980</v>
      </c>
      <c r="D225" s="30" cm="1">
        <f t="array" ref="D225">_FV(B225,"Market cap",TRUE)</f>
        <v>45219019501</v>
      </c>
      <c r="E225" s="26" cm="1">
        <f t="array" ref="E225">_FV(B225,"Beta")</f>
        <v>1.1068</v>
      </c>
      <c r="F225" t="str" cm="1">
        <f t="array" ref="F225">_FV(B225,"Industry")</f>
        <v>Professional &amp; Commercial Services</v>
      </c>
      <c r="G225" s="26" cm="1">
        <f t="array" ref="G225">_FV(B225,"P/E",TRUE)</f>
        <v>38.298499999999997</v>
      </c>
      <c r="H225" s="28" cm="1">
        <f t="array" ref="H225">_FV(B225,"Price")</f>
        <v>574.94000000000005</v>
      </c>
      <c r="I225" s="32">
        <f t="shared" si="3"/>
        <v>8.7634759124729936E-4</v>
      </c>
    </row>
    <row r="226" spans="2:9" x14ac:dyDescent="0.55000000000000004">
      <c r="B226" s="25" t="e" vm="226">
        <v>#VALUE!</v>
      </c>
      <c r="C226" s="27" cm="1">
        <f t="array" ref="C226">_FV(B226,"Shares outstanding",TRUE)</f>
        <v>764908000</v>
      </c>
      <c r="D226" s="30" cm="1">
        <f t="array" ref="D226">_FV(B226,"Market cap",TRUE)</f>
        <v>57490485280</v>
      </c>
      <c r="E226" s="26" cm="1">
        <f t="array" ref="E226">_FV(B226,"Beta")</f>
        <v>0.99019999999999997</v>
      </c>
      <c r="F226" t="str" cm="1">
        <f t="array" ref="F226">_FV(B226,"Industry")</f>
        <v>Software &amp; IT Services</v>
      </c>
      <c r="G226" s="26" cm="1">
        <f t="array" ref="G226">_FV(B226,"P/E",TRUE)</f>
        <v>44.156199999999998</v>
      </c>
      <c r="H226" s="28" cm="1">
        <f t="array" ref="H226">_FV(B226,"Price")</f>
        <v>75.16</v>
      </c>
      <c r="I226" s="32">
        <f t="shared" si="3"/>
        <v>1.1141694103661878E-3</v>
      </c>
    </row>
    <row r="227" spans="2:9" x14ac:dyDescent="0.55000000000000004">
      <c r="B227" s="24" t="e" vm="227">
        <v>#VALUE!</v>
      </c>
      <c r="C227" s="27" cm="1">
        <f t="array" ref="C227">_FV(B227,"Shares outstanding",TRUE)</f>
        <v>376057800</v>
      </c>
      <c r="D227" s="30" cm="1">
        <f t="array" ref="D227">_FV(B227,"Market cap",TRUE)</f>
        <v>41155765632</v>
      </c>
      <c r="E227" s="26" cm="1">
        <f t="array" ref="E227">_FV(B227,"Beta")</f>
        <v>0.5927</v>
      </c>
      <c r="F227" t="str" cm="1">
        <f t="array" ref="F227">_FV(B227,"Industry")</f>
        <v>Insurance</v>
      </c>
      <c r="G227" s="26" cm="1">
        <f t="array" ref="G227">_FV(B227,"P/E",TRUE)</f>
        <v>7.6738</v>
      </c>
      <c r="H227" s="28" cm="1">
        <f t="array" ref="H227">_FV(B227,"Price")</f>
        <v>109.44</v>
      </c>
      <c r="I227" s="32">
        <f t="shared" si="3"/>
        <v>7.9760146229495275E-4</v>
      </c>
    </row>
    <row r="228" spans="2:9" x14ac:dyDescent="0.55000000000000004">
      <c r="B228" s="25" t="e" vm="228">
        <v>#VALUE!</v>
      </c>
      <c r="C228" s="27" cm="1">
        <f t="array" ref="C228">_FV(B228,"Shares outstanding",TRUE)</f>
        <v>137047700</v>
      </c>
      <c r="D228" s="30" cm="1">
        <f t="array" ref="D228">_FV(B228,"Market cap",TRUE)</f>
        <v>42510127119</v>
      </c>
      <c r="E228" s="26" cm="1">
        <f t="array" ref="E228">_FV(B228,"Beta")</f>
        <v>0.97589999999999999</v>
      </c>
      <c r="F228" t="str" cm="1">
        <f t="array" ref="F228">_FV(B228,"Industry")</f>
        <v>Automobiles &amp; Auto Parts</v>
      </c>
      <c r="G228" s="26" cm="1">
        <f t="array" ref="G228">_FV(B228,"P/E",TRUE)</f>
        <v>22.444500000000001</v>
      </c>
      <c r="H228" s="28" cm="1">
        <f t="array" ref="H228">_FV(B228,"Price")</f>
        <v>310.18490000000003</v>
      </c>
      <c r="I228" s="32">
        <f t="shared" si="3"/>
        <v>8.2384907756631696E-4</v>
      </c>
    </row>
    <row r="229" spans="2:9" x14ac:dyDescent="0.55000000000000004">
      <c r="B229" s="24" t="e" vm="229">
        <v>#VALUE!</v>
      </c>
      <c r="C229" s="27" cm="1">
        <f t="array" ref="C229">_FV(B229,"Shares outstanding",TRUE)</f>
        <v>572646100</v>
      </c>
      <c r="D229" s="30" cm="1">
        <f t="array" ref="D229">_FV(B229,"Market cap",TRUE)</f>
        <v>38945661261</v>
      </c>
      <c r="E229" s="26" cm="1">
        <f t="array" ref="E229">_FV(B229,"Beta")</f>
        <v>1.0006999999999999</v>
      </c>
      <c r="F229" t="str" cm="1">
        <f t="array" ref="F229">_FV(B229,"Industry")</f>
        <v>Machinery, Equipment &amp; Components</v>
      </c>
      <c r="G229" s="26" cm="1">
        <f t="array" ref="G229">_FV(B229,"P/E",TRUE)</f>
        <v>33.902700000000003</v>
      </c>
      <c r="H229" s="28" cm="1">
        <f t="array" ref="H229">_FV(B229,"Price")</f>
        <v>68.010000000000005</v>
      </c>
      <c r="I229" s="32">
        <f t="shared" si="3"/>
        <v>7.5476949328491831E-4</v>
      </c>
    </row>
    <row r="230" spans="2:9" x14ac:dyDescent="0.55000000000000004">
      <c r="B230" s="25" t="e" vm="230">
        <v>#VALUE!</v>
      </c>
      <c r="C230" s="27" cm="1">
        <f t="array" ref="C230">_FV(B230,"Shares outstanding",TRUE)</f>
        <v>274986600</v>
      </c>
      <c r="D230" s="30" cm="1">
        <f t="array" ref="D230">_FV(B230,"Market cap",TRUE)</f>
        <v>50437350000</v>
      </c>
      <c r="E230" s="26" cm="1">
        <f t="array" ref="E230">_FV(B230,"Beta")</f>
        <v>1.6119000000000001</v>
      </c>
      <c r="F230" t="str" cm="1">
        <f t="array" ref="F230">_FV(B230,"Industry")</f>
        <v>Homebuilding &amp; Construction Supplies</v>
      </c>
      <c r="G230" s="26" cm="1">
        <f t="array" ref="G230">_FV(B230,"P/E",TRUE)</f>
        <v>12.5619</v>
      </c>
      <c r="H230" s="28" cm="1">
        <f t="array" ref="H230">_FV(B230,"Price")</f>
        <v>184.43</v>
      </c>
      <c r="I230" s="32">
        <f t="shared" si="3"/>
        <v>9.7747918175049102E-4</v>
      </c>
    </row>
    <row r="231" spans="2:9" x14ac:dyDescent="0.55000000000000004">
      <c r="B231" s="24" t="e" vm="231">
        <v>#VALUE!</v>
      </c>
      <c r="C231" s="27" cm="1">
        <f t="array" ref="C231">_FV(B231,"Shares outstanding",TRUE)</f>
        <v>692247000</v>
      </c>
      <c r="D231" s="30" cm="1">
        <f t="array" ref="D231">_FV(B231,"Market cap",TRUE)</f>
        <v>38495855670</v>
      </c>
      <c r="E231" s="26" cm="1">
        <f t="array" ref="E231">_FV(B231,"Beta")</f>
        <v>0.77010000000000001</v>
      </c>
      <c r="F231" t="str" cm="1">
        <f t="array" ref="F231">_FV(B231,"Industry")</f>
        <v>Chemicals</v>
      </c>
      <c r="G231" s="26" cm="1">
        <f t="array" ref="G231">_FV(B231,"P/E",TRUE)</f>
        <v>44.188299999999998</v>
      </c>
      <c r="H231" s="28" cm="1">
        <f t="array" ref="H231">_FV(B231,"Price")</f>
        <v>55.61</v>
      </c>
      <c r="I231" s="32">
        <f t="shared" si="3"/>
        <v>7.4605223115601033E-4</v>
      </c>
    </row>
    <row r="232" spans="2:9" x14ac:dyDescent="0.55000000000000004">
      <c r="B232" s="25" t="e" vm="232">
        <v>#VALUE!</v>
      </c>
      <c r="C232" s="27" cm="1">
        <f t="array" ref="C232">_FV(B232,"Shares outstanding",TRUE)</f>
        <v>498161700</v>
      </c>
      <c r="D232" s="30" cm="1">
        <f t="array" ref="D232">_FV(B232,"Market cap",TRUE)</f>
        <v>40400913870</v>
      </c>
      <c r="E232" s="26" cm="1">
        <f t="array" ref="E232">_FV(B232,"Beta")</f>
        <v>0.62339999999999995</v>
      </c>
      <c r="F232" t="str" cm="1">
        <f t="array" ref="F232">_FV(B232,"Industry")</f>
        <v>Multiline Utilities</v>
      </c>
      <c r="G232" s="26" cm="1">
        <f t="array" ref="G232">_FV(B232,"P/E",TRUE)</f>
        <v>24.556000000000001</v>
      </c>
      <c r="H232" s="28" cm="1">
        <f t="array" ref="H232">_FV(B232,"Price")</f>
        <v>81.099999999999994</v>
      </c>
      <c r="I232" s="32">
        <f t="shared" si="3"/>
        <v>7.8297238517923047E-4</v>
      </c>
    </row>
    <row r="233" spans="2:9" x14ac:dyDescent="0.55000000000000004">
      <c r="B233" s="24" t="e" vm="233">
        <v>#VALUE!</v>
      </c>
      <c r="C233" s="27" cm="1">
        <f t="array" ref="C233">_FV(B233,"Shares outstanding",TRUE)</f>
        <v>491758200</v>
      </c>
      <c r="D233" s="30" cm="1">
        <f t="array" ref="D233">_FV(B233,"Market cap",TRUE)</f>
        <v>37941603921</v>
      </c>
      <c r="E233" s="26" cm="1">
        <f t="array" ref="E233">_FV(B233,"Beta")</f>
        <v>1.1992</v>
      </c>
      <c r="F233" t="str" cm="1">
        <f t="array" ref="F233">_FV(B233,"Industry")</f>
        <v>Food &amp; Drug Retailing</v>
      </c>
      <c r="G233" s="26" cm="1">
        <f t="array" ref="G233">_FV(B233,"P/E",TRUE)</f>
        <v>19.8308</v>
      </c>
      <c r="H233" s="28" cm="1">
        <f t="array" ref="H233">_FV(B233,"Price")</f>
        <v>77.155000000000001</v>
      </c>
      <c r="I233" s="32">
        <f t="shared" si="3"/>
        <v>7.3531079557114518E-4</v>
      </c>
    </row>
    <row r="234" spans="2:9" x14ac:dyDescent="0.55000000000000004">
      <c r="B234" s="25" t="e" vm="234">
        <v>#VALUE!</v>
      </c>
      <c r="C234" s="27" cm="1">
        <f t="array" ref="C234">_FV(B234,"Shares outstanding",TRUE)</f>
        <v>119886400</v>
      </c>
      <c r="D234" s="30" cm="1">
        <f t="array" ref="D234">_FV(B234,"Market cap",TRUE)</f>
        <v>32848873600</v>
      </c>
      <c r="E234" s="26" cm="1">
        <f t="array" ref="E234">_FV(B234,"Beta")</f>
        <v>1.2557</v>
      </c>
      <c r="F234" t="str" cm="1">
        <f t="array" ref="F234">_FV(B234,"Industry")</f>
        <v>Textiles &amp; Apparel</v>
      </c>
      <c r="G234" s="26" cm="1">
        <f t="array" ref="G234">_FV(B234,"P/E",TRUE)</f>
        <v>21.520199999999999</v>
      </c>
      <c r="H234" s="28" cm="1">
        <f t="array" ref="H234">_FV(B234,"Price")</f>
        <v>274</v>
      </c>
      <c r="I234" s="32">
        <f t="shared" si="3"/>
        <v>6.3661334483182213E-4</v>
      </c>
    </row>
    <row r="235" spans="2:9" x14ac:dyDescent="0.55000000000000004">
      <c r="B235" s="24" t="e" vm="235">
        <v>#VALUE!</v>
      </c>
      <c r="C235" s="27" cm="1">
        <f t="array" ref="C235">_FV(B235,"Shares outstanding",TRUE)</f>
        <v>1356086000</v>
      </c>
      <c r="D235" s="30" cm="1">
        <f t="array" ref="D235">_FV(B235,"Market cap",TRUE)</f>
        <v>48988606750</v>
      </c>
      <c r="E235" s="26" cm="1">
        <f t="array" ref="E235">_FV(B235,"Beta")</f>
        <v>0.61609999999999998</v>
      </c>
      <c r="F235" t="str" cm="1">
        <f t="array" ref="F235">_FV(B235,"Industry")</f>
        <v>Beverages</v>
      </c>
      <c r="G235" s="26" cm="1">
        <f t="array" ref="G235">_FV(B235,"P/E",TRUE)</f>
        <v>22.779699999999998</v>
      </c>
      <c r="H235" s="28" cm="1">
        <f t="array" ref="H235">_FV(B235,"Price")</f>
        <v>36.125</v>
      </c>
      <c r="I235" s="32">
        <f t="shared" si="3"/>
        <v>9.4940244166449221E-4</v>
      </c>
    </row>
    <row r="236" spans="2:9" x14ac:dyDescent="0.55000000000000004">
      <c r="B236" s="25" t="e" vm="236">
        <v>#VALUE!</v>
      </c>
      <c r="C236" s="27" cm="1">
        <f t="array" ref="C236">_FV(B236,"Shares outstanding",TRUE)</f>
        <v>257420300</v>
      </c>
      <c r="D236" s="30" cm="1">
        <f t="array" ref="D236">_FV(B236,"Market cap",TRUE)</f>
        <v>41860402084</v>
      </c>
      <c r="E236" s="26" cm="1">
        <f t="array" ref="E236">_FV(B236,"Beta")</f>
        <v>2.6208</v>
      </c>
      <c r="F236" t="str" cm="1">
        <f t="array" ref="F236">_FV(B236,"Industry")</f>
        <v>Hotels &amp; Entertainment Services</v>
      </c>
      <c r="G236" s="26" cm="1">
        <f t="array" ref="G236">_FV(B236,"P/E",TRUE)</f>
        <v>18.2864</v>
      </c>
      <c r="H236" s="28" cm="1">
        <f t="array" ref="H236">_FV(B236,"Price")</f>
        <v>162.61500000000001</v>
      </c>
      <c r="I236" s="32">
        <f t="shared" si="3"/>
        <v>8.1125736337882282E-4</v>
      </c>
    </row>
    <row r="237" spans="2:9" x14ac:dyDescent="0.55000000000000004">
      <c r="B237" s="24" t="e" vm="237">
        <v>#VALUE!</v>
      </c>
      <c r="C237" s="27" cm="1">
        <f t="array" ref="C237">_FV(B237,"Shares outstanding",TRUE)</f>
        <v>1915167000</v>
      </c>
      <c r="D237" s="30" cm="1">
        <f t="array" ref="D237">_FV(B237,"Market cap",TRUE)</f>
        <v>42009188145</v>
      </c>
      <c r="E237" s="26" cm="1">
        <f t="array" ref="E237">_FV(B237,"Beta")</f>
        <v>0.68200000000000005</v>
      </c>
      <c r="F237" t="str" cm="1">
        <f t="array" ref="F237">_FV(B237,"Industry")</f>
        <v>Personal &amp; Household Products &amp; Services</v>
      </c>
      <c r="G237" s="26" cm="1">
        <f t="array" ref="G237">_FV(B237,"P/E",TRUE)</f>
        <v>37.431399999999996</v>
      </c>
      <c r="H237" s="28" cm="1">
        <f t="array" ref="H237">_FV(B237,"Price")</f>
        <v>21.934999999999999</v>
      </c>
      <c r="I237" s="32">
        <f t="shared" si="3"/>
        <v>8.1414084709004392E-4</v>
      </c>
    </row>
    <row r="238" spans="2:9" x14ac:dyDescent="0.55000000000000004">
      <c r="B238" s="25" t="e" vm="238">
        <v>#VALUE!</v>
      </c>
      <c r="C238" s="27" cm="1">
        <f t="array" ref="C238">_FV(B238,"Shares outstanding",TRUE)</f>
        <v>526030000</v>
      </c>
      <c r="D238" s="30" cm="1">
        <f t="array" ref="D238">_FV(B238,"Market cap",TRUE)</f>
        <v>41161847500</v>
      </c>
      <c r="E238" s="26" cm="1">
        <f t="array" ref="E238">_FV(B238,"Beta")</f>
        <v>0.48070000000000002</v>
      </c>
      <c r="F238" t="str" cm="1">
        <f t="array" ref="F238">_FV(B238,"Industry")</f>
        <v>Healthcare Providers &amp; Services</v>
      </c>
      <c r="G238" s="26" cm="1">
        <f t="array" ref="G238">_FV(B238,"P/E",TRUE)</f>
        <v>14.8972</v>
      </c>
      <c r="H238" s="28" cm="1">
        <f t="array" ref="H238">_FV(B238,"Price")</f>
        <v>78.25</v>
      </c>
      <c r="I238" s="32">
        <f t="shared" si="3"/>
        <v>7.9771932929938812E-4</v>
      </c>
    </row>
    <row r="239" spans="2:9" x14ac:dyDescent="0.55000000000000004">
      <c r="B239" s="24" t="e" vm="239">
        <v>#VALUE!</v>
      </c>
      <c r="C239" s="27" cm="1">
        <f t="array" ref="C239">_FV(B239,"Shares outstanding",TRUE)</f>
        <v>983380000</v>
      </c>
      <c r="D239" s="30" cm="1">
        <f t="array" ref="D239">_FV(B239,"Market cap",TRUE)</f>
        <v>46504040200</v>
      </c>
      <c r="E239" s="26" cm="1">
        <f t="array" ref="E239">_FV(B239,"Beta")</f>
        <v>0.7369</v>
      </c>
      <c r="F239" t="str" cm="1">
        <f t="array" ref="F239">_FV(B239,"Industry")</f>
        <v>Beverages</v>
      </c>
      <c r="G239" s="26" cm="1">
        <f t="array" ref="G239">_FV(B239,"P/E",TRUE)</f>
        <v>29.041899999999998</v>
      </c>
      <c r="H239" s="28" cm="1">
        <f t="array" ref="H239">_FV(B239,"Price")</f>
        <v>47.29</v>
      </c>
      <c r="I239" s="32">
        <f t="shared" si="3"/>
        <v>9.0125137745714111E-4</v>
      </c>
    </row>
    <row r="240" spans="2:9" x14ac:dyDescent="0.55000000000000004">
      <c r="B240" s="25" t="e" vm="240">
        <v>#VALUE!</v>
      </c>
      <c r="C240" s="27" cm="1">
        <f t="array" ref="C240">_FV(B240,"Shares outstanding",TRUE)</f>
        <v>24518530</v>
      </c>
      <c r="D240" s="30" cm="1">
        <f t="array" ref="D240">_FV(B240,"Market cap",TRUE)</f>
        <v>42425883570</v>
      </c>
      <c r="E240" s="26" cm="1">
        <f t="array" ref="E240">_FV(B240,"Beta")</f>
        <v>1.3428</v>
      </c>
      <c r="F240" t="str" cm="1">
        <f t="array" ref="F240">_FV(B240,"Industry")</f>
        <v>Software &amp; IT Services</v>
      </c>
      <c r="G240" s="26" cm="1">
        <f t="array" ref="G240">_FV(B240,"P/E",TRUE)</f>
        <v>90.765900000000002</v>
      </c>
      <c r="H240" s="28" cm="1">
        <f t="array" ref="H240">_FV(B240,"Price")</f>
        <v>1730.36</v>
      </c>
      <c r="I240" s="32">
        <f t="shared" si="3"/>
        <v>8.2221643201011157E-4</v>
      </c>
    </row>
    <row r="241" spans="2:9" x14ac:dyDescent="0.55000000000000004">
      <c r="B241" s="24" t="e" vm="241">
        <v>#VALUE!</v>
      </c>
      <c r="C241" s="27" cm="1">
        <f t="array" ref="C241">_FV(B241,"Shares outstanding",TRUE)</f>
        <v>77059510</v>
      </c>
      <c r="D241" s="30" cm="1">
        <f t="array" ref="D241">_FV(B241,"Market cap",TRUE)</f>
        <v>37151545663</v>
      </c>
      <c r="E241" s="26" cm="1">
        <f t="array" ref="E241">_FV(B241,"Beta")</f>
        <v>1.3243</v>
      </c>
      <c r="F241" t="str" cm="1">
        <f t="array" ref="F241">_FV(B241,"Industry")</f>
        <v>Software &amp; IT Services</v>
      </c>
      <c r="G241" s="26" cm="1">
        <f t="array" ref="G241">_FV(B241,"P/E",TRUE)</f>
        <v>45.802500000000002</v>
      </c>
      <c r="H241" s="28" cm="1">
        <f t="array" ref="H241">_FV(B241,"Price")</f>
        <v>482.11500000000001</v>
      </c>
      <c r="I241" s="32">
        <f t="shared" si="3"/>
        <v>7.1999941423241392E-4</v>
      </c>
    </row>
    <row r="242" spans="2:9" x14ac:dyDescent="0.55000000000000004">
      <c r="B242" s="25" t="e" vm="242">
        <v>#VALUE!</v>
      </c>
      <c r="C242" s="27" cm="1">
        <f t="array" ref="C242">_FV(B242,"Shares outstanding",TRUE)</f>
        <v>1000000000</v>
      </c>
      <c r="D242" s="30" cm="1">
        <f t="array" ref="D242">_FV(B242,"Market cap",TRUE)</f>
        <v>37980000000</v>
      </c>
      <c r="E242" s="26" cm="1">
        <f t="array" ref="E242">_FV(B242,"Beta")</f>
        <v>0.52059999999999995</v>
      </c>
      <c r="F242" t="str" cm="1">
        <f t="array" ref="F242">_FV(B242,"Industry")</f>
        <v>Electrical Utilities &amp; IPPs</v>
      </c>
      <c r="G242" s="26" cm="1">
        <f t="array" ref="G242">_FV(B242,"P/E",TRUE)</f>
        <v>15.9246</v>
      </c>
      <c r="H242" s="28" cm="1">
        <f t="array" ref="H242">_FV(B242,"Price")</f>
        <v>37.979999999999997</v>
      </c>
      <c r="I242" s="32">
        <f t="shared" si="3"/>
        <v>7.3605491412383174E-4</v>
      </c>
    </row>
    <row r="243" spans="2:9" x14ac:dyDescent="0.55000000000000004">
      <c r="B243" s="24" t="e" vm="243">
        <v>#VALUE!</v>
      </c>
      <c r="C243" s="27" cm="1">
        <f t="array" ref="C243">_FV(B243,"Shares outstanding",TRUE)</f>
        <v>417495100</v>
      </c>
      <c r="D243" s="30" cm="1">
        <f t="array" ref="D243">_FV(B243,"Market cap",TRUE)</f>
        <v>34042550454</v>
      </c>
      <c r="E243" s="26" cm="1">
        <f t="array" ref="E243">_FV(B243,"Beta")</f>
        <v>1.3243</v>
      </c>
      <c r="F243" t="str" cm="1">
        <f t="array" ref="F243">_FV(B243,"Industry")</f>
        <v>Chemicals</v>
      </c>
      <c r="G243" s="26" cm="1">
        <f t="array" ref="G243">_FV(B243,"P/E",TRUE)</f>
        <v>112.38039999999999</v>
      </c>
      <c r="H243" s="28" cm="1">
        <f t="array" ref="H243">_FV(B243,"Price")</f>
        <v>81.540000000000006</v>
      </c>
      <c r="I243" s="32">
        <f t="shared" si="3"/>
        <v>6.5974688127896735E-4</v>
      </c>
    </row>
    <row r="244" spans="2:9" x14ac:dyDescent="0.55000000000000004">
      <c r="B244" s="25" t="e" vm="244">
        <v>#VALUE!</v>
      </c>
      <c r="C244" s="27" cm="1">
        <f t="array" ref="C244">_FV(B244,"Shares outstanding",TRUE)</f>
        <v>61117050</v>
      </c>
      <c r="D244" s="30" cm="1">
        <f t="array" ref="D244">_FV(B244,"Market cap",TRUE)</f>
        <v>33707886586</v>
      </c>
      <c r="E244" s="26" cm="1">
        <f t="array" ref="E244">_FV(B244,"Beta")</f>
        <v>0.91400000000000003</v>
      </c>
      <c r="F244" t="str" cm="1">
        <f t="array" ref="F244">_FV(B244,"Industry")</f>
        <v>Construction Materials</v>
      </c>
      <c r="G244" s="26" cm="1">
        <f t="array" ref="G244">_FV(B244,"P/E",TRUE)</f>
        <v>16.775099999999998</v>
      </c>
      <c r="H244" s="28" cm="1">
        <f t="array" ref="H244">_FV(B244,"Price")</f>
        <v>551.53</v>
      </c>
      <c r="I244" s="32">
        <f t="shared" si="3"/>
        <v>6.5326107336372019E-4</v>
      </c>
    </row>
    <row r="245" spans="2:9" x14ac:dyDescent="0.55000000000000004">
      <c r="B245" s="24" t="e" vm="245">
        <v>#VALUE!</v>
      </c>
      <c r="C245" s="27" cm="1">
        <f t="array" ref="C245">_FV(B245,"Shares outstanding",TRUE)</f>
        <v>132060000</v>
      </c>
      <c r="D245" s="30" cm="1">
        <f t="array" ref="D245">_FV(B245,"Market cap",TRUE)</f>
        <v>33485133600</v>
      </c>
      <c r="E245" s="26" cm="1">
        <f t="array" ref="E245">_FV(B245,"Beta")</f>
        <v>0.82020000000000004</v>
      </c>
      <c r="F245" t="str" cm="1">
        <f t="array" ref="F245">_FV(B245,"Industry")</f>
        <v>Construction Materials</v>
      </c>
      <c r="G245" s="26" cm="1">
        <f t="array" ref="G245">_FV(B245,"P/E",TRUE)</f>
        <v>36.802199999999999</v>
      </c>
      <c r="H245" s="28" cm="1">
        <f t="array" ref="H245">_FV(B245,"Price")</f>
        <v>253.56</v>
      </c>
      <c r="I245" s="32">
        <f t="shared" si="3"/>
        <v>6.4894410574968498E-4</v>
      </c>
    </row>
    <row r="246" spans="2:9" x14ac:dyDescent="0.55000000000000004">
      <c r="B246" s="25" t="e" vm="246">
        <v>#VALUE!</v>
      </c>
      <c r="C246" s="27" cm="1">
        <f t="array" ref="C246">_FV(B246,"Shares outstanding",TRUE)</f>
        <v>721790800</v>
      </c>
      <c r="D246" s="30" cm="1">
        <f t="array" ref="D246">_FV(B246,"Market cap",TRUE)</f>
        <v>38031157252</v>
      </c>
      <c r="E246" s="26" cm="1">
        <f t="array" ref="E246">_FV(B246,"Beta")</f>
        <v>0.46179999999999999</v>
      </c>
      <c r="F246" t="str" cm="1">
        <f t="array" ref="F246">_FV(B246,"Industry")</f>
        <v>Food &amp; Drug Retailing</v>
      </c>
      <c r="G246" s="26" cm="1">
        <f t="array" ref="G246">_FV(B246,"P/E",TRUE)</f>
        <v>17.695</v>
      </c>
      <c r="H246" s="28" cm="1">
        <f t="array" ref="H246">_FV(B246,"Price")</f>
        <v>52.69</v>
      </c>
      <c r="I246" s="32">
        <f t="shared" si="3"/>
        <v>7.3704634505399687E-4</v>
      </c>
    </row>
    <row r="247" spans="2:9" x14ac:dyDescent="0.55000000000000004">
      <c r="B247" s="24" t="e" vm="247">
        <v>#VALUE!</v>
      </c>
      <c r="C247" s="27" cm="1">
        <f t="array" ref="C247">_FV(B247,"Shares outstanding",TRUE)</f>
        <v>178394500</v>
      </c>
      <c r="D247" s="30" cm="1">
        <f t="array" ref="D247">_FV(B247,"Market cap",TRUE)</f>
        <v>34826160000</v>
      </c>
      <c r="E247" s="26" cm="1">
        <f t="array" ref="E247">_FV(B247,"Beta")</f>
        <v>1.8733</v>
      </c>
      <c r="F247" t="str" cm="1">
        <f t="array" ref="F247">_FV(B247,"Industry")</f>
        <v>Oil &amp; Gas</v>
      </c>
      <c r="G247" s="26" cm="1">
        <f t="array" ref="G247">_FV(B247,"P/E",TRUE)</f>
        <v>10.0909</v>
      </c>
      <c r="H247" s="28" cm="1">
        <f t="array" ref="H247">_FV(B247,"Price")</f>
        <v>195.76</v>
      </c>
      <c r="I247" s="32">
        <f t="shared" si="3"/>
        <v>6.7493328615225972E-4</v>
      </c>
    </row>
    <row r="248" spans="2:9" x14ac:dyDescent="0.55000000000000004">
      <c r="B248" s="25" t="e" vm="248">
        <v>#VALUE!</v>
      </c>
      <c r="C248" s="27" cm="1">
        <f t="array" ref="C248">_FV(B248,"Shares outstanding",TRUE)</f>
        <v>264199900</v>
      </c>
      <c r="D248" s="30" cm="1">
        <f t="array" ref="D248">_FV(B248,"Market cap",TRUE)</f>
        <v>39368427099</v>
      </c>
      <c r="E248" s="26" cm="1">
        <f t="array" ref="E248">_FV(B248,"Beta")</f>
        <v>0.79100000000000004</v>
      </c>
      <c r="F248" t="str" cm="1">
        <f t="array" ref="F248">_FV(B248,"Industry")</f>
        <v>Software &amp; IT Services</v>
      </c>
      <c r="G248" s="26" cm="1">
        <f t="array" ref="G248">_FV(B248,"P/E",TRUE)</f>
        <v>35.059600000000003</v>
      </c>
      <c r="H248" s="28" cm="1">
        <f t="array" ref="H248">_FV(B248,"Price")</f>
        <v>149.01</v>
      </c>
      <c r="I248" s="32">
        <f t="shared" si="3"/>
        <v>7.6296272321076293E-4</v>
      </c>
    </row>
    <row r="249" spans="2:9" x14ac:dyDescent="0.55000000000000004">
      <c r="B249" s="24" t="e" vm="249">
        <v>#VALUE!</v>
      </c>
      <c r="C249" s="27" cm="1">
        <f t="array" ref="C249">_FV(B249,"Shares outstanding",TRUE)</f>
        <v>211928700</v>
      </c>
      <c r="D249" s="30" cm="1">
        <f t="array" ref="D249">_FV(B249,"Market cap",TRUE)</f>
        <v>37594032093</v>
      </c>
      <c r="E249" s="26" cm="1">
        <f t="array" ref="E249">_FV(B249,"Beta")</f>
        <v>0.86819999999999997</v>
      </c>
      <c r="F249" t="str" cm="1">
        <f t="array" ref="F249">_FV(B249,"Industry")</f>
        <v>Residential &amp; Commercial REIT</v>
      </c>
      <c r="G249" s="26" cm="1">
        <f t="array" ref="G249">_FV(B249,"P/E",TRUE)</f>
        <v>46.568800000000003</v>
      </c>
      <c r="H249" s="28" cm="1">
        <f t="array" ref="H249">_FV(B249,"Price")</f>
        <v>177.39</v>
      </c>
      <c r="I249" s="32">
        <f t="shared" si="3"/>
        <v>7.2857483053664278E-4</v>
      </c>
    </row>
    <row r="250" spans="2:9" x14ac:dyDescent="0.55000000000000004">
      <c r="B250" s="25" t="e" vm="250">
        <v>#VALUE!</v>
      </c>
      <c r="C250" s="27" cm="1">
        <f t="array" ref="C250">_FV(B250,"Shares outstanding",TRUE)</f>
        <v>242892900</v>
      </c>
      <c r="D250" s="30" cm="1">
        <f t="array" ref="D250">_FV(B250,"Market cap",TRUE)</f>
        <v>33203459429</v>
      </c>
      <c r="E250" s="26" cm="1">
        <f t="array" ref="E250">_FV(B250,"Beta")</f>
        <v>1.0371999999999999</v>
      </c>
      <c r="F250" t="str" cm="1">
        <f t="array" ref="F250">_FV(B250,"Industry")</f>
        <v>Machinery, Equipment &amp; Components</v>
      </c>
      <c r="G250" s="26" cm="1">
        <f t="array" ref="G250">_FV(B250,"P/E",TRUE)</f>
        <v>43.436599999999999</v>
      </c>
      <c r="H250" s="28" cm="1">
        <f t="array" ref="H250">_FV(B250,"Price")</f>
        <v>136.69999999999999</v>
      </c>
      <c r="I250" s="32">
        <f t="shared" si="3"/>
        <v>6.434852416700033E-4</v>
      </c>
    </row>
    <row r="251" spans="2:9" x14ac:dyDescent="0.55000000000000004">
      <c r="B251" s="24" t="e" vm="251">
        <v>#VALUE!</v>
      </c>
      <c r="C251" s="27" cm="1">
        <f t="array" ref="C251">_FV(B251,"Shares outstanding",TRUE)</f>
        <v>456662300</v>
      </c>
      <c r="D251" s="30" cm="1">
        <f t="array" ref="D251">_FV(B251,"Market cap",TRUE)</f>
        <v>38581114415</v>
      </c>
      <c r="E251" s="26" cm="1">
        <f t="array" ref="E251">_FV(B251,"Beta")</f>
        <v>1.0169999999999999</v>
      </c>
      <c r="F251" t="str" cm="1">
        <f t="array" ref="F251">_FV(B251,"Industry")</f>
        <v>Healthcare Equipment &amp; Supplies</v>
      </c>
      <c r="G251" s="26" cm="1">
        <f t="array" ref="G251">_FV(B251,"P/E",TRUE)</f>
        <v>24.540600000000001</v>
      </c>
      <c r="H251" s="28" cm="1">
        <f t="array" ref="H251">_FV(B251,"Price")</f>
        <v>84.484999999999999</v>
      </c>
      <c r="I251" s="32">
        <f t="shared" si="3"/>
        <v>7.4770455127789765E-4</v>
      </c>
    </row>
    <row r="252" spans="2:9" x14ac:dyDescent="0.55000000000000004">
      <c r="B252" s="25" t="e" vm="252">
        <v>#VALUE!</v>
      </c>
      <c r="C252" s="27" cm="1">
        <f t="array" ref="C252">_FV(B252,"Shares outstanding",TRUE)</f>
        <v>495658000</v>
      </c>
      <c r="D252" s="30" cm="1">
        <f t="array" ref="D252">_FV(B252,"Market cap",TRUE)</f>
        <v>38165666000</v>
      </c>
      <c r="E252" s="26" cm="1">
        <f t="array" ref="E252">_FV(B252,"Beta")</f>
        <v>1.048</v>
      </c>
      <c r="F252" t="str" cm="1">
        <f t="array" ref="F252">_FV(B252,"Industry")</f>
        <v>Software &amp; IT Services</v>
      </c>
      <c r="G252" s="26" cm="1">
        <f t="array" ref="G252">_FV(B252,"P/E",TRUE)</f>
        <v>17.4817</v>
      </c>
      <c r="H252" s="28" cm="1">
        <f t="array" ref="H252">_FV(B252,"Price")</f>
        <v>77</v>
      </c>
      <c r="I252" s="32">
        <f t="shared" si="3"/>
        <v>7.3965313349417714E-4</v>
      </c>
    </row>
    <row r="253" spans="2:9" x14ac:dyDescent="0.55000000000000004">
      <c r="B253" s="24" t="e" vm="253">
        <v>#VALUE!</v>
      </c>
      <c r="C253" s="27" cm="1">
        <f t="array" ref="C253">_FV(B253,"Shares outstanding",TRUE)</f>
        <v>145661600</v>
      </c>
      <c r="D253" s="30" cm="1">
        <f t="array" ref="D253">_FV(B253,"Market cap",TRUE)</f>
        <v>29860640000</v>
      </c>
      <c r="E253" s="26" cm="1">
        <f t="array" ref="E253">_FV(B253,"Beta")</f>
        <v>-5.5399999999999998E-2</v>
      </c>
      <c r="F253" t="str" cm="1">
        <f t="array" ref="F253">_FV(B253,"Industry")</f>
        <v>Pharmaceuticals</v>
      </c>
      <c r="G253" s="26" cm="1">
        <f t="array" ref="G253">_FV(B253,"P/E",TRUE)</f>
        <v>25.826799999999999</v>
      </c>
      <c r="H253" s="28" cm="1">
        <f t="array" ref="H253">_FV(B253,"Price")</f>
        <v>205</v>
      </c>
      <c r="I253" s="32">
        <f t="shared" si="3"/>
        <v>5.7870117985473033E-4</v>
      </c>
    </row>
    <row r="254" spans="2:9" x14ac:dyDescent="0.55000000000000004">
      <c r="B254" s="25" t="e" vm="254">
        <v>#VALUE!</v>
      </c>
      <c r="C254" s="27" cm="1">
        <f t="array" ref="C254">_FV(B254,"Shares outstanding",TRUE)</f>
        <v>993423700</v>
      </c>
      <c r="D254" s="30" cm="1">
        <f t="array" ref="D254">_FV(B254,"Market cap",TRUE)</f>
        <v>35047988136</v>
      </c>
      <c r="E254" s="26" cm="1">
        <f t="array" ref="E254">_FV(B254,"Beta")</f>
        <v>1.3694999999999999</v>
      </c>
      <c r="F254" t="str" cm="1">
        <f t="array" ref="F254">_FV(B254,"Industry")</f>
        <v>Oil &amp; Gas Related Equipment and Services</v>
      </c>
      <c r="G254" s="26" cm="1">
        <f t="array" ref="G254">_FV(B254,"P/E",TRUE)</f>
        <v>17.8263</v>
      </c>
      <c r="H254" s="28" cm="1">
        <f t="array" ref="H254">_FV(B254,"Price")</f>
        <v>35.28</v>
      </c>
      <c r="I254" s="32">
        <f t="shared" si="3"/>
        <v>6.7923233011207363E-4</v>
      </c>
    </row>
    <row r="255" spans="2:9" x14ac:dyDescent="0.55000000000000004">
      <c r="B255" s="24" t="e" vm="255">
        <v>#VALUE!</v>
      </c>
      <c r="C255" s="27" cm="1">
        <f t="array" ref="C255">_FV(B255,"Shares outstanding",TRUE)</f>
        <v>21219220</v>
      </c>
      <c r="D255" s="30" cm="1">
        <f t="array" ref="D255">_FV(B255,"Market cap",TRUE)</f>
        <v>30096917263</v>
      </c>
      <c r="E255" s="26" cm="1">
        <f t="array" ref="E255">_FV(B255,"Beta")</f>
        <v>1.1418999999999999</v>
      </c>
      <c r="F255" t="str" cm="1">
        <f t="array" ref="F255">_FV(B255,"Industry")</f>
        <v>Healthcare Equipment &amp; Supplies</v>
      </c>
      <c r="G255" s="26" cm="1">
        <f t="array" ref="G255">_FV(B255,"P/E",TRUE)</f>
        <v>39.428899999999999</v>
      </c>
      <c r="H255" s="28" cm="1">
        <f t="array" ref="H255">_FV(B255,"Price")</f>
        <v>1418.38</v>
      </c>
      <c r="I255" s="32">
        <f t="shared" si="3"/>
        <v>5.8328024885227845E-4</v>
      </c>
    </row>
    <row r="256" spans="2:9" x14ac:dyDescent="0.55000000000000004">
      <c r="B256" s="25" t="e" vm="256">
        <v>#VALUE!</v>
      </c>
      <c r="C256" s="27" cm="1">
        <f t="array" ref="C256">_FV(B256,"Shares outstanding",TRUE)</f>
        <v>478142000</v>
      </c>
      <c r="D256" s="30" cm="1">
        <f t="array" ref="D256">_FV(B256,"Market cap",TRUE)</f>
        <v>28860651120</v>
      </c>
      <c r="E256" s="26" cm="1">
        <f t="array" ref="E256">_FV(B256,"Beta")</f>
        <v>0.71640000000000004</v>
      </c>
      <c r="F256" t="str" cm="1">
        <f t="array" ref="F256">_FV(B256,"Industry")</f>
        <v>Food &amp; Tobacco</v>
      </c>
      <c r="G256" s="26" cm="1">
        <f t="array" ref="G256">_FV(B256,"P/E",TRUE)</f>
        <v>12.1531</v>
      </c>
      <c r="H256" s="28" cm="1">
        <f t="array" ref="H256">_FV(B256,"Price")</f>
        <v>60.36</v>
      </c>
      <c r="I256" s="32">
        <f t="shared" si="3"/>
        <v>5.593213291650729E-4</v>
      </c>
    </row>
    <row r="257" spans="2:9" x14ac:dyDescent="0.55000000000000004">
      <c r="B257" s="24" t="e" vm="257">
        <v>#VALUE!</v>
      </c>
      <c r="C257" s="27" cm="1">
        <f t="array" ref="C257">_FV(B257,"Shares outstanding",TRUE)</f>
        <v>645419300</v>
      </c>
      <c r="D257" s="30" cm="1">
        <f t="array" ref="D257">_FV(B257,"Market cap",TRUE)</f>
        <v>26475099686</v>
      </c>
      <c r="E257" s="26" cm="1">
        <f t="array" ref="E257">_FV(B257,"Beta")</f>
        <v>1.3481000000000001</v>
      </c>
      <c r="F257" t="str" cm="1">
        <f t="array" ref="F257">_FV(B257,"Industry")</f>
        <v>Passenger Transportation Services</v>
      </c>
      <c r="G257" s="26" cm="1">
        <f t="array" ref="G257">_FV(B257,"P/E",TRUE)</f>
        <v>5.9154999999999998</v>
      </c>
      <c r="H257" s="28" cm="1">
        <f t="array" ref="H257">_FV(B257,"Price")</f>
        <v>41.02</v>
      </c>
      <c r="I257" s="32">
        <f t="shared" si="3"/>
        <v>5.1308918446020578E-4</v>
      </c>
    </row>
    <row r="258" spans="2:9" x14ac:dyDescent="0.55000000000000004">
      <c r="B258" s="25" t="e" vm="258">
        <v>#VALUE!</v>
      </c>
      <c r="C258" s="27" cm="1">
        <f t="array" ref="C258">_FV(B258,"Shares outstanding",TRUE)</f>
        <v>978559600</v>
      </c>
      <c r="D258" s="30" cm="1">
        <f t="array" ref="D258">_FV(B258,"Market cap",TRUE)</f>
        <v>34724187406</v>
      </c>
      <c r="E258" s="26" cm="1">
        <f t="array" ref="E258">_FV(B258,"Beta")</f>
        <v>1.083</v>
      </c>
      <c r="F258" t="str" cm="1">
        <f t="array" ref="F258">_FV(B258,"Industry")</f>
        <v>Computers, Phones &amp; Household Electronics</v>
      </c>
      <c r="G258" s="26" cm="1">
        <f t="array" ref="G258">_FV(B258,"P/E",TRUE)</f>
        <v>12.0092</v>
      </c>
      <c r="H258" s="28" cm="1">
        <f t="array" ref="H258">_FV(B258,"Price")</f>
        <v>35.484999999999999</v>
      </c>
      <c r="I258" s="32">
        <f t="shared" si="3"/>
        <v>6.7295705053036262E-4</v>
      </c>
    </row>
    <row r="259" spans="2:9" x14ac:dyDescent="0.55000000000000004">
      <c r="B259" s="24" t="e" vm="259">
        <v>#VALUE!</v>
      </c>
      <c r="C259" s="27" cm="1">
        <f t="array" ref="C259">_FV(B259,"Shares outstanding",TRUE)</f>
        <v>251071500</v>
      </c>
      <c r="D259" s="30" cm="1">
        <f t="array" ref="D259">_FV(B259,"Market cap",TRUE)</f>
        <v>33387488069</v>
      </c>
      <c r="E259" s="26" cm="1">
        <f t="array" ref="E259">_FV(B259,"Beta")</f>
        <v>1.4094</v>
      </c>
      <c r="F259" t="str" cm="1">
        <f t="array" ref="F259">_FV(B259,"Industry")</f>
        <v>Banking Services</v>
      </c>
      <c r="G259" s="26" cm="1">
        <f t="array" ref="G259">_FV(B259,"P/E",TRUE)</f>
        <v>11.7743</v>
      </c>
      <c r="H259" s="28" cm="1">
        <f t="array" ref="H259">_FV(B259,"Price")</f>
        <v>132.97999999999999</v>
      </c>
      <c r="I259" s="32">
        <f t="shared" ref="I259:I322" si="4">D259/$D$504</f>
        <v>6.4705172889516205E-4</v>
      </c>
    </row>
    <row r="260" spans="2:9" x14ac:dyDescent="0.55000000000000004">
      <c r="B260" s="25" t="e" vm="260">
        <v>#VALUE!</v>
      </c>
      <c r="C260" s="27" cm="1">
        <f t="array" ref="C260">_FV(B260,"Shares outstanding",TRUE)</f>
        <v>408146600</v>
      </c>
      <c r="D260" s="30" cm="1">
        <f t="array" ref="D260">_FV(B260,"Market cap",TRUE)</f>
        <v>39743275175</v>
      </c>
      <c r="E260" s="26" cm="1">
        <f t="array" ref="E260">_FV(B260,"Beta")</f>
        <v>1.47</v>
      </c>
      <c r="F260" t="str" cm="1">
        <f t="array" ref="F260">_FV(B260,"Industry")</f>
        <v>Aerospace &amp; Defense</v>
      </c>
      <c r="G260" s="26" cm="1">
        <f t="array" ref="G260">_FV(B260,"P/E",TRUE)</f>
        <v>42.929200000000002</v>
      </c>
      <c r="H260" s="28" cm="1">
        <f t="array" ref="H260">_FV(B260,"Price")</f>
        <v>97.375</v>
      </c>
      <c r="I260" s="32">
        <f t="shared" si="4"/>
        <v>7.7022730373708373E-4</v>
      </c>
    </row>
    <row r="261" spans="2:9" x14ac:dyDescent="0.55000000000000004">
      <c r="B261" s="24" t="e" vm="261">
        <v>#VALUE!</v>
      </c>
      <c r="C261" s="27" cm="1">
        <f t="array" ref="C261">_FV(B261,"Shares outstanding",TRUE)</f>
        <v>107868900</v>
      </c>
      <c r="D261" s="30" cm="1">
        <f t="array" ref="D261">_FV(B261,"Market cap",TRUE)</f>
        <v>29036140000</v>
      </c>
      <c r="E261" s="26" cm="1">
        <f t="array" ref="E261">_FV(B261,"Beta")</f>
        <v>0.79579999999999995</v>
      </c>
      <c r="F261" t="str" cm="1">
        <f t="array" ref="F261">_FV(B261,"Industry")</f>
        <v>Specialty Retailers</v>
      </c>
      <c r="G261" s="26" cm="1">
        <f t="array" ref="G261">_FV(B261,"P/E",TRUE)</f>
        <v>25.970800000000001</v>
      </c>
      <c r="H261" s="28" cm="1">
        <f t="array" ref="H261">_FV(B261,"Price")</f>
        <v>273.14</v>
      </c>
      <c r="I261" s="32">
        <f t="shared" si="4"/>
        <v>5.6272231527613363E-4</v>
      </c>
    </row>
    <row r="262" spans="2:9" x14ac:dyDescent="0.55000000000000004">
      <c r="B262" s="25" t="e" vm="262">
        <v>#VALUE!</v>
      </c>
      <c r="C262" s="27" cm="1">
        <f t="array" ref="C262">_FV(B262,"Shares outstanding",TRUE)</f>
        <v>345834700</v>
      </c>
      <c r="D262" s="30" cm="1">
        <f t="array" ref="D262">_FV(B262,"Market cap",TRUE)</f>
        <v>34946596435</v>
      </c>
      <c r="E262" s="26" cm="1">
        <f t="array" ref="E262">_FV(B262,"Beta")</f>
        <v>0.34849999999999998</v>
      </c>
      <c r="F262" t="str" cm="1">
        <f t="array" ref="F262">_FV(B262,"Industry")</f>
        <v>Electrical Utilities &amp; IPPs</v>
      </c>
      <c r="G262" s="26" cm="1">
        <f t="array" ref="G262">_FV(B262,"P/E",TRUE)</f>
        <v>19.5823</v>
      </c>
      <c r="H262" s="28" cm="1">
        <f t="array" ref="H262">_FV(B262,"Price")</f>
        <v>101.05</v>
      </c>
      <c r="I262" s="32">
        <f t="shared" si="4"/>
        <v>6.7726735223496923E-4</v>
      </c>
    </row>
    <row r="263" spans="2:9" x14ac:dyDescent="0.55000000000000004">
      <c r="B263" s="24" t="e" vm="263">
        <v>#VALUE!</v>
      </c>
      <c r="C263" s="27" cm="1">
        <f t="array" ref="C263">_FV(B263,"Shares outstanding",TRUE)</f>
        <v>146932100</v>
      </c>
      <c r="D263" s="30" cm="1">
        <f t="array" ref="D263">_FV(B263,"Market cap",TRUE)</f>
        <v>33324200280</v>
      </c>
      <c r="E263" s="26" cm="1">
        <f t="array" ref="E263">_FV(B263,"Beta")</f>
        <v>0.68300000000000005</v>
      </c>
      <c r="F263" t="str" cm="1">
        <f t="array" ref="F263">_FV(B263,"Industry")</f>
        <v>Healthcare Equipment &amp; Supplies</v>
      </c>
      <c r="G263" s="26" cm="1">
        <f t="array" ref="G263">_FV(B263,"P/E",TRUE)</f>
        <v>32.744900000000001</v>
      </c>
      <c r="H263" s="28" cm="1">
        <f t="array" ref="H263">_FV(B263,"Price")</f>
        <v>226.8</v>
      </c>
      <c r="I263" s="32">
        <f t="shared" si="4"/>
        <v>6.4582520735494392E-4</v>
      </c>
    </row>
    <row r="264" spans="2:9" x14ac:dyDescent="0.55000000000000004">
      <c r="B264" s="25" t="e" vm="264">
        <v>#VALUE!</v>
      </c>
      <c r="C264" s="27" cm="1">
        <f t="array" ref="C264">_FV(B264,"Shares outstanding",TRUE)</f>
        <v>214296600</v>
      </c>
      <c r="D264" s="30" cm="1">
        <f t="array" ref="D264">_FV(B264,"Market cap",TRUE)</f>
        <v>42676096407</v>
      </c>
      <c r="E264" s="26" cm="1">
        <f t="array" ref="E264">_FV(B264,"Beta")</f>
        <v>0.99680000000000002</v>
      </c>
      <c r="F264" t="str" cm="1">
        <f t="array" ref="F264">_FV(B264,"Industry")</f>
        <v>Freight &amp; Logistics Services</v>
      </c>
      <c r="G264" s="26" cm="1">
        <f t="array" ref="G264">_FV(B264,"P/E",TRUE)</f>
        <v>34.935699999999997</v>
      </c>
      <c r="H264" s="28" cm="1">
        <f t="array" ref="H264">_FV(B264,"Price")</f>
        <v>199.14500000000001</v>
      </c>
      <c r="I264" s="32">
        <f t="shared" si="4"/>
        <v>8.270655733542588E-4</v>
      </c>
    </row>
    <row r="265" spans="2:9" x14ac:dyDescent="0.55000000000000004">
      <c r="B265" s="24" t="e" vm="265">
        <v>#VALUE!</v>
      </c>
      <c r="C265" s="27" cm="1">
        <f t="array" ref="C265">_FV(B265,"Shares outstanding",TRUE)</f>
        <v>133575600</v>
      </c>
      <c r="D265" s="30" cm="1">
        <f t="array" ref="D265">_FV(B265,"Market cap",TRUE)</f>
        <v>30687650000</v>
      </c>
      <c r="E265" s="26" cm="1">
        <f t="array" ref="E265">_FV(B265,"Beta")</f>
        <v>1.0349999999999999</v>
      </c>
      <c r="F265" t="str" cm="1">
        <f t="array" ref="F265">_FV(B265,"Industry")</f>
        <v>Integrated Hardware &amp; Software</v>
      </c>
      <c r="G265" s="26" cm="1">
        <f t="array" ref="G265">_FV(B265,"P/E",TRUE)</f>
        <v>28.151700000000002</v>
      </c>
      <c r="H265" s="28" cm="1">
        <f t="array" ref="H265">_FV(B265,"Price")</f>
        <v>229.56</v>
      </c>
      <c r="I265" s="32">
        <f t="shared" si="4"/>
        <v>5.9472868839947879E-4</v>
      </c>
    </row>
    <row r="266" spans="2:9" x14ac:dyDescent="0.55000000000000004">
      <c r="B266" s="25" t="e" vm="266">
        <v>#VALUE!</v>
      </c>
      <c r="C266" s="27" cm="1">
        <f t="array" ref="C266">_FV(B266,"Shares outstanding",TRUE)</f>
        <v>293014400</v>
      </c>
      <c r="D266" s="30" cm="1">
        <f t="array" ref="D266">_FV(B266,"Market cap",TRUE)</f>
        <v>33110627200</v>
      </c>
      <c r="E266" s="26" cm="1">
        <f t="array" ref="E266">_FV(B266,"Beta")</f>
        <v>0.92310000000000003</v>
      </c>
      <c r="F266" t="str" cm="1">
        <f t="array" ref="F266">_FV(B266,"Industry")</f>
        <v>Insurance</v>
      </c>
      <c r="G266" s="26" cm="1">
        <f t="array" ref="G266">_FV(B266,"P/E",TRUE)</f>
        <v>11.8371</v>
      </c>
      <c r="H266" s="28" cm="1">
        <f t="array" ref="H266">_FV(B266,"Price")</f>
        <v>113</v>
      </c>
      <c r="I266" s="32">
        <f t="shared" si="4"/>
        <v>6.4168614692686177E-4</v>
      </c>
    </row>
    <row r="267" spans="2:9" x14ac:dyDescent="0.55000000000000004">
      <c r="B267" s="24" t="e" vm="267">
        <v>#VALUE!</v>
      </c>
      <c r="C267" s="27" cm="1">
        <f t="array" ref="C267">_FV(B267,"Shares outstanding",TRUE)</f>
        <v>855700800</v>
      </c>
      <c r="D267" s="30" cm="1">
        <f t="array" ref="D267">_FV(B267,"Market cap",TRUE)</f>
        <v>36243207384</v>
      </c>
      <c r="E267" s="26" cm="1">
        <f t="array" ref="E267">_FV(B267,"Beta")</f>
        <v>1.036</v>
      </c>
      <c r="F267" t="str" cm="1">
        <f t="array" ref="F267">_FV(B267,"Industry")</f>
        <v>Electronic Equipment &amp; Parts</v>
      </c>
      <c r="G267" s="26" cm="1">
        <f t="array" ref="G267">_FV(B267,"P/E",TRUE)</f>
        <v>59.451099999999997</v>
      </c>
      <c r="H267" s="28" cm="1">
        <f t="array" ref="H267">_FV(B267,"Price")</f>
        <v>42.354999999999997</v>
      </c>
      <c r="I267" s="32">
        <f t="shared" si="4"/>
        <v>7.0239575825703916E-4</v>
      </c>
    </row>
    <row r="268" spans="2:9" x14ac:dyDescent="0.55000000000000004">
      <c r="B268" s="25" t="e" vm="268">
        <v>#VALUE!</v>
      </c>
      <c r="C268" s="27" cm="1">
        <f t="array" ref="C268">_FV(B268,"Shares outstanding",TRUE)</f>
        <v>428356100</v>
      </c>
      <c r="D268" s="30" cm="1">
        <f t="array" ref="D268">_FV(B268,"Market cap",TRUE)</f>
        <v>32190960915</v>
      </c>
      <c r="E268" s="26" cm="1">
        <f t="array" ref="E268">_FV(B268,"Beta")</f>
        <v>1.6573</v>
      </c>
      <c r="F268" t="str" cm="1">
        <f t="array" ref="F268">_FV(B268,"Industry")</f>
        <v>Semiconductors &amp; Semiconductor Equipment</v>
      </c>
      <c r="G268" s="26" cm="1">
        <f t="array" ref="G268">_FV(B268,"P/E",TRUE)</f>
        <v>17.380600000000001</v>
      </c>
      <c r="H268" s="28" cm="1">
        <f t="array" ref="H268">_FV(B268,"Price")</f>
        <v>75.150000000000006</v>
      </c>
      <c r="I268" s="32">
        <f t="shared" si="4"/>
        <v>6.2386295344533829E-4</v>
      </c>
    </row>
    <row r="269" spans="2:9" x14ac:dyDescent="0.55000000000000004">
      <c r="B269" s="24" t="e" vm="269">
        <v>#VALUE!</v>
      </c>
      <c r="C269" s="27" cm="1">
        <f t="array" ref="C269">_FV(B269,"Shares outstanding",TRUE)</f>
        <v>233300000</v>
      </c>
      <c r="D269" s="30" cm="1">
        <f t="array" ref="D269">_FV(B269,"Market cap",TRUE)</f>
        <v>29675083430</v>
      </c>
      <c r="E269" s="26" cm="1">
        <f t="array" ref="E269">_FV(B269,"Beta")</f>
        <v>1.2508999999999999</v>
      </c>
      <c r="F269" t="str" cm="1">
        <f t="array" ref="F269">_FV(B269,"Industry")</f>
        <v>Chemicals</v>
      </c>
      <c r="G269" s="26" cm="1">
        <f t="array" ref="G269">_FV(B269,"P/E",TRUE)</f>
        <v>20.7319</v>
      </c>
      <c r="H269" s="28" cm="1">
        <f t="array" ref="H269">_FV(B269,"Price")</f>
        <v>127.19710000000001</v>
      </c>
      <c r="I269" s="32">
        <f t="shared" si="4"/>
        <v>5.7510508124502873E-4</v>
      </c>
    </row>
    <row r="270" spans="2:9" x14ac:dyDescent="0.55000000000000004">
      <c r="B270" s="25" t="e" vm="270">
        <v>#VALUE!</v>
      </c>
      <c r="C270" s="27" cm="1">
        <f t="array" ref="C270">_FV(B270,"Shares outstanding",TRUE)</f>
        <v>113467400</v>
      </c>
      <c r="D270" s="30" cm="1">
        <f t="array" ref="D270">_FV(B270,"Market cap",TRUE)</f>
        <v>30563578864</v>
      </c>
      <c r="E270" s="26" cm="1">
        <f t="array" ref="E270">_FV(B270,"Beta")</f>
        <v>1.3656999999999999</v>
      </c>
      <c r="F270" t="str" cm="1">
        <f t="array" ref="F270">_FV(B270,"Industry")</f>
        <v>Machinery, Equipment &amp; Components</v>
      </c>
      <c r="G270" s="26" cm="1">
        <f t="array" ref="G270">_FV(B270,"P/E",TRUE)</f>
        <v>30.576499999999999</v>
      </c>
      <c r="H270" s="28" cm="1">
        <f t="array" ref="H270">_FV(B270,"Price")</f>
        <v>269.36</v>
      </c>
      <c r="I270" s="32">
        <f t="shared" si="4"/>
        <v>5.923241815707867E-4</v>
      </c>
    </row>
    <row r="271" spans="2:9" x14ac:dyDescent="0.55000000000000004">
      <c r="B271" s="24" t="e" vm="271">
        <v>#VALUE!</v>
      </c>
      <c r="C271" s="27" cm="1">
        <f t="array" ref="C271">_FV(B271,"Shares outstanding",TRUE)</f>
        <v>123736400</v>
      </c>
      <c r="D271" s="30" cm="1">
        <f t="array" ref="D271">_FV(B271,"Market cap",TRUE)</f>
        <v>37519351208</v>
      </c>
      <c r="E271" s="26" cm="1">
        <f t="array" ref="E271">_FV(B271,"Beta")</f>
        <v>1.5792999999999999</v>
      </c>
      <c r="F271" t="str" cm="1">
        <f t="array" ref="F271">_FV(B271,"Industry")</f>
        <v>Professional &amp; Commercial Services</v>
      </c>
      <c r="G271" s="26" cm="1">
        <f t="array" ref="G271">_FV(B271,"P/E",TRUE)</f>
        <v>64.604699999999994</v>
      </c>
      <c r="H271" s="28" cm="1">
        <f t="array" ref="H271">_FV(B271,"Price")</f>
        <v>303.22000000000003</v>
      </c>
      <c r="I271" s="32">
        <f t="shared" si="4"/>
        <v>7.2712751004176733E-4</v>
      </c>
    </row>
    <row r="272" spans="2:9" x14ac:dyDescent="0.55000000000000004">
      <c r="B272" s="25" t="e" vm="272">
        <v>#VALUE!</v>
      </c>
      <c r="C272" s="27" cm="1">
        <f t="array" ref="C272">_FV(B272,"Shares outstanding",TRUE)</f>
        <v>409816900</v>
      </c>
      <c r="D272" s="30" cm="1">
        <f t="array" ref="D272">_FV(B272,"Market cap",TRUE)</f>
        <v>31988258129</v>
      </c>
      <c r="E272" s="26" cm="1">
        <f t="array" ref="E272">_FV(B272,"Beta")</f>
        <v>0.81499999999999995</v>
      </c>
      <c r="F272" t="str" cm="1">
        <f t="array" ref="F272">_FV(B272,"Industry")</f>
        <v>Software &amp; IT Services</v>
      </c>
      <c r="G272" s="26" cm="1">
        <f t="array" ref="G272">_FV(B272,"P/E",TRUE)</f>
        <v>147.2732</v>
      </c>
      <c r="H272" s="28" cm="1">
        <f t="array" ref="H272">_FV(B272,"Price")</f>
        <v>78.055000000000007</v>
      </c>
      <c r="I272" s="32">
        <f t="shared" si="4"/>
        <v>6.1993456003454602E-4</v>
      </c>
    </row>
    <row r="273" spans="2:9" x14ac:dyDescent="0.55000000000000004">
      <c r="B273" s="24" t="e" vm="273">
        <v>#VALUE!</v>
      </c>
      <c r="C273" s="27" cm="1">
        <f t="array" ref="C273">_FV(B273,"Shares outstanding",TRUE)</f>
        <v>882828500</v>
      </c>
      <c r="D273" s="30" cm="1">
        <f t="array" ref="D273">_FV(B273,"Market cap",TRUE)</f>
        <v>28096017012</v>
      </c>
      <c r="E273" s="26" cm="1">
        <f t="array" ref="E273">_FV(B273,"Beta")</f>
        <v>1.9077999999999999</v>
      </c>
      <c r="F273" t="str" cm="1">
        <f t="array" ref="F273">_FV(B273,"Industry")</f>
        <v>Oil &amp; Gas Related Equipment and Services</v>
      </c>
      <c r="G273" s="26" cm="1">
        <f t="array" ref="G273">_FV(B273,"P/E",TRUE)</f>
        <v>10.5448</v>
      </c>
      <c r="H273" s="28" cm="1">
        <f t="array" ref="H273">_FV(B273,"Price")</f>
        <v>31.824999999999999</v>
      </c>
      <c r="I273" s="32">
        <f t="shared" si="4"/>
        <v>5.4450266953631852E-4</v>
      </c>
    </row>
    <row r="274" spans="2:9" x14ac:dyDescent="0.55000000000000004">
      <c r="B274" s="25" t="e" vm="274">
        <v>#VALUE!</v>
      </c>
      <c r="C274" s="27" cm="1">
        <f t="array" ref="C274">_FV(B274,"Shares outstanding",TRUE)</f>
        <v>343561400</v>
      </c>
      <c r="D274" s="30" cm="1">
        <f t="array" ref="D274">_FV(B274,"Market cap",TRUE)</f>
        <v>29309223034</v>
      </c>
      <c r="E274" s="26" cm="1">
        <f t="array" ref="E274">_FV(B274,"Beta")</f>
        <v>1.0999000000000001</v>
      </c>
      <c r="F274" t="str" cm="1">
        <f t="array" ref="F274">_FV(B274,"Industry")</f>
        <v>Electrical Utilities &amp; IPPs</v>
      </c>
      <c r="G274" s="26" cm="1">
        <f t="array" ref="G274">_FV(B274,"P/E",TRUE)</f>
        <v>66.871899999999997</v>
      </c>
      <c r="H274" s="28" cm="1">
        <f t="array" ref="H274">_FV(B274,"Price")</f>
        <v>85.31</v>
      </c>
      <c r="I274" s="32">
        <f t="shared" si="4"/>
        <v>5.6801468255205636E-4</v>
      </c>
    </row>
    <row r="275" spans="2:9" x14ac:dyDescent="0.55000000000000004">
      <c r="B275" s="24" t="e" vm="275">
        <v>#VALUE!</v>
      </c>
      <c r="C275" s="27" cm="1">
        <f t="array" ref="C275">_FV(B275,"Shares outstanding",TRUE)</f>
        <v>626200000</v>
      </c>
      <c r="D275" s="30" cm="1">
        <f t="array" ref="D275">_FV(B275,"Market cap",TRUE)</f>
        <v>28266668000</v>
      </c>
      <c r="E275" s="26" cm="1">
        <f t="array" ref="E275">_FV(B275,"Beta")</f>
        <v>2.0802</v>
      </c>
      <c r="F275" t="str" cm="1">
        <f t="array" ref="F275">_FV(B275,"Industry")</f>
        <v>Oil &amp; Gas</v>
      </c>
      <c r="G275" s="26" cm="1">
        <f t="array" ref="G275">_FV(B275,"P/E",TRUE)</f>
        <v>8.1050000000000004</v>
      </c>
      <c r="H275" s="28" cm="1">
        <f t="array" ref="H275">_FV(B275,"Price")</f>
        <v>45.14</v>
      </c>
      <c r="I275" s="32">
        <f t="shared" si="4"/>
        <v>5.4780989698017017E-4</v>
      </c>
    </row>
    <row r="276" spans="2:9" x14ac:dyDescent="0.55000000000000004">
      <c r="B276" s="25" t="e" vm="276">
        <v>#VALUE!</v>
      </c>
      <c r="C276" s="27" cm="1">
        <f t="array" ref="C276">_FV(B276,"Shares outstanding",TRUE)</f>
        <v>175183200</v>
      </c>
      <c r="D276" s="30" cm="1">
        <f t="array" ref="D276">_FV(B276,"Market cap",TRUE)</f>
        <v>28728292968</v>
      </c>
      <c r="E276" s="26" cm="1">
        <f t="array" ref="E276">_FV(B276,"Beta")</f>
        <v>1.2719</v>
      </c>
      <c r="F276" t="str" cm="1">
        <f t="array" ref="F276">_FV(B276,"Industry")</f>
        <v>Machinery, Equipment &amp; Components</v>
      </c>
      <c r="G276" s="26" cm="1">
        <f t="array" ref="G276">_FV(B276,"P/E",TRUE)</f>
        <v>28.710599999999999</v>
      </c>
      <c r="H276" s="28" cm="1">
        <f t="array" ref="H276">_FV(B276,"Price")</f>
        <v>163.99</v>
      </c>
      <c r="I276" s="32">
        <f t="shared" si="4"/>
        <v>5.567562194177336E-4</v>
      </c>
    </row>
    <row r="277" spans="2:9" x14ac:dyDescent="0.55000000000000004">
      <c r="B277" s="24" t="e" vm="277">
        <v>#VALUE!</v>
      </c>
      <c r="C277" s="27" cm="1">
        <f t="array" ref="C277">_FV(B277,"Shares outstanding",TRUE)</f>
        <v>557500700</v>
      </c>
      <c r="D277" s="30" cm="1">
        <f t="array" ref="D277">_FV(B277,"Market cap",TRUE)</f>
        <v>34289080553</v>
      </c>
      <c r="E277" s="26" cm="1">
        <f t="array" ref="E277">_FV(B277,"Beta")</f>
        <v>0.39600000000000002</v>
      </c>
      <c r="F277" t="str" cm="1">
        <f t="array" ref="F277">_FV(B277,"Industry")</f>
        <v>Electrical Utilities &amp; IPPs</v>
      </c>
      <c r="G277" s="26" cm="1">
        <f t="array" ref="G277">_FV(B277,"P/E",TRUE)</f>
        <v>17.972000000000001</v>
      </c>
      <c r="H277" s="28" cm="1">
        <f t="array" ref="H277">_FV(B277,"Price")</f>
        <v>61.505000000000003</v>
      </c>
      <c r="I277" s="32">
        <f t="shared" si="4"/>
        <v>6.6452465091689221E-4</v>
      </c>
    </row>
    <row r="278" spans="2:9" x14ac:dyDescent="0.55000000000000004">
      <c r="B278" s="25" t="e" vm="278">
        <v>#VALUE!</v>
      </c>
      <c r="C278" s="27" cm="1">
        <f t="array" ref="C278">_FV(B278,"Shares outstanding",TRUE)</f>
        <v>1047173000</v>
      </c>
      <c r="D278" s="30" cm="1">
        <f t="array" ref="D278">_FV(B278,"Market cap",TRUE)</f>
        <v>34792322925</v>
      </c>
      <c r="E278" s="26" cm="1">
        <f t="array" ref="E278">_FV(B278,"Beta")</f>
        <v>0.95720000000000005</v>
      </c>
      <c r="F278" t="str" cm="1">
        <f t="array" ref="F278">_FV(B278,"Industry")</f>
        <v>Residential &amp; Commercial REIT</v>
      </c>
      <c r="G278" s="26" cm="1">
        <f t="array" ref="G278">_FV(B278,"P/E",TRUE)</f>
        <v>12.9238</v>
      </c>
      <c r="H278" s="28" cm="1">
        <f t="array" ref="H278">_FV(B278,"Price")</f>
        <v>33.225000000000001</v>
      </c>
      <c r="I278" s="32">
        <f t="shared" si="4"/>
        <v>6.7427752139888092E-4</v>
      </c>
    </row>
    <row r="279" spans="2:9" x14ac:dyDescent="0.55000000000000004">
      <c r="B279" s="24" t="e" vm="279">
        <v>#VALUE!</v>
      </c>
      <c r="C279" s="27" cm="1">
        <f t="array" ref="C279">_FV(B279,"Shares outstanding",TRUE)</f>
        <v>142216800</v>
      </c>
      <c r="D279" s="30" cm="1">
        <f t="array" ref="D279">_FV(B279,"Market cap",TRUE)</f>
        <v>31350271392</v>
      </c>
      <c r="E279" s="26" cm="1">
        <f t="array" ref="E279">_FV(B279,"Beta")</f>
        <v>0.98380000000000001</v>
      </c>
      <c r="F279" t="str" cm="1">
        <f t="array" ref="F279">_FV(B279,"Industry")</f>
        <v>Residential &amp; Commercial REIT</v>
      </c>
      <c r="G279" s="26" cm="1">
        <f t="array" ref="G279">_FV(B279,"P/E",TRUE)</f>
        <v>37.487299999999998</v>
      </c>
      <c r="H279" s="28" cm="1">
        <f t="array" ref="H279">_FV(B279,"Price")</f>
        <v>220.44</v>
      </c>
      <c r="I279" s="32">
        <f t="shared" si="4"/>
        <v>6.0757033483932021E-4</v>
      </c>
    </row>
    <row r="280" spans="2:9" x14ac:dyDescent="0.55000000000000004">
      <c r="B280" s="25" t="e" vm="280">
        <v>#VALUE!</v>
      </c>
      <c r="C280" s="27" cm="1">
        <f t="array" ref="C280">_FV(B280,"Shares outstanding",TRUE)</f>
        <v>489000000</v>
      </c>
      <c r="D280" s="30" cm="1">
        <f t="array" ref="D280">_FV(B280,"Market cap",TRUE)</f>
        <v>29002590000</v>
      </c>
      <c r="E280" s="26" cm="1">
        <f t="array" ref="E280">_FV(B280,"Beta")</f>
        <v>1.3101</v>
      </c>
      <c r="F280" t="str" cm="1">
        <f t="array" ref="F280">_FV(B280,"Industry")</f>
        <v>Software &amp; IT Services</v>
      </c>
      <c r="G280" s="26" cm="1">
        <f t="array" ref="G280">_FV(B280,"P/E",TRUE)</f>
        <v>11.440799999999999</v>
      </c>
      <c r="H280" s="28" cm="1">
        <f t="array" ref="H280">_FV(B280,"Price")</f>
        <v>59.31</v>
      </c>
      <c r="I280" s="32">
        <f t="shared" si="4"/>
        <v>5.6207211405525813E-4</v>
      </c>
    </row>
    <row r="281" spans="2:9" x14ac:dyDescent="0.55000000000000004">
      <c r="B281" s="24" t="e" vm="281">
        <v>#VALUE!</v>
      </c>
      <c r="C281" s="27" cm="1">
        <f t="array" ref="C281">_FV(B281,"Shares outstanding",TRUE)</f>
        <v>87386640</v>
      </c>
      <c r="D281" s="30" cm="1">
        <f t="array" ref="D281">_FV(B281,"Market cap",TRUE)</f>
        <v>28035381844</v>
      </c>
      <c r="E281" s="26" cm="1">
        <f t="array" ref="E281">_FV(B281,"Beta")</f>
        <v>1.1165</v>
      </c>
      <c r="F281" t="str" cm="1">
        <f t="array" ref="F281">_FV(B281,"Industry")</f>
        <v>Software &amp; IT Services</v>
      </c>
      <c r="G281" s="26" cm="1">
        <f t="array" ref="G281">_FV(B281,"P/E",TRUE)</f>
        <v>57.232399999999998</v>
      </c>
      <c r="H281" s="28" cm="1">
        <f t="array" ref="H281">_FV(B281,"Price")</f>
        <v>320.82</v>
      </c>
      <c r="I281" s="32">
        <f t="shared" si="4"/>
        <v>5.4332755596667333E-4</v>
      </c>
    </row>
    <row r="282" spans="2:9" x14ac:dyDescent="0.55000000000000004">
      <c r="B282" s="25" t="e" vm="282">
        <v>#VALUE!</v>
      </c>
      <c r="C282" s="27" cm="1">
        <f t="array" ref="C282">_FV(B282,"Shares outstanding",TRUE)</f>
        <v>107046900</v>
      </c>
      <c r="D282" s="30" cm="1">
        <f t="array" ref="D282">_FV(B282,"Market cap",TRUE)</f>
        <v>25779451940</v>
      </c>
      <c r="E282" s="26" cm="1">
        <f t="array" ref="E282">_FV(B282,"Beta")</f>
        <v>1.4372</v>
      </c>
      <c r="F282" t="str" cm="1">
        <f t="array" ref="F282">_FV(B282,"Industry")</f>
        <v>Renewable Energy</v>
      </c>
      <c r="G282" s="26" cm="1">
        <f t="array" ref="G282">_FV(B282,"P/E",TRUE)</f>
        <v>20.6358</v>
      </c>
      <c r="H282" s="28" cm="1">
        <f t="array" ref="H282">_FV(B282,"Price")</f>
        <v>240.82390000000001</v>
      </c>
      <c r="I282" s="32">
        <f t="shared" si="4"/>
        <v>4.9960748509363215E-4</v>
      </c>
    </row>
    <row r="283" spans="2:9" x14ac:dyDescent="0.55000000000000004">
      <c r="B283" s="24" t="e" vm="283">
        <v>#VALUE!</v>
      </c>
      <c r="C283" s="27" cm="1">
        <f t="array" ref="C283">_FV(B283,"Shares outstanding",TRUE)</f>
        <v>1299673000</v>
      </c>
      <c r="D283" s="30" cm="1">
        <f t="array" ref="D283">_FV(B283,"Market cap",TRUE)</f>
        <v>24870412560</v>
      </c>
      <c r="E283" s="26" cm="1">
        <f t="array" ref="E283">_FV(B283,"Beta")</f>
        <v>1.2065999999999999</v>
      </c>
      <c r="F283" t="str" cm="1">
        <f t="array" ref="F283">_FV(B283,"Industry")</f>
        <v>Computers, Phones &amp; Household Electronics</v>
      </c>
      <c r="G283" s="26" cm="1">
        <f t="array" ref="G283">_FV(B283,"P/E",TRUE)</f>
        <v>13.9596</v>
      </c>
      <c r="H283" s="28" cm="1">
        <f t="array" ref="H283">_FV(B283,"Price")</f>
        <v>19.135899999999999</v>
      </c>
      <c r="I283" s="32">
        <f t="shared" si="4"/>
        <v>4.8199024173446725E-4</v>
      </c>
    </row>
    <row r="284" spans="2:9" x14ac:dyDescent="0.55000000000000004">
      <c r="B284" s="25" t="e" vm="284">
        <v>#VALUE!</v>
      </c>
      <c r="C284" s="27" cm="1">
        <f t="array" ref="C284">_FV(B284,"Shares outstanding",TRUE)</f>
        <v>219894700</v>
      </c>
      <c r="D284" s="30" cm="1">
        <f t="array" ref="D284">_FV(B284,"Market cap",TRUE)</f>
        <v>27332911210</v>
      </c>
      <c r="E284" s="26" cm="1">
        <f t="array" ref="E284">_FV(B284,"Beta")</f>
        <v>0.4662</v>
      </c>
      <c r="F284" t="str" cm="1">
        <f t="array" ref="F284">_FV(B284,"Industry")</f>
        <v>Diversified Retail</v>
      </c>
      <c r="G284" s="26" cm="1">
        <f t="array" ref="G284">_FV(B284,"P/E",TRUE)</f>
        <v>18.000699999999998</v>
      </c>
      <c r="H284" s="28" cm="1">
        <f t="array" ref="H284">_FV(B284,"Price")</f>
        <v>124.3</v>
      </c>
      <c r="I284" s="32">
        <f t="shared" si="4"/>
        <v>5.2971362857901177E-4</v>
      </c>
    </row>
    <row r="285" spans="2:9" x14ac:dyDescent="0.55000000000000004">
      <c r="B285" s="24" t="e" vm="285">
        <v>#VALUE!</v>
      </c>
      <c r="C285" s="27" cm="1">
        <f t="array" ref="C285">_FV(B285,"Shares outstanding",TRUE)</f>
        <v>219079700</v>
      </c>
      <c r="D285" s="30" cm="1">
        <f t="array" ref="D285">_FV(B285,"Market cap",TRUE)</f>
        <v>31695355597</v>
      </c>
      <c r="E285" s="26" cm="1">
        <f t="array" ref="E285">_FV(B285,"Beta")</f>
        <v>2.2524000000000002</v>
      </c>
      <c r="F285" t="str" cm="1">
        <f t="array" ref="F285">_FV(B285,"Industry")</f>
        <v>Oil &amp; Gas Related Equipment and Services</v>
      </c>
      <c r="G285" s="26" cm="1">
        <f t="array" ref="G285">_FV(B285,"P/E",TRUE)</f>
        <v>30.2849</v>
      </c>
      <c r="H285" s="28" cm="1">
        <f t="array" ref="H285">_FV(B285,"Price")</f>
        <v>144.67500000000001</v>
      </c>
      <c r="I285" s="32">
        <f t="shared" si="4"/>
        <v>6.1425808957541199E-4</v>
      </c>
    </row>
    <row r="286" spans="2:9" x14ac:dyDescent="0.55000000000000004">
      <c r="B286" s="25" t="e" vm="286">
        <v>#VALUE!</v>
      </c>
      <c r="C286" s="27" cm="1">
        <f t="array" ref="C286">_FV(B286,"Shares outstanding",TRUE)</f>
        <v>202287800</v>
      </c>
      <c r="D286" s="30" cm="1">
        <f t="array" ref="D286">_FV(B286,"Market cap",TRUE)</f>
        <v>39796078894</v>
      </c>
      <c r="E286" s="26" cm="1">
        <f t="array" ref="E286">_FV(B286,"Beta")</f>
        <v>0.3619</v>
      </c>
      <c r="F286" t="str" cm="1">
        <f t="array" ref="F286">_FV(B286,"Industry")</f>
        <v>Food &amp; Tobacco</v>
      </c>
      <c r="G286" s="26" cm="1">
        <f t="array" ref="G286">_FV(B286,"P/E",TRUE)</f>
        <v>21.811800000000002</v>
      </c>
      <c r="H286" s="28" cm="1">
        <f t="array" ref="H286">_FV(B286,"Price")</f>
        <v>196.73</v>
      </c>
      <c r="I286" s="32">
        <f t="shared" si="4"/>
        <v>7.712506433066984E-4</v>
      </c>
    </row>
    <row r="287" spans="2:9" x14ac:dyDescent="0.55000000000000004">
      <c r="B287" s="24" t="e" vm="287">
        <v>#VALUE!</v>
      </c>
      <c r="C287" s="27" cm="1">
        <f t="array" ref="C287">_FV(B287,"Shares outstanding",TRUE)</f>
        <v>142741200</v>
      </c>
      <c r="D287" s="30" cm="1">
        <f t="array" ref="D287">_FV(B287,"Market cap",TRUE)</f>
        <v>50702387946</v>
      </c>
      <c r="E287" s="26" cm="1">
        <f t="array" ref="E287">_FV(B287,"Beta")</f>
        <v>1.0528999999999999</v>
      </c>
      <c r="F287" t="str" cm="1">
        <f t="array" ref="F287">_FV(B287,"Industry")</f>
        <v>Telecommunications Services</v>
      </c>
      <c r="G287" s="26" cm="1">
        <f t="array" ref="G287">_FV(B287,"P/E",TRUE)</f>
        <v>11.131600000000001</v>
      </c>
      <c r="H287" s="28" cm="1">
        <f t="array" ref="H287">_FV(B287,"Price")</f>
        <v>355.20499999999998</v>
      </c>
      <c r="I287" s="32">
        <f t="shared" si="4"/>
        <v>9.8261563468842101E-4</v>
      </c>
    </row>
    <row r="288" spans="2:9" x14ac:dyDescent="0.55000000000000004">
      <c r="B288" s="25" t="e" vm="288">
        <v>#VALUE!</v>
      </c>
      <c r="C288" s="27" cm="1">
        <f t="array" ref="C288">_FV(B288,"Shares outstanding",TRUE)</f>
        <v>386176800</v>
      </c>
      <c r="D288" s="30" cm="1">
        <f t="array" ref="D288">_FV(B288,"Market cap",TRUE)</f>
        <v>33064457616</v>
      </c>
      <c r="E288" s="26" cm="1">
        <f t="array" ref="E288">_FV(B288,"Beta")</f>
        <v>0.91969999999999996</v>
      </c>
      <c r="F288" t="str" cm="1">
        <f t="array" ref="F288">_FV(B288,"Industry")</f>
        <v>Electrical Utilities &amp; IPPs</v>
      </c>
      <c r="G288" s="26" cm="1">
        <f t="array" ref="G288">_FV(B288,"P/E",TRUE)</f>
        <v>34.100299999999997</v>
      </c>
      <c r="H288" s="28" cm="1">
        <f t="array" ref="H288">_FV(B288,"Price")</f>
        <v>85.62</v>
      </c>
      <c r="I288" s="32">
        <f t="shared" si="4"/>
        <v>6.4079137733270028E-4</v>
      </c>
    </row>
    <row r="289" spans="2:9" x14ac:dyDescent="0.55000000000000004">
      <c r="B289" s="24" t="e" vm="289">
        <v>#VALUE!</v>
      </c>
      <c r="C289" s="27" cm="1">
        <f t="array" ref="C289">_FV(B289,"Shares outstanding",TRUE)</f>
        <v>244815000</v>
      </c>
      <c r="D289" s="30" cm="1">
        <f t="array" ref="D289">_FV(B289,"Market cap",TRUE)</f>
        <v>25005404100</v>
      </c>
      <c r="E289" s="26" cm="1">
        <f t="array" ref="E289">_FV(B289,"Beta")</f>
        <v>0.5373</v>
      </c>
      <c r="F289" t="str" cm="1">
        <f t="array" ref="F289">_FV(B289,"Industry")</f>
        <v>Personal &amp; Household Products &amp; Services</v>
      </c>
      <c r="G289" s="26" cm="1">
        <f t="array" ref="G289">_FV(B289,"P/E",TRUE)</f>
        <v>31.462499999999999</v>
      </c>
      <c r="H289" s="28" cm="1">
        <f t="array" ref="H289">_FV(B289,"Price")</f>
        <v>102.14</v>
      </c>
      <c r="I289" s="32">
        <f t="shared" si="4"/>
        <v>4.8460638671556636E-4</v>
      </c>
    </row>
    <row r="290" spans="2:9" x14ac:dyDescent="0.55000000000000004">
      <c r="B290" s="25" t="e" vm="290">
        <v>#VALUE!</v>
      </c>
      <c r="C290" s="27" cm="1">
        <f t="array" ref="C290">_FV(B290,"Shares outstanding",TRUE)</f>
        <v>205564600</v>
      </c>
      <c r="D290" s="30" cm="1">
        <f t="array" ref="D290">_FV(B290,"Market cap",TRUE)</f>
        <v>27364770000</v>
      </c>
      <c r="E290" s="26" cm="1">
        <f t="array" ref="E290">_FV(B290,"Beta")</f>
        <v>1.2276</v>
      </c>
      <c r="F290" t="str" cm="1">
        <f t="array" ref="F290">_FV(B290,"Industry")</f>
        <v>Computers, Phones &amp; Household Electronics</v>
      </c>
      <c r="G290" s="26" cm="1">
        <f t="array" ref="G290">_FV(B290,"P/E",TRUE)</f>
        <v>28.666899999999998</v>
      </c>
      <c r="H290" s="28" cm="1">
        <f t="array" ref="H290">_FV(B290,"Price")</f>
        <v>132.24</v>
      </c>
      <c r="I290" s="32">
        <f t="shared" si="4"/>
        <v>5.3033105403813604E-4</v>
      </c>
    </row>
    <row r="291" spans="2:9" x14ac:dyDescent="0.55000000000000004">
      <c r="B291" s="24" t="e" vm="291">
        <v>#VALUE!</v>
      </c>
      <c r="C291" s="27" cm="1">
        <f t="array" ref="C291">_FV(B291,"Shares outstanding",TRUE)</f>
        <v>306431400</v>
      </c>
      <c r="D291" s="30" cm="1">
        <f t="array" ref="D291">_FV(B291,"Market cap",TRUE)</f>
        <v>35824894974</v>
      </c>
      <c r="E291" s="26" cm="1">
        <f t="array" ref="E291">_FV(B291,"Beta")</f>
        <v>1.4008</v>
      </c>
      <c r="F291" t="str" cm="1">
        <f t="array" ref="F291">_FV(B291,"Industry")</f>
        <v>Real Estate Operations</v>
      </c>
      <c r="G291" s="26" cm="1">
        <f t="array" ref="G291">_FV(B291,"P/E",TRUE)</f>
        <v>39.213900000000002</v>
      </c>
      <c r="H291" s="28" cm="1">
        <f t="array" ref="H291">_FV(B291,"Price")</f>
        <v>116.91</v>
      </c>
      <c r="I291" s="32">
        <f t="shared" si="4"/>
        <v>6.9428883606063353E-4</v>
      </c>
    </row>
    <row r="292" spans="2:9" x14ac:dyDescent="0.55000000000000004">
      <c r="B292" s="25" t="e" vm="292">
        <v>#VALUE!</v>
      </c>
      <c r="C292" s="27" cm="1">
        <f t="array" ref="C292">_FV(B292,"Shares outstanding",TRUE)</f>
        <v>101555900</v>
      </c>
      <c r="D292" s="30" cm="1">
        <f t="array" ref="D292">_FV(B292,"Market cap",TRUE)</f>
        <v>28860155662</v>
      </c>
      <c r="E292" s="26" cm="1">
        <f t="array" ref="E292">_FV(B292,"Beta")</f>
        <v>0.74129999999999996</v>
      </c>
      <c r="F292" t="str" cm="1">
        <f t="array" ref="F292">_FV(B292,"Industry")</f>
        <v>Insurance</v>
      </c>
      <c r="G292" s="26" cm="1">
        <f t="array" ref="G292">_FV(B292,"P/E",TRUE)</f>
        <v>26.729600000000001</v>
      </c>
      <c r="H292" s="28" cm="1">
        <f t="array" ref="H292">_FV(B292,"Price")</f>
        <v>284.18</v>
      </c>
      <c r="I292" s="32">
        <f t="shared" si="4"/>
        <v>5.5931172715623556E-4</v>
      </c>
    </row>
    <row r="293" spans="2:9" x14ac:dyDescent="0.55000000000000004">
      <c r="B293" s="24" t="e" vm="293">
        <v>#VALUE!</v>
      </c>
      <c r="C293" s="27" cm="1">
        <f t="array" ref="C293">_FV(B293,"Shares outstanding",TRUE)</f>
        <v>222597800</v>
      </c>
      <c r="D293" s="30" cm="1">
        <f t="array" ref="D293">_FV(B293,"Market cap",TRUE)</f>
        <v>24432334528</v>
      </c>
      <c r="E293" s="26" cm="1">
        <f t="array" ref="E293">_FV(B293,"Beta")</f>
        <v>1.4319</v>
      </c>
      <c r="F293" t="str" cm="1">
        <f t="array" ref="F293">_FV(B293,"Industry")</f>
        <v>Investment Banking &amp; Investment Services</v>
      </c>
      <c r="G293" s="26" cm="1">
        <f t="array" ref="G293">_FV(B293,"P/E",TRUE)</f>
        <v>12.9497</v>
      </c>
      <c r="H293" s="28" cm="1">
        <f t="array" ref="H293">_FV(B293,"Price")</f>
        <v>109.76</v>
      </c>
      <c r="I293" s="32">
        <f t="shared" si="4"/>
        <v>4.7350026047529673E-4</v>
      </c>
    </row>
    <row r="294" spans="2:9" x14ac:dyDescent="0.55000000000000004">
      <c r="B294" s="25" t="e" vm="294">
        <v>#VALUE!</v>
      </c>
      <c r="C294" s="27" cm="1">
        <f t="array" ref="C294">_FV(B294,"Shares outstanding",TRUE)</f>
        <v>1209079000</v>
      </c>
      <c r="D294" s="30" cm="1">
        <f t="array" ref="D294">_FV(B294,"Market cap",TRUE)</f>
        <v>43852086251</v>
      </c>
      <c r="E294" s="26" cm="1">
        <f t="array" ref="E294">_FV(B294,"Beta")</f>
        <v>0.48149999999999998</v>
      </c>
      <c r="F294" t="str" cm="1">
        <f t="array" ref="F294">_FV(B294,"Industry")</f>
        <v>Food &amp; Tobacco</v>
      </c>
      <c r="G294" s="26" cm="1">
        <f t="array" ref="G294">_FV(B294,"P/E",TRUE)</f>
        <v>22.9618</v>
      </c>
      <c r="H294" s="28" cm="1">
        <f t="array" ref="H294">_FV(B294,"Price")</f>
        <v>36.268999999999998</v>
      </c>
      <c r="I294" s="32">
        <f t="shared" si="4"/>
        <v>8.4985633437679488E-4</v>
      </c>
    </row>
    <row r="295" spans="2:9" x14ac:dyDescent="0.55000000000000004">
      <c r="B295" s="24" t="e" vm="295">
        <v>#VALUE!</v>
      </c>
      <c r="C295" s="27" cm="1">
        <f t="array" ref="C295">_FV(B295,"Shares outstanding",TRUE)</f>
        <v>25410570</v>
      </c>
      <c r="D295" s="30" cm="1">
        <f t="array" ref="D295">_FV(B295,"Market cap",TRUE)</f>
        <v>24207379510</v>
      </c>
      <c r="E295" s="26" cm="1">
        <f t="array" ref="E295">_FV(B295,"Beta")</f>
        <v>1.054</v>
      </c>
      <c r="F295" t="str" cm="1">
        <f t="array" ref="F295">_FV(B295,"Industry")</f>
        <v>Textiles &amp; Apparel</v>
      </c>
      <c r="G295" s="26" cm="1">
        <f t="array" ref="G295">_FV(B295,"P/E",TRUE)</f>
        <v>30.309699999999999</v>
      </c>
      <c r="H295" s="28" cm="1">
        <f t="array" ref="H295">_FV(B295,"Price")</f>
        <v>952.65</v>
      </c>
      <c r="I295" s="32">
        <f t="shared" si="4"/>
        <v>4.6914061733533584E-4</v>
      </c>
    </row>
    <row r="296" spans="2:9" x14ac:dyDescent="0.55000000000000004">
      <c r="B296" s="25" t="e" vm="296">
        <v>#VALUE!</v>
      </c>
      <c r="C296" s="27" cm="1">
        <f t="array" ref="C296">_FV(B296,"Shares outstanding",TRUE)</f>
        <v>293335800</v>
      </c>
      <c r="D296" s="30" cm="1">
        <f t="array" ref="D296">_FV(B296,"Market cap",TRUE)</f>
        <v>33255479646</v>
      </c>
      <c r="E296" s="26" cm="1">
        <f t="array" ref="E296">_FV(B296,"Beta")</f>
        <v>1.0243</v>
      </c>
      <c r="F296" t="str" cm="1">
        <f t="array" ref="F296">_FV(B296,"Industry")</f>
        <v>Residential &amp; Commercial REIT</v>
      </c>
      <c r="G296" s="26" cm="1">
        <f t="array" ref="G296">_FV(B296,"P/E",TRUE)</f>
        <v>145.74090000000001</v>
      </c>
      <c r="H296" s="28" cm="1">
        <f t="array" ref="H296">_FV(B296,"Price")</f>
        <v>113.37</v>
      </c>
      <c r="I296" s="32">
        <f t="shared" si="4"/>
        <v>6.4449339691899333E-4</v>
      </c>
    </row>
    <row r="297" spans="2:9" x14ac:dyDescent="0.55000000000000004">
      <c r="B297" s="24" t="e" vm="297">
        <v>#VALUE!</v>
      </c>
      <c r="C297" s="27" cm="1">
        <f t="array" ref="C297">_FV(B297,"Shares outstanding",TRUE)</f>
        <v>350341700</v>
      </c>
      <c r="D297" s="30" cm="1">
        <f t="array" ref="D297">_FV(B297,"Market cap",TRUE)</f>
        <v>25711577363</v>
      </c>
      <c r="E297" s="26" cm="1">
        <f t="array" ref="E297">_FV(B297,"Beta")</f>
        <v>1.119</v>
      </c>
      <c r="F297" t="str" cm="1">
        <f t="array" ref="F297">_FV(B297,"Industry")</f>
        <v>Machinery, Equipment &amp; Components</v>
      </c>
      <c r="G297" s="26" cm="1">
        <f t="array" ref="G297">_FV(B297,"P/E",TRUE)</f>
        <v>29.438400000000001</v>
      </c>
      <c r="H297" s="28" cm="1">
        <f t="array" ref="H297">_FV(B297,"Price")</f>
        <v>73.39</v>
      </c>
      <c r="I297" s="32">
        <f t="shared" si="4"/>
        <v>4.9829207129834711E-4</v>
      </c>
    </row>
    <row r="298" spans="2:9" x14ac:dyDescent="0.55000000000000004">
      <c r="B298" s="25" t="e" vm="298">
        <v>#VALUE!</v>
      </c>
      <c r="C298" s="27" cm="1">
        <f t="array" ref="C298">_FV(B298,"Shares outstanding",TRUE)</f>
        <v>358719200</v>
      </c>
      <c r="D298" s="30" cm="1">
        <f t="array" ref="D298">_FV(B298,"Market cap",TRUE)</f>
        <v>34241541236</v>
      </c>
      <c r="E298" s="26" cm="1">
        <f t="array" ref="E298">_FV(B298,"Beta")</f>
        <v>1</v>
      </c>
      <c r="F298" t="str" cm="1">
        <f t="array" ref="F298">_FV(B298,"Industry")</f>
        <v>Personal &amp; Household Products &amp; Services</v>
      </c>
      <c r="G298" s="26" cm="1">
        <f t="array" ref="G298">_FV(B298,"P/E",TRUE)</f>
        <v>87.887600000000006</v>
      </c>
      <c r="H298" s="28" cm="1">
        <f t="array" ref="H298">_FV(B298,"Price")</f>
        <v>95.454999999999998</v>
      </c>
      <c r="I298" s="32">
        <f t="shared" si="4"/>
        <v>6.6360333580651988E-4</v>
      </c>
    </row>
    <row r="299" spans="2:9" x14ac:dyDescent="0.55000000000000004">
      <c r="B299" s="24" t="e" vm="299">
        <v>#VALUE!</v>
      </c>
      <c r="C299" s="27" cm="1">
        <f t="array" ref="C299">_FV(B299,"Shares outstanding",TRUE)</f>
        <v>343451600</v>
      </c>
      <c r="D299" s="30" cm="1">
        <f t="array" ref="D299">_FV(B299,"Market cap",TRUE)</f>
        <v>21609974672</v>
      </c>
      <c r="E299" s="26" cm="1">
        <f t="array" ref="E299">_FV(B299,"Beta")</f>
        <v>1.3813</v>
      </c>
      <c r="F299" t="str" cm="1">
        <f t="array" ref="F299">_FV(B299,"Industry")</f>
        <v>Computers, Phones &amp; Household Electronics</v>
      </c>
      <c r="G299" s="26" cm="1">
        <f t="array" ref="G299">_FV(B299,"P/E",TRUE)</f>
        <v>0</v>
      </c>
      <c r="H299" s="28" cm="1">
        <f t="array" ref="H299">_FV(B299,"Price")</f>
        <v>62.92</v>
      </c>
      <c r="I299" s="32">
        <f t="shared" si="4"/>
        <v>4.1880273963710213E-4</v>
      </c>
    </row>
    <row r="300" spans="2:9" x14ac:dyDescent="0.55000000000000004">
      <c r="B300" s="25" t="e" vm="300">
        <v>#VALUE!</v>
      </c>
      <c r="C300" s="27" cm="1">
        <f t="array" ref="C300">_FV(B300,"Shares outstanding",TRUE)</f>
        <v>137457600</v>
      </c>
      <c r="D300" s="30" cm="1">
        <f t="array" ref="D300">_FV(B300,"Market cap",TRUE)</f>
        <v>25215909432</v>
      </c>
      <c r="E300" s="26" cm="1">
        <f t="array" ref="E300">_FV(B300,"Beta")</f>
        <v>1.2191000000000001</v>
      </c>
      <c r="F300" t="str" cm="1">
        <f t="array" ref="F300">_FV(B300,"Industry")</f>
        <v>Machinery, Equipment &amp; Components</v>
      </c>
      <c r="G300" s="26" cm="1">
        <f t="array" ref="G300">_FV(B300,"P/E",TRUE)</f>
        <v>17.211400000000001</v>
      </c>
      <c r="H300" s="28" cm="1">
        <f t="array" ref="H300">_FV(B300,"Price")</f>
        <v>183.44499999999999</v>
      </c>
      <c r="I300" s="32">
        <f t="shared" si="4"/>
        <v>4.8868599398433591E-4</v>
      </c>
    </row>
    <row r="301" spans="2:9" x14ac:dyDescent="0.55000000000000004">
      <c r="B301" s="24" t="e" vm="301">
        <v>#VALUE!</v>
      </c>
      <c r="C301" s="27" cm="1">
        <f t="array" ref="C301">_FV(B301,"Shares outstanding",TRUE)</f>
        <v>243845300</v>
      </c>
      <c r="D301" s="30" cm="1">
        <f t="array" ref="D301">_FV(B301,"Market cap",TRUE)</f>
        <v>26669360461</v>
      </c>
      <c r="E301" s="26" cm="1">
        <f t="array" ref="E301">_FV(B301,"Beta")</f>
        <v>0.61519999999999997</v>
      </c>
      <c r="F301" t="str" cm="1">
        <f t="array" ref="F301">_FV(B301,"Industry")</f>
        <v>Pharmaceuticals</v>
      </c>
      <c r="G301" s="26" cm="1">
        <f t="array" ref="G301">_FV(B301,"P/E",TRUE)</f>
        <v>31.4999</v>
      </c>
      <c r="H301" s="28" cm="1">
        <f t="array" ref="H301">_FV(B301,"Price")</f>
        <v>109.37</v>
      </c>
      <c r="I301" s="32">
        <f t="shared" si="4"/>
        <v>5.1685397113899079E-4</v>
      </c>
    </row>
    <row r="302" spans="2:9" x14ac:dyDescent="0.55000000000000004">
      <c r="B302" s="25" t="e" vm="302">
        <v>#VALUE!</v>
      </c>
      <c r="C302" s="27" cm="1">
        <f t="array" ref="C302">_FV(B302,"Shares outstanding",TRUE)</f>
        <v>194863000</v>
      </c>
      <c r="D302" s="30" cm="1">
        <f t="array" ref="D302">_FV(B302,"Market cap",TRUE)</f>
        <v>27528296010</v>
      </c>
      <c r="E302" s="26" cm="1">
        <f t="array" ref="E302">_FV(B302,"Beta")</f>
        <v>0.68899999999999995</v>
      </c>
      <c r="F302" t="str" cm="1">
        <f t="array" ref="F302">_FV(B302,"Industry")</f>
        <v>Water Utilities</v>
      </c>
      <c r="G302" s="26" cm="1">
        <f t="array" ref="G302">_FV(B302,"P/E",TRUE)</f>
        <v>28.658100000000001</v>
      </c>
      <c r="H302" s="28" cm="1">
        <f t="array" ref="H302">_FV(B302,"Price")</f>
        <v>141.27000000000001</v>
      </c>
      <c r="I302" s="32">
        <f t="shared" si="4"/>
        <v>5.3350019893670273E-4</v>
      </c>
    </row>
    <row r="303" spans="2:9" x14ac:dyDescent="0.55000000000000004">
      <c r="B303" s="24" t="e" vm="303">
        <v>#VALUE!</v>
      </c>
      <c r="C303" s="27" cm="1">
        <f t="array" ref="C303">_FV(B303,"Shares outstanding",TRUE)</f>
        <v>316079400</v>
      </c>
      <c r="D303" s="30" cm="1">
        <f t="array" ref="D303">_FV(B303,"Market cap",TRUE)</f>
        <v>29360615466</v>
      </c>
      <c r="E303" s="26" cm="1">
        <f t="array" ref="E303">_FV(B303,"Beta")</f>
        <v>0.43390000000000001</v>
      </c>
      <c r="F303" t="str" cm="1">
        <f t="array" ref="F303">_FV(B303,"Industry")</f>
        <v>Electrical Utilities &amp; IPPs</v>
      </c>
      <c r="G303" s="26" cm="1">
        <f t="array" ref="G303">_FV(B303,"P/E",TRUE)</f>
        <v>21.3948</v>
      </c>
      <c r="H303" s="28" cm="1">
        <f t="array" ref="H303">_FV(B303,"Price")</f>
        <v>92.89</v>
      </c>
      <c r="I303" s="32">
        <f t="shared" si="4"/>
        <v>5.6901067128618951E-4</v>
      </c>
    </row>
    <row r="304" spans="2:9" x14ac:dyDescent="0.55000000000000004">
      <c r="B304" s="25" t="e" vm="304">
        <v>#VALUE!</v>
      </c>
      <c r="C304" s="27" cm="1">
        <f t="array" ref="C304">_FV(B304,"Shares outstanding",TRUE)</f>
        <v>192213800</v>
      </c>
      <c r="D304" s="30" cm="1">
        <f t="array" ref="D304">_FV(B304,"Market cap",TRUE)</f>
        <v>34505260307</v>
      </c>
      <c r="E304" s="26" cm="1">
        <f t="array" ref="E304">_FV(B304,"Beta")</f>
        <v>1.0077</v>
      </c>
      <c r="F304" t="str" cm="1">
        <f t="array" ref="F304">_FV(B304,"Industry")</f>
        <v>Communications &amp; Networking</v>
      </c>
      <c r="G304" s="26" cm="1">
        <f t="array" ref="G304">_FV(B304,"P/E",TRUE)</f>
        <v>25.152999999999999</v>
      </c>
      <c r="H304" s="28" cm="1">
        <f t="array" ref="H304">_FV(B304,"Price")</f>
        <v>179.51499999999999</v>
      </c>
      <c r="I304" s="32">
        <f t="shared" si="4"/>
        <v>6.687142288596458E-4</v>
      </c>
    </row>
    <row r="305" spans="2:9" x14ac:dyDescent="0.55000000000000004">
      <c r="B305" s="24" t="e" vm="305">
        <v>#VALUE!</v>
      </c>
      <c r="C305" s="27" cm="1">
        <f t="array" ref="C305">_FV(B305,"Shares outstanding",TRUE)</f>
        <v>175282800</v>
      </c>
      <c r="D305" s="30" cm="1">
        <f t="array" ref="D305">_FV(B305,"Market cap",TRUE)</f>
        <v>28199496864</v>
      </c>
      <c r="E305" s="26" cm="1">
        <f t="array" ref="E305">_FV(B305,"Beta")</f>
        <v>0.85560000000000003</v>
      </c>
      <c r="F305" t="str" cm="1">
        <f t="array" ref="F305">_FV(B305,"Industry")</f>
        <v>Software &amp; IT Services</v>
      </c>
      <c r="G305" s="26" cm="1">
        <f t="array" ref="G305">_FV(B305,"P/E",TRUE)</f>
        <v>0</v>
      </c>
      <c r="H305" s="28" cm="1">
        <f t="array" ref="H305">_FV(B305,"Price")</f>
        <v>160.88</v>
      </c>
      <c r="I305" s="32">
        <f t="shared" si="4"/>
        <v>5.4650811591803008E-4</v>
      </c>
    </row>
    <row r="306" spans="2:9" x14ac:dyDescent="0.55000000000000004">
      <c r="B306" s="25" t="e" vm="306">
        <v>#VALUE!</v>
      </c>
      <c r="C306" s="27" cm="1">
        <f t="array" ref="C306">_FV(B306,"Shares outstanding",TRUE)</f>
        <v>255659200</v>
      </c>
      <c r="D306" s="30" cm="1">
        <f t="array" ref="D306">_FV(B306,"Market cap",TRUE)</f>
        <v>25770447360</v>
      </c>
      <c r="E306" s="26" cm="1">
        <f t="array" ref="E306">_FV(B306,"Beta")</f>
        <v>1.2345999999999999</v>
      </c>
      <c r="F306" t="str" cm="1">
        <f t="array" ref="F306">_FV(B306,"Industry")</f>
        <v>Food &amp; Tobacco</v>
      </c>
      <c r="G306" t="e" cm="1" vm="36">
        <f t="array" ref="G306">_FV(B306,"P/E",TRUE)</f>
        <v>#VALUE!</v>
      </c>
      <c r="H306" s="28" cm="1">
        <f t="array" ref="H306">_FV(B306,"Price")</f>
        <v>100.8</v>
      </c>
      <c r="I306" s="32">
        <f t="shared" si="4"/>
        <v>4.9943297573716507E-4</v>
      </c>
    </row>
    <row r="307" spans="2:9" x14ac:dyDescent="0.55000000000000004">
      <c r="B307" s="24" t="e" vm="307">
        <v>#VALUE!</v>
      </c>
      <c r="C307" s="27" cm="1">
        <f t="array" ref="C307">_FV(B307,"Shares outstanding",TRUE)</f>
        <v>676797400</v>
      </c>
      <c r="D307" s="30" cm="1">
        <f t="array" ref="D307">_FV(B307,"Market cap",TRUE)</f>
        <v>28442410735</v>
      </c>
      <c r="E307" s="26" cm="1">
        <f t="array" ref="E307">_FV(B307,"Beta")</f>
        <v>1.2386999999999999</v>
      </c>
      <c r="F307" t="str" cm="1">
        <f t="array" ref="F307">_FV(B307,"Industry")</f>
        <v>Banking Services</v>
      </c>
      <c r="G307" s="26" cm="1">
        <f t="array" ref="G307">_FV(B307,"P/E",TRUE)</f>
        <v>13.4476</v>
      </c>
      <c r="H307" s="28" cm="1">
        <f t="array" ref="H307">_FV(B307,"Price")</f>
        <v>42.024999999999999</v>
      </c>
      <c r="I307" s="32">
        <f t="shared" si="4"/>
        <v>5.5121580281793515E-4</v>
      </c>
    </row>
    <row r="308" spans="2:9" x14ac:dyDescent="0.55000000000000004">
      <c r="B308" s="25" t="e" vm="308">
        <v>#VALUE!</v>
      </c>
      <c r="C308" s="27" cm="1">
        <f t="array" ref="C308">_FV(B308,"Shares outstanding",TRUE)</f>
        <v>167000700</v>
      </c>
      <c r="D308" s="30" cm="1">
        <f t="array" ref="D308">_FV(B308,"Market cap",TRUE)</f>
        <v>27959257193</v>
      </c>
      <c r="E308" s="26" cm="1">
        <f t="array" ref="E308">_FV(B308,"Beta")</f>
        <v>0.74519999999999997</v>
      </c>
      <c r="F308" t="str" cm="1">
        <f t="array" ref="F308">_FV(B308,"Industry")</f>
        <v>Banking Services</v>
      </c>
      <c r="G308" s="26" cm="1">
        <f t="array" ref="G308">_FV(B308,"P/E",TRUE)</f>
        <v>12.5449</v>
      </c>
      <c r="H308" s="28" cm="1">
        <f t="array" ref="H308">_FV(B308,"Price")</f>
        <v>167.42</v>
      </c>
      <c r="I308" s="32">
        <f t="shared" si="4"/>
        <v>5.4185225519114643E-4</v>
      </c>
    </row>
    <row r="309" spans="2:9" x14ac:dyDescent="0.55000000000000004">
      <c r="B309" s="24" t="e" vm="309">
        <v>#VALUE!</v>
      </c>
      <c r="C309" s="27" cm="1">
        <f t="array" ref="C309">_FV(B309,"Shares outstanding",TRUE)</f>
        <v>325089200</v>
      </c>
      <c r="D309" s="30" cm="1">
        <f t="array" ref="D309">_FV(B309,"Market cap",TRUE)</f>
        <v>31953020000</v>
      </c>
      <c r="E309" s="26" cm="1">
        <f t="array" ref="E309">_FV(B309,"Beta")</f>
        <v>1.0647</v>
      </c>
      <c r="F309" t="str" cm="1">
        <f t="array" ref="F309">_FV(B309,"Industry")</f>
        <v>Chemicals</v>
      </c>
      <c r="G309" s="26" cm="1">
        <f t="array" ref="G309">_FV(B309,"P/E",TRUE)</f>
        <v>13.8096</v>
      </c>
      <c r="H309" s="28" cm="1">
        <f t="array" ref="H309">_FV(B309,"Price")</f>
        <v>98.144999999999996</v>
      </c>
      <c r="I309" s="32">
        <f t="shared" si="4"/>
        <v>6.1925164276190308E-4</v>
      </c>
    </row>
    <row r="310" spans="2:9" x14ac:dyDescent="0.55000000000000004">
      <c r="B310" s="25" t="e" vm="310">
        <v>#VALUE!</v>
      </c>
      <c r="C310" s="27" cm="1">
        <f t="array" ref="C310">_FV(B310,"Shares outstanding",TRUE)</f>
        <v>254437000</v>
      </c>
      <c r="D310" s="30" cm="1">
        <f t="array" ref="D310">_FV(B310,"Market cap",TRUE)</f>
        <v>28199252710</v>
      </c>
      <c r="E310" s="26" cm="1">
        <f t="array" ref="E310">_FV(B310,"Beta")</f>
        <v>0.98860000000000003</v>
      </c>
      <c r="F310" t="str" cm="1">
        <f t="array" ref="F310">_FV(B310,"Industry")</f>
        <v>Professional &amp; Commercial Services</v>
      </c>
      <c r="G310" s="26" cm="1">
        <f t="array" ref="G310">_FV(B310,"P/E",TRUE)</f>
        <v>20.280100000000001</v>
      </c>
      <c r="H310" s="28" cm="1">
        <f t="array" ref="H310">_FV(B310,"Price")</f>
        <v>110.83</v>
      </c>
      <c r="I310" s="32">
        <f t="shared" si="4"/>
        <v>5.4650338419734814E-4</v>
      </c>
    </row>
    <row r="311" spans="2:9" x14ac:dyDescent="0.55000000000000004">
      <c r="B311" s="24" t="e" vm="311">
        <v>#VALUE!</v>
      </c>
      <c r="C311" s="27" cm="1">
        <f t="array" ref="C311">_FV(B311,"Shares outstanding",TRUE)</f>
        <v>3077590</v>
      </c>
      <c r="D311" s="30" cm="1">
        <f t="array" ref="D311">_FV(B311,"Market cap",TRUE)</f>
        <v>28687080000</v>
      </c>
      <c r="E311" s="26" cm="1">
        <f t="array" ref="E311">_FV(B311,"Beta")</f>
        <v>1.1880999999999999</v>
      </c>
      <c r="F311" t="str" cm="1">
        <f t="array" ref="F311">_FV(B311,"Industry")</f>
        <v>Homebuilding &amp; Construction Supplies</v>
      </c>
      <c r="G311" s="26" cm="1">
        <f t="array" ref="G311">_FV(B311,"P/E",TRUE)</f>
        <v>19.264399999999998</v>
      </c>
      <c r="H311" s="28" cm="1">
        <f t="array" ref="H311">_FV(B311,"Price")</f>
        <v>9209.01</v>
      </c>
      <c r="I311" s="32">
        <f t="shared" si="4"/>
        <v>5.5595750936976017E-4</v>
      </c>
    </row>
    <row r="312" spans="2:9" x14ac:dyDescent="0.55000000000000004">
      <c r="B312" s="25" t="e" vm="312">
        <v>#VALUE!</v>
      </c>
      <c r="C312" s="27" cm="1">
        <f t="array" ref="C312">_FV(B312,"Shares outstanding",TRUE)</f>
        <v>72541590</v>
      </c>
      <c r="D312" s="30" cm="1">
        <f t="array" ref="D312">_FV(B312,"Market cap",TRUE)</f>
        <v>22017823396</v>
      </c>
      <c r="E312" s="26" cm="1">
        <f t="array" ref="E312">_FV(B312,"Beta")</f>
        <v>1.0072000000000001</v>
      </c>
      <c r="F312" t="str" cm="1">
        <f t="array" ref="F312">_FV(B312,"Industry")</f>
        <v>Healthcare Equipment &amp; Supplies</v>
      </c>
      <c r="G312" s="26" cm="1">
        <f t="array" ref="G312">_FV(B312,"P/E",TRUE)</f>
        <v>43.04</v>
      </c>
      <c r="H312" s="28" cm="1">
        <f t="array" ref="H312">_FV(B312,"Price")</f>
        <v>303.52</v>
      </c>
      <c r="I312" s="32">
        <f t="shared" si="4"/>
        <v>4.2670687490617361E-4</v>
      </c>
    </row>
    <row r="313" spans="2:9" x14ac:dyDescent="0.55000000000000004">
      <c r="B313" s="24" t="e" vm="313">
        <v>#VALUE!</v>
      </c>
      <c r="C313" s="27" cm="1">
        <f t="array" ref="C313">_FV(B313,"Shares outstanding",TRUE)</f>
        <v>173500000</v>
      </c>
      <c r="D313" s="30" cm="1">
        <f t="array" ref="D313">_FV(B313,"Market cap",TRUE)</f>
        <v>26861270000</v>
      </c>
      <c r="E313" s="26" cm="1">
        <f t="array" ref="E313">_FV(B313,"Beta")</f>
        <v>0.97289999999999999</v>
      </c>
      <c r="F313" t="str" cm="1">
        <f t="array" ref="F313">_FV(B313,"Industry")</f>
        <v>Electronic Equipment &amp; Parts</v>
      </c>
      <c r="G313" s="26" cm="1">
        <f t="array" ref="G313">_FV(B313,"P/E",TRUE)</f>
        <v>29.908200000000001</v>
      </c>
      <c r="H313" s="28" cm="1">
        <f t="array" ref="H313">_FV(B313,"Price")</f>
        <v>154.82</v>
      </c>
      <c r="I313" s="32">
        <f t="shared" si="4"/>
        <v>5.2057319070845335E-4</v>
      </c>
    </row>
    <row r="314" spans="2:9" x14ac:dyDescent="0.55000000000000004">
      <c r="B314" s="25" t="e" vm="314">
        <v>#VALUE!</v>
      </c>
      <c r="C314" s="27" cm="1">
        <f t="array" ref="C314">_FV(B314,"Shares outstanding",TRUE)</f>
        <v>207524000</v>
      </c>
      <c r="D314" s="30" cm="1">
        <f t="array" ref="D314">_FV(B314,"Market cap",TRUE)</f>
        <v>27963859000</v>
      </c>
      <c r="E314" s="26" cm="1">
        <f t="array" ref="E314">_FV(B314,"Beta")</f>
        <v>1.6309</v>
      </c>
      <c r="F314" t="str" cm="1">
        <f t="array" ref="F314">_FV(B314,"Industry")</f>
        <v>Homebuilding &amp; Construction Supplies</v>
      </c>
      <c r="G314" s="26" cm="1">
        <f t="array" ref="G314">_FV(B314,"P/E",TRUE)</f>
        <v>10.299300000000001</v>
      </c>
      <c r="H314" s="28" cm="1">
        <f t="array" ref="H314">_FV(B314,"Price")</f>
        <v>134.75</v>
      </c>
      <c r="I314" s="32">
        <f t="shared" si="4"/>
        <v>5.4194143851542763E-4</v>
      </c>
    </row>
    <row r="315" spans="2:9" x14ac:dyDescent="0.55000000000000004">
      <c r="B315" s="24" t="e" vm="315">
        <v>#VALUE!</v>
      </c>
      <c r="C315" s="27" cm="1">
        <f t="array" ref="C315">_FV(B315,"Shares outstanding",TRUE)</f>
        <v>116708800</v>
      </c>
      <c r="D315" s="30" cm="1">
        <f t="array" ref="D315">_FV(B315,"Market cap",TRUE)</f>
        <v>24395650000</v>
      </c>
      <c r="E315" s="26" cm="1">
        <f t="array" ref="E315">_FV(B315,"Beta")</f>
        <v>1.0569</v>
      </c>
      <c r="F315" t="str" cm="1">
        <f t="array" ref="F315">_FV(B315,"Industry")</f>
        <v>Professional &amp; Commercial Services</v>
      </c>
      <c r="G315" s="26" cm="1">
        <f t="array" ref="G315">_FV(B315,"P/E",TRUE)</f>
        <v>35.834499999999998</v>
      </c>
      <c r="H315" s="28" cm="1">
        <f t="array" ref="H315">_FV(B315,"Price")</f>
        <v>210.14</v>
      </c>
      <c r="I315" s="32">
        <f t="shared" si="4"/>
        <v>4.7278931189428795E-4</v>
      </c>
    </row>
    <row r="316" spans="2:9" x14ac:dyDescent="0.55000000000000004">
      <c r="B316" s="25" t="e" vm="316">
        <v>#VALUE!</v>
      </c>
      <c r="C316" s="27" cm="1">
        <f t="array" ref="C316">_FV(B316,"Shares outstanding",TRUE)</f>
        <v>379086900</v>
      </c>
      <c r="D316" s="30" cm="1">
        <f t="array" ref="D316">_FV(B316,"Market cap",TRUE)</f>
        <v>27815501287</v>
      </c>
      <c r="E316" s="26" cm="1">
        <f t="array" ref="E316">_FV(B316,"Beta")</f>
        <v>0.90859999999999996</v>
      </c>
      <c r="F316" t="str" cm="1">
        <f t="array" ref="F316">_FV(B316,"Industry")</f>
        <v>Residential &amp; Commercial REIT</v>
      </c>
      <c r="G316" s="26" cm="1">
        <f t="array" ref="G316">_FV(B316,"P/E",TRUE)</f>
        <v>29.3185</v>
      </c>
      <c r="H316" s="28" cm="1">
        <f t="array" ref="H316">_FV(B316,"Price")</f>
        <v>73.375</v>
      </c>
      <c r="I316" s="32">
        <f t="shared" si="4"/>
        <v>5.390662562168014E-4</v>
      </c>
    </row>
    <row r="317" spans="2:9" x14ac:dyDescent="0.55000000000000004">
      <c r="B317" s="24" t="e" vm="317">
        <v>#VALUE!</v>
      </c>
      <c r="C317" s="27" cm="1">
        <f t="array" ref="C317">_FV(B317,"Shares outstanding",TRUE)</f>
        <v>163176100</v>
      </c>
      <c r="D317" s="30" cm="1">
        <f t="array" ref="D317">_FV(B317,"Market cap",TRUE)</f>
        <v>21785641111</v>
      </c>
      <c r="E317" s="26" cm="1">
        <f t="array" ref="E317">_FV(B317,"Beta")</f>
        <v>1.4938</v>
      </c>
      <c r="F317" t="str" cm="1">
        <f t="array" ref="F317">_FV(B317,"Industry")</f>
        <v>Semiconductors &amp; Semiconductor Equipment</v>
      </c>
      <c r="G317" s="26" cm="1">
        <f t="array" ref="G317">_FV(B317,"P/E",TRUE)</f>
        <v>44.746499999999997</v>
      </c>
      <c r="H317" s="28" cm="1">
        <f t="array" ref="H317">_FV(B317,"Price")</f>
        <v>133.51</v>
      </c>
      <c r="I317" s="32">
        <f t="shared" si="4"/>
        <v>4.2220716685333661E-4</v>
      </c>
    </row>
    <row r="318" spans="2:9" x14ac:dyDescent="0.55000000000000004">
      <c r="B318" s="25" t="e" vm="318">
        <v>#VALUE!</v>
      </c>
      <c r="C318" s="27" cm="1">
        <f t="array" ref="C318">_FV(B318,"Shares outstanding",TRUE)</f>
        <v>207020100</v>
      </c>
      <c r="D318" s="30" cm="1">
        <f t="array" ref="D318">_FV(B318,"Market cap",TRUE)</f>
        <v>25833003178</v>
      </c>
      <c r="E318" s="26" cm="1">
        <f t="array" ref="E318">_FV(B318,"Beta")</f>
        <v>0.68669999999999998</v>
      </c>
      <c r="F318" t="str" cm="1">
        <f t="array" ref="F318">_FV(B318,"Industry")</f>
        <v>Electrical Utilities &amp; IPPs</v>
      </c>
      <c r="G318" s="26" cm="1">
        <f t="array" ref="G318">_FV(B318,"P/E",TRUE)</f>
        <v>18.470700000000001</v>
      </c>
      <c r="H318" s="28" cm="1">
        <f t="array" ref="H318">_FV(B318,"Price")</f>
        <v>124.785</v>
      </c>
      <c r="I318" s="32">
        <f t="shared" si="4"/>
        <v>5.0064531163094954E-4</v>
      </c>
    </row>
    <row r="319" spans="2:9" x14ac:dyDescent="0.55000000000000004">
      <c r="B319" s="24" t="e" vm="319">
        <v>#VALUE!</v>
      </c>
      <c r="C319" s="27" cm="1">
        <f t="array" ref="C319">_FV(B319,"Shares outstanding",TRUE)</f>
        <v>213808600</v>
      </c>
      <c r="D319" s="30" cm="1">
        <f t="array" ref="D319">_FV(B319,"Market cap",TRUE)</f>
        <v>25566163345</v>
      </c>
      <c r="E319" s="26" cm="1">
        <f t="array" ref="E319">_FV(B319,"Beta")</f>
        <v>0.72299999999999998</v>
      </c>
      <c r="F319" t="str" cm="1">
        <f t="array" ref="F319">_FV(B319,"Industry")</f>
        <v>Electrical Utilities &amp; IPPs</v>
      </c>
      <c r="G319" s="26" cm="1">
        <f t="array" ref="G319">_FV(B319,"P/E",TRUE)</f>
        <v>14.2112</v>
      </c>
      <c r="H319" s="28" cm="1">
        <f t="array" ref="H319">_FV(B319,"Price")</f>
        <v>119.575</v>
      </c>
      <c r="I319" s="32">
        <f t="shared" si="4"/>
        <v>4.9547393800368174E-4</v>
      </c>
    </row>
    <row r="320" spans="2:9" x14ac:dyDescent="0.55000000000000004">
      <c r="B320" s="25" t="e" vm="320">
        <v>#VALUE!</v>
      </c>
      <c r="C320" s="27" cm="1">
        <f t="array" ref="C320">_FV(B320,"Shares outstanding",TRUE)</f>
        <v>575940400</v>
      </c>
      <c r="D320" s="30" cm="1">
        <f t="array" ref="D320">_FV(B320,"Market cap",TRUE)</f>
        <v>40575001180</v>
      </c>
      <c r="E320" s="26" cm="1">
        <f t="array" ref="E320">_FV(B320,"Beta")</f>
        <v>0.95899999999999996</v>
      </c>
      <c r="F320" t="str" cm="1">
        <f t="array" ref="F320">_FV(B320,"Industry")</f>
        <v>Investment Banking &amp; Investment Services</v>
      </c>
      <c r="G320" s="26" cm="1">
        <f t="array" ref="G320">_FV(B320,"P/E",TRUE)</f>
        <v>40.428699999999999</v>
      </c>
      <c r="H320" s="28" cm="1">
        <f t="array" ref="H320">_FV(B320,"Price")</f>
        <v>70.45</v>
      </c>
      <c r="I320" s="32">
        <f t="shared" si="4"/>
        <v>7.8634620877091293E-4</v>
      </c>
    </row>
    <row r="321" spans="2:9" x14ac:dyDescent="0.55000000000000004">
      <c r="B321" s="24" t="e" vm="321">
        <v>#VALUE!</v>
      </c>
      <c r="C321" s="27" cm="1">
        <f t="array" ref="C321">_FV(B321,"Shares outstanding",TRUE)</f>
        <v>205943400</v>
      </c>
      <c r="D321" s="30" cm="1">
        <f t="array" ref="D321">_FV(B321,"Market cap",TRUE)</f>
        <v>24356925918</v>
      </c>
      <c r="E321" s="26" cm="1">
        <f t="array" ref="E321">_FV(B321,"Beta")</f>
        <v>1.03</v>
      </c>
      <c r="F321" t="str" cm="1">
        <f t="array" ref="F321">_FV(B321,"Industry")</f>
        <v>Investment Banking &amp; Investment Services</v>
      </c>
      <c r="G321" s="26" cm="1">
        <f t="array" ref="G321">_FV(B321,"P/E",TRUE)</f>
        <v>13.179399999999999</v>
      </c>
      <c r="H321" s="28" cm="1">
        <f t="array" ref="H321">_FV(B321,"Price")</f>
        <v>118.27</v>
      </c>
      <c r="I321" s="32">
        <f t="shared" si="4"/>
        <v>4.7203883662174886E-4</v>
      </c>
    </row>
    <row r="322" spans="2:9" x14ac:dyDescent="0.55000000000000004">
      <c r="B322" s="25" t="e" vm="322">
        <v>#VALUE!</v>
      </c>
      <c r="C322" s="27" cm="1">
        <f t="array" ref="C322">_FV(B322,"Shares outstanding",TRUE)</f>
        <v>203652400</v>
      </c>
      <c r="D322" s="30" cm="1">
        <f t="array" ref="D322">_FV(B322,"Market cap",TRUE)</f>
        <v>23464829528</v>
      </c>
      <c r="E322" s="26" cm="1">
        <f t="array" ref="E322">_FV(B322,"Beta")</f>
        <v>1.03</v>
      </c>
      <c r="F322" t="str" cm="1">
        <f t="array" ref="F322">_FV(B322,"Industry")</f>
        <v>Healthcare Equipment &amp; Supplies</v>
      </c>
      <c r="G322" s="26" cm="1">
        <f t="array" ref="G322">_FV(B322,"P/E",TRUE)</f>
        <v>23.9756</v>
      </c>
      <c r="H322" s="28" cm="1">
        <f t="array" ref="H322">_FV(B322,"Price")</f>
        <v>115.22</v>
      </c>
      <c r="I322" s="32">
        <f t="shared" si="4"/>
        <v>4.5474994953034206E-4</v>
      </c>
    </row>
    <row r="323" spans="2:9" x14ac:dyDescent="0.55000000000000004">
      <c r="B323" s="24" t="e" vm="323">
        <v>#VALUE!</v>
      </c>
      <c r="C323" s="27" cm="1">
        <f t="array" ref="C323">_FV(B323,"Shares outstanding",TRUE)</f>
        <v>214944000</v>
      </c>
      <c r="D323" s="30" cm="1">
        <f t="array" ref="D323">_FV(B323,"Market cap",TRUE)</f>
        <v>20703406080</v>
      </c>
      <c r="E323" s="26" cm="1">
        <f t="array" ref="E323">_FV(B323,"Beta")</f>
        <v>0.8851</v>
      </c>
      <c r="F323" t="str" cm="1">
        <f t="array" ref="F323">_FV(B323,"Industry")</f>
        <v>Diversified Retail</v>
      </c>
      <c r="G323" s="26" cm="1">
        <f t="array" ref="G323">_FV(B323,"P/E",TRUE)</f>
        <v>0</v>
      </c>
      <c r="H323" s="28" cm="1">
        <f t="array" ref="H323">_FV(B323,"Price")</f>
        <v>96.32</v>
      </c>
      <c r="I323" s="32">
        <f t="shared" ref="I323:I386" si="5">D323/$D$504</f>
        <v>4.0123338031293357E-4</v>
      </c>
    </row>
    <row r="324" spans="2:9" x14ac:dyDescent="0.55000000000000004">
      <c r="B324" s="25" t="e" vm="324">
        <v>#VALUE!</v>
      </c>
      <c r="C324" s="27" cm="1">
        <f t="array" ref="C324">_FV(B324,"Shares outstanding",TRUE)</f>
        <v>247106400</v>
      </c>
      <c r="D324" s="30" cm="1">
        <f t="array" ref="D324">_FV(B324,"Market cap",TRUE)</f>
        <v>27507884448</v>
      </c>
      <c r="E324" s="26" cm="1">
        <f t="array" ref="E324">_FV(B324,"Beta")</f>
        <v>0.70799999999999996</v>
      </c>
      <c r="F324" t="str" cm="1">
        <f t="array" ref="F324">_FV(B324,"Industry")</f>
        <v>Professional &amp; Commercial Services</v>
      </c>
      <c r="G324" s="26" cm="1">
        <f t="array" ref="G324">_FV(B324,"P/E",TRUE)</f>
        <v>34.962000000000003</v>
      </c>
      <c r="H324" s="28" cm="1">
        <f t="array" ref="H324">_FV(B324,"Price")</f>
        <v>111.32</v>
      </c>
      <c r="I324" s="32">
        <f t="shared" si="5"/>
        <v>5.3310462151397913E-4</v>
      </c>
    </row>
    <row r="325" spans="2:9" x14ac:dyDescent="0.55000000000000004">
      <c r="B325" s="24" t="e" vm="325">
        <v>#VALUE!</v>
      </c>
      <c r="C325" s="27" cm="1">
        <f t="array" ref="C325">_FV(B325,"Shares outstanding",TRUE)</f>
        <v>298620000</v>
      </c>
      <c r="D325" s="30" cm="1">
        <f t="array" ref="D325">_FV(B325,"Market cap",TRUE)</f>
        <v>25284155400</v>
      </c>
      <c r="E325" s="26" cm="1">
        <f t="array" ref="E325">_FV(B325,"Beta")</f>
        <v>1.4973000000000001</v>
      </c>
      <c r="F325" t="str" cm="1">
        <f t="array" ref="F325">_FV(B325,"Industry")</f>
        <v>Investment Banking &amp; Investment Services</v>
      </c>
      <c r="G325" s="26" cm="1">
        <f t="array" ref="G325">_FV(B325,"P/E",TRUE)</f>
        <v>15.772</v>
      </c>
      <c r="H325" s="28" cm="1">
        <f t="array" ref="H325">_FV(B325,"Price")</f>
        <v>84.67</v>
      </c>
      <c r="I325" s="32">
        <f t="shared" si="5"/>
        <v>4.9000860536178566E-4</v>
      </c>
    </row>
    <row r="326" spans="2:9" x14ac:dyDescent="0.55000000000000004">
      <c r="B326" s="25" t="e" vm="326">
        <v>#VALUE!</v>
      </c>
      <c r="C326" s="27" cm="1">
        <f t="array" ref="C326">_FV(B326,"Shares outstanding",TRUE)</f>
        <v>285261000</v>
      </c>
      <c r="D326" s="30" cm="1">
        <f t="array" ref="D326">_FV(B326,"Market cap",TRUE)</f>
        <v>29169363555</v>
      </c>
      <c r="E326" s="26" cm="1">
        <f t="array" ref="E326">_FV(B326,"Beta")</f>
        <v>0.82540000000000002</v>
      </c>
      <c r="F326" t="str" cm="1">
        <f t="array" ref="F326">_FV(B326,"Industry")</f>
        <v>Insurance</v>
      </c>
      <c r="G326" s="26" cm="1">
        <f t="array" ref="G326">_FV(B326,"P/E",TRUE)</f>
        <v>29.3569</v>
      </c>
      <c r="H326" s="28" cm="1">
        <f t="array" ref="H326">_FV(B326,"Price")</f>
        <v>102.255</v>
      </c>
      <c r="I326" s="32">
        <f t="shared" si="5"/>
        <v>5.6530419659089925E-4</v>
      </c>
    </row>
    <row r="327" spans="2:9" x14ac:dyDescent="0.55000000000000004">
      <c r="B327" s="24" t="e" vm="327">
        <v>#VALUE!</v>
      </c>
      <c r="C327" s="27" cm="1">
        <f t="array" ref="C327">_FV(B327,"Shares outstanding",TRUE)</f>
        <v>98616740</v>
      </c>
      <c r="D327" s="30" cm="1">
        <f t="array" ref="D327">_FV(B327,"Market cap",TRUE)</f>
        <v>23348499362</v>
      </c>
      <c r="E327" s="26" cm="1">
        <f t="array" ref="E327">_FV(B327,"Beta")</f>
        <v>0.83499999999999996</v>
      </c>
      <c r="F327" t="str" cm="1">
        <f t="array" ref="F327">_FV(B327,"Industry")</f>
        <v>Healthcare Equipment &amp; Supplies</v>
      </c>
      <c r="G327" s="26" cm="1">
        <f t="array" ref="G327">_FV(B327,"P/E",TRUE)</f>
        <v>41.248199999999997</v>
      </c>
      <c r="H327" s="28" cm="1">
        <f t="array" ref="H327">_FV(B327,"Price")</f>
        <v>236.76</v>
      </c>
      <c r="I327" s="32">
        <f t="shared" si="5"/>
        <v>4.5249546321267115E-4</v>
      </c>
    </row>
    <row r="328" spans="2:9" x14ac:dyDescent="0.55000000000000004">
      <c r="B328" s="25" t="e" vm="328">
        <v>#VALUE!</v>
      </c>
      <c r="C328" s="27" cm="1">
        <f t="array" ref="C328">_FV(B328,"Shares outstanding",TRUE)</f>
        <v>727315000</v>
      </c>
      <c r="D328" s="30" cm="1">
        <f t="array" ref="D328">_FV(B328,"Market cap",TRUE)</f>
        <v>22808600000</v>
      </c>
      <c r="E328" s="26" cm="1">
        <f t="array" ref="E328">_FV(B328,"Beta")</f>
        <v>1.4118999999999999</v>
      </c>
      <c r="F328" t="str" cm="1">
        <f t="array" ref="F328">_FV(B328,"Industry")</f>
        <v>Residential &amp; Commercial REIT</v>
      </c>
      <c r="G328" s="26" cm="1">
        <f t="array" ref="G328">_FV(B328,"P/E",TRUE)</f>
        <v>30.802399999999999</v>
      </c>
      <c r="H328" s="28" cm="1">
        <f t="array" ref="H328">_FV(B328,"Price")</f>
        <v>31.14</v>
      </c>
      <c r="I328" s="32">
        <f t="shared" si="5"/>
        <v>4.4203217783793651E-4</v>
      </c>
    </row>
    <row r="329" spans="2:9" x14ac:dyDescent="0.55000000000000004">
      <c r="B329" s="24" t="e" vm="329">
        <v>#VALUE!</v>
      </c>
      <c r="C329" s="27" cm="1">
        <f t="array" ref="C329">_FV(B329,"Shares outstanding",TRUE)</f>
        <v>53680930</v>
      </c>
      <c r="D329" s="30" cm="1">
        <f t="array" ref="D329">_FV(B329,"Market cap",TRUE)</f>
        <v>20718423338</v>
      </c>
      <c r="E329" s="26" cm="1">
        <f t="array" ref="E329">_FV(B329,"Beta")</f>
        <v>0.8962</v>
      </c>
      <c r="F329" t="str" cm="1">
        <f t="array" ref="F329">_FV(B329,"Industry")</f>
        <v>Machinery, Equipment &amp; Components</v>
      </c>
      <c r="G329" s="26" cm="1">
        <f t="array" ref="G329">_FV(B329,"P/E",TRUE)</f>
        <v>28.521100000000001</v>
      </c>
      <c r="H329" s="28" cm="1">
        <f t="array" ref="H329">_FV(B329,"Price")</f>
        <v>385.95499999999998</v>
      </c>
      <c r="I329" s="32">
        <f t="shared" si="5"/>
        <v>4.0152441576705587E-4</v>
      </c>
    </row>
    <row r="330" spans="2:9" x14ac:dyDescent="0.55000000000000004">
      <c r="B330" s="25" t="e" vm="330">
        <v>#VALUE!</v>
      </c>
      <c r="C330" s="27" cm="1">
        <f t="array" ref="C330">_FV(B330,"Shares outstanding",TRUE)</f>
        <v>75574340</v>
      </c>
      <c r="D330" s="30" cm="1">
        <f t="array" ref="D330">_FV(B330,"Market cap",TRUE)</f>
        <v>27246061056</v>
      </c>
      <c r="E330" s="26" cm="1">
        <f t="array" ref="E330">_FV(B330,"Beta")</f>
        <v>0.93310000000000004</v>
      </c>
      <c r="F330" t="str" cm="1">
        <f t="array" ref="F330">_FV(B330,"Industry")</f>
        <v>Aerospace &amp; Defense</v>
      </c>
      <c r="G330" s="26" cm="1">
        <f t="array" ref="G330">_FV(B330,"P/E",TRUE)</f>
        <v>97.888800000000003</v>
      </c>
      <c r="H330" s="28" cm="1">
        <f t="array" ref="H330">_FV(B330,"Price")</f>
        <v>360.52</v>
      </c>
      <c r="I330" s="32">
        <f t="shared" si="5"/>
        <v>5.2803046684535954E-4</v>
      </c>
    </row>
    <row r="331" spans="2:9" x14ac:dyDescent="0.55000000000000004">
      <c r="B331" s="24" t="e" vm="331">
        <v>#VALUE!</v>
      </c>
      <c r="C331" s="27" cm="1">
        <f t="array" ref="C331">_FV(B331,"Shares outstanding",TRUE)</f>
        <v>107472500</v>
      </c>
      <c r="D331" s="30" cm="1">
        <f t="array" ref="D331">_FV(B331,"Market cap",TRUE)</f>
        <v>24426340000</v>
      </c>
      <c r="E331" s="26" cm="1">
        <f t="array" ref="E331">_FV(B331,"Beta")</f>
        <v>0.66090000000000004</v>
      </c>
      <c r="F331" t="str" cm="1">
        <f t="array" ref="F331">_FV(B331,"Industry")</f>
        <v>Residential &amp; Commercial REIT</v>
      </c>
      <c r="G331" s="26" cm="1">
        <f t="array" ref="G331">_FV(B331,"P/E",TRUE)</f>
        <v>47.882800000000003</v>
      </c>
      <c r="H331" s="28" cm="1">
        <f t="array" ref="H331">_FV(B331,"Price")</f>
        <v>227.81</v>
      </c>
      <c r="I331" s="32">
        <f t="shared" si="5"/>
        <v>4.7338408612584298E-4</v>
      </c>
    </row>
    <row r="332" spans="2:9" x14ac:dyDescent="0.55000000000000004">
      <c r="B332" s="25" t="e" vm="332">
        <v>#VALUE!</v>
      </c>
      <c r="C332" s="27" cm="1">
        <f t="array" ref="C332">_FV(B332,"Shares outstanding",TRUE)</f>
        <v>737740800</v>
      </c>
      <c r="D332" s="30" cm="1">
        <f t="array" ref="D332">_FV(B332,"Market cap",TRUE)</f>
        <v>23530242816</v>
      </c>
      <c r="E332" s="26" cm="1">
        <f t="array" ref="E332">_FV(B332,"Beta")</f>
        <v>0.83630000000000004</v>
      </c>
      <c r="F332" t="str" cm="1">
        <f t="array" ref="F332">_FV(B332,"Industry")</f>
        <v>Multiline Utilities</v>
      </c>
      <c r="G332" s="26" cm="1">
        <f t="array" ref="G332">_FV(B332,"P/E",TRUE)</f>
        <v>27.950700000000001</v>
      </c>
      <c r="H332" s="28" cm="1">
        <f t="array" ref="H332">_FV(B332,"Price")</f>
        <v>31.895</v>
      </c>
      <c r="I332" s="32">
        <f t="shared" si="5"/>
        <v>4.5601766338187967E-4</v>
      </c>
    </row>
    <row r="333" spans="2:9" x14ac:dyDescent="0.55000000000000004">
      <c r="B333" s="24" t="e" vm="333">
        <v>#VALUE!</v>
      </c>
      <c r="C333" s="27" cm="1">
        <f t="array" ref="C333">_FV(B333,"Shares outstanding",TRUE)</f>
        <v>120135200</v>
      </c>
      <c r="D333" s="30" cm="1">
        <f t="array" ref="D333">_FV(B333,"Market cap",TRUE)</f>
        <v>21301180000</v>
      </c>
      <c r="E333" s="26" cm="1">
        <f t="array" ref="E333">_FV(B333,"Beta")</f>
        <v>1.1771</v>
      </c>
      <c r="F333" t="str" cm="1">
        <f t="array" ref="F333">_FV(B333,"Industry")</f>
        <v>Software &amp; IT Services</v>
      </c>
      <c r="G333" s="26" cm="1">
        <f t="array" ref="G333">_FV(B333,"P/E",TRUE)</f>
        <v>72.350800000000007</v>
      </c>
      <c r="H333" s="28" cm="1">
        <f t="array" ref="H333">_FV(B333,"Price")</f>
        <v>176.28</v>
      </c>
      <c r="I333" s="32">
        <f t="shared" si="5"/>
        <v>4.1281827845277209E-4</v>
      </c>
    </row>
    <row r="334" spans="2:9" x14ac:dyDescent="0.55000000000000004">
      <c r="B334" s="25" t="e" vm="334">
        <v>#VALUE!</v>
      </c>
      <c r="C334" s="27" cm="1">
        <f t="array" ref="C334">_FV(B334,"Shares outstanding",TRUE)</f>
        <v>612594100</v>
      </c>
      <c r="D334" s="30" cm="1">
        <f t="array" ref="D334">_FV(B334,"Market cap",TRUE)</f>
        <v>21866546399</v>
      </c>
      <c r="E334" s="26" cm="1">
        <f t="array" ref="E334">_FV(B334,"Beta")</f>
        <v>1.0039</v>
      </c>
      <c r="F334" t="str" cm="1">
        <f t="array" ref="F334">_FV(B334,"Industry")</f>
        <v>Residential &amp; Commercial REIT</v>
      </c>
      <c r="G334" s="26" cm="1">
        <f t="array" ref="G334">_FV(B334,"P/E",TRUE)</f>
        <v>46.597099999999998</v>
      </c>
      <c r="H334" s="28" cm="1">
        <f t="array" ref="H334">_FV(B334,"Price")</f>
        <v>35.695</v>
      </c>
      <c r="I334" s="32">
        <f t="shared" si="5"/>
        <v>4.237751166903825E-4</v>
      </c>
    </row>
    <row r="335" spans="2:9" x14ac:dyDescent="0.55000000000000004">
      <c r="B335" s="24" t="e" vm="335">
        <v>#VALUE!</v>
      </c>
      <c r="C335" s="27" cm="1">
        <f t="array" ref="C335">_FV(B335,"Shares outstanding",TRUE)</f>
        <v>209988500</v>
      </c>
      <c r="D335" s="30" cm="1">
        <f t="array" ref="D335">_FV(B335,"Market cap",TRUE)</f>
        <v>22023593880</v>
      </c>
      <c r="E335" s="26" cm="1">
        <f t="array" ref="E335">_FV(B335,"Beta")</f>
        <v>1.0628</v>
      </c>
      <c r="F335" t="str" cm="1">
        <f t="array" ref="F335">_FV(B335,"Industry")</f>
        <v>Computers, Phones &amp; Household Electronics</v>
      </c>
      <c r="G335" s="26" cm="1">
        <f t="array" ref="G335">_FV(B335,"P/E",TRUE)</f>
        <v>71.362200000000001</v>
      </c>
      <c r="H335" s="28" cm="1">
        <f t="array" ref="H335">_FV(B335,"Price")</f>
        <v>104.88</v>
      </c>
      <c r="I335" s="32">
        <f t="shared" si="5"/>
        <v>4.2681870726807655E-4</v>
      </c>
    </row>
    <row r="336" spans="2:9" x14ac:dyDescent="0.55000000000000004">
      <c r="B336" s="25" t="e" vm="336">
        <v>#VALUE!</v>
      </c>
      <c r="C336" s="27" cm="1">
        <f t="array" ref="C336">_FV(B336,"Shares outstanding",TRUE)</f>
        <v>352255200</v>
      </c>
      <c r="D336" s="30" cm="1">
        <f t="array" ref="D336">_FV(B336,"Market cap",TRUE)</f>
        <v>23646891576</v>
      </c>
      <c r="E336" s="26" cm="1">
        <f t="array" ref="E336">_FV(B336,"Beta")</f>
        <v>0.61880000000000002</v>
      </c>
      <c r="F336" t="str" cm="1">
        <f t="array" ref="F336">_FV(B336,"Industry")</f>
        <v>Electrical Utilities &amp; IPPs</v>
      </c>
      <c r="G336" t="e" cm="1" vm="36">
        <f t="array" ref="G336">_FV(B336,"P/E",TRUE)</f>
        <v>#VALUE!</v>
      </c>
      <c r="H336" s="28" cm="1">
        <f t="array" ref="H336">_FV(B336,"Price")</f>
        <v>67.13</v>
      </c>
      <c r="I336" s="32">
        <f t="shared" si="5"/>
        <v>4.5827832407236021E-4</v>
      </c>
    </row>
    <row r="337" spans="2:9" x14ac:dyDescent="0.55000000000000004">
      <c r="B337" s="24" t="e" vm="337">
        <v>#VALUE!</v>
      </c>
      <c r="C337" s="27" cm="1">
        <f t="array" ref="C337">_FV(B337,"Shares outstanding",TRUE)</f>
        <v>413153800</v>
      </c>
      <c r="D337" s="30" cm="1">
        <f t="array" ref="D337">_FV(B337,"Market cap",TRUE)</f>
        <v>24739649544</v>
      </c>
      <c r="E337" s="26" cm="1">
        <f t="array" ref="E337">_FV(B337,"Beta")</f>
        <v>1.3835</v>
      </c>
      <c r="F337" t="str" cm="1">
        <f t="array" ref="F337">_FV(B337,"Industry")</f>
        <v>Residential &amp; Commercial REIT</v>
      </c>
      <c r="G337" t="e" cm="1" vm="36">
        <f t="array" ref="G337">_FV(B337,"P/E",TRUE)</f>
        <v>#VALUE!</v>
      </c>
      <c r="H337" s="28" cm="1">
        <f t="array" ref="H337">_FV(B337,"Price")</f>
        <v>59.88</v>
      </c>
      <c r="I337" s="32">
        <f t="shared" si="5"/>
        <v>4.7945604582839952E-4</v>
      </c>
    </row>
    <row r="338" spans="2:9" x14ac:dyDescent="0.55000000000000004">
      <c r="B338" s="25" t="e" vm="338">
        <v>#VALUE!</v>
      </c>
      <c r="C338" s="27" cm="1">
        <f t="array" ref="C338">_FV(B338,"Shares outstanding",TRUE)</f>
        <v>739274500</v>
      </c>
      <c r="D338" s="30" cm="1">
        <f t="array" ref="D338">_FV(B338,"Market cap",TRUE)</f>
        <v>17960673977</v>
      </c>
      <c r="E338" s="26" cm="1">
        <f t="array" ref="E338">_FV(B338,"Beta")</f>
        <v>0.20930000000000001</v>
      </c>
      <c r="F338" t="str" cm="1">
        <f t="array" ref="F338">_FV(B338,"Industry")</f>
        <v>Oil &amp; Gas</v>
      </c>
      <c r="G338" s="26" cm="1">
        <f t="array" ref="G338">_FV(B338,"P/E",TRUE)</f>
        <v>14.0122</v>
      </c>
      <c r="H338" s="28" cm="1">
        <f t="array" ref="H338">_FV(B338,"Price")</f>
        <v>24.295000000000002</v>
      </c>
      <c r="I338" s="32">
        <f t="shared" si="5"/>
        <v>3.480790505989172E-4</v>
      </c>
    </row>
    <row r="339" spans="2:9" x14ac:dyDescent="0.55000000000000004">
      <c r="B339" s="24" t="e" vm="339">
        <v>#VALUE!</v>
      </c>
      <c r="C339" s="27" cm="1">
        <f t="array" ref="C339">_FV(B339,"Shares outstanding",TRUE)</f>
        <v>42672660</v>
      </c>
      <c r="D339" s="30" cm="1">
        <f t="array" ref="D339">_FV(B339,"Market cap",TRUE)</f>
        <v>24518003529</v>
      </c>
      <c r="E339" s="26" cm="1">
        <f t="array" ref="E339">_FV(B339,"Beta")</f>
        <v>0.77649999999999997</v>
      </c>
      <c r="F339" t="str" cm="1">
        <f t="array" ref="F339">_FV(B339,"Industry")</f>
        <v>Software &amp; IT Services</v>
      </c>
      <c r="G339" s="26" cm="1">
        <f t="array" ref="G339">_FV(B339,"P/E",TRUE)</f>
        <v>118.4447</v>
      </c>
      <c r="H339" s="28" cm="1">
        <f t="array" ref="H339">_FV(B339,"Price")</f>
        <v>574.55999999999995</v>
      </c>
      <c r="I339" s="32">
        <f t="shared" si="5"/>
        <v>4.7516053138562135E-4</v>
      </c>
    </row>
    <row r="340" spans="2:9" x14ac:dyDescent="0.55000000000000004">
      <c r="B340" s="25" t="e" vm="340">
        <v>#VALUE!</v>
      </c>
      <c r="C340" s="27" cm="1">
        <f t="array" ref="C340">_FV(B340,"Shares outstanding",TRUE)</f>
        <v>575922400</v>
      </c>
      <c r="D340" s="30" cm="1">
        <f t="array" ref="D340">_FV(B340,"Market cap",TRUE)</f>
        <v>25038226340</v>
      </c>
      <c r="E340" s="26" cm="1">
        <f t="array" ref="E340">_FV(B340,"Beta")</f>
        <v>0.48849999999999999</v>
      </c>
      <c r="F340" t="str" cm="1">
        <f t="array" ref="F340">_FV(B340,"Industry")</f>
        <v>Electrical Utilities &amp; IPPs</v>
      </c>
      <c r="G340" s="26" cm="1">
        <f t="array" ref="G340">_FV(B340,"P/E",TRUE)</f>
        <v>27.765599999999999</v>
      </c>
      <c r="H340" s="28" cm="1">
        <f t="array" ref="H340">_FV(B340,"Price")</f>
        <v>43.475000000000001</v>
      </c>
      <c r="I340" s="32">
        <f t="shared" si="5"/>
        <v>4.8524248389946714E-4</v>
      </c>
    </row>
    <row r="341" spans="2:9" x14ac:dyDescent="0.55000000000000004">
      <c r="B341" s="24" t="e" vm="341">
        <v>#VALUE!</v>
      </c>
      <c r="C341" s="27" cm="1">
        <f t="array" ref="C341">_FV(B341,"Shares outstanding",TRUE)</f>
        <v>265760100</v>
      </c>
      <c r="D341" s="30" cm="1">
        <f t="array" ref="D341">_FV(B341,"Market cap",TRUE)</f>
        <v>19260963247</v>
      </c>
      <c r="E341" s="26" cm="1">
        <f t="array" ref="E341">_FV(B341,"Beta")</f>
        <v>1.7948999999999999</v>
      </c>
      <c r="F341" t="str" cm="1">
        <f t="array" ref="F341">_FV(B341,"Industry")</f>
        <v>Automobiles &amp; Auto Parts</v>
      </c>
      <c r="G341" s="26" cm="1">
        <f t="array" ref="G341">_FV(B341,"P/E",TRUE)</f>
        <v>5.4599000000000002</v>
      </c>
      <c r="H341" s="28" cm="1">
        <f t="array" ref="H341">_FV(B341,"Price")</f>
        <v>72.474999999999994</v>
      </c>
      <c r="I341" s="32">
        <f t="shared" si="5"/>
        <v>3.732787427254572E-4</v>
      </c>
    </row>
    <row r="342" spans="2:9" x14ac:dyDescent="0.55000000000000004">
      <c r="B342" s="25" t="e" vm="342">
        <v>#VALUE!</v>
      </c>
      <c r="C342" s="27" cm="1">
        <f t="array" ref="C342">_FV(B342,"Shares outstanding",TRUE)</f>
        <v>134713700</v>
      </c>
      <c r="D342" s="30" cm="1">
        <f t="array" ref="D342">_FV(B342,"Market cap",TRUE)</f>
        <v>20891400596</v>
      </c>
      <c r="E342" s="26" cm="1">
        <f t="array" ref="E342">_FV(B342,"Beta")</f>
        <v>0.70020000000000004</v>
      </c>
      <c r="F342" t="str" cm="1">
        <f t="array" ref="F342">_FV(B342,"Industry")</f>
        <v>Software &amp; IT Services</v>
      </c>
      <c r="G342" s="26" cm="1">
        <f t="array" ref="G342">_FV(B342,"P/E",TRUE)</f>
        <v>49.4908</v>
      </c>
      <c r="H342" s="28" cm="1">
        <f t="array" ref="H342">_FV(B342,"Price")</f>
        <v>155.08000000000001</v>
      </c>
      <c r="I342" s="32">
        <f t="shared" si="5"/>
        <v>4.0487672647749733E-4</v>
      </c>
    </row>
    <row r="343" spans="2:9" x14ac:dyDescent="0.55000000000000004">
      <c r="B343" s="24" t="e" vm="343">
        <v>#VALUE!</v>
      </c>
      <c r="C343" s="27" cm="1">
        <f t="array" ref="C343">_FV(B343,"Shares outstanding",TRUE)</f>
        <v>651721200</v>
      </c>
      <c r="D343" s="30" cm="1">
        <f t="array" ref="D343">_FV(B343,"Market cap",TRUE)</f>
        <v>17635575672</v>
      </c>
      <c r="E343" s="26" cm="1">
        <f t="array" ref="E343">_FV(B343,"Beta")</f>
        <v>0.91559999999999997</v>
      </c>
      <c r="F343" t="str" cm="1">
        <f t="array" ref="F343">_FV(B343,"Industry")</f>
        <v>Multiline Utilities</v>
      </c>
      <c r="G343" s="26" cm="1">
        <f t="array" ref="G343">_FV(B343,"P/E",TRUE)</f>
        <v>16.564499999999999</v>
      </c>
      <c r="H343" s="28" cm="1">
        <f t="array" ref="H343">_FV(B343,"Price")</f>
        <v>27.06</v>
      </c>
      <c r="I343" s="32">
        <f t="shared" si="5"/>
        <v>3.4177862392781192E-4</v>
      </c>
    </row>
    <row r="344" spans="2:9" x14ac:dyDescent="0.55000000000000004">
      <c r="B344" s="25" t="e" vm="344">
        <v>#VALUE!</v>
      </c>
      <c r="C344" s="27" cm="1">
        <f t="array" ref="C344">_FV(B344,"Shares outstanding",TRUE)</f>
        <v>139317700</v>
      </c>
      <c r="D344" s="30" cm="1">
        <f t="array" ref="D344">_FV(B344,"Market cap",TRUE)</f>
        <v>19812380000</v>
      </c>
      <c r="E344" s="26" cm="1">
        <f t="array" ref="E344">_FV(B344,"Beta")</f>
        <v>0.91610000000000003</v>
      </c>
      <c r="F344" t="str" cm="1">
        <f t="array" ref="F344">_FV(B344,"Industry")</f>
        <v>Automobiles &amp; Auto Parts</v>
      </c>
      <c r="G344" s="26" cm="1">
        <f t="array" ref="G344">_FV(B344,"P/E",TRUE)</f>
        <v>16.4451</v>
      </c>
      <c r="H344" s="28" cm="1">
        <f t="array" ref="H344">_FV(B344,"Price")</f>
        <v>142.85</v>
      </c>
      <c r="I344" s="32">
        <f t="shared" si="5"/>
        <v>3.83965235900177E-4</v>
      </c>
    </row>
    <row r="345" spans="2:9" x14ac:dyDescent="0.55000000000000004">
      <c r="B345" s="24" t="e" vm="345">
        <v>#VALUE!</v>
      </c>
      <c r="C345" s="27" cm="1">
        <f t="array" ref="C345">_FV(B345,"Shares outstanding",TRUE)</f>
        <v>303565400</v>
      </c>
      <c r="D345" s="30" cm="1">
        <f t="array" ref="D345">_FV(B345,"Market cap",TRUE)</f>
        <v>19561754376</v>
      </c>
      <c r="E345" s="26" cm="1">
        <f t="array" ref="E345">_FV(B345,"Beta")</f>
        <v>0.87619999999999998</v>
      </c>
      <c r="F345" t="str" cm="1">
        <f t="array" ref="F345">_FV(B345,"Industry")</f>
        <v>Containers &amp; Packaging</v>
      </c>
      <c r="G345" s="26" cm="1">
        <f t="array" ref="G345">_FV(B345,"P/E",TRUE)</f>
        <v>34.3827</v>
      </c>
      <c r="H345" s="28" cm="1">
        <f t="array" ref="H345">_FV(B345,"Price")</f>
        <v>64.44</v>
      </c>
      <c r="I345" s="32">
        <f t="shared" si="5"/>
        <v>3.7910809471664481E-4</v>
      </c>
    </row>
    <row r="346" spans="2:9" x14ac:dyDescent="0.55000000000000004">
      <c r="B346" s="25" t="e" vm="346">
        <v>#VALUE!</v>
      </c>
      <c r="C346" s="27" cm="1">
        <f t="array" ref="C346">_FV(B346,"Shares outstanding",TRUE)</f>
        <v>154302500</v>
      </c>
      <c r="D346" s="30" cm="1">
        <f t="array" ref="D346">_FV(B346,"Market cap",TRUE)</f>
        <v>19013154050</v>
      </c>
      <c r="E346" s="26" cm="1">
        <f t="array" ref="E346">_FV(B346,"Beta")</f>
        <v>1.3324</v>
      </c>
      <c r="F346" t="str" cm="1">
        <f t="array" ref="F346">_FV(B346,"Industry")</f>
        <v>Metals &amp; Mining</v>
      </c>
      <c r="G346" s="26" cm="1">
        <f t="array" ref="G346">_FV(B346,"P/E",TRUE)</f>
        <v>9.6931999999999992</v>
      </c>
      <c r="H346" s="28" cm="1">
        <f t="array" ref="H346">_FV(B346,"Price")</f>
        <v>123.22</v>
      </c>
      <c r="I346" s="32">
        <f t="shared" si="5"/>
        <v>3.6847618408362124E-4</v>
      </c>
    </row>
    <row r="347" spans="2:9" x14ac:dyDescent="0.55000000000000004">
      <c r="B347" s="24" t="e" vm="347">
        <v>#VALUE!</v>
      </c>
      <c r="C347" s="27" cm="1">
        <f t="array" ref="C347">_FV(B347,"Shares outstanding",TRUE)</f>
        <v>47716370</v>
      </c>
      <c r="D347" s="30" cm="1">
        <f t="array" ref="D347">_FV(B347,"Market cap",TRUE)</f>
        <v>17927994536</v>
      </c>
      <c r="E347" s="26" cm="1">
        <f t="array" ref="E347">_FV(B347,"Beta")</f>
        <v>1.3178000000000001</v>
      </c>
      <c r="F347" t="str" cm="1">
        <f t="array" ref="F347">_FV(B347,"Industry")</f>
        <v>Specialty Retailers</v>
      </c>
      <c r="G347" s="26" cm="1">
        <f t="array" ref="G347">_FV(B347,"P/E",TRUE)</f>
        <v>14.776199999999999</v>
      </c>
      <c r="H347" s="28" cm="1">
        <f t="array" ref="H347">_FV(B347,"Price")</f>
        <v>375.72</v>
      </c>
      <c r="I347" s="32">
        <f t="shared" si="5"/>
        <v>3.4744572086908913E-4</v>
      </c>
    </row>
    <row r="348" spans="2:9" x14ac:dyDescent="0.55000000000000004">
      <c r="B348" s="25" t="e" vm="348">
        <v>#VALUE!</v>
      </c>
      <c r="C348" s="27" cm="1">
        <f t="array" ref="C348">_FV(B348,"Shares outstanding",TRUE)</f>
        <v>34973170</v>
      </c>
      <c r="D348" s="30" cm="1">
        <f t="array" ref="D348">_FV(B348,"Market cap",TRUE)</f>
        <v>14967103843</v>
      </c>
      <c r="E348" s="26" cm="1">
        <f t="array" ref="E348">_FV(B348,"Beta")</f>
        <v>0.86219999999999997</v>
      </c>
      <c r="F348" t="str" cm="1">
        <f t="array" ref="F348">_FV(B348,"Industry")</f>
        <v>Hotels &amp; Entertainment Services</v>
      </c>
      <c r="G348" s="26" cm="1">
        <f t="array" ref="G348">_FV(B348,"P/E",TRUE)</f>
        <v>26.270800000000001</v>
      </c>
      <c r="H348" s="28" cm="1">
        <f t="array" ref="H348">_FV(B348,"Price")</f>
        <v>427.95960000000002</v>
      </c>
      <c r="I348" s="32">
        <f t="shared" si="5"/>
        <v>2.9006346323964816E-4</v>
      </c>
    </row>
    <row r="349" spans="2:9" x14ac:dyDescent="0.55000000000000004">
      <c r="B349" s="24" t="e" vm="349">
        <v>#VALUE!</v>
      </c>
      <c r="C349" s="27" cm="1">
        <f t="array" ref="C349">_FV(B349,"Shares outstanding",TRUE)</f>
        <v>116454400</v>
      </c>
      <c r="D349" s="30" cm="1">
        <f t="array" ref="D349">_FV(B349,"Market cap",TRUE)</f>
        <v>20573998848</v>
      </c>
      <c r="E349" s="26" cm="1">
        <f t="array" ref="E349">_FV(B349,"Beta")</f>
        <v>2.0670000000000002</v>
      </c>
      <c r="F349" t="str" cm="1">
        <f t="array" ref="F349">_FV(B349,"Industry")</f>
        <v>Homebuilding &amp; Construction Supplies</v>
      </c>
      <c r="G349" s="26" cm="1">
        <f t="array" ref="G349">_FV(B349,"P/E",TRUE)</f>
        <v>15.8306</v>
      </c>
      <c r="H349" s="28" cm="1">
        <f t="array" ref="H349">_FV(B349,"Price")</f>
        <v>176.67</v>
      </c>
      <c r="I349" s="32">
        <f t="shared" si="5"/>
        <v>3.9872545959053328E-4</v>
      </c>
    </row>
    <row r="350" spans="2:9" x14ac:dyDescent="0.55000000000000004">
      <c r="B350" s="25" t="e" vm="350">
        <v>#VALUE!</v>
      </c>
      <c r="C350" s="27" cm="1">
        <f t="array" ref="C350">_FV(B350,"Shares outstanding",TRUE)</f>
        <v>80519050</v>
      </c>
      <c r="D350" s="30" cm="1">
        <f t="array" ref="D350">_FV(B350,"Market cap",TRUE)</f>
        <v>17644139426</v>
      </c>
      <c r="E350" s="26" cm="1">
        <f t="array" ref="E350">_FV(B350,"Beta")</f>
        <v>0.89339999999999997</v>
      </c>
      <c r="F350" t="str" cm="1">
        <f t="array" ref="F350">_FV(B350,"Industry")</f>
        <v>Containers &amp; Packaging</v>
      </c>
      <c r="G350" s="26" cm="1">
        <f t="array" ref="G350">_FV(B350,"P/E",TRUE)</f>
        <v>28.120899999999999</v>
      </c>
      <c r="H350" s="28" cm="1">
        <f t="array" ref="H350">_FV(B350,"Price")</f>
        <v>219.13</v>
      </c>
      <c r="I350" s="32">
        <f t="shared" si="5"/>
        <v>3.4194459004721812E-4</v>
      </c>
    </row>
    <row r="351" spans="2:9" x14ac:dyDescent="0.55000000000000004">
      <c r="B351" s="24" t="e" vm="351">
        <v>#VALUE!</v>
      </c>
      <c r="C351" s="27" cm="1">
        <f t="array" ref="C351">_FV(B351,"Shares outstanding",TRUE)</f>
        <v>64210490</v>
      </c>
      <c r="D351" s="30" cm="1">
        <f t="array" ref="D351">_FV(B351,"Market cap",TRUE)</f>
        <v>18886231423</v>
      </c>
      <c r="E351" s="26" cm="1">
        <f t="array" ref="E351">_FV(B351,"Beta")</f>
        <v>0.89349999999999996</v>
      </c>
      <c r="F351" t="str" cm="1">
        <f t="array" ref="F351">_FV(B351,"Industry")</f>
        <v>Residential &amp; Commercial REIT</v>
      </c>
      <c r="G351" s="26" cm="1">
        <f t="array" ref="G351">_FV(B351,"P/E",TRUE)</f>
        <v>36.674700000000001</v>
      </c>
      <c r="H351" s="28" cm="1">
        <f t="array" ref="H351">_FV(B351,"Price")</f>
        <v>294.13</v>
      </c>
      <c r="I351" s="32">
        <f t="shared" si="5"/>
        <v>3.6601641517059185E-4</v>
      </c>
    </row>
    <row r="352" spans="2:9" x14ac:dyDescent="0.55000000000000004">
      <c r="B352" s="25" t="e" vm="352">
        <v>#VALUE!</v>
      </c>
      <c r="C352" s="27" cm="1">
        <f t="array" ref="C352">_FV(B352,"Shares outstanding",TRUE)</f>
        <v>118463800</v>
      </c>
      <c r="D352" s="30" cm="1">
        <f t="array" ref="D352">_FV(B352,"Market cap",TRUE)</f>
        <v>18473244972</v>
      </c>
      <c r="E352" s="26" cm="1">
        <f t="array" ref="E352">_FV(B352,"Beta")</f>
        <v>1.2996000000000001</v>
      </c>
      <c r="F352" t="str" cm="1">
        <f t="array" ref="F352">_FV(B352,"Industry")</f>
        <v>Hotels &amp; Entertainment Services</v>
      </c>
      <c r="G352" s="26" cm="1">
        <f t="array" ref="G352">_FV(B352,"P/E",TRUE)</f>
        <v>18.048999999999999</v>
      </c>
      <c r="H352" s="28" cm="1">
        <f t="array" ref="H352">_FV(B352,"Price")</f>
        <v>155.94</v>
      </c>
      <c r="I352" s="32">
        <f t="shared" si="5"/>
        <v>3.5801271041216345E-4</v>
      </c>
    </row>
    <row r="353" spans="2:9" x14ac:dyDescent="0.55000000000000004">
      <c r="B353" s="24" t="e" vm="353">
        <v>#VALUE!</v>
      </c>
      <c r="C353" s="27" cm="1">
        <f t="array" ref="C353">_FV(B353,"Shares outstanding",TRUE)</f>
        <v>69432950</v>
      </c>
      <c r="D353" s="30" cm="1">
        <f t="array" ref="D353">_FV(B353,"Market cap",TRUE)</f>
        <v>20898623620</v>
      </c>
      <c r="E353" s="26" cm="1">
        <f t="array" ref="E353">_FV(B353,"Beta")</f>
        <v>1.2199</v>
      </c>
      <c r="F353" t="str" cm="1">
        <f t="array" ref="F353">_FV(B353,"Industry")</f>
        <v>Professional &amp; Commercial Services</v>
      </c>
      <c r="G353" s="26" cm="1">
        <f t="array" ref="G353">_FV(B353,"P/E",TRUE)</f>
        <v>21.633900000000001</v>
      </c>
      <c r="H353" s="28" cm="1">
        <f t="array" ref="H353">_FV(B353,"Price")</f>
        <v>300.99</v>
      </c>
      <c r="I353" s="32">
        <f t="shared" si="5"/>
        <v>4.0501670916075254E-4</v>
      </c>
    </row>
    <row r="354" spans="2:9" x14ac:dyDescent="0.55000000000000004">
      <c r="B354" s="25" t="e" vm="354">
        <v>#VALUE!</v>
      </c>
      <c r="C354" s="27" cm="1">
        <f t="array" ref="C354">_FV(B354,"Shares outstanding",TRUE)</f>
        <v>266816700</v>
      </c>
      <c r="D354" s="30" cm="1">
        <f t="array" ref="D354">_FV(B354,"Market cap",TRUE)</f>
        <v>22031054919</v>
      </c>
      <c r="E354" s="26" cm="1">
        <f t="array" ref="E354">_FV(B354,"Beta")</f>
        <v>0.4582</v>
      </c>
      <c r="F354" t="str" cm="1">
        <f t="array" ref="F354">_FV(B354,"Industry")</f>
        <v>Multiline Utilities</v>
      </c>
      <c r="G354" s="26" cm="1">
        <f t="array" ref="G354">_FV(B354,"P/E",TRUE)</f>
        <v>18.6934</v>
      </c>
      <c r="H354" s="28" cm="1">
        <f t="array" ref="H354">_FV(B354,"Price")</f>
        <v>82.57</v>
      </c>
      <c r="I354" s="32">
        <f t="shared" si="5"/>
        <v>4.2696330269778745E-4</v>
      </c>
    </row>
    <row r="355" spans="2:9" x14ac:dyDescent="0.55000000000000004">
      <c r="B355" s="24" t="e" vm="355">
        <v>#VALUE!</v>
      </c>
      <c r="C355" s="27" cm="1">
        <f t="array" ref="C355">_FV(B355,"Shares outstanding",TRUE)</f>
        <v>46784210</v>
      </c>
      <c r="D355" s="30" cm="1">
        <f t="array" ref="D355">_FV(B355,"Market cap",TRUE)</f>
        <v>19797674145</v>
      </c>
      <c r="E355" s="26" cm="1">
        <f t="array" ref="E355">_FV(B355,"Beta")</f>
        <v>1.0145</v>
      </c>
      <c r="F355" t="str" cm="1">
        <f t="array" ref="F355">_FV(B355,"Industry")</f>
        <v>Electronic Equipment &amp; Parts</v>
      </c>
      <c r="G355" s="26" cm="1">
        <f t="array" ref="G355">_FV(B355,"P/E",TRUE)</f>
        <v>23.001000000000001</v>
      </c>
      <c r="H355" s="28" cm="1">
        <f t="array" ref="H355">_FV(B355,"Price")</f>
        <v>423.17</v>
      </c>
      <c r="I355" s="32">
        <f t="shared" si="5"/>
        <v>3.8368023545680831E-4</v>
      </c>
    </row>
    <row r="356" spans="2:9" x14ac:dyDescent="0.55000000000000004">
      <c r="B356" s="25" t="e" vm="356">
        <v>#VALUE!</v>
      </c>
      <c r="C356" s="27" cm="1">
        <f t="array" ref="C356">_FV(B356,"Shares outstanding",TRUE)</f>
        <v>199119900</v>
      </c>
      <c r="D356" s="30" cm="1">
        <f t="array" ref="D356">_FV(B356,"Market cap",TRUE)</f>
        <v>18902452107</v>
      </c>
      <c r="E356" s="26" cm="1">
        <f t="array" ref="E356">_FV(B356,"Beta")</f>
        <v>0.97150000000000003</v>
      </c>
      <c r="F356" t="str" cm="1">
        <f t="array" ref="F356">_FV(B356,"Industry")</f>
        <v>Healthcare Equipment &amp; Supplies</v>
      </c>
      <c r="G356" s="26" cm="1">
        <f t="array" ref="G356">_FV(B356,"P/E",TRUE)</f>
        <v>68.423699999999997</v>
      </c>
      <c r="H356" s="28" cm="1">
        <f t="array" ref="H356">_FV(B356,"Price")</f>
        <v>94.93</v>
      </c>
      <c r="I356" s="32">
        <f t="shared" si="5"/>
        <v>3.6633077310025612E-4</v>
      </c>
    </row>
    <row r="357" spans="2:9" x14ac:dyDescent="0.55000000000000004">
      <c r="B357" s="24" t="e" vm="357">
        <v>#VALUE!</v>
      </c>
      <c r="C357" s="27" cm="1">
        <f t="array" ref="C357">_FV(B357,"Shares outstanding",TRUE)</f>
        <v>141127900</v>
      </c>
      <c r="D357" s="30" cm="1">
        <f t="array" ref="D357">_FV(B357,"Market cap",TRUE)</f>
        <v>17365780000</v>
      </c>
      <c r="E357" s="26" cm="1">
        <f t="array" ref="E357">_FV(B357,"Beta")</f>
        <v>0.95930000000000004</v>
      </c>
      <c r="F357" t="str" cm="1">
        <f t="array" ref="F357">_FV(B357,"Industry")</f>
        <v>Freight &amp; Logistics Services</v>
      </c>
      <c r="G357" s="26" cm="1">
        <f t="array" ref="G357">_FV(B357,"P/E",TRUE)</f>
        <v>26.3355</v>
      </c>
      <c r="H357" s="28" cm="1">
        <f t="array" ref="H357">_FV(B357,"Price")</f>
        <v>122.24</v>
      </c>
      <c r="I357" s="32">
        <f t="shared" si="5"/>
        <v>3.3654996594505941E-4</v>
      </c>
    </row>
    <row r="358" spans="2:9" x14ac:dyDescent="0.55000000000000004">
      <c r="B358" s="25" t="e" vm="358">
        <v>#VALUE!</v>
      </c>
      <c r="C358" s="27" cm="1">
        <f t="array" ref="C358">_FV(B358,"Shares outstanding",TRUE)</f>
        <v>174926100</v>
      </c>
      <c r="D358" s="30" cm="1">
        <f t="array" ref="D358">_FV(B358,"Market cap",TRUE)</f>
        <v>21251771889</v>
      </c>
      <c r="E358" s="26" cm="1">
        <f t="array" ref="E358">_FV(B358,"Beta")</f>
        <v>1.1746000000000001</v>
      </c>
      <c r="F358" t="str" cm="1">
        <f t="array" ref="F358">_FV(B358,"Industry")</f>
        <v>Residential &amp; Commercial REIT</v>
      </c>
      <c r="G358" s="26" cm="1">
        <f t="array" ref="G358">_FV(B358,"P/E",TRUE)</f>
        <v>151.1225</v>
      </c>
      <c r="H358" s="28" cm="1">
        <f t="array" ref="H358">_FV(B358,"Price")</f>
        <v>121.49</v>
      </c>
      <c r="I358" s="32">
        <f t="shared" si="5"/>
        <v>4.1186074599097305E-4</v>
      </c>
    </row>
    <row r="359" spans="2:9" x14ac:dyDescent="0.55000000000000004">
      <c r="B359" s="24" t="e" vm="359">
        <v>#VALUE!</v>
      </c>
      <c r="C359" s="27" cm="1">
        <f t="array" ref="C359">_FV(B359,"Shares outstanding",TRUE)</f>
        <v>195648800</v>
      </c>
      <c r="D359" s="30" cm="1">
        <f t="array" ref="D359">_FV(B359,"Market cap",TRUE)</f>
        <v>19263590000</v>
      </c>
      <c r="E359" s="26" cm="1">
        <f t="array" ref="E359">_FV(B359,"Beta")</f>
        <v>0.96319999999999995</v>
      </c>
      <c r="F359" t="str" cm="1">
        <f t="array" ref="F359">_FV(B359,"Industry")</f>
        <v>Media &amp; Publishing</v>
      </c>
      <c r="G359" s="26" cm="1">
        <f t="array" ref="G359">_FV(B359,"P/E",TRUE)</f>
        <v>13.7021</v>
      </c>
      <c r="H359" s="28" cm="1">
        <f t="array" ref="H359">_FV(B359,"Price")</f>
        <v>99.204999999999998</v>
      </c>
      <c r="I359" s="32">
        <f t="shared" si="5"/>
        <v>3.7332964937247776E-4</v>
      </c>
    </row>
    <row r="360" spans="2:9" x14ac:dyDescent="0.55000000000000004">
      <c r="B360" s="25" t="e" vm="360">
        <v>#VALUE!</v>
      </c>
      <c r="C360" s="27" cm="1">
        <f t="array" ref="C360">_FV(B360,"Shares outstanding",TRUE)</f>
        <v>206379800</v>
      </c>
      <c r="D360" s="30" cm="1">
        <f t="array" ref="D360">_FV(B360,"Market cap",TRUE)</f>
        <v>17232720000</v>
      </c>
      <c r="E360" s="26" cm="1">
        <f t="array" ref="E360">_FV(B360,"Beta")</f>
        <v>1.0841000000000001</v>
      </c>
      <c r="F360" t="str" cm="1">
        <f t="array" ref="F360">_FV(B360,"Industry")</f>
        <v>Electrical Utilities &amp; IPPs</v>
      </c>
      <c r="G360" s="26" cm="1">
        <f t="array" ref="G360">_FV(B360,"P/E",TRUE)</f>
        <v>9.1241000000000003</v>
      </c>
      <c r="H360" s="28" cm="1">
        <f t="array" ref="H360">_FV(B360,"Price")</f>
        <v>83.81</v>
      </c>
      <c r="I360" s="32">
        <f t="shared" si="5"/>
        <v>3.3397125433702048E-4</v>
      </c>
    </row>
    <row r="361" spans="2:9" x14ac:dyDescent="0.55000000000000004">
      <c r="B361" s="24" t="e" vm="361">
        <v>#VALUE!</v>
      </c>
      <c r="C361" s="27" cm="1">
        <f t="array" ref="C361">_FV(B361,"Shares outstanding",TRUE)</f>
        <v>215713700</v>
      </c>
      <c r="D361" s="30" cm="1">
        <f t="array" ref="D361">_FV(B361,"Market cap",TRUE)</f>
        <v>19015170000</v>
      </c>
      <c r="E361" s="26" cm="1">
        <f t="array" ref="E361">_FV(B361,"Beta")</f>
        <v>1.4725999999999999</v>
      </c>
      <c r="F361" t="str" cm="1">
        <f t="array" ref="F361">_FV(B361,"Industry")</f>
        <v>Specialty Retailers</v>
      </c>
      <c r="G361" s="26" cm="1">
        <f t="array" ref="G361">_FV(B361,"P/E",TRUE)</f>
        <v>15.457800000000001</v>
      </c>
      <c r="H361" s="28" cm="1">
        <f t="array" ref="H361">_FV(B361,"Price")</f>
        <v>88.545000000000002</v>
      </c>
      <c r="I361" s="32">
        <f t="shared" si="5"/>
        <v>3.6851525332806906E-4</v>
      </c>
    </row>
    <row r="362" spans="2:9" x14ac:dyDescent="0.55000000000000004">
      <c r="B362" s="25" t="e" vm="362">
        <v>#VALUE!</v>
      </c>
      <c r="C362" s="27" cm="1">
        <f t="array" ref="C362">_FV(B362,"Shares outstanding",TRUE)</f>
        <v>104634100</v>
      </c>
      <c r="D362" s="30" cm="1">
        <f t="array" ref="D362">_FV(B362,"Market cap",TRUE)</f>
        <v>22403207151</v>
      </c>
      <c r="E362" s="26" cm="1">
        <f t="array" ref="E362">_FV(B362,"Beta")</f>
        <v>0.67059999999999997</v>
      </c>
      <c r="F362" t="str" cm="1">
        <f t="array" ref="F362">_FV(B362,"Industry")</f>
        <v>Investment Banking &amp; Investment Services</v>
      </c>
      <c r="G362" s="26" cm="1">
        <f t="array" ref="G362">_FV(B362,"P/E",TRUE)</f>
        <v>107.48090000000001</v>
      </c>
      <c r="H362" s="28" cm="1">
        <f t="array" ref="H362">_FV(B362,"Price")</f>
        <v>214.11</v>
      </c>
      <c r="I362" s="32">
        <f t="shared" si="5"/>
        <v>4.3417563758893415E-4</v>
      </c>
    </row>
    <row r="363" spans="2:9" x14ac:dyDescent="0.55000000000000004">
      <c r="B363" s="24" t="e" vm="363">
        <v>#VALUE!</v>
      </c>
      <c r="C363" s="27" cm="1">
        <f t="array" ref="C363">_FV(B363,"Shares outstanding",TRUE)</f>
        <v>395226700</v>
      </c>
      <c r="D363" s="30" cm="1">
        <f t="array" ref="D363">_FV(B363,"Market cap",TRUE)</f>
        <v>19255444824</v>
      </c>
      <c r="E363" s="26" cm="1">
        <f t="array" ref="E363">_FV(B363,"Beta")</f>
        <v>1.6126</v>
      </c>
      <c r="F363" t="str" cm="1">
        <f t="array" ref="F363">_FV(B363,"Industry")</f>
        <v>Banking Services</v>
      </c>
      <c r="G363" s="26" cm="1">
        <f t="array" ref="G363">_FV(B363,"P/E",TRUE)</f>
        <v>6.7481999999999998</v>
      </c>
      <c r="H363" s="28" cm="1">
        <f t="array" ref="H363">_FV(B363,"Price")</f>
        <v>48.72</v>
      </c>
      <c r="I363" s="32">
        <f t="shared" si="5"/>
        <v>3.7317179532241973E-4</v>
      </c>
    </row>
    <row r="364" spans="2:9" x14ac:dyDescent="0.55000000000000004">
      <c r="B364" s="25" t="e" vm="364">
        <v>#VALUE!</v>
      </c>
      <c r="C364" s="27" cm="1">
        <f t="array" ref="C364">_FV(B364,"Shares outstanding",TRUE)</f>
        <v>1452433000</v>
      </c>
      <c r="D364" s="30" cm="1">
        <f t="array" ref="D364">_FV(B364,"Market cap",TRUE)</f>
        <v>21111113655</v>
      </c>
      <c r="E364" s="26" cm="1">
        <f t="array" ref="E364">_FV(B364,"Beta")</f>
        <v>1.0697000000000001</v>
      </c>
      <c r="F364" t="str" cm="1">
        <f t="array" ref="F364">_FV(B364,"Industry")</f>
        <v>Banking Services</v>
      </c>
      <c r="G364" s="26" cm="1">
        <f t="array" ref="G364">_FV(B364,"P/E",TRUE)</f>
        <v>13.912100000000001</v>
      </c>
      <c r="H364" s="28" cm="1">
        <f t="array" ref="H364">_FV(B364,"Price")</f>
        <v>14.535</v>
      </c>
      <c r="I364" s="32">
        <f t="shared" si="5"/>
        <v>4.0913478010504151E-4</v>
      </c>
    </row>
    <row r="365" spans="2:9" x14ac:dyDescent="0.55000000000000004">
      <c r="B365" s="24" t="e" vm="365">
        <v>#VALUE!</v>
      </c>
      <c r="C365" s="27" cm="1">
        <f t="array" ref="C365">_FV(B365,"Shares outstanding",TRUE)</f>
        <v>156240200</v>
      </c>
      <c r="D365" s="30" cm="1">
        <f t="array" ref="D365">_FV(B365,"Market cap",TRUE)</f>
        <v>20798695424</v>
      </c>
      <c r="E365" s="26" cm="1">
        <f t="array" ref="E365">_FV(B365,"Beta")</f>
        <v>0.66990000000000005</v>
      </c>
      <c r="F365" t="str" cm="1">
        <f t="array" ref="F365">_FV(B365,"Industry")</f>
        <v>Insurance</v>
      </c>
      <c r="G365" s="26" cm="1">
        <f t="array" ref="G365">_FV(B365,"P/E",TRUE)</f>
        <v>9.7452000000000005</v>
      </c>
      <c r="H365" s="28" cm="1">
        <f t="array" ref="H365">_FV(B365,"Price")</f>
        <v>133.12</v>
      </c>
      <c r="I365" s="32">
        <f t="shared" si="5"/>
        <v>4.0308009410742633E-4</v>
      </c>
    </row>
    <row r="366" spans="2:9" x14ac:dyDescent="0.55000000000000004">
      <c r="B366" s="25" t="e" vm="366">
        <v>#VALUE!</v>
      </c>
      <c r="C366" s="27" cm="1">
        <f t="array" ref="C366">_FV(B366,"Shares outstanding",TRUE)</f>
        <v>58600000</v>
      </c>
      <c r="D366" s="30" cm="1">
        <f t="array" ref="D366">_FV(B366,"Market cap",TRUE)</f>
        <v>20461362000</v>
      </c>
      <c r="E366" s="26" cm="1">
        <f t="array" ref="E366">_FV(B366,"Beta")</f>
        <v>0.57420000000000004</v>
      </c>
      <c r="F366" t="str" cm="1">
        <f t="array" ref="F366">_FV(B366,"Industry")</f>
        <v>Healthcare Providers &amp; Services</v>
      </c>
      <c r="G366" s="26" cm="1">
        <f t="array" ref="G366">_FV(B366,"P/E",TRUE)</f>
        <v>18.928999999999998</v>
      </c>
      <c r="H366" s="28" cm="1">
        <f t="array" ref="H366">_FV(B366,"Price")</f>
        <v>349.17</v>
      </c>
      <c r="I366" s="32">
        <f t="shared" si="5"/>
        <v>3.9654255002018521E-4</v>
      </c>
    </row>
    <row r="367" spans="2:9" x14ac:dyDescent="0.55000000000000004">
      <c r="B367" s="24" t="e" vm="367">
        <v>#VALUE!</v>
      </c>
      <c r="C367" s="27" cm="1">
        <f t="array" ref="C367">_FV(B367,"Shares outstanding",TRUE)</f>
        <v>125212800</v>
      </c>
      <c r="D367" s="30" cm="1">
        <f t="array" ref="D367">_FV(B367,"Market cap",TRUE)</f>
        <v>18832005120</v>
      </c>
      <c r="E367" s="26" cm="1">
        <f t="array" ref="E367">_FV(B367,"Beta")</f>
        <v>0.72070000000000001</v>
      </c>
      <c r="F367" t="str" cm="1">
        <f t="array" ref="F367">_FV(B367,"Industry")</f>
        <v>Professional &amp; Commercial Services</v>
      </c>
      <c r="G367" s="26" cm="1">
        <f t="array" ref="G367">_FV(B367,"P/E",TRUE)</f>
        <v>29.366</v>
      </c>
      <c r="H367" s="28" cm="1">
        <f t="array" ref="H367">_FV(B367,"Price")</f>
        <v>150.4</v>
      </c>
      <c r="I367" s="32">
        <f t="shared" si="5"/>
        <v>3.6496550582888786E-4</v>
      </c>
    </row>
    <row r="368" spans="2:9" x14ac:dyDescent="0.55000000000000004">
      <c r="B368" s="25" t="e" vm="368">
        <v>#VALUE!</v>
      </c>
      <c r="C368" s="27" cm="1">
        <f t="array" ref="C368">_FV(B368,"Shares outstanding",TRUE)</f>
        <v>915124900</v>
      </c>
      <c r="D368" s="30" cm="1">
        <f t="array" ref="D368">_FV(B368,"Market cap",TRUE)</f>
        <v>20860272095</v>
      </c>
      <c r="E368" s="26" cm="1">
        <f t="array" ref="E368">_FV(B368,"Beta")</f>
        <v>1.1878</v>
      </c>
      <c r="F368" t="str" cm="1">
        <f t="array" ref="F368">_FV(B368,"Industry")</f>
        <v>Banking Services</v>
      </c>
      <c r="G368" s="26" cm="1">
        <f t="array" ref="G368">_FV(B368,"P/E",TRUE)</f>
        <v>12.8803</v>
      </c>
      <c r="H368" s="28" cm="1">
        <f t="array" ref="H368">_FV(B368,"Price")</f>
        <v>22.795000000000002</v>
      </c>
      <c r="I368" s="32">
        <f t="shared" si="5"/>
        <v>4.0427345406753528E-4</v>
      </c>
    </row>
    <row r="369" spans="2:9" x14ac:dyDescent="0.55000000000000004">
      <c r="B369" s="24" t="e" vm="369">
        <v>#VALUE!</v>
      </c>
      <c r="C369" s="27" cm="1">
        <f t="array" ref="C369">_FV(B369,"Shares outstanding",TRUE)</f>
        <v>83963280</v>
      </c>
      <c r="D369" s="30" cm="1">
        <f t="array" ref="D369">_FV(B369,"Market cap",TRUE)</f>
        <v>19463527936</v>
      </c>
      <c r="E369" s="26" cm="1">
        <f t="array" ref="E369">_FV(B369,"Beta")</f>
        <v>1.0571999999999999</v>
      </c>
      <c r="F369" t="str" cm="1">
        <f t="array" ref="F369">_FV(B369,"Industry")</f>
        <v>Healthcare Providers &amp; Services</v>
      </c>
      <c r="G369" s="26" cm="1">
        <f t="array" ref="G369">_FV(B369,"P/E",TRUE)</f>
        <v>43.893000000000001</v>
      </c>
      <c r="H369" s="28" cm="1">
        <f t="array" ref="H369">_FV(B369,"Price")</f>
        <v>231.81</v>
      </c>
      <c r="I369" s="32">
        <f t="shared" si="5"/>
        <v>3.7720445980724807E-4</v>
      </c>
    </row>
    <row r="370" spans="2:9" x14ac:dyDescent="0.55000000000000004">
      <c r="B370" s="25" t="e" vm="370">
        <v>#VALUE!</v>
      </c>
      <c r="C370" s="27" cm="1">
        <f t="array" ref="C370">_FV(B370,"Shares outstanding",TRUE)</f>
        <v>59361930</v>
      </c>
      <c r="D370" s="30" cm="1">
        <f t="array" ref="D370">_FV(B370,"Market cap",TRUE)</f>
        <v>20092826066</v>
      </c>
      <c r="E370" s="26" cm="1">
        <f t="array" ref="E370">_FV(B370,"Beta")</f>
        <v>0.95550000000000002</v>
      </c>
      <c r="F370" t="str" cm="1">
        <f t="array" ref="F370">_FV(B370,"Industry")</f>
        <v>Healthcare Equipment &amp; Supplies</v>
      </c>
      <c r="G370" s="26" cm="1">
        <f t="array" ref="G370">_FV(B370,"P/E",TRUE)</f>
        <v>33.727499999999999</v>
      </c>
      <c r="H370" s="28" cm="1">
        <f t="array" ref="H370">_FV(B370,"Price")</f>
        <v>338.48</v>
      </c>
      <c r="I370" s="32">
        <f t="shared" si="5"/>
        <v>3.8940029922366297E-4</v>
      </c>
    </row>
    <row r="371" spans="2:9" x14ac:dyDescent="0.55000000000000004">
      <c r="B371" s="24" t="e" vm="371">
        <v>#VALUE!</v>
      </c>
      <c r="C371" s="27" cm="1">
        <f t="array" ref="C371">_FV(B371,"Shares outstanding",TRUE)</f>
        <v>155232800</v>
      </c>
      <c r="D371" s="30" cm="1">
        <f t="array" ref="D371">_FV(B371,"Market cap",TRUE)</f>
        <v>20194240000</v>
      </c>
      <c r="E371" s="26" cm="1">
        <f t="array" ref="E371">_FV(B371,"Beta")</f>
        <v>0.6704</v>
      </c>
      <c r="F371" t="str" cm="1">
        <f t="array" ref="F371">_FV(B371,"Industry")</f>
        <v>Natural Gas Utilities</v>
      </c>
      <c r="G371" s="26" cm="1">
        <f t="array" ref="G371">_FV(B371,"P/E",TRUE)</f>
        <v>19.101199999999999</v>
      </c>
      <c r="H371" s="28" cm="1">
        <f t="array" ref="H371">_FV(B371,"Price")</f>
        <v>130.185</v>
      </c>
      <c r="I371" s="32">
        <f t="shared" si="5"/>
        <v>3.9136570797777907E-4</v>
      </c>
    </row>
    <row r="372" spans="2:9" x14ac:dyDescent="0.55000000000000004">
      <c r="B372" s="25" t="e" vm="372">
        <v>#VALUE!</v>
      </c>
      <c r="C372" s="27" cm="1">
        <f t="array" ref="C372">_FV(B372,"Shares outstanding",TRUE)</f>
        <v>74697060</v>
      </c>
      <c r="D372" s="30" cm="1">
        <f t="array" ref="D372">_FV(B372,"Market cap",TRUE)</f>
        <v>17183311682</v>
      </c>
      <c r="E372" s="26" cm="1">
        <f t="array" ref="E372">_FV(B372,"Beta")</f>
        <v>1.6415</v>
      </c>
      <c r="F372" t="str" cm="1">
        <f t="array" ref="F372">_FV(B372,"Industry")</f>
        <v>Healthcare Equipment &amp; Supplies</v>
      </c>
      <c r="G372" s="26" cm="1">
        <f t="array" ref="G372">_FV(B372,"P/E",TRUE)</f>
        <v>39.680799999999998</v>
      </c>
      <c r="H372" s="28" cm="1">
        <f t="array" ref="H372">_FV(B372,"Price")</f>
        <v>230.04</v>
      </c>
      <c r="I372" s="32">
        <f t="shared" si="5"/>
        <v>3.330137178635478E-4</v>
      </c>
    </row>
    <row r="373" spans="2:9" x14ac:dyDescent="0.55000000000000004">
      <c r="B373" s="24" t="e" vm="373">
        <v>#VALUE!</v>
      </c>
      <c r="C373" s="27" cm="1">
        <f t="array" ref="C373">_FV(B373,"Shares outstanding",TRUE)</f>
        <v>268682900</v>
      </c>
      <c r="D373" s="30" cm="1">
        <f t="array" ref="D373">_FV(B373,"Market cap",TRUE)</f>
        <v>21294050000</v>
      </c>
      <c r="E373" s="26" cm="1">
        <f t="array" ref="E373">_FV(B373,"Beta")</f>
        <v>0.75649999999999995</v>
      </c>
      <c r="F373" t="str" cm="1">
        <f t="array" ref="F373">_FV(B373,"Industry")</f>
        <v>Food &amp; Tobacco</v>
      </c>
      <c r="G373" s="26" cm="1">
        <f t="array" ref="G373">_FV(B373,"P/E",TRUE)</f>
        <v>29.0243</v>
      </c>
      <c r="H373" s="28" cm="1">
        <f t="array" ref="H373">_FV(B373,"Price")</f>
        <v>79.48</v>
      </c>
      <c r="I373" s="32">
        <f t="shared" si="5"/>
        <v>4.1268009858079464E-4</v>
      </c>
    </row>
    <row r="374" spans="2:9" x14ac:dyDescent="0.55000000000000004">
      <c r="B374" s="25" t="e" vm="374">
        <v>#VALUE!</v>
      </c>
      <c r="C374" s="27" cm="1">
        <f t="array" ref="C374">_FV(B374,"Shares outstanding",TRUE)</f>
        <v>298729400</v>
      </c>
      <c r="D374" s="30" cm="1">
        <f t="array" ref="D374">_FV(B374,"Market cap",TRUE)</f>
        <v>20164234500</v>
      </c>
      <c r="E374" s="26" cm="1">
        <f t="array" ref="E374">_FV(B374,"Beta")</f>
        <v>0.40239999999999998</v>
      </c>
      <c r="F374" t="str" cm="1">
        <f t="array" ref="F374">_FV(B374,"Industry")</f>
        <v>Multiline Utilities</v>
      </c>
      <c r="G374" s="26" cm="1">
        <f t="array" ref="G374">_FV(B374,"P/E",TRUE)</f>
        <v>21.519300000000001</v>
      </c>
      <c r="H374" s="28" cm="1">
        <f t="array" ref="H374">_FV(B374,"Price")</f>
        <v>67.5</v>
      </c>
      <c r="I374" s="32">
        <f t="shared" si="5"/>
        <v>3.9078419940153519E-4</v>
      </c>
    </row>
    <row r="375" spans="2:9" x14ac:dyDescent="0.55000000000000004">
      <c r="B375" s="24" t="e" vm="375">
        <v>#VALUE!</v>
      </c>
      <c r="C375" s="27" cm="1">
        <f t="array" ref="C375">_FV(B375,"Shares outstanding",TRUE)</f>
        <v>123861500</v>
      </c>
      <c r="D375" s="30" cm="1">
        <f t="array" ref="D375">_FV(B375,"Market cap",TRUE)</f>
        <v>18958250000</v>
      </c>
      <c r="E375" s="26" cm="1">
        <f t="array" ref="E375">_FV(B375,"Beta")</f>
        <v>0.38669999999999999</v>
      </c>
      <c r="F375" t="str" cm="1">
        <f t="array" ref="F375">_FV(B375,"Industry")</f>
        <v>Personal &amp; Household Products &amp; Services</v>
      </c>
      <c r="G375" s="26" cm="1">
        <f t="array" ref="G375">_FV(B375,"P/E",TRUE)</f>
        <v>68.346999999999994</v>
      </c>
      <c r="H375" s="28" cm="1">
        <f t="array" ref="H375">_FV(B375,"Price")</f>
        <v>154.01</v>
      </c>
      <c r="I375" s="32">
        <f t="shared" si="5"/>
        <v>3.6741213996019308E-4</v>
      </c>
    </row>
    <row r="376" spans="2:9" x14ac:dyDescent="0.55000000000000004">
      <c r="B376" s="25" t="e" vm="376">
        <v>#VALUE!</v>
      </c>
      <c r="C376" s="27" cm="1">
        <f t="array" ref="C376">_FV(B376,"Shares outstanding",TRUE)</f>
        <v>201638000</v>
      </c>
      <c r="D376" s="30" cm="1">
        <f t="array" ref="D376">_FV(B376,"Market cap",TRUE)</f>
        <v>17957880280</v>
      </c>
      <c r="E376" s="26" cm="1">
        <f t="array" ref="E376">_FV(B376,"Beta")</f>
        <v>1.0962000000000001</v>
      </c>
      <c r="F376" t="str" cm="1">
        <f t="array" ref="F376">_FV(B376,"Industry")</f>
        <v>Investment Banking &amp; Investment Services</v>
      </c>
      <c r="G376" s="26" cm="1">
        <f t="array" ref="G376">_FV(B376,"P/E",TRUE)</f>
        <v>12.142899999999999</v>
      </c>
      <c r="H376" s="28" cm="1">
        <f t="array" ref="H376">_FV(B376,"Price")</f>
        <v>89.06</v>
      </c>
      <c r="I376" s="32">
        <f t="shared" si="5"/>
        <v>3.4802490856612566E-4</v>
      </c>
    </row>
    <row r="377" spans="2:9" x14ac:dyDescent="0.55000000000000004">
      <c r="B377" s="24" t="e" vm="377">
        <v>#VALUE!</v>
      </c>
      <c r="C377" s="27" cm="1">
        <f t="array" ref="C377">_FV(B377,"Shares outstanding",TRUE)</f>
        <v>231583700</v>
      </c>
      <c r="D377" s="30" cm="1">
        <f t="array" ref="D377">_FV(B377,"Market cap",TRUE)</f>
        <v>18464168401</v>
      </c>
      <c r="E377" s="26" cm="1">
        <f t="array" ref="E377">_FV(B377,"Beta")</f>
        <v>1.1936</v>
      </c>
      <c r="F377" t="str" cm="1">
        <f t="array" ref="F377">_FV(B377,"Industry")</f>
        <v>Investment Banking &amp; Investment Services</v>
      </c>
      <c r="G377" s="26" cm="1">
        <f t="array" ref="G377">_FV(B377,"P/E",TRUE)</f>
        <v>15.417400000000001</v>
      </c>
      <c r="H377" s="28" cm="1">
        <f t="array" ref="H377">_FV(B377,"Price")</f>
        <v>79.73</v>
      </c>
      <c r="I377" s="32">
        <f t="shared" si="5"/>
        <v>3.5783680586535079E-4</v>
      </c>
    </row>
    <row r="378" spans="2:9" x14ac:dyDescent="0.55000000000000004">
      <c r="B378" s="25" t="e" vm="378">
        <v>#VALUE!</v>
      </c>
      <c r="C378" s="27" cm="1">
        <f t="array" ref="C378">_FV(B378,"Shares outstanding",TRUE)</f>
        <v>510177600</v>
      </c>
      <c r="D378" s="30" cm="1">
        <f t="array" ref="D378">_FV(B378,"Market cap",TRUE)</f>
        <v>19402054128</v>
      </c>
      <c r="E378" s="26" cm="1">
        <f t="array" ref="E378">_FV(B378,"Beta")</f>
        <v>0.59109999999999996</v>
      </c>
      <c r="F378" t="str" cm="1">
        <f t="array" ref="F378">_FV(B378,"Industry")</f>
        <v>Healthcare Equipment &amp; Supplies</v>
      </c>
      <c r="G378" t="e" cm="1" vm="36">
        <f t="array" ref="G378">_FV(B378,"P/E",TRUE)</f>
        <v>#VALUE!</v>
      </c>
      <c r="H378" s="28" cm="1">
        <f t="array" ref="H378">_FV(B378,"Price")</f>
        <v>38.03</v>
      </c>
      <c r="I378" s="32">
        <f t="shared" si="5"/>
        <v>3.7601309333888823E-4</v>
      </c>
    </row>
    <row r="379" spans="2:9" x14ac:dyDescent="0.55000000000000004">
      <c r="B379" s="24" t="e" vm="379">
        <v>#VALUE!</v>
      </c>
      <c r="C379" s="27" cm="1">
        <f t="array" ref="C379">_FV(B379,"Shares outstanding",TRUE)</f>
        <v>159300000</v>
      </c>
      <c r="D379" s="30" cm="1">
        <f t="array" ref="D379">_FV(B379,"Market cap",TRUE)</f>
        <v>21076186500</v>
      </c>
      <c r="E379" s="26" cm="1">
        <f t="array" ref="E379">_FV(B379,"Beta")</f>
        <v>1.1536</v>
      </c>
      <c r="F379" t="str" cm="1">
        <f t="array" ref="F379">_FV(B379,"Industry")</f>
        <v>Healthcare Equipment &amp; Supplies</v>
      </c>
      <c r="G379" s="26" cm="1">
        <f t="array" ref="G379">_FV(B379,"P/E",TRUE)</f>
        <v>0</v>
      </c>
      <c r="H379" s="28" cm="1">
        <f t="array" ref="H379">_FV(B379,"Price")</f>
        <v>132.30500000000001</v>
      </c>
      <c r="I379" s="32">
        <f t="shared" si="5"/>
        <v>4.0845788952910379E-4</v>
      </c>
    </row>
    <row r="380" spans="2:9" x14ac:dyDescent="0.55000000000000004">
      <c r="B380" s="25" t="e" vm="380">
        <v>#VALUE!</v>
      </c>
      <c r="C380" s="27" cm="1">
        <f t="array" ref="C380">_FV(B380,"Shares outstanding",TRUE)</f>
        <v>159716400</v>
      </c>
      <c r="D380" s="30" cm="1">
        <f t="array" ref="D380">_FV(B380,"Market cap",TRUE)</f>
        <v>17306869104</v>
      </c>
      <c r="E380" s="26" cm="1">
        <f t="array" ref="E380">_FV(B380,"Beta")</f>
        <v>1.2062999999999999</v>
      </c>
      <c r="F380" t="str" cm="1">
        <f t="array" ref="F380">_FV(B380,"Industry")</f>
        <v>Semiconductors &amp; Semiconductor Equipment</v>
      </c>
      <c r="G380" s="26" cm="1">
        <f t="array" ref="G380">_FV(B380,"P/E",TRUE)</f>
        <v>22.564</v>
      </c>
      <c r="H380" s="28" cm="1">
        <f t="array" ref="H380">_FV(B380,"Price")</f>
        <v>108.36</v>
      </c>
      <c r="I380" s="32">
        <f t="shared" si="5"/>
        <v>3.354082688809141E-4</v>
      </c>
    </row>
    <row r="381" spans="2:9" x14ac:dyDescent="0.55000000000000004">
      <c r="B381" s="24" t="e" vm="381">
        <v>#VALUE!</v>
      </c>
      <c r="C381" s="27" cm="1">
        <f t="array" ref="C381">_FV(B381,"Shares outstanding",TRUE)</f>
        <v>599157000</v>
      </c>
      <c r="D381" s="30" cm="1">
        <f t="array" ref="D381">_FV(B381,"Market cap",TRUE)</f>
        <v>16881248475</v>
      </c>
      <c r="E381" s="26" cm="1">
        <f t="array" ref="E381">_FV(B381,"Beta")</f>
        <v>1.1603000000000001</v>
      </c>
      <c r="F381" t="str" cm="1">
        <f t="array" ref="F381">_FV(B381,"Industry")</f>
        <v>Passenger Transportation Services</v>
      </c>
      <c r="G381" s="26" cm="1">
        <f t="array" ref="G381">_FV(B381,"P/E",TRUE)</f>
        <v>455.25040000000001</v>
      </c>
      <c r="H381" s="28" cm="1">
        <f t="array" ref="H381">_FV(B381,"Price")</f>
        <v>28.175000000000001</v>
      </c>
      <c r="I381" s="32">
        <f t="shared" si="5"/>
        <v>3.2715971291651374E-4</v>
      </c>
    </row>
    <row r="382" spans="2:9" x14ac:dyDescent="0.55000000000000004">
      <c r="B382" s="25" t="e" vm="382">
        <v>#VALUE!</v>
      </c>
      <c r="C382" s="27" cm="1">
        <f t="array" ref="C382">_FV(B382,"Shares outstanding",TRUE)</f>
        <v>187362500</v>
      </c>
      <c r="D382" s="30" cm="1">
        <f t="array" ref="D382">_FV(B382,"Market cap",TRUE)</f>
        <v>16845770000</v>
      </c>
      <c r="E382" s="26" cm="1">
        <f t="array" ref="E382">_FV(B382,"Beta")</f>
        <v>1.2337</v>
      </c>
      <c r="F382" t="str" cm="1">
        <f t="array" ref="F382">_FV(B382,"Industry")</f>
        <v>Aerospace &amp; Defense</v>
      </c>
      <c r="G382" s="26" cm="1">
        <f t="array" ref="G382">_FV(B382,"P/E",TRUE)</f>
        <v>18.991299999999999</v>
      </c>
      <c r="H382" s="28" cm="1">
        <f t="array" ref="H382">_FV(B382,"Price")</f>
        <v>90.32</v>
      </c>
      <c r="I382" s="32">
        <f t="shared" si="5"/>
        <v>3.2647213772248084E-4</v>
      </c>
    </row>
    <row r="383" spans="2:9" x14ac:dyDescent="0.55000000000000004">
      <c r="B383" s="24" t="e" vm="383">
        <v>#VALUE!</v>
      </c>
      <c r="C383" s="27" cm="1">
        <f t="array" ref="C383">_FV(B383,"Shares outstanding",TRUE)</f>
        <v>232271900</v>
      </c>
      <c r="D383" s="30" cm="1">
        <f t="array" ref="D383">_FV(B383,"Market cap",TRUE)</f>
        <v>18584074719</v>
      </c>
      <c r="E383" s="26" cm="1">
        <f t="array" ref="E383">_FV(B383,"Beta")</f>
        <v>0.98370000000000002</v>
      </c>
      <c r="F383" t="str" cm="1">
        <f t="array" ref="F383">_FV(B383,"Industry")</f>
        <v>Healthcare Equipment &amp; Supplies</v>
      </c>
      <c r="G383" s="26" cm="1">
        <f t="array" ref="G383">_FV(B383,"P/E",TRUE)</f>
        <v>27.384399999999999</v>
      </c>
      <c r="H383" s="28" cm="1">
        <f t="array" ref="H383">_FV(B383,"Price")</f>
        <v>80.010000000000005</v>
      </c>
      <c r="I383" s="32">
        <f t="shared" si="5"/>
        <v>3.6016059824550863E-4</v>
      </c>
    </row>
    <row r="384" spans="2:9" x14ac:dyDescent="0.55000000000000004">
      <c r="B384" s="25" t="e" vm="384">
        <v>#VALUE!</v>
      </c>
      <c r="C384" s="27" cm="1">
        <f t="array" ref="C384">_FV(B384,"Shares outstanding",TRUE)</f>
        <v>89811810</v>
      </c>
      <c r="D384" s="30" cm="1">
        <f t="array" ref="D384">_FV(B384,"Market cap",TRUE)</f>
        <v>18342715015</v>
      </c>
      <c r="E384" s="26" cm="1">
        <f t="array" ref="E384">_FV(B384,"Beta")</f>
        <v>0.78500000000000003</v>
      </c>
      <c r="F384" t="str" cm="1">
        <f t="array" ref="F384">_FV(B384,"Industry")</f>
        <v>Containers &amp; Packaging</v>
      </c>
      <c r="G384" s="26" cm="1">
        <f t="array" ref="G384">_FV(B384,"P/E",TRUE)</f>
        <v>25.886299999999999</v>
      </c>
      <c r="H384" s="28" cm="1">
        <f t="array" ref="H384">_FV(B384,"Price")</f>
        <v>204.23500000000001</v>
      </c>
      <c r="I384" s="32">
        <f t="shared" si="5"/>
        <v>3.5548303120494328E-4</v>
      </c>
    </row>
    <row r="385" spans="2:9" x14ac:dyDescent="0.55000000000000004">
      <c r="B385" s="24" t="e" vm="385">
        <v>#VALUE!</v>
      </c>
      <c r="C385" s="27" cm="1">
        <f t="array" ref="C385">_FV(B385,"Shares outstanding",TRUE)</f>
        <v>130179400</v>
      </c>
      <c r="D385" s="30" cm="1">
        <f t="array" ref="D385">_FV(B385,"Market cap",TRUE)</f>
        <v>17981690000</v>
      </c>
      <c r="E385" s="26" cm="1">
        <f t="array" ref="E385">_FV(B385,"Beta")</f>
        <v>1.792</v>
      </c>
      <c r="F385" t="str" cm="1">
        <f t="array" ref="F385">_FV(B385,"Industry")</f>
        <v>Hotels &amp; Entertainment Services</v>
      </c>
      <c r="G385" s="26" cm="1">
        <f t="array" ref="G385">_FV(B385,"P/E",TRUE)</f>
        <v>24.6572</v>
      </c>
      <c r="H385" s="28" cm="1">
        <f t="array" ref="H385">_FV(B385,"Price")</f>
        <v>137.96</v>
      </c>
      <c r="I385" s="32">
        <f t="shared" si="5"/>
        <v>3.4848634251583374E-4</v>
      </c>
    </row>
    <row r="386" spans="2:9" x14ac:dyDescent="0.55000000000000004">
      <c r="B386" s="25" t="e" vm="386">
        <v>#VALUE!</v>
      </c>
      <c r="C386" s="27" cm="1">
        <f t="array" ref="C386">_FV(B386,"Shares outstanding",TRUE)</f>
        <v>116876200</v>
      </c>
      <c r="D386" s="30" cm="1">
        <f t="array" ref="D386">_FV(B386,"Market cap",TRUE)</f>
        <v>18310409873</v>
      </c>
      <c r="E386" s="26" cm="1">
        <f t="array" ref="E386">_FV(B386,"Beta")</f>
        <v>0.86970000000000003</v>
      </c>
      <c r="F386" t="str" cm="1">
        <f t="array" ref="F386">_FV(B386,"Industry")</f>
        <v>Residential &amp; Commercial REIT</v>
      </c>
      <c r="G386" s="26" cm="1">
        <f t="array" ref="G386">_FV(B386,"P/E",TRUE)</f>
        <v>35.698300000000003</v>
      </c>
      <c r="H386" s="28" cm="1">
        <f t="array" ref="H386">_FV(B386,"Price")</f>
        <v>156.66499999999999</v>
      </c>
      <c r="I386" s="32">
        <f t="shared" si="5"/>
        <v>3.5485695541451228E-4</v>
      </c>
    </row>
    <row r="387" spans="2:9" x14ac:dyDescent="0.55000000000000004">
      <c r="B387" s="24" t="e" vm="387">
        <v>#VALUE!</v>
      </c>
      <c r="C387" s="27" cm="1">
        <f t="array" ref="C387">_FV(B387,"Shares outstanding",TRUE)</f>
        <v>736431700</v>
      </c>
      <c r="D387" s="30" cm="1">
        <f t="array" ref="D387">_FV(B387,"Market cap",TRUE)</f>
        <v>29899127020</v>
      </c>
      <c r="E387" s="26" cm="1">
        <f t="array" ref="E387">_FV(B387,"Beta")</f>
        <v>1.1165</v>
      </c>
      <c r="F387" t="str" cm="1">
        <f t="array" ref="F387">_FV(B387,"Industry")</f>
        <v>Hotels &amp; Entertainment Services</v>
      </c>
      <c r="G387" s="26" cm="1">
        <f t="array" ref="G387">_FV(B387,"P/E",TRUE)</f>
        <v>19.0595</v>
      </c>
      <c r="H387" s="28" cm="1">
        <f t="array" ref="H387">_FV(B387,"Price")</f>
        <v>40.6</v>
      </c>
      <c r="I387" s="32">
        <f t="shared" ref="I387:I450" si="6">D387/$D$504</f>
        <v>5.7944706085001684E-4</v>
      </c>
    </row>
    <row r="388" spans="2:9" x14ac:dyDescent="0.55000000000000004">
      <c r="B388" s="25" t="e" vm="388">
        <v>#VALUE!</v>
      </c>
      <c r="C388" s="27" cm="1">
        <f t="array" ref="C388">_FV(B388,"Shares outstanding",TRUE)</f>
        <v>380550600</v>
      </c>
      <c r="D388" s="30" cm="1">
        <f t="array" ref="D388">_FV(B388,"Market cap",TRUE)</f>
        <v>22319292690</v>
      </c>
      <c r="E388" s="26" cm="1">
        <f t="array" ref="E388">_FV(B388,"Beta")</f>
        <v>0.62229999999999996</v>
      </c>
      <c r="F388" t="str" cm="1">
        <f t="array" ref="F388">_FV(B388,"Industry")</f>
        <v>Insurance</v>
      </c>
      <c r="G388" s="26" cm="1">
        <f t="array" ref="G388">_FV(B388,"P/E",TRUE)</f>
        <v>13.712300000000001</v>
      </c>
      <c r="H388" s="28" cm="1">
        <f t="array" ref="H388">_FV(B388,"Price")</f>
        <v>58.65</v>
      </c>
      <c r="I388" s="32">
        <f t="shared" si="6"/>
        <v>4.3254936977995303E-4</v>
      </c>
    </row>
    <row r="389" spans="2:9" x14ac:dyDescent="0.55000000000000004">
      <c r="B389" s="24" t="e" vm="389">
        <v>#VALUE!</v>
      </c>
      <c r="C389" s="27" cm="1">
        <f t="array" ref="C389">_FV(B389,"Shares outstanding",TRUE)</f>
        <v>43273550</v>
      </c>
      <c r="D389" s="30" cm="1">
        <f t="array" ref="D389">_FV(B389,"Market cap",TRUE)</f>
        <v>17120747322</v>
      </c>
      <c r="E389" s="26" cm="1">
        <f t="array" ref="E389">_FV(B389,"Beta")</f>
        <v>0.61839999999999995</v>
      </c>
      <c r="F389" t="str" cm="1">
        <f t="array" ref="F389">_FV(B389,"Industry")</f>
        <v>Insurance</v>
      </c>
      <c r="G389" s="26" cm="1">
        <f t="array" ref="G389">_FV(B389,"P/E",TRUE)</f>
        <v>5.7302</v>
      </c>
      <c r="H389" s="28" cm="1">
        <f t="array" ref="H389">_FV(B389,"Price")</f>
        <v>395.64</v>
      </c>
      <c r="I389" s="32">
        <f t="shared" si="6"/>
        <v>3.3180121642523781E-4</v>
      </c>
    </row>
    <row r="390" spans="2:9" x14ac:dyDescent="0.55000000000000004">
      <c r="B390" s="25" t="e" vm="390">
        <v>#VALUE!</v>
      </c>
      <c r="C390" s="27" cm="1">
        <f t="array" ref="C390">_FV(B390,"Shares outstanding",TRUE)</f>
        <v>328833900</v>
      </c>
      <c r="D390" s="30" cm="1">
        <f t="array" ref="D390">_FV(B390,"Market cap",TRUE)</f>
        <v>14176029429</v>
      </c>
      <c r="E390" s="26" cm="1">
        <f t="array" ref="E390">_FV(B390,"Beta")</f>
        <v>1.4349000000000001</v>
      </c>
      <c r="F390" t="str" cm="1">
        <f t="array" ref="F390">_FV(B390,"Industry")</f>
        <v>Passenger Transportation Services</v>
      </c>
      <c r="G390" s="26" cm="1">
        <f t="array" ref="G390">_FV(B390,"P/E",TRUE)</f>
        <v>4.9131</v>
      </c>
      <c r="H390" s="28" cm="1">
        <f t="array" ref="H390">_FV(B390,"Price")</f>
        <v>43.11</v>
      </c>
      <c r="I390" s="32">
        <f t="shared" si="6"/>
        <v>2.7473238873037143E-4</v>
      </c>
    </row>
    <row r="391" spans="2:9" x14ac:dyDescent="0.55000000000000004">
      <c r="B391" s="24" t="e" vm="391">
        <v>#VALUE!</v>
      </c>
      <c r="C391" s="27" cm="1">
        <f t="array" ref="C391">_FV(B391,"Shares outstanding",TRUE)</f>
        <v>135422200</v>
      </c>
      <c r="D391" s="30" cm="1">
        <f t="array" ref="D391">_FV(B391,"Market cap",TRUE)</f>
        <v>17082034428</v>
      </c>
      <c r="E391" s="26" cm="1">
        <f t="array" ref="E391">_FV(B391,"Beta")</f>
        <v>1.7165999999999999</v>
      </c>
      <c r="F391" t="str" cm="1">
        <f t="array" ref="F391">_FV(B391,"Industry")</f>
        <v>Renewable Energy</v>
      </c>
      <c r="G391" s="26" cm="1">
        <f t="array" ref="G391">_FV(B391,"P/E",TRUE)</f>
        <v>141.26419999999999</v>
      </c>
      <c r="H391" s="28" cm="1">
        <f t="array" ref="H391">_FV(B391,"Price")</f>
        <v>126.1391</v>
      </c>
      <c r="I391" s="32">
        <f t="shared" si="6"/>
        <v>3.3105095797687935E-4</v>
      </c>
    </row>
    <row r="392" spans="2:9" x14ac:dyDescent="0.55000000000000004">
      <c r="B392" s="25" t="e" vm="392">
        <v>#VALUE!</v>
      </c>
      <c r="C392" s="27" cm="1">
        <f t="array" ref="C392">_FV(B392,"Shares outstanding",TRUE)</f>
        <v>448300500</v>
      </c>
      <c r="D392" s="30" cm="1">
        <f t="array" ref="D392">_FV(B392,"Market cap",TRUE)</f>
        <v>19196227410</v>
      </c>
      <c r="E392" s="26" cm="1">
        <f t="array" ref="E392">_FV(B392,"Beta")</f>
        <v>1.3291999999999999</v>
      </c>
      <c r="F392" t="str" cm="1">
        <f t="array" ref="F392">_FV(B392,"Industry")</f>
        <v>Banking Services</v>
      </c>
      <c r="G392" s="26" cm="1">
        <f t="array" ref="G392">_FV(B392,"P/E",TRUE)</f>
        <v>16.364599999999999</v>
      </c>
      <c r="H392" s="28" cm="1">
        <f t="array" ref="H392">_FV(B392,"Price")</f>
        <v>42.82</v>
      </c>
      <c r="I392" s="32">
        <f t="shared" si="6"/>
        <v>3.7202415791914417E-4</v>
      </c>
    </row>
    <row r="393" spans="2:9" x14ac:dyDescent="0.55000000000000004">
      <c r="B393" s="24" t="e" vm="393">
        <v>#VALUE!</v>
      </c>
      <c r="C393" s="27" cm="1">
        <f t="array" ref="C393">_FV(B393,"Shares outstanding",TRUE)</f>
        <v>113445200</v>
      </c>
      <c r="D393" s="30" cm="1">
        <f t="array" ref="D393">_FV(B393,"Market cap",TRUE)</f>
        <v>12346241116</v>
      </c>
      <c r="E393" s="26" cm="1">
        <f t="array" ref="E393">_FV(B393,"Beta")</f>
        <v>1.2526999999999999</v>
      </c>
      <c r="F393" t="str" cm="1">
        <f t="array" ref="F393">_FV(B393,"Industry")</f>
        <v>Electronic Equipment &amp; Parts</v>
      </c>
      <c r="G393" s="26" cm="1">
        <f t="array" ref="G393">_FV(B393,"P/E",TRUE)</f>
        <v>9.8809000000000005</v>
      </c>
      <c r="H393" s="28" cm="1">
        <f t="array" ref="H393">_FV(B393,"Price")</f>
        <v>108.83</v>
      </c>
      <c r="I393" s="32">
        <f t="shared" si="6"/>
        <v>2.3927097009977623E-4</v>
      </c>
    </row>
    <row r="394" spans="2:9" x14ac:dyDescent="0.55000000000000004">
      <c r="B394" s="25" t="e" vm="394">
        <v>#VALUE!</v>
      </c>
      <c r="C394" s="27" cm="1">
        <f t="array" ref="C394">_FV(B394,"Shares outstanding",TRUE)</f>
        <v>1267261000</v>
      </c>
      <c r="D394" s="30" cm="1">
        <f t="array" ref="D394">_FV(B394,"Market cap",TRUE)</f>
        <v>20768070000</v>
      </c>
      <c r="E394" s="26" cm="1">
        <f t="array" ref="E394">_FV(B394,"Beta")</f>
        <v>2.6932999999999998</v>
      </c>
      <c r="F394" t="str" cm="1">
        <f t="array" ref="F394">_FV(B394,"Industry")</f>
        <v>Hotels &amp; Entertainment Services</v>
      </c>
      <c r="G394" s="26" cm="1">
        <f t="array" ref="G394">_FV(B394,"P/E",TRUE)</f>
        <v>25.519300000000001</v>
      </c>
      <c r="H394" s="28" cm="1">
        <f t="array" ref="H394">_FV(B394,"Price")</f>
        <v>16.585000000000001</v>
      </c>
      <c r="I394" s="32">
        <f t="shared" si="6"/>
        <v>4.0248657136302598E-4</v>
      </c>
    </row>
    <row r="395" spans="2:9" x14ac:dyDescent="0.55000000000000004">
      <c r="B395" s="24" t="e" vm="395">
        <v>#VALUE!</v>
      </c>
      <c r="C395" s="27" cm="1">
        <f t="array" ref="C395">_FV(B395,"Shares outstanding",TRUE)</f>
        <v>347369800</v>
      </c>
      <c r="D395" s="30" cm="1">
        <f t="array" ref="D395">_FV(B395,"Market cap",TRUE)</f>
        <v>16948172542</v>
      </c>
      <c r="E395" s="26" cm="1">
        <f t="array" ref="E395">_FV(B395,"Beta")</f>
        <v>1.0297000000000001</v>
      </c>
      <c r="F395" t="str" cm="1">
        <f t="array" ref="F395">_FV(B395,"Industry")</f>
        <v>Containers &amp; Packaging</v>
      </c>
      <c r="G395" s="26" cm="1">
        <f t="array" ref="G395">_FV(B395,"P/E",TRUE)</f>
        <v>37.524900000000002</v>
      </c>
      <c r="H395" s="28" cm="1">
        <f t="array" ref="H395">_FV(B395,"Price")</f>
        <v>48.79</v>
      </c>
      <c r="I395" s="32">
        <f t="shared" si="6"/>
        <v>3.2845670576507884E-4</v>
      </c>
    </row>
    <row r="396" spans="2:9" x14ac:dyDescent="0.55000000000000004">
      <c r="B396" s="25" t="e" vm="396">
        <v>#VALUE!</v>
      </c>
      <c r="C396" s="27" cm="1">
        <f t="array" ref="C396">_FV(B396,"Shares outstanding",TRUE)</f>
        <v>559383400</v>
      </c>
      <c r="D396" s="30" cm="1">
        <f t="array" ref="D396">_FV(B396,"Market cap",TRUE)</f>
        <v>15992771406</v>
      </c>
      <c r="E396" s="26" cm="1">
        <f t="array" ref="E396">_FV(B396,"Beta")</f>
        <v>2.1680000000000001</v>
      </c>
      <c r="F396" t="str" cm="1">
        <f t="array" ref="F396">_FV(B396,"Industry")</f>
        <v>Oil &amp; Gas</v>
      </c>
      <c r="G396" s="26" cm="1">
        <f t="array" ref="G396">_FV(B396,"P/E",TRUE)</f>
        <v>10.9727</v>
      </c>
      <c r="H396" s="28" cm="1">
        <f t="array" ref="H396">_FV(B396,"Price")</f>
        <v>28.59</v>
      </c>
      <c r="I396" s="32">
        <f t="shared" si="6"/>
        <v>3.0994096850567147E-4</v>
      </c>
    </row>
    <row r="397" spans="2:9" x14ac:dyDescent="0.55000000000000004">
      <c r="B397" s="24" t="e" vm="397">
        <v>#VALUE!</v>
      </c>
      <c r="C397" s="27" cm="1">
        <f t="array" ref="C397">_FV(B397,"Shares outstanding",TRUE)</f>
        <v>97600000</v>
      </c>
      <c r="D397" s="30" cm="1">
        <f t="array" ref="D397">_FV(B397,"Market cap",TRUE)</f>
        <v>17721232000</v>
      </c>
      <c r="E397" s="26" cm="1">
        <f t="array" ref="E397">_FV(B397,"Beta")</f>
        <v>0.89980000000000004</v>
      </c>
      <c r="F397" t="str" cm="1">
        <f t="array" ref="F397">_FV(B397,"Industry")</f>
        <v>Software &amp; IT Services</v>
      </c>
      <c r="G397" s="26" cm="1">
        <f t="array" ref="G397">_FV(B397,"P/E",TRUE)</f>
        <v>21.4575</v>
      </c>
      <c r="H397" s="28" cm="1">
        <f t="array" ref="H397">_FV(B397,"Price")</f>
        <v>181.57</v>
      </c>
      <c r="I397" s="32">
        <f t="shared" si="6"/>
        <v>3.4343864923455766E-4</v>
      </c>
    </row>
    <row r="398" spans="2:9" x14ac:dyDescent="0.55000000000000004">
      <c r="B398" s="25" t="e" vm="398">
        <v>#VALUE!</v>
      </c>
      <c r="C398" s="27" cm="1">
        <f t="array" ref="C398">_FV(B398,"Shares outstanding",TRUE)</f>
        <v>355829700</v>
      </c>
      <c r="D398" s="30" cm="1">
        <f t="array" ref="D398">_FV(B398,"Market cap",TRUE)</f>
        <v>22741076127</v>
      </c>
      <c r="E398" s="26" cm="1">
        <f t="array" ref="E398">_FV(B398,"Beta")</f>
        <v>0.77310000000000001</v>
      </c>
      <c r="F398" t="str" cm="1">
        <f t="array" ref="F398">_FV(B398,"Industry")</f>
        <v>Food &amp; Tobacco</v>
      </c>
      <c r="G398" t="e" cm="1" vm="36">
        <f t="array" ref="G398">_FV(B398,"P/E",TRUE)</f>
        <v>#VALUE!</v>
      </c>
      <c r="H398" s="28" cm="1">
        <f t="array" ref="H398">_FV(B398,"Price")</f>
        <v>63.91</v>
      </c>
      <c r="I398" s="32">
        <f t="shared" si="6"/>
        <v>4.4072356070938665E-4</v>
      </c>
    </row>
    <row r="399" spans="2:9" x14ac:dyDescent="0.55000000000000004">
      <c r="B399" s="24" t="e" vm="399">
        <v>#VALUE!</v>
      </c>
      <c r="C399" s="27" cm="1">
        <f t="array" ref="C399">_FV(B399,"Shares outstanding",TRUE)</f>
        <v>594021500</v>
      </c>
      <c r="D399" s="30" cm="1">
        <f t="array" ref="D399">_FV(B399,"Market cap",TRUE)</f>
        <v>19831407777</v>
      </c>
      <c r="E399" s="26" cm="1">
        <f t="array" ref="E399">_FV(B399,"Beta")</f>
        <v>1.0636000000000001</v>
      </c>
      <c r="F399" t="str" cm="1">
        <f t="array" ref="F399">_FV(B399,"Industry")</f>
        <v>Oil &amp; Gas</v>
      </c>
      <c r="G399" s="26" cm="1">
        <f t="array" ref="G399">_FV(B399,"P/E",TRUE)</f>
        <v>21.223600000000001</v>
      </c>
      <c r="H399" s="28" cm="1">
        <f t="array" ref="H399">_FV(B399,"Price")</f>
        <v>33.384999999999998</v>
      </c>
      <c r="I399" s="32">
        <f t="shared" si="6"/>
        <v>3.8433399547799961E-4</v>
      </c>
    </row>
    <row r="400" spans="2:9" x14ac:dyDescent="0.55000000000000004">
      <c r="B400" s="25" t="e" vm="400">
        <v>#VALUE!</v>
      </c>
      <c r="C400" s="27" cm="1">
        <f t="array" ref="C400">_FV(B400,"Shares outstanding",TRUE)</f>
        <v>343947000</v>
      </c>
      <c r="D400" s="30" cm="1">
        <f t="array" ref="D400">_FV(B400,"Market cap",TRUE)</f>
        <v>27751363695</v>
      </c>
      <c r="E400" s="26" cm="1">
        <f t="array" ref="E400">_FV(B400,"Beta")</f>
        <v>0.377</v>
      </c>
      <c r="F400" t="str" cm="1">
        <f t="array" ref="F400">_FV(B400,"Industry")</f>
        <v>Food &amp; Tobacco</v>
      </c>
      <c r="G400" s="26" cm="1">
        <f t="array" ref="G400">_FV(B400,"P/E",TRUE)</f>
        <v>38.1004</v>
      </c>
      <c r="H400" s="28" cm="1">
        <f t="array" ref="H400">_FV(B400,"Price")</f>
        <v>80.685000000000002</v>
      </c>
      <c r="I400" s="32">
        <f t="shared" si="6"/>
        <v>5.3782326543818976E-4</v>
      </c>
    </row>
    <row r="401" spans="2:9" x14ac:dyDescent="0.55000000000000004">
      <c r="B401" s="24" t="e" vm="401">
        <v>#VALUE!</v>
      </c>
      <c r="C401" s="27" cm="1">
        <f t="array" ref="C401">_FV(B401,"Shares outstanding",TRUE)</f>
        <v>2451908000</v>
      </c>
      <c r="D401" s="30" cm="1">
        <f t="array" ref="D401">_FV(B401,"Market cap",TRUE)</f>
        <v>20546989040</v>
      </c>
      <c r="E401" s="26" cm="1">
        <f t="array" ref="E401">_FV(B401,"Beta")</f>
        <v>1.4865999999999999</v>
      </c>
      <c r="F401" t="str" cm="1">
        <f t="array" ref="F401">_FV(B401,"Industry")</f>
        <v>Media &amp; Publishing</v>
      </c>
      <c r="G401" s="26" cm="1">
        <f t="array" ref="G401">_FV(B401,"P/E",TRUE)</f>
        <v>0</v>
      </c>
      <c r="H401" s="28" cm="1">
        <f t="array" ref="H401">_FV(B401,"Price")</f>
        <v>8.3800000000000008</v>
      </c>
      <c r="I401" s="32">
        <f t="shared" si="6"/>
        <v>3.9820200772355222E-4</v>
      </c>
    </row>
    <row r="402" spans="2:9" x14ac:dyDescent="0.55000000000000004">
      <c r="B402" s="25" t="e" vm="402">
        <v>#VALUE!</v>
      </c>
      <c r="C402" s="27" cm="1">
        <f t="array" ref="C402">_FV(B402,"Shares outstanding",TRUE)</f>
        <v>38039990</v>
      </c>
      <c r="D402" s="30" cm="1">
        <f t="array" ref="D402">_FV(B402,"Market cap",TRUE)</f>
        <v>15718694467</v>
      </c>
      <c r="E402" s="26" cm="1">
        <f t="array" ref="E402">_FV(B402,"Beta")</f>
        <v>0.74260000000000004</v>
      </c>
      <c r="F402" t="str" cm="1">
        <f t="array" ref="F402">_FV(B402,"Industry")</f>
        <v>Professional &amp; Commercial Services</v>
      </c>
      <c r="G402" s="26" cm="1">
        <f t="array" ref="G402">_FV(B402,"P/E",TRUE)</f>
        <v>31.1663</v>
      </c>
      <c r="H402" s="28" cm="1">
        <f t="array" ref="H402">_FV(B402,"Price")</f>
        <v>413.21499999999997</v>
      </c>
      <c r="I402" s="32">
        <f t="shared" si="6"/>
        <v>3.0462933928505621E-4</v>
      </c>
    </row>
    <row r="403" spans="2:9" x14ac:dyDescent="0.55000000000000004">
      <c r="B403" s="24" t="e" vm="403">
        <v>#VALUE!</v>
      </c>
      <c r="C403" s="27" cm="1">
        <f t="array" ref="C403">_FV(B403,"Shares outstanding",TRUE)</f>
        <v>111317200</v>
      </c>
      <c r="D403" s="30" cm="1">
        <f t="array" ref="D403">_FV(B403,"Market cap",TRUE)</f>
        <v>17175130788</v>
      </c>
      <c r="E403" s="26" cm="1">
        <f t="array" ref="E403">_FV(B403,"Beta")</f>
        <v>0.88780000000000003</v>
      </c>
      <c r="F403" t="str" cm="1">
        <f t="array" ref="F403">_FV(B403,"Industry")</f>
        <v>Healthcare Providers &amp; Services</v>
      </c>
      <c r="G403" s="26" cm="1">
        <f t="array" ref="G403">_FV(B403,"P/E",TRUE)</f>
        <v>20.7743</v>
      </c>
      <c r="H403" s="28" cm="1">
        <f t="array" ref="H403">_FV(B403,"Price")</f>
        <v>154.29</v>
      </c>
      <c r="I403" s="32">
        <f t="shared" si="6"/>
        <v>3.3285517159628537E-4</v>
      </c>
    </row>
    <row r="404" spans="2:9" x14ac:dyDescent="0.55000000000000004">
      <c r="B404" s="25" t="e" vm="404">
        <v>#VALUE!</v>
      </c>
      <c r="C404" s="27" cm="1">
        <f t="array" ref="C404">_FV(B404,"Shares outstanding",TRUE)</f>
        <v>218248800</v>
      </c>
      <c r="D404" s="30" cm="1">
        <f t="array" ref="D404">_FV(B404,"Market cap",TRUE)</f>
        <v>17608320000</v>
      </c>
      <c r="E404" s="26" cm="1">
        <f t="array" ref="E404">_FV(B404,"Beta")</f>
        <v>1.2483</v>
      </c>
      <c r="F404" t="str" cm="1">
        <f t="array" ref="F404">_FV(B404,"Industry")</f>
        <v>Homebuilding &amp; Construction Supplies</v>
      </c>
      <c r="G404" s="26" cm="1">
        <f t="array" ref="G404">_FV(B404,"P/E",TRUE)</f>
        <v>19.719000000000001</v>
      </c>
      <c r="H404" s="28" cm="1">
        <f t="array" ref="H404">_FV(B404,"Price")</f>
        <v>81.025000000000006</v>
      </c>
      <c r="I404" s="32">
        <f t="shared" si="6"/>
        <v>3.4125040720023563E-4</v>
      </c>
    </row>
    <row r="405" spans="2:9" x14ac:dyDescent="0.55000000000000004">
      <c r="B405" s="24" t="e" vm="405">
        <v>#VALUE!</v>
      </c>
      <c r="C405" s="27" cm="1">
        <f t="array" ref="C405">_FV(B405,"Shares outstanding",TRUE)</f>
        <v>75703400</v>
      </c>
      <c r="D405" s="30" cm="1">
        <f t="array" ref="D405">_FV(B405,"Market cap",TRUE)</f>
        <v>15398828594</v>
      </c>
      <c r="E405" s="26" cm="1">
        <f t="array" ref="E405">_FV(B405,"Beta")</f>
        <v>0.94850000000000001</v>
      </c>
      <c r="F405" t="str" cm="1">
        <f t="array" ref="F405">_FV(B405,"Industry")</f>
        <v>Machinery, Equipment &amp; Components</v>
      </c>
      <c r="G405" s="26" cm="1">
        <f t="array" ref="G405">_FV(B405,"P/E",TRUE)</f>
        <v>26.656600000000001</v>
      </c>
      <c r="H405" s="28" cm="1">
        <f t="array" ref="H405">_FV(B405,"Price")</f>
        <v>203.41</v>
      </c>
      <c r="I405" s="32">
        <f t="shared" si="6"/>
        <v>2.9843031749247694E-4</v>
      </c>
    </row>
    <row r="406" spans="2:9" x14ac:dyDescent="0.55000000000000004">
      <c r="B406" s="25" t="e" vm="406">
        <v>#VALUE!</v>
      </c>
      <c r="C406" s="27" cm="1">
        <f t="array" ref="C406">_FV(B406,"Shares outstanding",TRUE)</f>
        <v>51580370</v>
      </c>
      <c r="D406" s="30" cm="1">
        <f t="array" ref="D406">_FV(B406,"Market cap",TRUE)</f>
        <v>18045392444</v>
      </c>
      <c r="E406" s="26" cm="1">
        <f t="array" ref="E406">_FV(B406,"Beta")</f>
        <v>1.6572</v>
      </c>
      <c r="F406" t="str" cm="1">
        <f t="array" ref="F406">_FV(B406,"Industry")</f>
        <v>Electronic Equipment &amp; Parts</v>
      </c>
      <c r="G406" s="26" cm="1">
        <f t="array" ref="G406">_FV(B406,"P/E",TRUE)</f>
        <v>79.240099999999998</v>
      </c>
      <c r="H406" s="28" cm="1">
        <f t="array" ref="H406">_FV(B406,"Price")</f>
        <v>349.85</v>
      </c>
      <c r="I406" s="32">
        <f t="shared" si="6"/>
        <v>3.4972090009740029E-4</v>
      </c>
    </row>
    <row r="407" spans="2:9" x14ac:dyDescent="0.55000000000000004">
      <c r="B407" s="24" t="e" vm="407">
        <v>#VALUE!</v>
      </c>
      <c r="C407" s="27" cm="1">
        <f t="array" ref="C407">_FV(B407,"Shares outstanding",TRUE)</f>
        <v>141651500</v>
      </c>
      <c r="D407" s="30" cm="1">
        <f t="array" ref="D407">_FV(B407,"Market cap",TRUE)</f>
        <v>14162316970</v>
      </c>
      <c r="E407" s="26" cm="1">
        <f t="array" ref="E407">_FV(B407,"Beta")</f>
        <v>0.6381</v>
      </c>
      <c r="F407" t="str" cm="1">
        <f t="array" ref="F407">_FV(B407,"Industry")</f>
        <v>Food &amp; Tobacco</v>
      </c>
      <c r="G407" s="26" cm="1">
        <f t="array" ref="G407">_FV(B407,"P/E",TRUE)</f>
        <v>11.3626</v>
      </c>
      <c r="H407" s="28" cm="1">
        <f t="array" ref="H407">_FV(B407,"Price")</f>
        <v>99.98</v>
      </c>
      <c r="I407" s="32">
        <f t="shared" si="6"/>
        <v>2.7446664036724161E-4</v>
      </c>
    </row>
    <row r="408" spans="2:9" x14ac:dyDescent="0.55000000000000004">
      <c r="B408" s="25" t="e" vm="408">
        <v>#VALUE!</v>
      </c>
      <c r="C408" s="27" cm="1">
        <f t="array" ref="C408">_FV(B408,"Shares outstanding",TRUE)</f>
        <v>1445343000</v>
      </c>
      <c r="D408" s="30" cm="1">
        <f t="array" ref="D408">_FV(B408,"Market cap",TRUE)</f>
        <v>16151708025</v>
      </c>
      <c r="E408" s="26" cm="1">
        <f t="array" ref="E408">_FV(B408,"Beta")</f>
        <v>0.85780000000000001</v>
      </c>
      <c r="F408" t="str" cm="1">
        <f t="array" ref="F408">_FV(B408,"Industry")</f>
        <v>Containers &amp; Packaging</v>
      </c>
      <c r="G408" s="26" cm="1">
        <f t="array" ref="G408">_FV(B408,"P/E",TRUE)</f>
        <v>21.992100000000001</v>
      </c>
      <c r="H408" s="28" cm="1">
        <f t="array" ref="H408">_FV(B408,"Price")</f>
        <v>11.175000000000001</v>
      </c>
      <c r="I408" s="32">
        <f t="shared" si="6"/>
        <v>3.1302117070285888E-4</v>
      </c>
    </row>
    <row r="409" spans="2:9" x14ac:dyDescent="0.55000000000000004">
      <c r="B409" s="24" t="e" vm="409">
        <v>#VALUE!</v>
      </c>
      <c r="C409" s="27" cm="1">
        <f t="array" ref="C409">_FV(B409,"Shares outstanding",TRUE)</f>
        <v>52682660</v>
      </c>
      <c r="D409" s="30" cm="1">
        <f t="array" ref="D409">_FV(B409,"Market cap",TRUE)</f>
        <v>14950285254</v>
      </c>
      <c r="E409" s="26" cm="1">
        <f t="array" ref="E409">_FV(B409,"Beta")</f>
        <v>0.97629999999999995</v>
      </c>
      <c r="F409" t="str" cm="1">
        <f t="array" ref="F409">_FV(B409,"Industry")</f>
        <v>Machinery, Equipment &amp; Components</v>
      </c>
      <c r="G409" s="26" cm="1">
        <f t="array" ref="G409">_FV(B409,"P/E",TRUE)</f>
        <v>14.748100000000001</v>
      </c>
      <c r="H409" s="28" cm="1">
        <f t="array" ref="H409">_FV(B409,"Price")</f>
        <v>283.77999999999997</v>
      </c>
      <c r="I409" s="32">
        <f t="shared" si="6"/>
        <v>2.8973751787150494E-4</v>
      </c>
    </row>
    <row r="410" spans="2:9" x14ac:dyDescent="0.55000000000000004">
      <c r="B410" s="25" t="e" vm="410">
        <v>#VALUE!</v>
      </c>
      <c r="C410" s="27" cm="1">
        <f t="array" ref="C410">_FV(B410,"Shares outstanding",TRUE)</f>
        <v>180412300</v>
      </c>
      <c r="D410" s="30" cm="1">
        <f t="array" ref="D410">_FV(B410,"Market cap",TRUE)</f>
        <v>14748705525</v>
      </c>
      <c r="E410" s="26" cm="1">
        <f t="array" ref="E410">_FV(B410,"Beta")</f>
        <v>0.94340000000000002</v>
      </c>
      <c r="F410" t="str" cm="1">
        <f t="array" ref="F410">_FV(B410,"Industry")</f>
        <v>Chemicals</v>
      </c>
      <c r="G410" s="26" cm="1">
        <f t="array" ref="G410">_FV(B410,"P/E",TRUE)</f>
        <v>14.316000000000001</v>
      </c>
      <c r="H410" s="28" cm="1">
        <f t="array" ref="H410">_FV(B410,"Price")</f>
        <v>81.75</v>
      </c>
      <c r="I410" s="32">
        <f t="shared" si="6"/>
        <v>2.8583088937971456E-4</v>
      </c>
    </row>
    <row r="411" spans="2:9" x14ac:dyDescent="0.55000000000000004">
      <c r="B411" s="24" t="e" vm="411">
        <v>#VALUE!</v>
      </c>
      <c r="C411" s="27" cm="1">
        <f t="array" ref="C411">_FV(B411,"Shares outstanding",TRUE)</f>
        <v>484313800</v>
      </c>
      <c r="D411" s="30" cm="1">
        <f t="array" ref="D411">_FV(B411,"Market cap",TRUE)</f>
        <v>24167258620</v>
      </c>
      <c r="E411" s="26" cm="1">
        <f t="array" ref="E411">_FV(B411,"Beta")</f>
        <v>0.69810000000000005</v>
      </c>
      <c r="F411" t="str" cm="1">
        <f t="array" ref="F411">_FV(B411,"Industry")</f>
        <v>Professional &amp; Commercial Services</v>
      </c>
      <c r="G411" s="26" cm="1">
        <f t="array" ref="G411">_FV(B411,"P/E",TRUE)</f>
        <v>52.919400000000003</v>
      </c>
      <c r="H411" s="28" cm="1">
        <f t="array" ref="H411">_FV(B411,"Price")</f>
        <v>49.9</v>
      </c>
      <c r="I411" s="32">
        <f t="shared" si="6"/>
        <v>4.6836307183129364E-4</v>
      </c>
    </row>
    <row r="412" spans="2:9" x14ac:dyDescent="0.55000000000000004">
      <c r="B412" s="25" t="e" vm="412">
        <v>#VALUE!</v>
      </c>
      <c r="C412" s="27" cm="1">
        <f t="array" ref="C412">_FV(B412,"Shares outstanding",TRUE)</f>
        <v>219516500</v>
      </c>
      <c r="D412" s="30" cm="1">
        <f t="array" ref="D412">_FV(B412,"Market cap",TRUE)</f>
        <v>17699615395</v>
      </c>
      <c r="E412" s="26" cm="1">
        <f t="array" ref="E412">_FV(B412,"Beta")</f>
        <v>0.81899999999999995</v>
      </c>
      <c r="F412" t="str" cm="1">
        <f t="array" ref="F412">_FV(B412,"Industry")</f>
        <v>Insurance</v>
      </c>
      <c r="G412" s="26" cm="1">
        <f t="array" ref="G412">_FV(B412,"P/E",TRUE)</f>
        <v>11.786899999999999</v>
      </c>
      <c r="H412" s="28" cm="1">
        <f t="array" ref="H412">_FV(B412,"Price")</f>
        <v>80.63</v>
      </c>
      <c r="I412" s="32">
        <f t="shared" si="6"/>
        <v>3.43019717998725E-4</v>
      </c>
    </row>
    <row r="413" spans="2:9" x14ac:dyDescent="0.55000000000000004">
      <c r="B413" s="24" t="e" vm="413">
        <v>#VALUE!</v>
      </c>
      <c r="C413" s="27" cm="1">
        <f t="array" ref="C413">_FV(B413,"Shares outstanding",TRUE)</f>
        <v>109264200</v>
      </c>
      <c r="D413" s="30" cm="1">
        <f t="array" ref="D413">_FV(B413,"Market cap",TRUE)</f>
        <v>14419590000</v>
      </c>
      <c r="E413" s="26" cm="1">
        <f t="array" ref="E413">_FV(B413,"Beta")</f>
        <v>1.2982</v>
      </c>
      <c r="F413" t="str" cm="1">
        <f t="array" ref="F413">_FV(B413,"Industry")</f>
        <v>Chemicals</v>
      </c>
      <c r="G413" s="26" cm="1">
        <f t="array" ref="G413">_FV(B413,"P/E",TRUE)</f>
        <v>7.4763999999999999</v>
      </c>
      <c r="H413" s="28" cm="1">
        <f t="array" ref="H413">_FV(B413,"Price")</f>
        <v>131.75</v>
      </c>
      <c r="I413" s="32">
        <f t="shared" si="6"/>
        <v>2.7945260871908541E-4</v>
      </c>
    </row>
    <row r="414" spans="2:9" x14ac:dyDescent="0.55000000000000004">
      <c r="B414" s="25" t="e" vm="414">
        <v>#VALUE!</v>
      </c>
      <c r="C414" s="27" cm="1">
        <f t="array" ref="C414">_FV(B414,"Shares outstanding",TRUE)</f>
        <v>244207600</v>
      </c>
      <c r="D414" s="30" cm="1">
        <f t="array" ref="D414">_FV(B414,"Market cap",TRUE)</f>
        <v>13902738668</v>
      </c>
      <c r="E414" s="26" cm="1">
        <f t="array" ref="E414">_FV(B414,"Beta")</f>
        <v>1.4849000000000001</v>
      </c>
      <c r="F414" t="str" cm="1">
        <f t="array" ref="F414">_FV(B414,"Industry")</f>
        <v>Software &amp; IT Services</v>
      </c>
      <c r="G414" s="26" cm="1">
        <f t="array" ref="G414">_FV(B414,"P/E",TRUE)</f>
        <v>9.3020999999999994</v>
      </c>
      <c r="H414" s="28" cm="1">
        <f t="array" ref="H414">_FV(B414,"Price")</f>
        <v>56.93</v>
      </c>
      <c r="I414" s="32">
        <f t="shared" si="6"/>
        <v>2.6943599569143799E-4</v>
      </c>
    </row>
    <row r="415" spans="2:9" x14ac:dyDescent="0.55000000000000004">
      <c r="B415" s="24" t="e" vm="415">
        <v>#VALUE!</v>
      </c>
      <c r="C415" s="27" cm="1">
        <f t="array" ref="C415">_FV(B415,"Shares outstanding",TRUE)</f>
        <v>703781500</v>
      </c>
      <c r="D415" s="30" cm="1">
        <f t="array" ref="D415">_FV(B415,"Market cap",TRUE)</f>
        <v>15880829547</v>
      </c>
      <c r="E415" s="26" cm="1">
        <f t="array" ref="E415">_FV(B415,"Beta")</f>
        <v>1.1213</v>
      </c>
      <c r="F415" t="str" cm="1">
        <f t="array" ref="F415">_FV(B415,"Industry")</f>
        <v>Residential &amp; Commercial REIT</v>
      </c>
      <c r="G415" s="26" cm="1">
        <f t="array" ref="G415">_FV(B415,"P/E",TRUE)</f>
        <v>48.622199999999999</v>
      </c>
      <c r="H415" s="28" cm="1">
        <f t="array" ref="H415">_FV(B415,"Price")</f>
        <v>22.565000000000001</v>
      </c>
      <c r="I415" s="32">
        <f t="shared" si="6"/>
        <v>3.0777152786814891E-4</v>
      </c>
    </row>
    <row r="416" spans="2:9" x14ac:dyDescent="0.55000000000000004">
      <c r="B416" s="25" t="e" vm="416">
        <v>#VALUE!</v>
      </c>
      <c r="C416" s="27" cm="1">
        <f t="array" ref="C416">_FV(B416,"Shares outstanding",TRUE)</f>
        <v>70115480</v>
      </c>
      <c r="D416" s="30" cm="1">
        <f t="array" ref="D416">_FV(B416,"Market cap",TRUE)</f>
        <v>12914570261</v>
      </c>
      <c r="E416" s="26" cm="1">
        <f t="array" ref="E416">_FV(B416,"Beta")</f>
        <v>1.2030000000000001</v>
      </c>
      <c r="F416" t="str" cm="1">
        <f t="array" ref="F416">_FV(B416,"Industry")</f>
        <v>Healthcare Equipment &amp; Supplies</v>
      </c>
      <c r="G416" s="26" cm="1">
        <f t="array" ref="G416">_FV(B416,"P/E",TRUE)</f>
        <v>34.188800000000001</v>
      </c>
      <c r="H416" s="28" cm="1">
        <f t="array" ref="H416">_FV(B416,"Price")</f>
        <v>184.19</v>
      </c>
      <c r="I416" s="32">
        <f t="shared" si="6"/>
        <v>2.5028522655098857E-4</v>
      </c>
    </row>
    <row r="417" spans="2:9" x14ac:dyDescent="0.55000000000000004">
      <c r="B417" s="24" t="e" vm="417">
        <v>#VALUE!</v>
      </c>
      <c r="C417" s="27" cm="1">
        <f t="array" ref="C417">_FV(B417,"Shares outstanding",TRUE)</f>
        <v>479049700</v>
      </c>
      <c r="D417" s="30" cm="1">
        <f t="array" ref="D417">_FV(B417,"Market cap",TRUE)</f>
        <v>14824192966</v>
      </c>
      <c r="E417" s="26" cm="1">
        <f t="array" ref="E417">_FV(B417,"Beta")</f>
        <v>0.31040000000000001</v>
      </c>
      <c r="F417" t="str" cm="1">
        <f t="array" ref="F417">_FV(B417,"Industry")</f>
        <v>Food &amp; Tobacco</v>
      </c>
      <c r="G417" s="26" cm="1">
        <f t="array" ref="G417">_FV(B417,"P/E",TRUE)</f>
        <v>42.450099999999999</v>
      </c>
      <c r="H417" s="28" cm="1">
        <f t="array" ref="H417">_FV(B417,"Price")</f>
        <v>30.945</v>
      </c>
      <c r="I417" s="32">
        <f t="shared" si="6"/>
        <v>2.8729384098326067E-4</v>
      </c>
    </row>
    <row r="418" spans="2:9" x14ac:dyDescent="0.55000000000000004">
      <c r="B418" s="25" t="e" vm="418">
        <v>#VALUE!</v>
      </c>
      <c r="C418" s="27" cm="1">
        <f t="array" ref="C418">_FV(B418,"Shares outstanding",TRUE)</f>
        <v>151525800</v>
      </c>
      <c r="D418" s="30" cm="1">
        <f t="array" ref="D418">_FV(B418,"Market cap",TRUE)</f>
        <v>15307136316</v>
      </c>
      <c r="E418" s="26" cm="1">
        <f t="array" ref="E418">_FV(B418,"Beta")</f>
        <v>0.67700000000000005</v>
      </c>
      <c r="F418" t="str" cm="1">
        <f t="array" ref="F418">_FV(B418,"Industry")</f>
        <v>Software &amp; IT Services</v>
      </c>
      <c r="G418" s="26" cm="1">
        <f t="array" ref="G418">_FV(B418,"P/E",TRUE)</f>
        <v>25.244800000000001</v>
      </c>
      <c r="H418" s="28" cm="1">
        <f t="array" ref="H418">_FV(B418,"Price")</f>
        <v>101.02</v>
      </c>
      <c r="I418" s="32">
        <f t="shared" si="6"/>
        <v>2.9665331507517555E-4</v>
      </c>
    </row>
    <row r="419" spans="2:9" x14ac:dyDescent="0.55000000000000004">
      <c r="B419" s="24" t="e" vm="419">
        <v>#VALUE!</v>
      </c>
      <c r="C419" s="27" cm="1">
        <f t="array" ref="C419">_FV(B419,"Shares outstanding",TRUE)</f>
        <v>615525000</v>
      </c>
      <c r="D419" s="30" cm="1">
        <f t="array" ref="D419">_FV(B419,"Market cap",TRUE)</f>
        <v>16194462750</v>
      </c>
      <c r="E419" s="26" cm="1">
        <f t="array" ref="E419">_FV(B419,"Beta")</f>
        <v>0.76329999999999998</v>
      </c>
      <c r="F419" t="str" cm="1">
        <f t="array" ref="F419">_FV(B419,"Industry")</f>
        <v>Software &amp; IT Services</v>
      </c>
      <c r="G419" s="26" cm="1">
        <f t="array" ref="G419">_FV(B419,"P/E",TRUE)</f>
        <v>27.4057</v>
      </c>
      <c r="H419" s="28" cm="1">
        <f t="array" ref="H419">_FV(B419,"Price")</f>
        <v>26.31</v>
      </c>
      <c r="I419" s="32">
        <f t="shared" si="6"/>
        <v>3.1384976010355036E-4</v>
      </c>
    </row>
    <row r="420" spans="2:9" x14ac:dyDescent="0.55000000000000004">
      <c r="B420" s="25" t="e" vm="420">
        <v>#VALUE!</v>
      </c>
      <c r="C420" s="27" cm="1">
        <f t="array" ref="C420">_FV(B420,"Shares outstanding",TRUE)</f>
        <v>123336700</v>
      </c>
      <c r="D420" s="30" cm="1">
        <f t="array" ref="D420">_FV(B420,"Market cap",TRUE)</f>
        <v>14944707939</v>
      </c>
      <c r="E420" s="26" cm="1">
        <f t="array" ref="E420">_FV(B420,"Beta")</f>
        <v>1.0469999999999999</v>
      </c>
      <c r="F420" t="str" cm="1">
        <f t="array" ref="F420">_FV(B420,"Industry")</f>
        <v>Healthcare Equipment &amp; Supplies</v>
      </c>
      <c r="G420" s="26" cm="1">
        <f t="array" ref="G420">_FV(B420,"P/E",TRUE)</f>
        <v>82.161699999999996</v>
      </c>
      <c r="H420" s="28" cm="1">
        <f t="array" ref="H420">_FV(B420,"Price")</f>
        <v>121.17</v>
      </c>
      <c r="I420" s="32">
        <f t="shared" si="6"/>
        <v>2.8962942913760904E-4</v>
      </c>
    </row>
    <row r="421" spans="2:9" x14ac:dyDescent="0.55000000000000004">
      <c r="B421" s="24" t="e" vm="421">
        <v>#VALUE!</v>
      </c>
      <c r="C421" s="27" cm="1">
        <f t="array" ref="C421">_FV(B421,"Shares outstanding",TRUE)</f>
        <v>38257930</v>
      </c>
      <c r="D421" s="30" cm="1">
        <f t="array" ref="D421">_FV(B421,"Market cap",TRUE)</f>
        <v>13714511456</v>
      </c>
      <c r="E421" s="26" cm="1">
        <f t="array" ref="E421">_FV(B421,"Beta")</f>
        <v>1.004</v>
      </c>
      <c r="F421" t="str" cm="1">
        <f t="array" ref="F421">_FV(B421,"Industry")</f>
        <v>Leisure Products</v>
      </c>
      <c r="G421" s="26" cm="1">
        <f t="array" ref="G421">_FV(B421,"P/E",TRUE)</f>
        <v>30.183</v>
      </c>
      <c r="H421" s="28" cm="1">
        <f t="array" ref="H421">_FV(B421,"Price")</f>
        <v>358.47500000000002</v>
      </c>
      <c r="I421" s="32">
        <f t="shared" si="6"/>
        <v>2.6578813986299069E-4</v>
      </c>
    </row>
    <row r="422" spans="2:9" x14ac:dyDescent="0.55000000000000004">
      <c r="B422" s="25" t="e" vm="422">
        <v>#VALUE!</v>
      </c>
      <c r="C422" s="27" cm="1">
        <f t="array" ref="C422">_FV(B422,"Shares outstanding",TRUE)</f>
        <v>165497700</v>
      </c>
      <c r="D422" s="30" cm="1">
        <f t="array" ref="D422">_FV(B422,"Market cap",TRUE)</f>
        <v>14323825935</v>
      </c>
      <c r="E422" s="26" cm="1">
        <f t="array" ref="E422">_FV(B422,"Beta")</f>
        <v>1.1915</v>
      </c>
      <c r="F422" t="str" cm="1">
        <f t="array" ref="F422">_FV(B422,"Industry")</f>
        <v>Machinery, Equipment &amp; Components</v>
      </c>
      <c r="G422" s="26" cm="1">
        <f t="array" ref="G422">_FV(B422,"P/E",TRUE)</f>
        <v>21.969200000000001</v>
      </c>
      <c r="H422" s="28" cm="1">
        <f t="array" ref="H422">_FV(B422,"Price")</f>
        <v>86.55</v>
      </c>
      <c r="I422" s="32">
        <f t="shared" si="6"/>
        <v>2.77596694800188E-4</v>
      </c>
    </row>
    <row r="423" spans="2:9" x14ac:dyDescent="0.55000000000000004">
      <c r="B423" s="24" t="e" vm="423">
        <v>#VALUE!</v>
      </c>
      <c r="C423" s="27" cm="1">
        <f t="array" ref="C423">_FV(B423,"Shares outstanding",TRUE)</f>
        <v>230318900</v>
      </c>
      <c r="D423" s="30" cm="1">
        <f t="array" ref="D423">_FV(B423,"Market cap",TRUE)</f>
        <v>21930965658</v>
      </c>
      <c r="E423" s="26" cm="1">
        <f t="array" ref="E423">_FV(B423,"Beta")</f>
        <v>1.3404</v>
      </c>
      <c r="F423" t="str" cm="1">
        <f t="array" ref="F423">_FV(B423,"Industry")</f>
        <v>Media &amp; Publishing</v>
      </c>
      <c r="G423" s="26" cm="1">
        <f t="array" ref="G423">_FV(B423,"P/E",TRUE)</f>
        <v>94.634</v>
      </c>
      <c r="H423" s="28" cm="1">
        <f t="array" ref="H423">_FV(B423,"Price")</f>
        <v>95.22</v>
      </c>
      <c r="I423" s="32">
        <f t="shared" si="6"/>
        <v>4.2502356619409938E-4</v>
      </c>
    </row>
    <row r="424" spans="2:9" x14ac:dyDescent="0.55000000000000004">
      <c r="B424" s="25" t="e" vm="424">
        <v>#VALUE!</v>
      </c>
      <c r="C424" s="27" cm="1">
        <f t="array" ref="C424">_FV(B424,"Shares outstanding",TRUE)</f>
        <v>153959500</v>
      </c>
      <c r="D424" s="30" cm="1">
        <f t="array" ref="D424">_FV(B424,"Market cap",TRUE)</f>
        <v>15511419625</v>
      </c>
      <c r="E424" s="26" cm="1">
        <f t="array" ref="E424">_FV(B424,"Beta")</f>
        <v>1.2379</v>
      </c>
      <c r="F424" t="str" cm="1">
        <f t="array" ref="F424">_FV(B424,"Industry")</f>
        <v>Machinery, Equipment &amp; Components</v>
      </c>
      <c r="G424" t="e" cm="1" vm="36">
        <f t="array" ref="G424">_FV(B424,"P/E",TRUE)</f>
        <v>#VALUE!</v>
      </c>
      <c r="H424" s="28" cm="1">
        <f t="array" ref="H424">_FV(B424,"Price")</f>
        <v>100.75</v>
      </c>
      <c r="I424" s="32">
        <f t="shared" si="6"/>
        <v>3.0061233912633212E-4</v>
      </c>
    </row>
    <row r="425" spans="2:9" x14ac:dyDescent="0.55000000000000004">
      <c r="B425" s="24" t="e" vm="425">
        <v>#VALUE!</v>
      </c>
      <c r="C425" s="27" cm="1">
        <f t="array" ref="C425">_FV(B425,"Shares outstanding",TRUE)</f>
        <v>942860500</v>
      </c>
      <c r="D425" s="30" cm="1">
        <f t="array" ref="D425">_FV(B425,"Market cap",TRUE)</f>
        <v>16000342684</v>
      </c>
      <c r="E425" s="26" cm="1">
        <f t="array" ref="E425">_FV(B425,"Beta")</f>
        <v>1.24</v>
      </c>
      <c r="F425" t="str" cm="1">
        <f t="array" ref="F425">_FV(B425,"Industry")</f>
        <v>Banking Services</v>
      </c>
      <c r="G425" s="26" cm="1">
        <f t="array" ref="G425">_FV(B425,"P/E",TRUE)</f>
        <v>22.1724</v>
      </c>
      <c r="H425" s="28" cm="1">
        <f t="array" ref="H425">_FV(B425,"Price")</f>
        <v>16.97</v>
      </c>
      <c r="I425" s="32">
        <f t="shared" si="6"/>
        <v>3.1008770037449973E-4</v>
      </c>
    </row>
    <row r="426" spans="2:9" x14ac:dyDescent="0.55000000000000004">
      <c r="B426" s="25" t="e" vm="426">
        <v>#VALUE!</v>
      </c>
      <c r="C426" s="27" cm="1">
        <f t="array" ref="C426">_FV(B426,"Shares outstanding",TRUE)</f>
        <v>710924300</v>
      </c>
      <c r="D426" s="30" cm="1">
        <f t="array" ref="D426">_FV(B426,"Market cap",TRUE)</f>
        <v>12803817735</v>
      </c>
      <c r="E426" s="26" cm="1">
        <f t="array" ref="E426">_FV(B426,"Beta")</f>
        <v>1.0671999999999999</v>
      </c>
      <c r="F426" t="str" cm="1">
        <f t="array" ref="F426">_FV(B426,"Industry")</f>
        <v>Electrical Utilities &amp; IPPs</v>
      </c>
      <c r="G426" s="26" cm="1">
        <f t="array" ref="G426">_FV(B426,"P/E",TRUE)</f>
        <v>25.045000000000002</v>
      </c>
      <c r="H426" s="28" cm="1">
        <f t="array" ref="H426">_FV(B426,"Price")</f>
        <v>18.010100000000001</v>
      </c>
      <c r="I426" s="32">
        <f t="shared" si="6"/>
        <v>2.4813883526573512E-4</v>
      </c>
    </row>
    <row r="427" spans="2:9" x14ac:dyDescent="0.55000000000000004">
      <c r="B427" s="24" t="e" vm="427">
        <v>#VALUE!</v>
      </c>
      <c r="C427" s="27" cm="1">
        <f t="array" ref="C427">_FV(B427,"Shares outstanding",TRUE)</f>
        <v>101986500</v>
      </c>
      <c r="D427" s="30" cm="1">
        <f t="array" ref="D427">_FV(B427,"Market cap",TRUE)</f>
        <v>18048560000</v>
      </c>
      <c r="E427" s="26" cm="1">
        <f t="array" ref="E427">_FV(B427,"Beta")</f>
        <v>1.1552</v>
      </c>
      <c r="F427" t="str" cm="1">
        <f t="array" ref="F427">_FV(B427,"Industry")</f>
        <v>Freight &amp; Logistics Services</v>
      </c>
      <c r="G427" s="26" cm="1">
        <f t="array" ref="G427">_FV(B427,"P/E",TRUE)</f>
        <v>30.449100000000001</v>
      </c>
      <c r="H427" s="28" cm="1">
        <f t="array" ref="H427">_FV(B427,"Price")</f>
        <v>175.79</v>
      </c>
      <c r="I427" s="32">
        <f t="shared" si="6"/>
        <v>3.497822875423598E-4</v>
      </c>
    </row>
    <row r="428" spans="2:9" x14ac:dyDescent="0.55000000000000004">
      <c r="B428" s="25" t="e" vm="428">
        <v>#VALUE!</v>
      </c>
      <c r="C428" s="27" cm="1">
        <f t="array" ref="C428">_FV(B428,"Shares outstanding",TRUE)</f>
        <v>702440400</v>
      </c>
      <c r="D428" s="30" cm="1">
        <f t="array" ref="D428">_FV(B428,"Market cap",TRUE)</f>
        <v>12194365344</v>
      </c>
      <c r="E428" s="26" cm="1">
        <f t="array" ref="E428">_FV(B428,"Beta")</f>
        <v>1.3407</v>
      </c>
      <c r="F428" t="str" cm="1">
        <f t="array" ref="F428">_FV(B428,"Industry")</f>
        <v>Residential &amp; Commercial REIT</v>
      </c>
      <c r="G428" s="26" cm="1">
        <f t="array" ref="G428">_FV(B428,"P/E",TRUE)</f>
        <v>16.421399999999998</v>
      </c>
      <c r="H428" s="28" cm="1">
        <f t="array" ref="H428">_FV(B428,"Price")</f>
        <v>17.36</v>
      </c>
      <c r="I428" s="32">
        <f t="shared" si="6"/>
        <v>2.3632760758484861E-4</v>
      </c>
    </row>
    <row r="429" spans="2:9" x14ac:dyDescent="0.55000000000000004">
      <c r="B429" s="24" t="e" vm="429">
        <v>#VALUE!</v>
      </c>
      <c r="C429" s="27" cm="1">
        <f t="array" ref="C429">_FV(B429,"Shares outstanding",TRUE)</f>
        <v>258148100</v>
      </c>
      <c r="D429" s="30" cm="1">
        <f t="array" ref="D429">_FV(B429,"Market cap",TRUE)</f>
        <v>13297210000</v>
      </c>
      <c r="E429" s="26" cm="1">
        <f t="array" ref="E429">_FV(B429,"Beta")</f>
        <v>1.0535000000000001</v>
      </c>
      <c r="F429" t="str" cm="1">
        <f t="array" ref="F429">_FV(B429,"Industry")</f>
        <v>Containers &amp; Packaging</v>
      </c>
      <c r="G429" s="26" cm="1">
        <f t="array" ref="G429">_FV(B429,"P/E",TRUE)</f>
        <v>43.442700000000002</v>
      </c>
      <c r="H429" s="28" cm="1">
        <f t="array" ref="H429">_FV(B429,"Price")</f>
        <v>51.51</v>
      </c>
      <c r="I429" s="32">
        <f t="shared" si="6"/>
        <v>2.5770081002202626E-4</v>
      </c>
    </row>
    <row r="430" spans="2:9" x14ac:dyDescent="0.55000000000000004">
      <c r="B430" s="25" t="e" vm="430">
        <v>#VALUE!</v>
      </c>
      <c r="C430" s="27" cm="1">
        <f t="array" ref="C430">_FV(B430,"Shares outstanding",TRUE)</f>
        <v>674112200</v>
      </c>
      <c r="D430" s="30" cm="1">
        <f t="array" ref="D430">_FV(B430,"Market cap",TRUE)</f>
        <v>15733778748</v>
      </c>
      <c r="E430" s="26" cm="1">
        <f t="array" ref="E430">_FV(B430,"Beta")</f>
        <v>1.4965999999999999</v>
      </c>
      <c r="F430" t="str" cm="1">
        <f t="array" ref="F430">_FV(B430,"Industry")</f>
        <v>Residential &amp; Commercial REIT</v>
      </c>
      <c r="G430" s="26" cm="1">
        <f t="array" ref="G430">_FV(B430,"P/E",TRUE)</f>
        <v>43.3371</v>
      </c>
      <c r="H430" s="28" cm="1">
        <f t="array" ref="H430">_FV(B430,"Price")</f>
        <v>23.34</v>
      </c>
      <c r="I430" s="32">
        <f t="shared" si="6"/>
        <v>3.0492167364935515E-4</v>
      </c>
    </row>
    <row r="431" spans="2:9" x14ac:dyDescent="0.55000000000000004">
      <c r="B431" s="24" t="e" vm="431">
        <v>#VALUE!</v>
      </c>
      <c r="C431" s="27" cm="1">
        <f t="array" ref="C431">_FV(B431,"Shares outstanding",TRUE)</f>
        <v>57181530</v>
      </c>
      <c r="D431" s="30" cm="1">
        <f t="array" ref="D431">_FV(B431,"Market cap",TRUE)</f>
        <v>14752834740</v>
      </c>
      <c r="E431" s="26" cm="1">
        <f t="array" ref="E431">_FV(B431,"Beta")</f>
        <v>0.90449999999999997</v>
      </c>
      <c r="F431" t="str" cm="1">
        <f t="array" ref="F431">_FV(B431,"Industry")</f>
        <v>Machinery, Equipment &amp; Components</v>
      </c>
      <c r="G431" s="26" cm="1">
        <f t="array" ref="G431">_FV(B431,"P/E",TRUE)</f>
        <v>31.353899999999999</v>
      </c>
      <c r="H431" s="28" cm="1">
        <f t="array" ref="H431">_FV(B431,"Price")</f>
        <v>258</v>
      </c>
      <c r="I431" s="32">
        <f t="shared" si="6"/>
        <v>2.8591091383975203E-4</v>
      </c>
    </row>
    <row r="432" spans="2:9" x14ac:dyDescent="0.55000000000000004">
      <c r="B432" s="25" t="e" vm="432">
        <v>#VALUE!</v>
      </c>
      <c r="C432" s="27" cm="1">
        <f t="array" ref="C432">_FV(B432,"Shares outstanding",TRUE)</f>
        <v>256499600</v>
      </c>
      <c r="D432" s="30" cm="1">
        <f t="array" ref="D432">_FV(B432,"Market cap",TRUE)</f>
        <v>14902626760</v>
      </c>
      <c r="E432" s="26" cm="1">
        <f t="array" ref="E432">_FV(B432,"Beta")</f>
        <v>0.5706</v>
      </c>
      <c r="F432" t="str" cm="1">
        <f t="array" ref="F432">_FV(B432,"Industry")</f>
        <v>Electrical Utilities &amp; IPPs</v>
      </c>
      <c r="G432" s="26" cm="1">
        <f t="array" ref="G432">_FV(B432,"P/E",TRUE)</f>
        <v>23.7041</v>
      </c>
      <c r="H432" s="28" cm="1">
        <f t="array" ref="H432">_FV(B432,"Price")</f>
        <v>58.1</v>
      </c>
      <c r="I432" s="32">
        <f t="shared" si="6"/>
        <v>2.8881389310298362E-4</v>
      </c>
    </row>
    <row r="433" spans="2:9" x14ac:dyDescent="0.55000000000000004">
      <c r="B433" s="24" t="e" vm="433">
        <v>#VALUE!</v>
      </c>
      <c r="C433" s="27" cm="1">
        <f t="array" ref="C433">_FV(B433,"Shares outstanding",TRUE)</f>
        <v>329823500</v>
      </c>
      <c r="D433" s="30" cm="1">
        <f t="array" ref="D433">_FV(B433,"Market cap",TRUE)</f>
        <v>14251673435</v>
      </c>
      <c r="E433" s="26" cm="1">
        <f t="array" ref="E433">_FV(B433,"Beta")</f>
        <v>0.8377</v>
      </c>
      <c r="F433" t="str" cm="1">
        <f t="array" ref="F433">_FV(B433,"Industry")</f>
        <v>Residential &amp; Commercial REIT</v>
      </c>
      <c r="G433" s="26" cm="1">
        <f t="array" ref="G433">_FV(B433,"P/E",TRUE)</f>
        <v>106.4421</v>
      </c>
      <c r="H433" s="28" cm="1">
        <f t="array" ref="H433">_FV(B433,"Price")</f>
        <v>43.21</v>
      </c>
      <c r="I433" s="32">
        <f t="shared" si="6"/>
        <v>2.7619837457398155E-4</v>
      </c>
    </row>
    <row r="434" spans="2:9" x14ac:dyDescent="0.55000000000000004">
      <c r="B434" s="25" t="e" vm="434">
        <v>#VALUE!</v>
      </c>
      <c r="C434" s="27" cm="1">
        <f t="array" ref="C434">_FV(B434,"Shares outstanding",TRUE)</f>
        <v>229958400</v>
      </c>
      <c r="D434" s="30" cm="1">
        <f t="array" ref="D434">_FV(B434,"Market cap",TRUE)</f>
        <v>13459470000</v>
      </c>
      <c r="E434" s="26" cm="1">
        <f t="array" ref="E434">_FV(B434,"Beta")</f>
        <v>0.60150000000000003</v>
      </c>
      <c r="F434" t="str" cm="1">
        <f t="array" ref="F434">_FV(B434,"Industry")</f>
        <v>Electrical Utilities &amp; IPPs</v>
      </c>
      <c r="G434" s="26" cm="1">
        <f t="array" ref="G434">_FV(B434,"P/E",TRUE)</f>
        <v>18.247199999999999</v>
      </c>
      <c r="H434" s="28" cm="1">
        <f t="array" ref="H434">_FV(B434,"Price")</f>
        <v>59.11</v>
      </c>
      <c r="I434" s="32">
        <f t="shared" si="6"/>
        <v>2.6084541956298814E-4</v>
      </c>
    </row>
    <row r="435" spans="2:9" x14ac:dyDescent="0.55000000000000004">
      <c r="B435" s="24" t="e" vm="435">
        <v>#VALUE!</v>
      </c>
      <c r="C435" s="27" cm="1">
        <f t="array" ref="C435">_FV(B435,"Shares outstanding",TRUE)</f>
        <v>143671300</v>
      </c>
      <c r="D435" s="30" cm="1">
        <f t="array" ref="D435">_FV(B435,"Market cap",TRUE)</f>
        <v>8998851875</v>
      </c>
      <c r="E435" s="26" cm="1">
        <f t="array" ref="E435">_FV(B435,"Beta")</f>
        <v>0.74729999999999996</v>
      </c>
      <c r="F435" t="str" cm="1">
        <f t="array" ref="F435">_FV(B435,"Industry")</f>
        <v>Food &amp; Tobacco</v>
      </c>
      <c r="G435" s="26" cm="1">
        <f t="array" ref="G435">_FV(B435,"P/E",TRUE)</f>
        <v>12.5791</v>
      </c>
      <c r="H435" s="28" cm="1">
        <f t="array" ref="H435">_FV(B435,"Price")</f>
        <v>62.634999999999998</v>
      </c>
      <c r="I435" s="32">
        <f t="shared" si="6"/>
        <v>1.7439834502543989E-4</v>
      </c>
    </row>
    <row r="436" spans="2:9" x14ac:dyDescent="0.55000000000000004">
      <c r="B436" s="25" t="e" vm="436">
        <v>#VALUE!</v>
      </c>
      <c r="C436" s="27" cm="1">
        <f t="array" ref="C436">_FV(B436,"Shares outstanding",TRUE)</f>
        <v>1193521000</v>
      </c>
      <c r="D436" s="30" cm="1">
        <f t="array" ref="D436">_FV(B436,"Market cap",TRUE)</f>
        <v>14035800000</v>
      </c>
      <c r="E436" s="26" cm="1">
        <f t="array" ref="E436">_FV(B436,"Beta")</f>
        <v>0.93140000000000001</v>
      </c>
      <c r="F436" t="str" cm="1">
        <f t="array" ref="F436">_FV(B436,"Industry")</f>
        <v>Pharmaceuticals</v>
      </c>
      <c r="G436" s="26" cm="1">
        <f t="array" ref="G436">_FV(B436,"P/E",TRUE)</f>
        <v>0</v>
      </c>
      <c r="H436" s="28" cm="1">
        <f t="array" ref="H436">_FV(B436,"Price")</f>
        <v>11.805</v>
      </c>
      <c r="I436" s="32">
        <f t="shared" si="6"/>
        <v>2.7201473311372506E-4</v>
      </c>
    </row>
    <row r="437" spans="2:9" x14ac:dyDescent="0.55000000000000004">
      <c r="B437" s="24" t="e" vm="437">
        <v>#VALUE!</v>
      </c>
      <c r="C437" s="27" cm="1">
        <f t="array" ref="C437">_FV(B437,"Shares outstanding",TRUE)</f>
        <v>72900030</v>
      </c>
      <c r="D437" s="30" cm="1">
        <f t="array" ref="D437">_FV(B437,"Market cap",TRUE)</f>
        <v>12200549020</v>
      </c>
      <c r="E437" s="26" cm="1">
        <f t="array" ref="E437">_FV(B437,"Beta")</f>
        <v>0.63590000000000002</v>
      </c>
      <c r="F437" t="str" cm="1">
        <f t="array" ref="F437">_FV(B437,"Industry")</f>
        <v>Software &amp; IT Services</v>
      </c>
      <c r="G437" s="26" cm="1">
        <f t="array" ref="G437">_FV(B437,"P/E",TRUE)</f>
        <v>31.486999999999998</v>
      </c>
      <c r="H437" s="28" cm="1">
        <f t="array" ref="H437">_FV(B437,"Price")</f>
        <v>167.36</v>
      </c>
      <c r="I437" s="32">
        <f t="shared" si="6"/>
        <v>2.3644744763506319E-4</v>
      </c>
    </row>
    <row r="438" spans="2:9" x14ac:dyDescent="0.55000000000000004">
      <c r="B438" s="25" t="e" vm="438">
        <v>#VALUE!</v>
      </c>
      <c r="C438" s="27" cm="1">
        <f t="array" ref="C438">_FV(B438,"Shares outstanding",TRUE)</f>
        <v>158600400</v>
      </c>
      <c r="D438" s="30" cm="1">
        <f t="array" ref="D438">_FV(B438,"Market cap",TRUE)</f>
        <v>11309794524</v>
      </c>
      <c r="E438" s="26" cm="1">
        <f t="array" ref="E438">_FV(B438,"Beta")</f>
        <v>1.2697000000000001</v>
      </c>
      <c r="F438" t="str" cm="1">
        <f t="array" ref="F438">_FV(B438,"Industry")</f>
        <v>Biotechnology &amp; Medical Research</v>
      </c>
      <c r="G438" s="26" cm="1">
        <f t="array" ref="G438">_FV(B438,"P/E",TRUE)</f>
        <v>69.203500000000005</v>
      </c>
      <c r="H438" s="28" cm="1">
        <f t="array" ref="H438">_FV(B438,"Price")</f>
        <v>71.31</v>
      </c>
      <c r="I438" s="32">
        <f t="shared" si="6"/>
        <v>2.1918456653820441E-4</v>
      </c>
    </row>
    <row r="439" spans="2:9" x14ac:dyDescent="0.55000000000000004">
      <c r="B439" s="24" t="e" vm="439">
        <v>#VALUE!</v>
      </c>
      <c r="C439" s="27" cm="1">
        <f t="array" ref="C439">_FV(B439,"Shares outstanding",TRUE)</f>
        <v>116900000</v>
      </c>
      <c r="D439" s="30" cm="1">
        <f t="array" ref="D439">_FV(B439,"Market cap",TRUE)</f>
        <v>11881131500</v>
      </c>
      <c r="E439" s="26" cm="1">
        <f t="array" ref="E439">_FV(B439,"Beta")</f>
        <v>1.4532</v>
      </c>
      <c r="F439" t="str" cm="1">
        <f t="array" ref="F439">_FV(B439,"Industry")</f>
        <v>Chemicals</v>
      </c>
      <c r="G439" s="26" cm="1">
        <f t="array" ref="G439">_FV(B439,"P/E",TRUE)</f>
        <v>13.562200000000001</v>
      </c>
      <c r="H439" s="28" cm="1">
        <f t="array" ref="H439">_FV(B439,"Price")</f>
        <v>101.63500000000001</v>
      </c>
      <c r="I439" s="32">
        <f t="shared" si="6"/>
        <v>2.3025711495330313E-4</v>
      </c>
    </row>
    <row r="440" spans="2:9" x14ac:dyDescent="0.55000000000000004">
      <c r="B440" s="25" t="e" vm="440">
        <v>#VALUE!</v>
      </c>
      <c r="C440" s="27" cm="1">
        <f t="array" ref="C440">_FV(B440,"Shares outstanding",TRUE)</f>
        <v>106634900</v>
      </c>
      <c r="D440" s="30" cm="1">
        <f t="array" ref="D440">_FV(B440,"Market cap",TRUE)</f>
        <v>13111294129</v>
      </c>
      <c r="E440" s="26" cm="1">
        <f t="array" ref="E440">_FV(B440,"Beta")</f>
        <v>0.91379999999999995</v>
      </c>
      <c r="F440" t="str" cm="1">
        <f t="array" ref="F440">_FV(B440,"Industry")</f>
        <v>Residential &amp; Commercial REIT</v>
      </c>
      <c r="G440" s="26" cm="1">
        <f t="array" ref="G440">_FV(B440,"P/E",TRUE)</f>
        <v>34.089599999999997</v>
      </c>
      <c r="H440" s="28" cm="1">
        <f t="array" ref="H440">_FV(B440,"Price")</f>
        <v>122.955</v>
      </c>
      <c r="I440" s="32">
        <f t="shared" si="6"/>
        <v>2.5409774813516049E-4</v>
      </c>
    </row>
    <row r="441" spans="2:9" x14ac:dyDescent="0.55000000000000004">
      <c r="B441" s="24" t="e" vm="441">
        <v>#VALUE!</v>
      </c>
      <c r="C441" s="27" cm="1">
        <f t="array" ref="C441">_FV(B441,"Shares outstanding",TRUE)</f>
        <v>117533200</v>
      </c>
      <c r="D441" s="30" cm="1">
        <f t="array" ref="D441">_FV(B441,"Market cap",TRUE)</f>
        <v>10636760000</v>
      </c>
      <c r="E441" s="26" cm="1">
        <f t="array" ref="E441">_FV(B441,"Beta")</f>
        <v>1.5481</v>
      </c>
      <c r="F441" t="str" cm="1">
        <f t="array" ref="F441">_FV(B441,"Industry")</f>
        <v>Chemicals</v>
      </c>
      <c r="G441" s="26" t="e" cm="1" vm="36">
        <f t="array" ref="G441">_FV(B441,"P/E",TRUE)</f>
        <v>#VALUE!</v>
      </c>
      <c r="H441" s="28" cm="1">
        <f t="array" ref="H441">_FV(B441,"Price")</f>
        <v>88.97</v>
      </c>
      <c r="I441" s="32">
        <f t="shared" si="6"/>
        <v>2.0614111291089544E-4</v>
      </c>
    </row>
    <row r="442" spans="2:9" x14ac:dyDescent="0.55000000000000004">
      <c r="B442" s="25" t="e" vm="442">
        <v>#VALUE!</v>
      </c>
      <c r="C442" s="27" cm="1">
        <f t="array" ref="C442">_FV(B442,"Shares outstanding",TRUE)</f>
        <v>66038670</v>
      </c>
      <c r="D442" s="30" cm="1">
        <f t="array" ref="D442">_FV(B442,"Market cap",TRUE)</f>
        <v>15396250000</v>
      </c>
      <c r="E442" s="26" cm="1">
        <f t="array" ref="E442">_FV(B442,"Beta")</f>
        <v>1.2797000000000001</v>
      </c>
      <c r="F442" t="str" cm="1">
        <f t="array" ref="F442">_FV(B442,"Industry")</f>
        <v>Healthcare Providers &amp; Services</v>
      </c>
      <c r="G442" s="26" cm="1">
        <f t="array" ref="G442">_FV(B442,"P/E",TRUE)</f>
        <v>17.095199999999998</v>
      </c>
      <c r="H442" s="28" cm="1">
        <f t="array" ref="H442">_FV(B442,"Price")</f>
        <v>233.98</v>
      </c>
      <c r="I442" s="32">
        <f t="shared" si="6"/>
        <v>2.9838034417006435E-4</v>
      </c>
    </row>
    <row r="443" spans="2:9" x14ac:dyDescent="0.55000000000000004">
      <c r="B443" s="24" t="e" vm="443">
        <v>#VALUE!</v>
      </c>
      <c r="C443" s="27" cm="1">
        <f t="array" ref="C443">_FV(B443,"Shares outstanding",TRUE)</f>
        <v>863275000</v>
      </c>
      <c r="D443" s="30" cm="1">
        <f t="array" ref="D443">_FV(B443,"Market cap",TRUE)</f>
        <v>8930579875</v>
      </c>
      <c r="E443" s="26" cm="1">
        <f t="array" ref="E443">_FV(B443,"Beta")</f>
        <v>0.69330000000000003</v>
      </c>
      <c r="F443" t="str" cm="1">
        <f t="array" ref="F443">_FV(B443,"Industry")</f>
        <v>Food &amp; Drug Retailing</v>
      </c>
      <c r="G443" s="26" cm="1">
        <f t="array" ref="G443">_FV(B443,"P/E",TRUE)</f>
        <v>0</v>
      </c>
      <c r="H443" s="28" cm="1">
        <f t="array" ref="H443">_FV(B443,"Price")</f>
        <v>10.345000000000001</v>
      </c>
      <c r="I443" s="32">
        <f t="shared" si="6"/>
        <v>1.7307522914610703E-4</v>
      </c>
    </row>
    <row r="444" spans="2:9" x14ac:dyDescent="0.55000000000000004">
      <c r="B444" s="25" t="e" vm="444">
        <v>#VALUE!</v>
      </c>
      <c r="C444" s="27" cm="1">
        <f t="array" ref="C444">_FV(B444,"Shares outstanding",TRUE)</f>
        <v>106433500</v>
      </c>
      <c r="D444" s="30" cm="1">
        <f t="array" ref="D444">_FV(B444,"Market cap",TRUE)</f>
        <v>12943377935</v>
      </c>
      <c r="E444" s="26" cm="1">
        <f t="array" ref="E444">_FV(B444,"Beta")</f>
        <v>0.2374</v>
      </c>
      <c r="F444" t="str" cm="1">
        <f t="array" ref="F444">_FV(B444,"Industry")</f>
        <v>Food &amp; Tobacco</v>
      </c>
      <c r="G444" s="26" cm="1">
        <f t="array" ref="G444">_FV(B444,"P/E",TRUE)</f>
        <v>17.055099999999999</v>
      </c>
      <c r="H444" s="28" cm="1">
        <f t="array" ref="H444">_FV(B444,"Price")</f>
        <v>121.61</v>
      </c>
      <c r="I444" s="32">
        <f t="shared" si="6"/>
        <v>2.5084352118006118E-4</v>
      </c>
    </row>
    <row r="445" spans="2:9" x14ac:dyDescent="0.55000000000000004">
      <c r="B445" s="24" t="e" vm="445">
        <v>#VALUE!</v>
      </c>
      <c r="C445" s="27" cm="1">
        <f t="array" ref="C445">_FV(B445,"Shares outstanding",TRUE)</f>
        <v>192598000</v>
      </c>
      <c r="D445" s="30" cm="1">
        <f t="array" ref="D445">_FV(B445,"Market cap",TRUE)</f>
        <v>12518870000</v>
      </c>
      <c r="E445" s="26" cm="1">
        <f t="array" ref="E445">_FV(B445,"Beta")</f>
        <v>0.73109999999999997</v>
      </c>
      <c r="F445" t="str" cm="1">
        <f t="array" ref="F445">_FV(B445,"Industry")</f>
        <v>Pharmaceuticals</v>
      </c>
      <c r="G445" s="26" cm="1">
        <f t="array" ref="G445">_FV(B445,"P/E",TRUE)</f>
        <v>181.3914</v>
      </c>
      <c r="H445" s="28" cm="1">
        <f t="array" ref="H445">_FV(B445,"Price")</f>
        <v>65</v>
      </c>
      <c r="I445" s="32">
        <f t="shared" si="6"/>
        <v>2.426165292990367E-4</v>
      </c>
    </row>
    <row r="446" spans="2:9" x14ac:dyDescent="0.55000000000000004">
      <c r="B446" s="25" t="e" vm="446">
        <v>#VALUE!</v>
      </c>
      <c r="C446" s="27" cm="1">
        <f t="array" ref="C446">_FV(B446,"Shares outstanding",TRUE)</f>
        <v>375590600</v>
      </c>
      <c r="D446" s="30" cm="1">
        <f t="array" ref="D446">_FV(B446,"Market cap",TRUE)</f>
        <v>12210450406</v>
      </c>
      <c r="E446" s="26" cm="1">
        <f t="array" ref="E446">_FV(B446,"Beta")</f>
        <v>1.0860000000000001</v>
      </c>
      <c r="F446" t="str" cm="1">
        <f t="array" ref="F446">_FV(B446,"Industry")</f>
        <v>Media &amp; Publishing</v>
      </c>
      <c r="G446" s="26" cm="1">
        <f t="array" ref="G446">_FV(B446,"P/E",TRUE)</f>
        <v>11.935600000000001</v>
      </c>
      <c r="H446" s="28" cm="1">
        <f t="array" ref="H446">_FV(B446,"Price")</f>
        <v>32.51</v>
      </c>
      <c r="I446" s="32">
        <f t="shared" si="6"/>
        <v>2.3663933715117527E-4</v>
      </c>
    </row>
    <row r="447" spans="2:9" x14ac:dyDescent="0.55000000000000004">
      <c r="B447" s="24" t="e" vm="447">
        <v>#VALUE!</v>
      </c>
      <c r="C447" s="27" cm="1">
        <f t="array" ref="C447">_FV(B447,"Shares outstanding",TRUE)</f>
        <v>448509800</v>
      </c>
      <c r="D447" s="30" cm="1">
        <f t="array" ref="D447">_FV(B447,"Market cap",TRUE)</f>
        <v>14699908695</v>
      </c>
      <c r="E447" s="26" cm="1">
        <f t="array" ref="E447">_FV(B447,"Beta")</f>
        <v>0.50309999999999999</v>
      </c>
      <c r="F447" t="str" cm="1">
        <f t="array" ref="F447">_FV(B447,"Industry")</f>
        <v>Multiline Utilities</v>
      </c>
      <c r="G447" s="26" cm="1">
        <f t="array" ref="G447">_FV(B447,"P/E",TRUE)</f>
        <v>21.798100000000002</v>
      </c>
      <c r="H447" s="28" cm="1">
        <f t="array" ref="H447">_FV(B447,"Price")</f>
        <v>32.774999999999999</v>
      </c>
      <c r="I447" s="32">
        <f t="shared" si="6"/>
        <v>2.8488520358415991E-4</v>
      </c>
    </row>
    <row r="448" spans="2:9" x14ac:dyDescent="0.55000000000000004">
      <c r="B448" s="25" t="e" vm="448">
        <v>#VALUE!</v>
      </c>
      <c r="C448" s="27" cm="1">
        <f t="array" ref="C448">_FV(B448,"Shares outstanding",TRUE)</f>
        <v>156078900</v>
      </c>
      <c r="D448" s="30" cm="1">
        <f t="array" ref="D448">_FV(B448,"Market cap",TRUE)</f>
        <v>13418103033</v>
      </c>
      <c r="E448" s="26" cm="1">
        <f t="array" ref="E448">_FV(B448,"Beta")</f>
        <v>1.6906000000000001</v>
      </c>
      <c r="F448" t="str" cm="1">
        <f t="array" ref="F448">_FV(B448,"Industry")</f>
        <v>Specialty Retailers</v>
      </c>
      <c r="G448" s="26" cm="1">
        <f t="array" ref="G448">_FV(B448,"P/E",TRUE)</f>
        <v>33.700000000000003</v>
      </c>
      <c r="H448" s="28" cm="1">
        <f t="array" ref="H448">_FV(B448,"Price")</f>
        <v>85.97</v>
      </c>
      <c r="I448" s="32">
        <f t="shared" si="6"/>
        <v>2.6004372500420067E-4</v>
      </c>
    </row>
    <row r="449" spans="2:9" x14ac:dyDescent="0.55000000000000004">
      <c r="B449" s="24" t="e" vm="449">
        <v>#VALUE!</v>
      </c>
      <c r="C449" s="27" cm="1">
        <f t="array" ref="C449">_FV(B449,"Shares outstanding",TRUE)</f>
        <v>329163500</v>
      </c>
      <c r="D449" s="30" cm="1">
        <f t="array" ref="D449">_FV(B449,"Market cap",TRUE)</f>
        <v>12779772887</v>
      </c>
      <c r="E449" s="26" cm="1">
        <f t="array" ref="E449">_FV(B449,"Beta")</f>
        <v>0.92290000000000005</v>
      </c>
      <c r="F449" t="str" cm="1">
        <f t="array" ref="F449">_FV(B449,"Industry")</f>
        <v>Communications &amp; Networking</v>
      </c>
      <c r="G449" s="26" cm="1">
        <f t="array" ref="G449">_FV(B449,"P/E",TRUE)</f>
        <v>54.051000000000002</v>
      </c>
      <c r="H449" s="28" cm="1">
        <f t="array" ref="H449">_FV(B449,"Price")</f>
        <v>38.825000000000003</v>
      </c>
      <c r="I449" s="32">
        <f t="shared" si="6"/>
        <v>2.4767284451982251E-4</v>
      </c>
    </row>
    <row r="450" spans="2:9" x14ac:dyDescent="0.55000000000000004">
      <c r="B450" s="25" t="e" vm="450">
        <v>#VALUE!</v>
      </c>
      <c r="C450" s="27" cm="1">
        <f t="array" ref="C450">_FV(B450,"Shares outstanding",TRUE)</f>
        <v>94861350</v>
      </c>
      <c r="D450" s="30" cm="1">
        <f t="array" ref="D450">_FV(B450,"Market cap",TRUE)</f>
        <v>10737356206</v>
      </c>
      <c r="E450" s="26" cm="1">
        <f t="array" ref="E450">_FV(B450,"Beta")</f>
        <v>1.4585999999999999</v>
      </c>
      <c r="F450" t="str" cm="1">
        <f t="array" ref="F450">_FV(B450,"Industry")</f>
        <v>Semiconductors &amp; Semiconductor Equipment</v>
      </c>
      <c r="G450" s="26" cm="1">
        <f t="array" ref="G450">_FV(B450,"P/E",TRUE)</f>
        <v>0</v>
      </c>
      <c r="H450" s="28" cm="1">
        <f t="array" ref="H450">_FV(B450,"Price")</f>
        <v>113.19</v>
      </c>
      <c r="I450" s="32">
        <f t="shared" si="6"/>
        <v>2.0809067404224123E-4</v>
      </c>
    </row>
    <row r="451" spans="2:9" x14ac:dyDescent="0.55000000000000004">
      <c r="B451" s="24" t="e" vm="451">
        <v>#VALUE!</v>
      </c>
      <c r="C451" s="27" cm="1">
        <f t="array" ref="C451">_FV(B451,"Shares outstanding",TRUE)</f>
        <v>303769700</v>
      </c>
      <c r="D451" s="30" cm="1">
        <f t="array" ref="D451">_FV(B451,"Market cap",TRUE)</f>
        <v>11825750000</v>
      </c>
      <c r="E451" s="26" cm="1">
        <f t="array" ref="E451">_FV(B451,"Beta")</f>
        <v>2.2387000000000001</v>
      </c>
      <c r="F451" t="str" cm="1">
        <f t="array" ref="F451">_FV(B451,"Industry")</f>
        <v>Hotels &amp; Entertainment Services</v>
      </c>
      <c r="G451" s="26" cm="1">
        <f t="array" ref="G451">_FV(B451,"P/E",TRUE)</f>
        <v>14.6938</v>
      </c>
      <c r="H451" s="28" cm="1">
        <f t="array" ref="H451">_FV(B451,"Price")</f>
        <v>38.090000000000003</v>
      </c>
      <c r="I451" s="32">
        <f t="shared" ref="I451:I503" si="7">D451/$D$504</f>
        <v>2.2918381781726971E-4</v>
      </c>
    </row>
    <row r="452" spans="2:9" x14ac:dyDescent="0.55000000000000004">
      <c r="B452" s="25" t="e" vm="452">
        <v>#VALUE!</v>
      </c>
      <c r="C452" s="27" cm="1">
        <f t="array" ref="C452">_FV(B452,"Shares outstanding",TRUE)</f>
        <v>263256100</v>
      </c>
      <c r="D452" s="30" cm="1">
        <f t="array" ref="D452">_FV(B452,"Market cap",TRUE)</f>
        <v>11227319827</v>
      </c>
      <c r="E452" s="26" cm="1">
        <f t="array" ref="E452">_FV(B452,"Beta")</f>
        <v>1.2907</v>
      </c>
      <c r="F452" t="str" cm="1">
        <f t="array" ref="F452">_FV(B452,"Industry")</f>
        <v>Automobiles &amp; Auto Parts</v>
      </c>
      <c r="G452" s="26" cm="1">
        <f t="array" ref="G452">_FV(B452,"P/E",TRUE)</f>
        <v>15.536799999999999</v>
      </c>
      <c r="H452" s="28" cm="1">
        <f t="array" ref="H452">_FV(B452,"Price")</f>
        <v>42.6479</v>
      </c>
      <c r="I452" s="32">
        <f t="shared" si="7"/>
        <v>2.175862014508499E-4</v>
      </c>
    </row>
    <row r="453" spans="2:9" x14ac:dyDescent="0.55000000000000004">
      <c r="B453" s="24" t="e" vm="453">
        <v>#VALUE!</v>
      </c>
      <c r="C453" s="27" cm="1">
        <f t="array" ref="C453">_FV(B453,"Shares outstanding",TRUE)</f>
        <v>51630730</v>
      </c>
      <c r="D453" s="30" cm="1">
        <f t="array" ref="D453">_FV(B453,"Market cap",TRUE)</f>
        <v>10542478758</v>
      </c>
      <c r="E453" s="26" cm="1">
        <f t="array" ref="E453">_FV(B453,"Beta")</f>
        <v>1.3695999999999999</v>
      </c>
      <c r="F453" t="str" cm="1">
        <f t="array" ref="F453">_FV(B453,"Industry")</f>
        <v>Biotechnology &amp; Medical Research</v>
      </c>
      <c r="G453" s="26" cm="1">
        <f t="array" ref="G453">_FV(B453,"P/E",TRUE)</f>
        <v>24.569500000000001</v>
      </c>
      <c r="H453" s="28" cm="1">
        <f t="array" ref="H453">_FV(B453,"Price")</f>
        <v>204.19</v>
      </c>
      <c r="I453" s="32">
        <f t="shared" si="7"/>
        <v>2.0431393619989497E-4</v>
      </c>
    </row>
    <row r="454" spans="2:9" x14ac:dyDescent="0.55000000000000004">
      <c r="B454" s="25" t="e" vm="454">
        <v>#VALUE!</v>
      </c>
      <c r="C454" s="27" cm="1">
        <f t="array" ref="C454">_FV(B454,"Shares outstanding",TRUE)</f>
        <v>119959000</v>
      </c>
      <c r="D454" s="30" cm="1">
        <f t="array" ref="D454">_FV(B454,"Market cap",TRUE)</f>
        <v>9884621600</v>
      </c>
      <c r="E454" s="26" cm="1">
        <f t="array" ref="E454">_FV(B454,"Beta")</f>
        <v>1.1468</v>
      </c>
      <c r="F454" t="str" cm="1">
        <f t="array" ref="F454">_FV(B454,"Industry")</f>
        <v>Machinery, Equipment &amp; Components</v>
      </c>
      <c r="G454" s="26" cm="1">
        <f t="array" ref="G454">_FV(B454,"P/E",TRUE)</f>
        <v>21.308700000000002</v>
      </c>
      <c r="H454" s="28" cm="1">
        <f t="array" ref="H454">_FV(B454,"Price")</f>
        <v>82.4</v>
      </c>
      <c r="I454" s="32">
        <f t="shared" si="7"/>
        <v>1.9156462093034682E-4</v>
      </c>
    </row>
    <row r="455" spans="2:9" x14ac:dyDescent="0.55000000000000004">
      <c r="B455" s="24" t="e" vm="455">
        <v>#VALUE!</v>
      </c>
      <c r="C455" s="27" cm="1">
        <f t="array" ref="C455">_FV(B455,"Shares outstanding",TRUE)</f>
        <v>568584700</v>
      </c>
      <c r="D455" s="30" cm="1">
        <f t="array" ref="D455">_FV(B455,"Market cap",TRUE)</f>
        <v>16201650000</v>
      </c>
      <c r="E455" s="26" cm="1">
        <f t="array" ref="E455">_FV(B455,"Beta")</f>
        <v>1.3573</v>
      </c>
      <c r="F455" t="str" cm="1">
        <f t="array" ref="F455">_FV(B455,"Industry")</f>
        <v>Media &amp; Publishing</v>
      </c>
      <c r="G455" s="26" cm="1">
        <f t="array" ref="G455">_FV(B455,"P/E",TRUE)</f>
        <v>60.963200000000001</v>
      </c>
      <c r="H455" s="28" cm="1">
        <f t="array" ref="H455">_FV(B455,"Price")</f>
        <v>28.22</v>
      </c>
      <c r="I455" s="32">
        <f t="shared" si="7"/>
        <v>3.139890494843175E-4</v>
      </c>
    </row>
    <row r="456" spans="2:9" x14ac:dyDescent="0.55000000000000004">
      <c r="B456" s="25" t="e" vm="456">
        <v>#VALUE!</v>
      </c>
      <c r="C456" s="27" cm="1">
        <f t="array" ref="C456">_FV(B456,"Shares outstanding",TRUE)</f>
        <v>87128090</v>
      </c>
      <c r="D456" s="30" cm="1">
        <f t="array" ref="D456">_FV(B456,"Market cap",TRUE)</f>
        <v>12007122082</v>
      </c>
      <c r="E456" s="26" cm="1">
        <f t="array" ref="E456">_FV(B456,"Beta")</f>
        <v>1.1246</v>
      </c>
      <c r="F456" t="str" cm="1">
        <f t="array" ref="F456">_FV(B456,"Industry")</f>
        <v>Communications &amp; Networking</v>
      </c>
      <c r="G456" s="26" cm="1">
        <f t="array" ref="G456">_FV(B456,"P/E",TRUE)</f>
        <v>21.762799999999999</v>
      </c>
      <c r="H456" s="28" cm="1">
        <f t="array" ref="H456">_FV(B456,"Price")</f>
        <v>137.81</v>
      </c>
      <c r="I456" s="32">
        <f t="shared" si="7"/>
        <v>2.3269882077253486E-4</v>
      </c>
    </row>
    <row r="457" spans="2:9" x14ac:dyDescent="0.55000000000000004">
      <c r="B457" s="24" t="e" vm="457">
        <v>#VALUE!</v>
      </c>
      <c r="C457" s="27" cm="1">
        <f t="array" ref="C457">_FV(B457,"Shares outstanding",TRUE)</f>
        <v>181496700</v>
      </c>
      <c r="D457" s="30" cm="1">
        <f t="array" ref="D457">_FV(B457,"Market cap",TRUE)</f>
        <v>12913490205</v>
      </c>
      <c r="E457" s="26" cm="1">
        <f t="array" ref="E457">_FV(B457,"Beta")</f>
        <v>1.2185999999999999</v>
      </c>
      <c r="F457" t="str" cm="1">
        <f t="array" ref="F457">_FV(B457,"Industry")</f>
        <v>Residential &amp; Commercial REIT</v>
      </c>
      <c r="G457" s="26" cm="1">
        <f t="array" ref="G457">_FV(B457,"P/E",TRUE)</f>
        <v>34.2181</v>
      </c>
      <c r="H457" s="28" cm="1">
        <f t="array" ref="H457">_FV(B457,"Price")</f>
        <v>71.150000000000006</v>
      </c>
      <c r="I457" s="32">
        <f t="shared" si="7"/>
        <v>2.5026429499421324E-4</v>
      </c>
    </row>
    <row r="458" spans="2:9" x14ac:dyDescent="0.55000000000000004">
      <c r="B458" s="25" t="e" vm="458">
        <v>#VALUE!</v>
      </c>
      <c r="C458" s="27" cm="1">
        <f t="array" ref="C458">_FV(B458,"Shares outstanding",TRUE)</f>
        <v>58284450</v>
      </c>
      <c r="D458" s="30" cm="1">
        <f t="array" ref="D458">_FV(B458,"Market cap",TRUE)</f>
        <v>11681952313</v>
      </c>
      <c r="E458" s="26" cm="1">
        <f t="array" ref="E458">_FV(B458,"Beta")</f>
        <v>1.0590999999999999</v>
      </c>
      <c r="F458" t="str" cm="1">
        <f t="array" ref="F458">_FV(B458,"Industry")</f>
        <v>Software &amp; IT Services</v>
      </c>
      <c r="G458" s="26" cm="1">
        <f t="array" ref="G458">_FV(B458,"P/E",TRUE)</f>
        <v>21.6252</v>
      </c>
      <c r="H458" s="28" cm="1">
        <f t="array" ref="H458">_FV(B458,"Price")</f>
        <v>200.43</v>
      </c>
      <c r="I458" s="32">
        <f t="shared" si="7"/>
        <v>2.2639700912437897E-4</v>
      </c>
    </row>
    <row r="459" spans="2:9" x14ac:dyDescent="0.55000000000000004">
      <c r="B459" s="24" t="e" vm="459">
        <v>#VALUE!</v>
      </c>
      <c r="C459" s="27" cm="1">
        <f t="array" ref="C459">_FV(B459,"Shares outstanding",TRUE)</f>
        <v>117283200</v>
      </c>
      <c r="D459" s="30" cm="1">
        <f t="array" ref="D459">_FV(B459,"Market cap",TRUE)</f>
        <v>11967577728</v>
      </c>
      <c r="E459" s="26" cm="1">
        <f t="array" ref="E459">_FV(B459,"Beta")</f>
        <v>0.82150000000000001</v>
      </c>
      <c r="F459" t="str" cm="1">
        <f t="array" ref="F459">_FV(B459,"Industry")</f>
        <v>Freight &amp; Logistics Services</v>
      </c>
      <c r="G459" s="26" cm="1">
        <f t="array" ref="G459">_FV(B459,"P/E",TRUE)</f>
        <v>36.7044</v>
      </c>
      <c r="H459" s="28" cm="1">
        <f t="array" ref="H459">_FV(B459,"Price")</f>
        <v>102.04</v>
      </c>
      <c r="I459" s="32">
        <f t="shared" si="7"/>
        <v>2.3193244857433706E-4</v>
      </c>
    </row>
    <row r="460" spans="2:9" x14ac:dyDescent="0.55000000000000004">
      <c r="B460" s="25" t="e" vm="460">
        <v>#VALUE!</v>
      </c>
      <c r="C460" s="27" cm="1">
        <f t="array" ref="C460">_FV(B460,"Shares outstanding",TRUE)</f>
        <v>180979800</v>
      </c>
      <c r="D460" s="30" cm="1">
        <f t="array" ref="D460">_FV(B460,"Market cap",TRUE)</f>
        <v>10734816837</v>
      </c>
      <c r="E460" s="26" cm="1">
        <f t="array" ref="E460">_FV(B460,"Beta")</f>
        <v>1.1518999999999999</v>
      </c>
      <c r="F460" t="str" cm="1">
        <f t="array" ref="F460">_FV(B460,"Industry")</f>
        <v>Pharmaceuticals</v>
      </c>
      <c r="G460" t="e" cm="1" vm="36">
        <f t="array" ref="G460">_FV(B460,"P/E",TRUE)</f>
        <v>#VALUE!</v>
      </c>
      <c r="H460" s="28" cm="1">
        <f t="array" ref="H460">_FV(B460,"Price")</f>
        <v>59.314999999999998</v>
      </c>
      <c r="I460" s="32">
        <f t="shared" si="7"/>
        <v>2.0804146090292518E-4</v>
      </c>
    </row>
    <row r="461" spans="2:9" x14ac:dyDescent="0.55000000000000004">
      <c r="B461" s="24" t="e" vm="461">
        <v>#VALUE!</v>
      </c>
      <c r="C461" s="27" cm="1">
        <f t="array" ref="C461">_FV(B461,"Shares outstanding",TRUE)</f>
        <v>39215230</v>
      </c>
      <c r="D461" s="30" cm="1">
        <f t="array" ref="D461">_FV(B461,"Market cap",TRUE)</f>
        <v>10792423448</v>
      </c>
      <c r="E461" s="26" cm="1">
        <f t="array" ref="E461">_FV(B461,"Beta")</f>
        <v>0.51319999999999999</v>
      </c>
      <c r="F461" t="str" cm="1">
        <f t="array" ref="F461">_FV(B461,"Industry")</f>
        <v>Aerospace &amp; Defense</v>
      </c>
      <c r="G461" s="26" cm="1">
        <f t="array" ref="G461">_FV(B461,"P/E",TRUE)</f>
        <v>14.5456</v>
      </c>
      <c r="H461" s="28" cm="1">
        <f t="array" ref="H461">_FV(B461,"Price")</f>
        <v>275.20999999999998</v>
      </c>
      <c r="I461" s="32">
        <f t="shared" si="7"/>
        <v>2.0915788083743204E-4</v>
      </c>
    </row>
    <row r="462" spans="2:9" x14ac:dyDescent="0.55000000000000004">
      <c r="B462" s="25" t="e" vm="462">
        <v>#VALUE!</v>
      </c>
      <c r="C462" s="27" cm="1">
        <f t="array" ref="C462">_FV(B462,"Shares outstanding",TRUE)</f>
        <v>56935370</v>
      </c>
      <c r="D462" s="30" cm="1">
        <f t="array" ref="D462">_FV(B462,"Market cap",TRUE)</f>
        <v>11403585257</v>
      </c>
      <c r="E462" s="26" cm="1">
        <f t="array" ref="E462">_FV(B462,"Beta")</f>
        <v>1.4498</v>
      </c>
      <c r="F462" t="str" cm="1">
        <f t="array" ref="F462">_FV(B462,"Industry")</f>
        <v>Software &amp; IT Services</v>
      </c>
      <c r="G462" s="26" cm="1">
        <f t="array" ref="G462">_FV(B462,"P/E",TRUE)</f>
        <v>28.711500000000001</v>
      </c>
      <c r="H462" s="28" cm="1">
        <f t="array" ref="H462">_FV(B462,"Price")</f>
        <v>200.29</v>
      </c>
      <c r="I462" s="32">
        <f t="shared" si="7"/>
        <v>2.2100223715231513E-4</v>
      </c>
    </row>
    <row r="463" spans="2:9" x14ac:dyDescent="0.55000000000000004">
      <c r="B463" s="24" t="e" vm="463">
        <v>#VALUE!</v>
      </c>
      <c r="C463" s="27" cm="1">
        <f t="array" ref="C463">_FV(B463,"Shares outstanding",TRUE)</f>
        <v>47117490</v>
      </c>
      <c r="D463" s="30" cm="1">
        <f t="array" ref="D463">_FV(B463,"Market cap",TRUE)</f>
        <v>11493604923</v>
      </c>
      <c r="E463" s="26" cm="1">
        <f t="array" ref="E463">_FV(B463,"Beta")</f>
        <v>1.1517999999999999</v>
      </c>
      <c r="F463" t="str" cm="1">
        <f t="array" ref="F463">_FV(B463,"Industry")</f>
        <v>Healthcare Equipment &amp; Supplies</v>
      </c>
      <c r="G463" s="26" cm="1">
        <f t="array" ref="G463">_FV(B463,"P/E",TRUE)</f>
        <v>43.325699999999998</v>
      </c>
      <c r="H463" s="28" cm="1">
        <f t="array" ref="H463">_FV(B463,"Price")</f>
        <v>243.935</v>
      </c>
      <c r="I463" s="32">
        <f t="shared" si="7"/>
        <v>2.2274682423833637E-4</v>
      </c>
    </row>
    <row r="464" spans="2:9" x14ac:dyDescent="0.55000000000000004">
      <c r="B464" s="25" t="e" vm="464">
        <v>#VALUE!</v>
      </c>
      <c r="C464" s="27" cm="1">
        <f t="array" ref="C464">_FV(B464,"Shares outstanding",TRUE)</f>
        <v>223231400</v>
      </c>
      <c r="D464" s="30" cm="1">
        <f t="array" ref="D464">_FV(B464,"Market cap",TRUE)</f>
        <v>7768452719</v>
      </c>
      <c r="E464" s="26" cm="1">
        <f t="array" ref="E464">_FV(B464,"Beta")</f>
        <v>1.7890999999999999</v>
      </c>
      <c r="F464" t="str" cm="1">
        <f t="array" ref="F464">_FV(B464,"Industry")</f>
        <v>Specialty Retailers</v>
      </c>
      <c r="G464" s="26" cm="1">
        <f t="array" ref="G464">_FV(B464,"P/E",TRUE)</f>
        <v>9.2114999999999991</v>
      </c>
      <c r="H464" s="28" cm="1">
        <f t="array" ref="H464">_FV(B464,"Price")</f>
        <v>34.799999999999997</v>
      </c>
      <c r="I464" s="32">
        <f t="shared" si="7"/>
        <v>1.505531279346654E-4</v>
      </c>
    </row>
    <row r="465" spans="2:9" x14ac:dyDescent="0.55000000000000004">
      <c r="B465" s="24" t="e" vm="465">
        <v>#VALUE!</v>
      </c>
      <c r="C465" s="27" cm="1">
        <f t="array" ref="C465">_FV(B465,"Shares outstanding",TRUE)</f>
        <v>230220700</v>
      </c>
      <c r="D465" s="30" cm="1">
        <f t="array" ref="D465">_FV(B465,"Market cap",TRUE)</f>
        <v>9413724423</v>
      </c>
      <c r="E465" s="26" cm="1">
        <f t="array" ref="E465">_FV(B465,"Beta")</f>
        <v>1.56</v>
      </c>
      <c r="F465" t="str" cm="1">
        <f t="array" ref="F465">_FV(B465,"Industry")</f>
        <v>Specialty Retailers</v>
      </c>
      <c r="G465" s="26" cm="1">
        <f t="array" ref="G465">_FV(B465,"P/E",TRUE)</f>
        <v>11.8872</v>
      </c>
      <c r="H465" s="28" cm="1">
        <f t="array" ref="H465">_FV(B465,"Price")</f>
        <v>40.89</v>
      </c>
      <c r="I465" s="32">
        <f t="shared" si="7"/>
        <v>1.8243860246858039E-4</v>
      </c>
    </row>
    <row r="466" spans="2:9" x14ac:dyDescent="0.55000000000000004">
      <c r="B466" s="25" t="e" vm="466">
        <v>#VALUE!</v>
      </c>
      <c r="C466" s="27" cm="1">
        <f t="array" ref="C466">_FV(B466,"Shares outstanding",TRUE)</f>
        <v>195190700</v>
      </c>
      <c r="D466" s="30" cm="1">
        <f t="array" ref="D466">_FV(B466,"Market cap",TRUE)</f>
        <v>10517960000</v>
      </c>
      <c r="E466" s="26" cm="1">
        <f t="array" ref="E466">_FV(B466,"Beta")</f>
        <v>0.8175</v>
      </c>
      <c r="F466" t="str" cm="1">
        <f t="array" ref="F466">_FV(B466,"Industry")</f>
        <v>Beverages</v>
      </c>
      <c r="G466" s="26" cm="1">
        <f t="array" ref="G466">_FV(B466,"P/E",TRUE)</f>
        <v>9.8716000000000008</v>
      </c>
      <c r="H466" s="28" cm="1">
        <f t="array" ref="H466">_FV(B466,"Price")</f>
        <v>53.89</v>
      </c>
      <c r="I466" s="32">
        <f t="shared" si="7"/>
        <v>2.0383876104681142E-4</v>
      </c>
    </row>
    <row r="467" spans="2:9" x14ac:dyDescent="0.55000000000000004">
      <c r="B467" s="24" t="e" vm="467">
        <v>#VALUE!</v>
      </c>
      <c r="C467" s="27" cm="1">
        <f t="array" ref="C467">_FV(B467,"Shares outstanding",TRUE)</f>
        <v>126707800</v>
      </c>
      <c r="D467" s="30" cm="1">
        <f t="array" ref="D467">_FV(B467,"Market cap",TRUE)</f>
        <v>9048837537</v>
      </c>
      <c r="E467" s="26" cm="1">
        <f t="array" ref="E467">_FV(B467,"Beta")</f>
        <v>0.86270000000000002</v>
      </c>
      <c r="F467" t="str" cm="1">
        <f t="array" ref="F467">_FV(B467,"Industry")</f>
        <v>Healthcare Equipment &amp; Supplies</v>
      </c>
      <c r="G467" s="26" cm="1">
        <f t="array" ref="G467">_FV(B467,"P/E",TRUE)</f>
        <v>26.308599999999998</v>
      </c>
      <c r="H467" s="28" cm="1">
        <f t="array" ref="H467">_FV(B467,"Price")</f>
        <v>71.415000000000006</v>
      </c>
      <c r="I467" s="32">
        <f t="shared" si="7"/>
        <v>1.7536707046385047E-4</v>
      </c>
    </row>
    <row r="468" spans="2:9" x14ac:dyDescent="0.55000000000000004">
      <c r="B468" s="25" t="e" vm="468">
        <v>#VALUE!</v>
      </c>
      <c r="C468" s="27" cm="1">
        <f t="array" ref="C468">_FV(B468,"Shares outstanding",TRUE)</f>
        <v>318637600</v>
      </c>
      <c r="D468" s="30" cm="1">
        <f t="array" ref="D468">_FV(B468,"Market cap",TRUE)</f>
        <v>9211813016</v>
      </c>
      <c r="E468" s="26" cm="1">
        <f t="array" ref="E468">_FV(B468,"Beta")</f>
        <v>1.3674999999999999</v>
      </c>
      <c r="F468" t="str" cm="1">
        <f t="array" ref="F468">_FV(B468,"Industry")</f>
        <v>Chemicals</v>
      </c>
      <c r="G468" s="26" cm="1">
        <f t="array" ref="G468">_FV(B468,"P/E",TRUE)</f>
        <v>38.549399999999999</v>
      </c>
      <c r="H468" s="28" cm="1">
        <f t="array" ref="H468">_FV(B468,"Price")</f>
        <v>28.91</v>
      </c>
      <c r="I468" s="32">
        <f t="shared" si="7"/>
        <v>1.7852554603519421E-4</v>
      </c>
    </row>
    <row r="469" spans="2:9" x14ac:dyDescent="0.55000000000000004">
      <c r="B469" s="24" t="e" vm="469">
        <v>#VALUE!</v>
      </c>
      <c r="C469" s="27" cm="1">
        <f t="array" ref="C469">_FV(B469,"Shares outstanding",TRUE)</f>
        <v>298553900</v>
      </c>
      <c r="D469" s="30" cm="1">
        <f t="array" ref="D469">_FV(B469,"Market cap",TRUE)</f>
        <v>15053087638</v>
      </c>
      <c r="E469" s="26" cm="1">
        <f t="array" ref="E469">_FV(B469,"Beta")</f>
        <v>0.1764</v>
      </c>
      <c r="F469" t="str" cm="1">
        <f t="array" ref="F469">_FV(B469,"Industry")</f>
        <v>Food &amp; Tobacco</v>
      </c>
      <c r="G469" s="26" cm="1">
        <f t="array" ref="G469">_FV(B469,"P/E",TRUE)</f>
        <v>20.5974</v>
      </c>
      <c r="H469" s="28" cm="1">
        <f t="array" ref="H469">_FV(B469,"Price")</f>
        <v>50.42</v>
      </c>
      <c r="I469" s="32">
        <f t="shared" si="7"/>
        <v>2.917298348785309E-4</v>
      </c>
    </row>
    <row r="470" spans="2:9" x14ac:dyDescent="0.55000000000000004">
      <c r="B470" s="25" t="e" vm="470">
        <v>#VALUE!</v>
      </c>
      <c r="C470" s="27" cm="1">
        <f t="array" ref="C470">_FV(B470,"Shares outstanding",TRUE)</f>
        <v>51793260</v>
      </c>
      <c r="D470" s="30" cm="1">
        <f t="array" ref="D470">_FV(B470,"Market cap",TRUE)</f>
        <v>9988330191</v>
      </c>
      <c r="E470" s="26" cm="1">
        <f t="array" ref="E470">_FV(B470,"Beta")</f>
        <v>0.56079999999999997</v>
      </c>
      <c r="F470" t="str" cm="1">
        <f t="array" ref="F470">_FV(B470,"Industry")</f>
        <v>Insurance</v>
      </c>
      <c r="G470" s="26" cm="1">
        <f t="array" ref="G470">_FV(B470,"P/E",TRUE)</f>
        <v>12.873900000000001</v>
      </c>
      <c r="H470" s="28" cm="1">
        <f t="array" ref="H470">_FV(B470,"Price")</f>
        <v>192.85</v>
      </c>
      <c r="I470" s="32">
        <f t="shared" si="7"/>
        <v>1.9357450028902005E-4</v>
      </c>
    </row>
    <row r="471" spans="2:9" x14ac:dyDescent="0.55000000000000004">
      <c r="B471" s="24" t="e" vm="471">
        <v>#VALUE!</v>
      </c>
      <c r="C471" s="27" cm="1">
        <f t="array" ref="C471">_FV(B471,"Shares outstanding",TRUE)</f>
        <v>548305400</v>
      </c>
      <c r="D471" s="30" cm="1">
        <f t="array" ref="D471">_FV(B471,"Market cap",TRUE)</f>
        <v>17721230528</v>
      </c>
      <c r="E471" s="26" cm="1">
        <f t="array" ref="E471">_FV(B471,"Beta")</f>
        <v>0.2475</v>
      </c>
      <c r="F471" t="str" cm="1">
        <f t="array" ref="F471">_FV(B471,"Industry")</f>
        <v>Food &amp; Tobacco</v>
      </c>
      <c r="G471" s="26" cm="1">
        <f t="array" ref="G471">_FV(B471,"P/E",TRUE)</f>
        <v>22.792000000000002</v>
      </c>
      <c r="H471" s="28" cm="1">
        <f t="array" ref="H471">_FV(B471,"Price")</f>
        <v>32.32</v>
      </c>
      <c r="I471" s="32">
        <f t="shared" si="7"/>
        <v>3.4343862070710019E-4</v>
      </c>
    </row>
    <row r="472" spans="2:9" x14ac:dyDescent="0.55000000000000004">
      <c r="B472" s="25" t="e" vm="472">
        <v>#VALUE!</v>
      </c>
      <c r="C472" s="27" cm="1">
        <f t="array" ref="C472">_FV(B472,"Shares outstanding",TRUE)</f>
        <v>157933800</v>
      </c>
      <c r="D472" s="30" cm="1">
        <f t="array" ref="D472">_FV(B472,"Market cap",TRUE)</f>
        <v>11777123465</v>
      </c>
      <c r="E472" s="26" cm="1">
        <f t="array" ref="E472">_FV(B472,"Beta")</f>
        <v>1.1970000000000001</v>
      </c>
      <c r="F472" t="str" cm="1">
        <f t="array" ref="F472">_FV(B472,"Industry")</f>
        <v>Residential &amp; Commercial REIT</v>
      </c>
      <c r="G472" s="26" cm="1">
        <f t="array" ref="G472">_FV(B472,"P/E",TRUE)</f>
        <v>68.704999999999998</v>
      </c>
      <c r="H472" s="28" cm="1">
        <f t="array" ref="H472">_FV(B472,"Price")</f>
        <v>74.569999999999993</v>
      </c>
      <c r="I472" s="32">
        <f t="shared" si="7"/>
        <v>2.2824143235008793E-4</v>
      </c>
    </row>
    <row r="473" spans="2:9" x14ac:dyDescent="0.55000000000000004">
      <c r="B473" s="24" t="e" vm="473">
        <v>#VALUE!</v>
      </c>
      <c r="C473" s="27" cm="1">
        <f t="array" ref="C473">_FV(B473,"Shares outstanding",TRUE)</f>
        <v>110991600</v>
      </c>
      <c r="D473" s="30" cm="1">
        <f t="array" ref="D473">_FV(B473,"Market cap",TRUE)</f>
        <v>8560782107</v>
      </c>
      <c r="E473" s="26" cm="1">
        <f t="array" ref="E473">_FV(B473,"Beta")</f>
        <v>1.8007</v>
      </c>
      <c r="F473" t="str" cm="1">
        <f t="array" ref="F473">_FV(B473,"Industry")</f>
        <v>Hotels &amp; Entertainment Services</v>
      </c>
      <c r="G473" s="26" cm="1">
        <f t="array" ref="G473">_FV(B473,"P/E",TRUE)</f>
        <v>9.9488000000000003</v>
      </c>
      <c r="H473" s="28" cm="1">
        <f t="array" ref="H473">_FV(B473,"Price")</f>
        <v>77.13</v>
      </c>
      <c r="I473" s="32">
        <f t="shared" si="7"/>
        <v>1.6590852392313641E-4</v>
      </c>
    </row>
    <row r="474" spans="2:9" x14ac:dyDescent="0.55000000000000004">
      <c r="B474" s="25" t="e" vm="474">
        <v>#VALUE!</v>
      </c>
      <c r="C474" s="27" cm="1">
        <f t="array" ref="C474">_FV(B474,"Shares outstanding",TRUE)</f>
        <v>60152730</v>
      </c>
      <c r="D474" s="30" cm="1">
        <f t="array" ref="D474">_FV(B474,"Market cap",TRUE)</f>
        <v>9404879335</v>
      </c>
      <c r="E474" s="26" cm="1">
        <f t="array" ref="E474">_FV(B474,"Beta")</f>
        <v>1.3847</v>
      </c>
      <c r="F474" t="str" cm="1">
        <f t="array" ref="F474">_FV(B474,"Industry")</f>
        <v>Machinery, Equipment &amp; Components</v>
      </c>
      <c r="G474" s="26" cm="1">
        <f t="array" ref="G474">_FV(B474,"P/E",TRUE)</f>
        <v>40.154200000000003</v>
      </c>
      <c r="H474" s="28" cm="1">
        <f t="array" ref="H474">_FV(B474,"Price")</f>
        <v>156.35</v>
      </c>
      <c r="I474" s="32">
        <f t="shared" si="7"/>
        <v>1.8226718407763099E-4</v>
      </c>
    </row>
    <row r="475" spans="2:9" x14ac:dyDescent="0.55000000000000004">
      <c r="B475" s="24" t="e" vm="475">
        <v>#VALUE!</v>
      </c>
      <c r="C475" s="27" cm="1">
        <f t="array" ref="C475">_FV(B475,"Shares outstanding",TRUE)</f>
        <v>369904800</v>
      </c>
      <c r="D475" s="30" cm="1">
        <f t="array" ref="D475">_FV(B475,"Market cap",TRUE)</f>
        <v>10618117284</v>
      </c>
      <c r="E475" s="26" cm="1">
        <f t="array" ref="E475">_FV(B475,"Beta")</f>
        <v>3.2494000000000001</v>
      </c>
      <c r="F475" t="str" cm="1">
        <f t="array" ref="F475">_FV(B475,"Industry")</f>
        <v>Oil &amp; Gas</v>
      </c>
      <c r="G475" s="26" cm="1">
        <f t="array" ref="G475">_FV(B475,"P/E",TRUE)</f>
        <v>3.1377999999999999</v>
      </c>
      <c r="H475" s="28" cm="1">
        <f t="array" ref="H475">_FV(B475,"Price")</f>
        <v>28.704999999999998</v>
      </c>
      <c r="I475" s="32">
        <f t="shared" si="7"/>
        <v>2.0577981584074233E-4</v>
      </c>
    </row>
    <row r="476" spans="2:9" x14ac:dyDescent="0.55000000000000004">
      <c r="B476" s="25" t="e" vm="476">
        <v>#VALUE!</v>
      </c>
      <c r="C476" s="27" cm="1">
        <f t="array" ref="C476">_FV(B476,"Shares outstanding",TRUE)</f>
        <v>113558900</v>
      </c>
      <c r="D476" s="30" cm="1">
        <f t="array" ref="D476">_FV(B476,"Market cap",TRUE)</f>
        <v>9915395353</v>
      </c>
      <c r="E476" s="26" cm="1">
        <f t="array" ref="E476">_FV(B476,"Beta")</f>
        <v>0.51600000000000001</v>
      </c>
      <c r="F476" t="str" cm="1">
        <f t="array" ref="F476">_FV(B476,"Industry")</f>
        <v>Electrical Utilities &amp; IPPs</v>
      </c>
      <c r="G476" s="26" cm="1">
        <f t="array" ref="G476">_FV(B476,"P/E",TRUE)</f>
        <v>16.108000000000001</v>
      </c>
      <c r="H476" s="28" cm="1">
        <f t="array" ref="H476">_FV(B476,"Price")</f>
        <v>87.314999999999998</v>
      </c>
      <c r="I476" s="32">
        <f t="shared" si="7"/>
        <v>1.9216101830058597E-4</v>
      </c>
    </row>
    <row r="477" spans="2:9" x14ac:dyDescent="0.55000000000000004">
      <c r="B477" s="24" t="e" vm="477">
        <v>#VALUE!</v>
      </c>
      <c r="C477" s="27" cm="1">
        <f t="array" ref="C477">_FV(B477,"Shares outstanding",TRUE)</f>
        <v>257895000</v>
      </c>
      <c r="D477" s="30" cm="1">
        <f t="array" ref="D477">_FV(B477,"Market cap",TRUE)</f>
        <v>9672351975</v>
      </c>
      <c r="E477" s="26" cm="1">
        <f t="array" ref="E477">_FV(B477,"Beta")</f>
        <v>1.3133999999999999</v>
      </c>
      <c r="F477" t="str" cm="1">
        <f t="array" ref="F477">_FV(B477,"Industry")</f>
        <v>Software &amp; IT Services</v>
      </c>
      <c r="G477" s="26" cm="1">
        <f t="array" ref="G477">_FV(B477,"P/E",TRUE)</f>
        <v>16.208500000000001</v>
      </c>
      <c r="H477" s="28" cm="1">
        <f t="array" ref="H477">_FV(B477,"Price")</f>
        <v>37.505000000000003</v>
      </c>
      <c r="I477" s="32">
        <f t="shared" si="7"/>
        <v>1.8745082154644812E-4</v>
      </c>
    </row>
    <row r="478" spans="2:9" x14ac:dyDescent="0.55000000000000004">
      <c r="B478" s="25" t="e" vm="478">
        <v>#VALUE!</v>
      </c>
      <c r="C478" s="27" cm="1">
        <f t="array" ref="C478">_FV(B478,"Shares outstanding",TRUE)</f>
        <v>460227400</v>
      </c>
      <c r="D478" s="30" cm="1">
        <f t="array" ref="D478">_FV(B478,"Market cap",TRUE)</f>
        <v>18197810000</v>
      </c>
      <c r="E478" s="26" cm="1">
        <f t="array" ref="E478">_FV(B478,"Beta")</f>
        <v>0.76680000000000004</v>
      </c>
      <c r="F478" t="str" cm="1">
        <f t="array" ref="F478">_FV(B478,"Industry")</f>
        <v>Media &amp; Publishing</v>
      </c>
      <c r="G478" s="26" cm="1">
        <f t="array" ref="G478">_FV(B478,"P/E",TRUE)</f>
        <v>13.0863</v>
      </c>
      <c r="H478" s="28" cm="1">
        <f t="array" ref="H478">_FV(B478,"Price")</f>
        <v>41.085000000000001</v>
      </c>
      <c r="I478" s="32">
        <f t="shared" si="7"/>
        <v>3.526747624221118E-4</v>
      </c>
    </row>
    <row r="479" spans="2:9" x14ac:dyDescent="0.55000000000000004">
      <c r="B479" s="24" t="e" vm="479">
        <v>#VALUE!</v>
      </c>
      <c r="C479" s="27" cm="1">
        <f t="array" ref="C479">_FV(B479,"Shares outstanding",TRUE)</f>
        <v>216338000</v>
      </c>
      <c r="D479" s="30" cm="1">
        <f t="array" ref="D479">_FV(B479,"Market cap",TRUE)</f>
        <v>8160269360</v>
      </c>
      <c r="E479" s="26" cm="1">
        <f t="array" ref="E479">_FV(B479,"Beta")</f>
        <v>2.9645000000000001</v>
      </c>
      <c r="F479" t="str" cm="1">
        <f t="array" ref="F479">_FV(B479,"Industry")</f>
        <v>Hotels &amp; Entertainment Services</v>
      </c>
      <c r="G479" s="26" cm="1">
        <f t="array" ref="G479">_FV(B479,"P/E",TRUE)</f>
        <v>0</v>
      </c>
      <c r="H479" s="28" cm="1">
        <f t="array" ref="H479">_FV(B479,"Price")</f>
        <v>37.72</v>
      </c>
      <c r="I479" s="32">
        <f t="shared" si="7"/>
        <v>1.5814656037393723E-4</v>
      </c>
    </row>
    <row r="480" spans="2:9" x14ac:dyDescent="0.55000000000000004">
      <c r="B480" s="25" t="e" vm="480">
        <v>#VALUE!</v>
      </c>
      <c r="C480" s="27" cm="1">
        <f t="array" ref="C480">_FV(B480,"Shares outstanding",TRUE)</f>
        <v>474660000</v>
      </c>
      <c r="D480" s="30" cm="1">
        <f t="array" ref="D480">_FV(B480,"Market cap",TRUE)</f>
        <v>21577220000</v>
      </c>
      <c r="E480" s="26" cm="1">
        <f t="array" ref="E480">_FV(B480,"Beta")</f>
        <v>0.75029999999999997</v>
      </c>
      <c r="F480" t="str" cm="1">
        <f t="array" ref="F480">_FV(B480,"Industry")</f>
        <v>Beverages</v>
      </c>
      <c r="G480" s="26" cm="1">
        <f t="array" ref="G480">_FV(B480,"P/E",TRUE)</f>
        <v>21.123699999999999</v>
      </c>
      <c r="H480" s="28" cm="1">
        <f t="array" ref="H480">_FV(B480,"Price")</f>
        <v>45.8</v>
      </c>
      <c r="I480" s="32">
        <f t="shared" si="7"/>
        <v>4.1816795192551411E-4</v>
      </c>
    </row>
    <row r="481" spans="2:9" x14ac:dyDescent="0.55000000000000004">
      <c r="B481" s="24" t="e" vm="481">
        <v>#VALUE!</v>
      </c>
      <c r="C481" s="27" cm="1">
        <f t="array" ref="C481">_FV(B481,"Shares outstanding",TRUE)</f>
        <v>139407100</v>
      </c>
      <c r="D481" s="30" cm="1">
        <f t="array" ref="D481">_FV(B481,"Market cap",TRUE)</f>
        <v>9559841882</v>
      </c>
      <c r="E481" s="26" cm="1">
        <f t="array" ref="E481">_FV(B481,"Beta")</f>
        <v>0.59740000000000004</v>
      </c>
      <c r="F481" t="str" cm="1">
        <f t="array" ref="F481">_FV(B481,"Industry")</f>
        <v>Leisure Products</v>
      </c>
      <c r="G481" s="26" cm="1">
        <f t="array" ref="G481">_FV(B481,"P/E",TRUE)</f>
        <v>0</v>
      </c>
      <c r="H481" s="28" cm="1">
        <f t="array" ref="H481">_FV(B481,"Price")</f>
        <v>68.575000000000003</v>
      </c>
      <c r="I481" s="32">
        <f t="shared" si="7"/>
        <v>1.8527036849639073E-4</v>
      </c>
    </row>
    <row r="482" spans="2:9" x14ac:dyDescent="0.55000000000000004">
      <c r="B482" s="25" t="e" vm="482">
        <v>#VALUE!</v>
      </c>
      <c r="C482" s="27" cm="1">
        <f t="array" ref="C482">_FV(B482,"Shares outstanding",TRUE)</f>
        <v>227769000</v>
      </c>
      <c r="D482" s="30" cm="1">
        <f t="array" ref="D482">_FV(B482,"Market cap",TRUE)</f>
        <v>7757812140</v>
      </c>
      <c r="E482" s="26" cm="1">
        <f t="array" ref="E482">_FV(B482,"Beta")</f>
        <v>1.202</v>
      </c>
      <c r="F482" t="str" cm="1">
        <f t="array" ref="F482">_FV(B482,"Industry")</f>
        <v>Automobiles &amp; Auto Parts</v>
      </c>
      <c r="G482" s="26" cm="1">
        <f t="array" ref="G482">_FV(B482,"P/E",TRUE)</f>
        <v>10.2179</v>
      </c>
      <c r="H482" s="28" cm="1">
        <f t="array" ref="H482">_FV(B482,"Price")</f>
        <v>34.06</v>
      </c>
      <c r="I482" s="32">
        <f t="shared" si="7"/>
        <v>1.5034691280928171E-4</v>
      </c>
    </row>
    <row r="483" spans="2:9" x14ac:dyDescent="0.55000000000000004">
      <c r="B483" s="24" t="e" vm="483">
        <v>#VALUE!</v>
      </c>
      <c r="C483" s="27" cm="1">
        <f t="array" ref="C483">_FV(B483,"Shares outstanding",TRUE)</f>
        <v>83900000</v>
      </c>
      <c r="D483" s="30" cm="1">
        <f t="array" ref="D483">_FV(B483,"Market cap",TRUE)</f>
        <v>13079170999</v>
      </c>
      <c r="E483" s="26" cm="1">
        <f t="array" ref="E483">_FV(B483,"Beta")</f>
        <v>0.86329999999999996</v>
      </c>
      <c r="F483" t="str" cm="1">
        <f t="array" ref="F483">_FV(B483,"Industry")</f>
        <v>Healthcare Providers &amp; Services</v>
      </c>
      <c r="G483" s="26" cm="1">
        <f t="array" ref="G483">_FV(B483,"P/E",TRUE)</f>
        <v>16.578900000000001</v>
      </c>
      <c r="H483" s="28" cm="1">
        <f t="array" ref="H483">_FV(B483,"Price")</f>
        <v>155.88999999999999</v>
      </c>
      <c r="I483" s="32">
        <f t="shared" si="7"/>
        <v>2.5347519974933797E-4</v>
      </c>
    </row>
    <row r="484" spans="2:9" x14ac:dyDescent="0.55000000000000004">
      <c r="B484" s="25" t="e" vm="484">
        <v>#VALUE!</v>
      </c>
      <c r="C484" s="27" cm="1">
        <f t="array" ref="C484">_FV(B484,"Shares outstanding",TRUE)</f>
        <v>158100000</v>
      </c>
      <c r="D484" s="30" cm="1">
        <f t="array" ref="D484">_FV(B484,"Market cap",TRUE)</f>
        <v>9292327500</v>
      </c>
      <c r="E484" s="26" cm="1">
        <f t="array" ref="E484">_FV(B484,"Beta")</f>
        <v>1.2861</v>
      </c>
      <c r="F484" t="str" cm="1">
        <f t="array" ref="F484">_FV(B484,"Industry")</f>
        <v>Software &amp; IT Services</v>
      </c>
      <c r="G484" s="26" cm="1">
        <f t="array" ref="G484">_FV(B484,"P/E",TRUE)</f>
        <v>199.6266</v>
      </c>
      <c r="H484" s="28" cm="1">
        <f t="array" ref="H484">_FV(B484,"Price")</f>
        <v>58.774999999999999</v>
      </c>
      <c r="I484" s="32">
        <f t="shared" si="7"/>
        <v>1.8008592206485047E-4</v>
      </c>
    </row>
    <row r="485" spans="2:9" x14ac:dyDescent="0.55000000000000004">
      <c r="B485" s="24" t="e" vm="485">
        <v>#VALUE!</v>
      </c>
      <c r="C485" s="27" cm="1">
        <f t="array" ref="C485">_FV(B485,"Shares outstanding",TRUE)</f>
        <v>83590540</v>
      </c>
      <c r="D485" s="30" cm="1">
        <f t="array" ref="D485">_FV(B485,"Market cap",TRUE)</f>
        <v>9704025788</v>
      </c>
      <c r="E485" s="26" cm="1">
        <f t="array" ref="E485">_FV(B485,"Beta")</f>
        <v>1.2582</v>
      </c>
      <c r="F485" t="str" cm="1">
        <f t="array" ref="F485">_FV(B485,"Industry")</f>
        <v>Residential &amp; Commercial REIT</v>
      </c>
      <c r="G485" s="26" cm="1">
        <f t="array" ref="G485">_FV(B485,"P/E",TRUE)</f>
        <v>34.206800000000001</v>
      </c>
      <c r="H485" s="28" cm="1">
        <f t="array" ref="H485">_FV(B485,"Price")</f>
        <v>116.09</v>
      </c>
      <c r="I485" s="32">
        <f t="shared" si="7"/>
        <v>1.8806466213906764E-4</v>
      </c>
    </row>
    <row r="486" spans="2:9" x14ac:dyDescent="0.55000000000000004">
      <c r="B486" s="25" t="e" vm="486">
        <v>#VALUE!</v>
      </c>
      <c r="C486" s="27" cm="1">
        <f t="array" ref="C486">_FV(B486,"Shares outstanding",TRUE)</f>
        <v>656703900</v>
      </c>
      <c r="D486" s="30" cm="1">
        <f t="array" ref="D486">_FV(B486,"Market cap",TRUE)</f>
        <v>6734498494</v>
      </c>
      <c r="E486" s="26" cm="1">
        <f t="array" ref="E486">_FV(B486,"Beta")</f>
        <v>1.4327000000000001</v>
      </c>
      <c r="F486" t="str" cm="1">
        <f t="array" ref="F486">_FV(B486,"Industry")</f>
        <v>Passenger Transportation Services</v>
      </c>
      <c r="G486" s="26" cm="1">
        <f t="array" ref="G486">_FV(B486,"P/E",TRUE)</f>
        <v>0</v>
      </c>
      <c r="H486" s="28" cm="1">
        <f t="array" ref="H486">_FV(B486,"Price")</f>
        <v>10.255000000000001</v>
      </c>
      <c r="I486" s="32">
        <f t="shared" si="7"/>
        <v>1.3051502661053828E-4</v>
      </c>
    </row>
    <row r="487" spans="2:9" x14ac:dyDescent="0.55000000000000004">
      <c r="B487" s="24" t="e" vm="487">
        <v>#VALUE!</v>
      </c>
      <c r="C487" s="27" cm="1">
        <f t="array" ref="C487">_FV(B487,"Shares outstanding",TRUE)</f>
        <v>172710600</v>
      </c>
      <c r="D487" s="30" cm="1">
        <f t="array" ref="D487">_FV(B487,"Market cap",TRUE)</f>
        <v>10452445512</v>
      </c>
      <c r="E487" s="26" cm="1">
        <f t="array" ref="E487">_FV(B487,"Beta")</f>
        <v>-0.98299999999999998</v>
      </c>
      <c r="F487" t="str" cm="1">
        <f t="array" ref="F487">_FV(B487,"Industry")</f>
        <v>Healthcare Providers &amp; Services</v>
      </c>
      <c r="G487" s="26" cm="1">
        <f t="array" ref="G487">_FV(B487,"P/E",TRUE)</f>
        <v>9.9108999999999998</v>
      </c>
      <c r="H487" s="28" cm="1">
        <f t="array" ref="H487">_FV(B487,"Price")</f>
        <v>60.52</v>
      </c>
      <c r="I487" s="32">
        <f t="shared" si="7"/>
        <v>2.025690859325748E-4</v>
      </c>
    </row>
    <row r="488" spans="2:9" x14ac:dyDescent="0.55000000000000004">
      <c r="B488" s="25" t="e" vm="488">
        <v>#VALUE!</v>
      </c>
      <c r="C488" s="27" cm="1">
        <f t="array" ref="C488">_FV(B488,"Shares outstanding",TRUE)</f>
        <v>37751980</v>
      </c>
      <c r="D488" s="30" cm="1">
        <f t="array" ref="D488">_FV(B488,"Market cap",TRUE)</f>
        <v>8932873507</v>
      </c>
      <c r="E488" s="26" cm="1">
        <f t="array" ref="E488">_FV(B488,"Beta")</f>
        <v>1.0685</v>
      </c>
      <c r="F488" t="str" cm="1">
        <f t="array" ref="F488">_FV(B488,"Industry")</f>
        <v>Investment Banking &amp; Investment Services</v>
      </c>
      <c r="G488" s="26" cm="1">
        <f t="array" ref="G488">_FV(B488,"P/E",TRUE)</f>
        <v>33.938800000000001</v>
      </c>
      <c r="H488" s="28" cm="1">
        <f t="array" ref="H488">_FV(B488,"Price")</f>
        <v>236.62</v>
      </c>
      <c r="I488" s="32">
        <f t="shared" si="7"/>
        <v>1.731196798860963E-4</v>
      </c>
    </row>
    <row r="489" spans="2:9" x14ac:dyDescent="0.55000000000000004">
      <c r="B489" s="24" t="e" vm="489">
        <v>#VALUE!</v>
      </c>
      <c r="C489" s="27" cm="1">
        <f t="array" ref="C489">_FV(B489,"Shares outstanding",TRUE)</f>
        <v>61939380</v>
      </c>
      <c r="D489" s="30" cm="1">
        <f t="array" ref="D489">_FV(B489,"Market cap",TRUE)</f>
        <v>10682065474</v>
      </c>
      <c r="E489" s="26" cm="1">
        <f t="array" ref="E489">_FV(B489,"Beta")</f>
        <v>1.5059</v>
      </c>
      <c r="F489" t="str" cm="1">
        <f t="array" ref="F489">_FV(B489,"Industry")</f>
        <v>Textiles &amp; Apparel</v>
      </c>
      <c r="G489" s="26" cm="1">
        <f t="array" ref="G489">_FV(B489,"P/E",TRUE)</f>
        <v>16.837900000000001</v>
      </c>
      <c r="H489" s="28" cm="1">
        <f t="array" ref="H489">_FV(B489,"Price")</f>
        <v>172.46</v>
      </c>
      <c r="I489" s="32">
        <f t="shared" si="7"/>
        <v>2.0701913599605631E-4</v>
      </c>
    </row>
    <row r="490" spans="2:9" x14ac:dyDescent="0.55000000000000004">
      <c r="B490" s="25" t="e" vm="490">
        <v>#VALUE!</v>
      </c>
      <c r="C490" s="27" cm="1">
        <f t="array" ref="C490">_FV(B490,"Shares outstanding",TRUE)</f>
        <v>439691300</v>
      </c>
      <c r="D490" s="30" cm="1">
        <f t="array" ref="D490">_FV(B490,"Market cap",TRUE)</f>
        <v>7734125997</v>
      </c>
      <c r="E490" s="26" cm="1">
        <f t="array" ref="E490">_FV(B490,"Beta")</f>
        <v>2.7121</v>
      </c>
      <c r="F490" t="str" cm="1">
        <f t="array" ref="F490">_FV(B490,"Industry")</f>
        <v>Hotels &amp; Entertainment Services</v>
      </c>
      <c r="G490" s="26" cm="1">
        <f t="array" ref="G490">_FV(B490,"P/E",TRUE)</f>
        <v>22.325600000000001</v>
      </c>
      <c r="H490" s="28" cm="1">
        <f t="array" ref="H490">_FV(B490,"Price")</f>
        <v>17.5899</v>
      </c>
      <c r="I490" s="32">
        <f t="shared" si="7"/>
        <v>1.4988787379001395E-4</v>
      </c>
    </row>
    <row r="491" spans="2:9" x14ac:dyDescent="0.55000000000000004">
      <c r="B491" s="24" t="e" vm="491">
        <v>#VALUE!</v>
      </c>
      <c r="C491" s="27" cm="1">
        <f t="array" ref="C491">_FV(B491,"Shares outstanding",TRUE)</f>
        <v>124824400</v>
      </c>
      <c r="D491" s="30" cm="1">
        <f t="array" ref="D491">_FV(B491,"Market cap",TRUE)</f>
        <v>8172877589</v>
      </c>
      <c r="E491" s="26" cm="1">
        <f t="array" ref="E491">_FV(B491,"Beta")</f>
        <v>0.85429999999999995</v>
      </c>
      <c r="F491" t="str" cm="1">
        <f t="array" ref="F491">_FV(B491,"Industry")</f>
        <v>Chemicals</v>
      </c>
      <c r="G491" s="26" cm="1">
        <f t="array" ref="G491">_FV(B491,"P/E",TRUE)</f>
        <v>5.5871000000000004</v>
      </c>
      <c r="H491" s="28" cm="1">
        <f t="array" ref="H491">_FV(B491,"Price")</f>
        <v>65.474999999999994</v>
      </c>
      <c r="I491" s="32">
        <f t="shared" si="7"/>
        <v>1.5839090868657147E-4</v>
      </c>
    </row>
    <row r="492" spans="2:9" x14ac:dyDescent="0.55000000000000004">
      <c r="B492" s="25" t="e" vm="492">
        <v>#VALUE!</v>
      </c>
      <c r="C492" s="27" cm="1">
        <f t="array" ref="C492">_FV(B492,"Shares outstanding",TRUE)</f>
        <v>114752300</v>
      </c>
      <c r="D492" s="30" cm="1">
        <f t="array" ref="D492">_FV(B492,"Market cap",TRUE)</f>
        <v>6357275000</v>
      </c>
      <c r="E492" s="26" cm="1">
        <f t="array" ref="E492">_FV(B492,"Beta")</f>
        <v>1.9783999999999999</v>
      </c>
      <c r="F492" t="str" cm="1">
        <f t="array" ref="F492">_FV(B492,"Industry")</f>
        <v>Diversified Retail</v>
      </c>
      <c r="G492" s="26" cm="1">
        <f t="array" ref="G492">_FV(B492,"P/E",TRUE)</f>
        <v>25.519400000000001</v>
      </c>
      <c r="H492" s="28" cm="1">
        <f t="array" ref="H492">_FV(B492,"Price")</f>
        <v>55.65</v>
      </c>
      <c r="I492" s="32">
        <f t="shared" si="7"/>
        <v>1.2320441032613434E-4</v>
      </c>
    </row>
    <row r="493" spans="2:9" x14ac:dyDescent="0.55000000000000004">
      <c r="B493" s="24" t="e" vm="493">
        <v>#VALUE!</v>
      </c>
      <c r="C493" s="27" cm="1">
        <f t="array" ref="C493">_FV(B493,"Shares outstanding",TRUE)</f>
        <v>58929900</v>
      </c>
      <c r="D493" s="30" cm="1">
        <f t="array" ref="D493">_FV(B493,"Market cap",TRUE)</f>
        <v>9619128000</v>
      </c>
      <c r="E493" s="26" cm="1">
        <f t="array" ref="E493">_FV(B493,"Beta")</f>
        <v>1.1717</v>
      </c>
      <c r="F493" t="str" cm="1">
        <f t="array" ref="F493">_FV(B493,"Industry")</f>
        <v>Software &amp; IT Services</v>
      </c>
      <c r="G493" s="26" cm="1">
        <f t="array" ref="G493">_FV(B493,"P/E",TRUE)</f>
        <v>19.9998</v>
      </c>
      <c r="H493" s="28" cm="1">
        <f t="array" ref="H493">_FV(B493,"Price")</f>
        <v>164.85499999999999</v>
      </c>
      <c r="I493" s="32">
        <f t="shared" si="7"/>
        <v>1.8641933738773421E-4</v>
      </c>
    </row>
    <row r="494" spans="2:9" x14ac:dyDescent="0.55000000000000004">
      <c r="B494" s="25" t="e" vm="494">
        <v>#VALUE!</v>
      </c>
      <c r="C494" s="27" cm="1">
        <f t="array" ref="C494">_FV(B494,"Shares outstanding",TRUE)</f>
        <v>89819840</v>
      </c>
      <c r="D494" s="30" cm="1">
        <f t="array" ref="D494">_FV(B494,"Market cap",TRUE)</f>
        <v>9211024592</v>
      </c>
      <c r="E494" s="26" cm="1">
        <f t="array" ref="E494">_FV(B494,"Beta")</f>
        <v>0.80620000000000003</v>
      </c>
      <c r="F494" t="str" cm="1">
        <f t="array" ref="F494">_FV(B494,"Industry")</f>
        <v>Insurance</v>
      </c>
      <c r="G494" s="26" cm="1">
        <f t="array" ref="G494">_FV(B494,"P/E",TRUE)</f>
        <v>9.1181999999999999</v>
      </c>
      <c r="H494" s="28" cm="1">
        <f t="array" ref="H494">_FV(B494,"Price")</f>
        <v>102.55</v>
      </c>
      <c r="I494" s="32">
        <f t="shared" si="7"/>
        <v>1.7851026632588368E-4</v>
      </c>
    </row>
    <row r="495" spans="2:9" x14ac:dyDescent="0.55000000000000004">
      <c r="B495" s="24" t="e" vm="495">
        <v>#VALUE!</v>
      </c>
      <c r="C495" s="27" cm="1">
        <f t="array" ref="C495">_FV(B495,"Shares outstanding",TRUE)</f>
        <v>104056500</v>
      </c>
      <c r="D495" s="30" cm="1">
        <f t="array" ref="D495">_FV(B495,"Market cap",TRUE)</f>
        <v>6730374420</v>
      </c>
      <c r="E495" s="26" cm="1">
        <f t="array" ref="E495">_FV(B495,"Beta")</f>
        <v>1.2285999999999999</v>
      </c>
      <c r="F495" t="str" cm="1">
        <f t="array" ref="F495">_FV(B495,"Industry")</f>
        <v>Professional &amp; Commercial Services</v>
      </c>
      <c r="G495" s="26" cm="1">
        <f t="array" ref="G495">_FV(B495,"P/E",TRUE)</f>
        <v>21.531300000000002</v>
      </c>
      <c r="H495" s="28" cm="1">
        <f t="array" ref="H495">_FV(B495,"Price")</f>
        <v>64.680000000000007</v>
      </c>
      <c r="I495" s="32">
        <f t="shared" si="7"/>
        <v>1.3043510178342111E-4</v>
      </c>
    </row>
    <row r="496" spans="2:9" x14ac:dyDescent="0.55000000000000004">
      <c r="B496" s="25" t="e" vm="496">
        <v>#VALUE!</v>
      </c>
      <c r="C496" s="27" cm="1">
        <f t="array" ref="C496">_FV(B496,"Shares outstanding",TRUE)</f>
        <v>450000000</v>
      </c>
      <c r="D496" s="30" cm="1">
        <f t="array" ref="D496">_FV(B496,"Market cap",TRUE)</f>
        <v>7740000000</v>
      </c>
      <c r="E496" s="26" cm="1">
        <f t="array" ref="E496">_FV(B496,"Beta")</f>
        <v>1.4260999999999999</v>
      </c>
      <c r="F496" t="str" cm="1">
        <f t="array" ref="F496">_FV(B496,"Industry")</f>
        <v>Investment Banking &amp; Investment Services</v>
      </c>
      <c r="G496" t="e" cm="1" vm="36">
        <f t="array" ref="G496">_FV(B496,"P/E",TRUE)</f>
        <v>#VALUE!</v>
      </c>
      <c r="H496" s="28" cm="1">
        <f t="array" ref="H496">_FV(B496,"Price")</f>
        <v>17.2</v>
      </c>
      <c r="I496" s="32">
        <f t="shared" si="7"/>
        <v>1.5000171235698943E-4</v>
      </c>
    </row>
    <row r="497" spans="2:9" x14ac:dyDescent="0.55000000000000004">
      <c r="B497" s="24" t="e" vm="497">
        <v>#VALUE!</v>
      </c>
      <c r="C497" s="27" cm="1">
        <f t="array" ref="C497">_FV(B497,"Shares outstanding",TRUE)</f>
        <v>522998400</v>
      </c>
      <c r="D497" s="30" cm="1">
        <f t="array" ref="D497">_FV(B497,"Market cap",TRUE)</f>
        <v>10784227008</v>
      </c>
      <c r="E497" s="26" cm="1">
        <f t="array" ref="E497">_FV(B497,"Beta")</f>
        <v>1.4146000000000001</v>
      </c>
      <c r="F497" t="str" cm="1">
        <f t="array" ref="F497">_FV(B497,"Industry")</f>
        <v>Investment Banking &amp; Investment Services</v>
      </c>
      <c r="G497" s="26" cm="1">
        <f t="array" ref="G497">_FV(B497,"P/E",TRUE)</f>
        <v>12.9239</v>
      </c>
      <c r="H497" s="28" cm="1">
        <f t="array" ref="H497">_FV(B497,"Price")</f>
        <v>20.62</v>
      </c>
      <c r="I497" s="32">
        <f t="shared" si="7"/>
        <v>2.0899903328766055E-4</v>
      </c>
    </row>
    <row r="498" spans="2:9" x14ac:dyDescent="0.55000000000000004">
      <c r="B498" s="25" t="e" vm="498">
        <v>#VALUE!</v>
      </c>
      <c r="C498" s="27" cm="1">
        <f t="array" ref="C498">_FV(B498,"Shares outstanding",TRUE)</f>
        <v>132669900</v>
      </c>
      <c r="D498" s="30" cm="1">
        <f t="array" ref="D498">_FV(B498,"Market cap",TRUE)</f>
        <v>7530011849</v>
      </c>
      <c r="E498" s="26" cm="1">
        <f t="array" ref="E498">_FV(B498,"Beta")</f>
        <v>1.2504</v>
      </c>
      <c r="F498" t="str" cm="1">
        <f t="array" ref="F498">_FV(B498,"Industry")</f>
        <v>Banking Services</v>
      </c>
      <c r="G498" s="26" cm="1">
        <f t="array" ref="G498">_FV(B498,"P/E",TRUE)</f>
        <v>12.7469</v>
      </c>
      <c r="H498" s="28" cm="1">
        <f t="array" ref="H498">_FV(B498,"Price")</f>
        <v>56.7575</v>
      </c>
      <c r="I498" s="32">
        <f t="shared" si="7"/>
        <v>1.4593212809023515E-4</v>
      </c>
    </row>
    <row r="499" spans="2:9" x14ac:dyDescent="0.55000000000000004">
      <c r="B499" s="24" t="e" vm="499">
        <v>#VALUE!</v>
      </c>
      <c r="C499" s="27" cm="1">
        <f t="array" ref="C499">_FV(B499,"Shares outstanding",TRUE)</f>
        <v>27870660</v>
      </c>
      <c r="D499" s="30" cm="1">
        <f t="array" ref="D499">_FV(B499,"Market cap",TRUE)</f>
        <v>8837686000</v>
      </c>
      <c r="E499" s="26" cm="1">
        <f t="array" ref="E499">_FV(B499,"Beta")</f>
        <v>0.94379999999999997</v>
      </c>
      <c r="F499" t="str" cm="1">
        <f t="array" ref="F499">_FV(B499,"Industry")</f>
        <v>Healthcare Equipment &amp; Supplies</v>
      </c>
      <c r="G499" t="e" cm="1" vm="36">
        <f t="array" ref="G499">_FV(B499,"P/E",TRUE)</f>
        <v>#VALUE!</v>
      </c>
      <c r="H499" s="28" cm="1">
        <f t="array" ref="H499">_FV(B499,"Price")</f>
        <v>314.83999999999997</v>
      </c>
      <c r="I499" s="32">
        <f t="shared" si="7"/>
        <v>1.712749396994047E-4</v>
      </c>
    </row>
    <row r="500" spans="2:9" x14ac:dyDescent="0.55000000000000004">
      <c r="B500" s="25" t="e" vm="500">
        <v>#VALUE!</v>
      </c>
      <c r="C500" s="27" cm="1">
        <f t="array" ref="C500">_FV(B500,"Shares outstanding",TRUE)</f>
        <v>63117080</v>
      </c>
      <c r="D500" s="30" cm="1">
        <f t="array" ref="D500">_FV(B500,"Market cap",TRUE)</f>
        <v>9889184094</v>
      </c>
      <c r="E500" s="26" cm="1">
        <f t="array" ref="E500">_FV(B500,"Beta")</f>
        <v>1.3775999999999999</v>
      </c>
      <c r="F500" t="str" cm="1">
        <f t="array" ref="F500">_FV(B500,"Industry")</f>
        <v>Household Goods</v>
      </c>
      <c r="G500" t="e" cm="1" vm="36">
        <f t="array" ref="G500">_FV(B500,"P/E",TRUE)</f>
        <v>#VALUE!</v>
      </c>
      <c r="H500" s="28" cm="1">
        <f t="array" ref="H500">_FV(B500,"Price")</f>
        <v>156.68</v>
      </c>
      <c r="I500" s="32">
        <f t="shared" si="7"/>
        <v>1.9165304236608565E-4</v>
      </c>
    </row>
    <row r="501" spans="2:9" x14ac:dyDescent="0.55000000000000004">
      <c r="B501" s="24" t="e" vm="501">
        <v>#VALUE!</v>
      </c>
      <c r="C501" s="27" cm="1">
        <f t="array" ref="C501">_FV(B501,"Shares outstanding",TRUE)</f>
        <v>666714400</v>
      </c>
      <c r="D501" s="30" cm="1">
        <f t="array" ref="D501">_FV(B501,"Market cap",TRUE)</f>
        <v>8096499000</v>
      </c>
      <c r="E501" s="26" cm="1">
        <f t="array" ref="E501">_FV(B501,"Beta")</f>
        <v>1.7742</v>
      </c>
      <c r="F501" t="str" cm="1">
        <f t="array" ref="F501">_FV(B501,"Industry")</f>
        <v>Media &amp; Publishing</v>
      </c>
      <c r="G501" s="26" cm="1">
        <f t="array" ref="G501">_FV(B501,"P/E",TRUE)</f>
        <v>0</v>
      </c>
      <c r="H501" s="28" cm="1">
        <f t="array" ref="H501">_FV(B501,"Price")</f>
        <v>11.425000000000001</v>
      </c>
      <c r="I501" s="32">
        <f t="shared" si="7"/>
        <v>1.5691068657579487E-4</v>
      </c>
    </row>
    <row r="502" spans="2:9" x14ac:dyDescent="0.55000000000000004">
      <c r="B502" s="25" t="e" vm="478">
        <v>#VALUE!</v>
      </c>
      <c r="C502" s="27" cm="1">
        <f t="array" ref="C502">_FV(B502,"Shares outstanding",TRUE)</f>
        <v>460227400</v>
      </c>
      <c r="D502" s="30" cm="1">
        <f t="array" ref="D502">_FV(B502,"Market cap",TRUE)</f>
        <v>18197810000</v>
      </c>
      <c r="E502" s="26" cm="1">
        <f t="array" ref="E502">_FV(B502,"Beta")</f>
        <v>0.76680000000000004</v>
      </c>
      <c r="F502" t="str" cm="1">
        <f t="array" ref="F502">_FV(B502,"Industry")</f>
        <v>Media &amp; Publishing</v>
      </c>
      <c r="G502" s="26" cm="1">
        <f t="array" ref="G502">_FV(B502,"P/E",TRUE)</f>
        <v>13.0863</v>
      </c>
      <c r="H502" s="28" cm="1">
        <f t="array" ref="H502">_FV(B502,"Price")</f>
        <v>41.085000000000001</v>
      </c>
      <c r="I502" s="32">
        <f t="shared" si="7"/>
        <v>3.526747624221118E-4</v>
      </c>
    </row>
    <row r="503" spans="2:9" x14ac:dyDescent="0.55000000000000004">
      <c r="B503" s="24" t="e" vm="502">
        <v>#VALUE!</v>
      </c>
      <c r="C503" s="27" cm="1">
        <f t="array" ref="C503">_FV(B503,"Shares outstanding",TRUE)</f>
        <v>568584700</v>
      </c>
      <c r="D503" s="30" cm="1">
        <f t="array" ref="D503">_FV(B503,"Market cap",TRUE)</f>
        <v>16201650000</v>
      </c>
      <c r="E503" s="26" cm="1">
        <f t="array" ref="E503">_FV(B503,"Beta")</f>
        <v>1.3573</v>
      </c>
      <c r="F503" t="str" cm="1">
        <f t="array" ref="F503">_FV(B503,"Industry")</f>
        <v>Media &amp; Publishing</v>
      </c>
      <c r="G503" s="26" cm="1">
        <f t="array" ref="G503">_FV(B503,"P/E",TRUE)</f>
        <v>81.034599999999998</v>
      </c>
      <c r="H503" s="28" cm="1">
        <f t="array" ref="H503">_FV(B503,"Price")</f>
        <v>29.285</v>
      </c>
      <c r="I503" s="32">
        <f t="shared" si="7"/>
        <v>3.139890494843175E-4</v>
      </c>
    </row>
    <row r="504" spans="2:9" x14ac:dyDescent="0.55000000000000004">
      <c r="C504" s="27"/>
      <c r="D504" s="27">
        <f>SUM(D2:D503)</f>
        <v>51599410955920</v>
      </c>
      <c r="H504"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22F72-31D2-4832-A3D6-E859E8D0CF99}">
  <dimension ref="A1:BS57"/>
  <sheetViews>
    <sheetView workbookViewId="0">
      <pane xSplit="2" ySplit="2" topLeftCell="BF3" activePane="bottomRight" state="frozen"/>
      <selection pane="topRight" activeCell="C1" sqref="C1"/>
      <selection pane="bottomLeft" activeCell="A3" sqref="A3"/>
      <selection pane="bottomRight" activeCell="BP2" sqref="BP2"/>
    </sheetView>
  </sheetViews>
  <sheetFormatPr defaultColWidth="9.1015625" defaultRowHeight="14.4" x14ac:dyDescent="0.55000000000000004"/>
  <cols>
    <col min="1" max="1" width="4.5234375" bestFit="1" customWidth="1"/>
    <col min="2" max="2" width="17.89453125" bestFit="1" customWidth="1"/>
    <col min="3" max="4" width="9.1015625" style="12"/>
    <col min="5" max="5" width="11.7890625" style="12" bestFit="1" customWidth="1"/>
    <col min="6" max="7" width="9.7890625" style="12" bestFit="1" customWidth="1"/>
    <col min="8" max="49" width="10.3125" style="12" bestFit="1" customWidth="1"/>
    <col min="50" max="16384" width="9.1015625" style="12"/>
  </cols>
  <sheetData>
    <row r="1" spans="1:71" x14ac:dyDescent="0.55000000000000004">
      <c r="A1" s="8" t="s">
        <v>40</v>
      </c>
      <c r="H1" s="14">
        <v>41639</v>
      </c>
      <c r="I1" s="14">
        <v>41729</v>
      </c>
      <c r="J1" s="14">
        <v>41820</v>
      </c>
      <c r="K1" s="14">
        <v>41912</v>
      </c>
      <c r="L1" s="14">
        <v>42004</v>
      </c>
      <c r="M1" s="14">
        <v>42094</v>
      </c>
      <c r="N1" s="14">
        <v>42185</v>
      </c>
      <c r="O1" s="14">
        <v>42277</v>
      </c>
      <c r="P1" s="14">
        <v>42369</v>
      </c>
      <c r="Q1" s="14">
        <v>42460</v>
      </c>
      <c r="R1" s="14">
        <v>42551</v>
      </c>
      <c r="S1" s="14">
        <v>42643</v>
      </c>
      <c r="T1" s="14">
        <v>42735</v>
      </c>
      <c r="U1" s="14">
        <v>42825</v>
      </c>
      <c r="V1" s="14">
        <v>42916</v>
      </c>
      <c r="W1" s="14">
        <v>43008</v>
      </c>
      <c r="X1" s="14">
        <v>43100</v>
      </c>
      <c r="Y1" s="14">
        <v>43190</v>
      </c>
      <c r="Z1" s="14">
        <v>43281</v>
      </c>
      <c r="AA1" s="14">
        <v>43373</v>
      </c>
      <c r="AB1" s="14">
        <v>43465</v>
      </c>
      <c r="AC1" s="14">
        <v>43555</v>
      </c>
      <c r="AD1" s="14">
        <v>43646</v>
      </c>
      <c r="AE1" s="14">
        <v>43738</v>
      </c>
      <c r="AF1" s="14">
        <v>43830</v>
      </c>
      <c r="AG1" s="14">
        <v>43921</v>
      </c>
      <c r="AH1" s="14">
        <v>44012</v>
      </c>
      <c r="AI1" s="14">
        <v>44104</v>
      </c>
      <c r="AJ1" s="14">
        <v>44196</v>
      </c>
      <c r="AK1" s="14">
        <v>44286</v>
      </c>
      <c r="AL1" s="14">
        <v>44377</v>
      </c>
      <c r="AM1" s="14">
        <v>44469</v>
      </c>
      <c r="AN1" s="14">
        <v>44561</v>
      </c>
      <c r="AO1" s="14">
        <v>44651</v>
      </c>
      <c r="AP1" s="14">
        <v>44742</v>
      </c>
      <c r="AQ1" s="14">
        <v>44834</v>
      </c>
      <c r="AR1" s="14">
        <v>44926</v>
      </c>
      <c r="AS1" s="14">
        <v>45016</v>
      </c>
      <c r="AT1" s="14">
        <v>45107</v>
      </c>
      <c r="AU1" s="14">
        <v>45199</v>
      </c>
      <c r="AV1" s="14">
        <v>45291</v>
      </c>
      <c r="AW1" s="14">
        <v>45382</v>
      </c>
    </row>
    <row r="2" spans="1:71" x14ac:dyDescent="0.55000000000000004">
      <c r="B2" t="s">
        <v>35</v>
      </c>
      <c r="C2" s="12" t="s">
        <v>36</v>
      </c>
      <c r="D2" s="12" t="s">
        <v>37</v>
      </c>
      <c r="E2" s="14" t="s">
        <v>38</v>
      </c>
      <c r="F2" s="14" t="s">
        <v>53</v>
      </c>
      <c r="G2" s="14" t="s">
        <v>54</v>
      </c>
      <c r="H2" s="14" t="s">
        <v>55</v>
      </c>
      <c r="I2" s="14" t="s">
        <v>56</v>
      </c>
      <c r="J2" s="14" t="s">
        <v>57</v>
      </c>
      <c r="K2" s="14" t="s">
        <v>58</v>
      </c>
      <c r="L2" s="14" t="s">
        <v>59</v>
      </c>
      <c r="M2" s="14" t="s">
        <v>60</v>
      </c>
      <c r="N2" s="14" t="s">
        <v>61</v>
      </c>
      <c r="O2" s="14" t="s">
        <v>62</v>
      </c>
      <c r="P2" s="14" t="s">
        <v>63</v>
      </c>
      <c r="Q2" s="14" t="s">
        <v>64</v>
      </c>
      <c r="R2" s="14" t="s">
        <v>65</v>
      </c>
      <c r="S2" s="14" t="s">
        <v>66</v>
      </c>
      <c r="T2" s="14" t="s">
        <v>67</v>
      </c>
      <c r="U2" s="14" t="s">
        <v>68</v>
      </c>
      <c r="V2" s="14" t="s">
        <v>69</v>
      </c>
      <c r="W2" s="14" t="s">
        <v>70</v>
      </c>
      <c r="X2" s="14" t="s">
        <v>71</v>
      </c>
      <c r="Y2" s="14" t="s">
        <v>72</v>
      </c>
      <c r="Z2" s="14" t="s">
        <v>73</v>
      </c>
      <c r="AA2" s="14" t="s">
        <v>74</v>
      </c>
      <c r="AB2" s="14" t="s">
        <v>75</v>
      </c>
      <c r="AC2" s="14" t="s">
        <v>76</v>
      </c>
      <c r="AD2" s="14" t="s">
        <v>77</v>
      </c>
      <c r="AE2" s="14" t="s">
        <v>78</v>
      </c>
      <c r="AF2" s="14" t="s">
        <v>79</v>
      </c>
      <c r="AG2" s="14" t="s">
        <v>80</v>
      </c>
      <c r="AH2" s="14" t="s">
        <v>81</v>
      </c>
      <c r="AI2" s="14" t="s">
        <v>82</v>
      </c>
      <c r="AJ2" s="14" t="s">
        <v>83</v>
      </c>
      <c r="AK2" s="14" t="s">
        <v>84</v>
      </c>
      <c r="AL2" s="14" t="s">
        <v>87</v>
      </c>
      <c r="AM2" s="14" t="s">
        <v>88</v>
      </c>
      <c r="AN2" s="14" t="s">
        <v>89</v>
      </c>
      <c r="AO2" s="14" t="s">
        <v>90</v>
      </c>
      <c r="AP2" s="14" t="s">
        <v>91</v>
      </c>
      <c r="AQ2" s="14" t="s">
        <v>92</v>
      </c>
      <c r="AR2" s="14" t="s">
        <v>93</v>
      </c>
      <c r="AS2" s="14" t="s">
        <v>94</v>
      </c>
      <c r="AT2" s="14" t="s">
        <v>95</v>
      </c>
      <c r="AU2" s="14" t="s">
        <v>96</v>
      </c>
      <c r="AV2" s="14" t="s">
        <v>97</v>
      </c>
      <c r="AW2" s="14" t="s">
        <v>98</v>
      </c>
      <c r="BP2" s="12">
        <v>2021</v>
      </c>
      <c r="BQ2" s="12">
        <v>2022</v>
      </c>
      <c r="BR2" s="12">
        <v>2023</v>
      </c>
      <c r="BS2" s="12">
        <v>2024</v>
      </c>
    </row>
    <row r="3" spans="1:71" s="13" customFormat="1" x14ac:dyDescent="0.55000000000000004">
      <c r="A3"/>
      <c r="B3" s="1" t="s">
        <v>0</v>
      </c>
      <c r="C3" s="13">
        <v>16008</v>
      </c>
      <c r="D3" s="13">
        <v>21456</v>
      </c>
      <c r="E3" s="13">
        <v>20489</v>
      </c>
      <c r="F3" s="13">
        <f>77849-SUM(C3:E3)</f>
        <v>19896</v>
      </c>
      <c r="G3" s="13">
        <v>18529</v>
      </c>
      <c r="H3" s="13">
        <v>24519</v>
      </c>
      <c r="I3" s="13">
        <v>20403</v>
      </c>
      <c r="J3" s="13">
        <f>86833-SUM(G3:I3)</f>
        <v>23382</v>
      </c>
      <c r="K3" s="13">
        <v>23201</v>
      </c>
      <c r="L3" s="13">
        <v>26470</v>
      </c>
      <c r="M3" s="13">
        <v>21729</v>
      </c>
      <c r="N3" s="13">
        <f>93580-SUM(K3:M3)</f>
        <v>22180</v>
      </c>
      <c r="O3" s="13">
        <v>20379</v>
      </c>
      <c r="P3" s="13">
        <v>23796</v>
      </c>
      <c r="Q3" s="13">
        <v>20531</v>
      </c>
      <c r="R3" s="13">
        <f>85320-SUM(O3:Q3)</f>
        <v>20614</v>
      </c>
      <c r="S3" s="13">
        <v>21928</v>
      </c>
      <c r="T3" s="13">
        <v>25826</v>
      </c>
      <c r="U3" s="13">
        <v>22090</v>
      </c>
      <c r="V3" s="13">
        <f>89950-SUM(S3:U3)</f>
        <v>20106</v>
      </c>
      <c r="W3" s="13">
        <v>24538</v>
      </c>
      <c r="X3" s="13">
        <v>28918</v>
      </c>
      <c r="Y3" s="13">
        <v>26819</v>
      </c>
      <c r="Z3" s="13">
        <f>110360-SUM(W3:Y3)</f>
        <v>30085</v>
      </c>
      <c r="AA3" s="13">
        <v>29084</v>
      </c>
      <c r="AB3" s="13">
        <v>32471</v>
      </c>
      <c r="AC3" s="13">
        <v>30571</v>
      </c>
      <c r="AD3" s="13">
        <f>125843-SUM(AA3:AC3)</f>
        <v>33717</v>
      </c>
      <c r="AE3" s="13">
        <v>33055</v>
      </c>
      <c r="AF3" s="13">
        <v>36906</v>
      </c>
      <c r="AG3" s="13">
        <v>35021</v>
      </c>
      <c r="AH3" s="13">
        <f>143015-SUM(AE3:AG3)</f>
        <v>38033</v>
      </c>
      <c r="AI3" s="13">
        <v>37154</v>
      </c>
      <c r="AJ3" s="13">
        <v>43076</v>
      </c>
      <c r="AK3" s="13">
        <v>41706</v>
      </c>
      <c r="AL3" s="13">
        <f>168088-SUM(AI3:AK3)</f>
        <v>46152</v>
      </c>
      <c r="AM3" s="13">
        <v>45317</v>
      </c>
      <c r="AN3" s="13">
        <v>51728</v>
      </c>
      <c r="AO3" s="13">
        <v>49360</v>
      </c>
      <c r="AP3" s="13">
        <f>198270-SUM(AM3:AO3)</f>
        <v>51865</v>
      </c>
      <c r="AQ3" s="13">
        <v>50122</v>
      </c>
      <c r="AR3" s="13">
        <v>52747</v>
      </c>
      <c r="AS3" s="13">
        <v>52857</v>
      </c>
      <c r="AT3" s="13">
        <f>211915-SUM(AQ3:AS3)</f>
        <v>56189</v>
      </c>
      <c r="AU3" s="13">
        <v>56517</v>
      </c>
      <c r="AV3" s="13">
        <v>62020</v>
      </c>
      <c r="AW3" s="13">
        <v>61858</v>
      </c>
      <c r="BP3" s="13">
        <f>SUM(AK3:AN3)</f>
        <v>184903</v>
      </c>
      <c r="BQ3" s="13">
        <f>SUM(AO3:AR3)</f>
        <v>204094</v>
      </c>
      <c r="BR3" s="13">
        <f>SUM(AS3:AV3)</f>
        <v>227583</v>
      </c>
    </row>
    <row r="4" spans="1:71" x14ac:dyDescent="0.55000000000000004">
      <c r="B4" t="s">
        <v>1</v>
      </c>
      <c r="C4" s="12">
        <v>4168</v>
      </c>
      <c r="D4" s="12">
        <v>5692</v>
      </c>
      <c r="E4" s="12">
        <v>4787</v>
      </c>
      <c r="F4" s="12">
        <f>20249-SUM(C4:E4)</f>
        <v>5602</v>
      </c>
      <c r="G4" s="12">
        <v>5114</v>
      </c>
      <c r="H4" s="12">
        <v>8284</v>
      </c>
      <c r="I4" s="12">
        <v>5978</v>
      </c>
      <c r="J4" s="13">
        <f>27078-SUM(G4:I4)</f>
        <v>7702</v>
      </c>
      <c r="K4" s="12">
        <v>8273</v>
      </c>
      <c r="L4" s="12">
        <v>10136</v>
      </c>
      <c r="M4" s="12">
        <v>7161</v>
      </c>
      <c r="N4" s="12">
        <f>33038-SUM(K4:M4)</f>
        <v>7468</v>
      </c>
      <c r="O4" s="12">
        <v>7207</v>
      </c>
      <c r="P4" s="12">
        <v>9872</v>
      </c>
      <c r="Q4" s="12">
        <v>7722</v>
      </c>
      <c r="R4" s="12">
        <f>32780-SUM(O4:Q4)</f>
        <v>7979</v>
      </c>
      <c r="S4" s="12">
        <v>7844</v>
      </c>
      <c r="T4" s="12">
        <v>9901</v>
      </c>
      <c r="U4" s="12">
        <v>8060</v>
      </c>
      <c r="V4" s="12">
        <f>34261-SUM(S4:U4)</f>
        <v>8456</v>
      </c>
      <c r="W4" s="12">
        <v>8278</v>
      </c>
      <c r="X4" s="12">
        <v>11064</v>
      </c>
      <c r="Y4" s="12">
        <v>9269</v>
      </c>
      <c r="Z4" s="16">
        <f>38353-SUM(W4:Y4)</f>
        <v>9742</v>
      </c>
      <c r="AA4" s="12">
        <v>9905</v>
      </c>
      <c r="AB4" s="12">
        <v>12423</v>
      </c>
      <c r="AC4" s="12">
        <v>10170</v>
      </c>
      <c r="AD4" s="16">
        <f>42910-SUM(AA4:AC4)</f>
        <v>10412</v>
      </c>
      <c r="AE4" s="12">
        <v>10406</v>
      </c>
      <c r="AF4" s="12">
        <v>12358</v>
      </c>
      <c r="AG4" s="12">
        <v>10975</v>
      </c>
      <c r="AH4" s="16">
        <f>46078-SUM(AE4:AG4)</f>
        <v>12339</v>
      </c>
      <c r="AI4" s="12">
        <v>11002</v>
      </c>
      <c r="AJ4" s="12">
        <v>14194</v>
      </c>
      <c r="AK4" s="12">
        <v>13045</v>
      </c>
      <c r="AL4" s="16">
        <f>52232-SUM(AI4:AK4)</f>
        <v>13991</v>
      </c>
      <c r="AM4" s="12">
        <v>13646</v>
      </c>
      <c r="AN4" s="12">
        <v>16960</v>
      </c>
      <c r="AO4" s="12">
        <v>15615</v>
      </c>
      <c r="AP4" s="16">
        <f>62650-SUM(AM4:AO4)</f>
        <v>16429</v>
      </c>
      <c r="AQ4" s="12">
        <v>15452</v>
      </c>
      <c r="AR4" s="12">
        <v>17488</v>
      </c>
      <c r="AS4" s="12">
        <v>16128</v>
      </c>
      <c r="AT4" s="16">
        <f>65863-SUM(AQ4:AS4)</f>
        <v>16795</v>
      </c>
      <c r="AU4" s="12">
        <v>16302</v>
      </c>
      <c r="AV4" s="12">
        <v>19623</v>
      </c>
      <c r="AW4" s="12">
        <v>18505</v>
      </c>
      <c r="BP4" s="16">
        <f t="shared" ref="BP4:BP14" si="0">SUM(AK4:AN4)</f>
        <v>57642</v>
      </c>
      <c r="BQ4" s="16">
        <f t="shared" ref="BQ4:BQ14" si="1">SUM(AO4:AR4)</f>
        <v>64984</v>
      </c>
      <c r="BR4" s="16">
        <f t="shared" ref="BR4:BR14" si="2">SUM(AS4:AV4)</f>
        <v>68848</v>
      </c>
    </row>
    <row r="5" spans="1:71" x14ac:dyDescent="0.55000000000000004">
      <c r="B5" t="s">
        <v>2</v>
      </c>
      <c r="C5" s="12">
        <f t="shared" ref="C5:AW5" si="3">C3-C4</f>
        <v>11840</v>
      </c>
      <c r="D5" s="12">
        <f t="shared" si="3"/>
        <v>15764</v>
      </c>
      <c r="E5" s="12">
        <f t="shared" si="3"/>
        <v>15702</v>
      </c>
      <c r="F5" s="12">
        <f t="shared" si="3"/>
        <v>14294</v>
      </c>
      <c r="G5" s="12">
        <f t="shared" si="3"/>
        <v>13415</v>
      </c>
      <c r="H5" s="12">
        <f t="shared" si="3"/>
        <v>16235</v>
      </c>
      <c r="I5" s="12">
        <f t="shared" si="3"/>
        <v>14425</v>
      </c>
      <c r="J5" s="12">
        <f t="shared" si="3"/>
        <v>15680</v>
      </c>
      <c r="K5" s="12">
        <f t="shared" si="3"/>
        <v>14928</v>
      </c>
      <c r="L5" s="12">
        <f t="shared" si="3"/>
        <v>16334</v>
      </c>
      <c r="M5" s="12">
        <f t="shared" si="3"/>
        <v>14568</v>
      </c>
      <c r="N5" s="12">
        <f t="shared" si="3"/>
        <v>14712</v>
      </c>
      <c r="O5" s="12">
        <f t="shared" si="3"/>
        <v>13172</v>
      </c>
      <c r="P5" s="12">
        <f t="shared" si="3"/>
        <v>13924</v>
      </c>
      <c r="Q5" s="12">
        <f t="shared" si="3"/>
        <v>12809</v>
      </c>
      <c r="R5" s="12">
        <f t="shared" si="3"/>
        <v>12635</v>
      </c>
      <c r="S5" s="12">
        <f t="shared" si="3"/>
        <v>14084</v>
      </c>
      <c r="T5" s="12">
        <f t="shared" si="3"/>
        <v>15925</v>
      </c>
      <c r="U5" s="12">
        <f t="shared" si="3"/>
        <v>14030</v>
      </c>
      <c r="V5" s="12">
        <f t="shared" si="3"/>
        <v>11650</v>
      </c>
      <c r="W5" s="12">
        <f t="shared" si="3"/>
        <v>16260</v>
      </c>
      <c r="X5" s="12">
        <f t="shared" si="3"/>
        <v>17854</v>
      </c>
      <c r="Y5" s="12">
        <f t="shared" si="3"/>
        <v>17550</v>
      </c>
      <c r="Z5" s="12">
        <f t="shared" si="3"/>
        <v>20343</v>
      </c>
      <c r="AA5" s="12">
        <f t="shared" si="3"/>
        <v>19179</v>
      </c>
      <c r="AB5" s="12">
        <f t="shared" si="3"/>
        <v>20048</v>
      </c>
      <c r="AC5" s="12">
        <f t="shared" si="3"/>
        <v>20401</v>
      </c>
      <c r="AD5" s="12">
        <f t="shared" si="3"/>
        <v>23305</v>
      </c>
      <c r="AE5" s="12">
        <f t="shared" si="3"/>
        <v>22649</v>
      </c>
      <c r="AF5" s="12">
        <f t="shared" si="3"/>
        <v>24548</v>
      </c>
      <c r="AG5" s="12">
        <f t="shared" si="3"/>
        <v>24046</v>
      </c>
      <c r="AH5" s="12">
        <f t="shared" si="3"/>
        <v>25694</v>
      </c>
      <c r="AI5" s="12">
        <f t="shared" si="3"/>
        <v>26152</v>
      </c>
      <c r="AJ5" s="12">
        <f t="shared" si="3"/>
        <v>28882</v>
      </c>
      <c r="AK5" s="12">
        <f t="shared" si="3"/>
        <v>28661</v>
      </c>
      <c r="AL5" s="12">
        <f t="shared" si="3"/>
        <v>32161</v>
      </c>
      <c r="AM5" s="12">
        <f t="shared" si="3"/>
        <v>31671</v>
      </c>
      <c r="AN5" s="12">
        <f t="shared" si="3"/>
        <v>34768</v>
      </c>
      <c r="AO5" s="12">
        <f t="shared" si="3"/>
        <v>33745</v>
      </c>
      <c r="AP5" s="12">
        <f t="shared" si="3"/>
        <v>35436</v>
      </c>
      <c r="AQ5" s="12">
        <f t="shared" si="3"/>
        <v>34670</v>
      </c>
      <c r="AR5" s="12">
        <f t="shared" si="3"/>
        <v>35259</v>
      </c>
      <c r="AS5" s="12">
        <f t="shared" si="3"/>
        <v>36729</v>
      </c>
      <c r="AT5" s="12">
        <f t="shared" si="3"/>
        <v>39394</v>
      </c>
      <c r="AU5" s="12">
        <f t="shared" si="3"/>
        <v>40215</v>
      </c>
      <c r="AV5" s="12">
        <f t="shared" si="3"/>
        <v>42397</v>
      </c>
      <c r="AW5" s="12">
        <f t="shared" si="3"/>
        <v>43353</v>
      </c>
      <c r="BP5" s="16">
        <f t="shared" si="0"/>
        <v>127261</v>
      </c>
      <c r="BQ5" s="16">
        <f t="shared" si="1"/>
        <v>139110</v>
      </c>
      <c r="BR5" s="16">
        <f t="shared" si="2"/>
        <v>158735</v>
      </c>
    </row>
    <row r="6" spans="1:71" x14ac:dyDescent="0.55000000000000004">
      <c r="B6" t="s">
        <v>3</v>
      </c>
      <c r="C6" s="12">
        <v>2460</v>
      </c>
      <c r="D6" s="12">
        <v>2528</v>
      </c>
      <c r="E6" s="12">
        <v>2640</v>
      </c>
      <c r="F6" s="12">
        <f>10411-SUM(C6:E6)</f>
        <v>2783</v>
      </c>
      <c r="G6" s="12">
        <v>2767</v>
      </c>
      <c r="H6" s="12">
        <v>2748</v>
      </c>
      <c r="I6" s="12">
        <v>2743</v>
      </c>
      <c r="J6" s="12">
        <f>11381-SUM(G6:I6)</f>
        <v>3123</v>
      </c>
      <c r="K6" s="12">
        <v>3065</v>
      </c>
      <c r="L6" s="12">
        <v>2903</v>
      </c>
      <c r="M6" s="12">
        <v>2984</v>
      </c>
      <c r="N6" s="12">
        <f>12056-SUM(K6:M6)</f>
        <v>3104</v>
      </c>
      <c r="O6" s="12">
        <v>2962</v>
      </c>
      <c r="P6" s="12">
        <v>2900</v>
      </c>
      <c r="Q6" s="12">
        <v>2980</v>
      </c>
      <c r="R6" s="12">
        <f>11988-SUM(O6:Q6)</f>
        <v>3146</v>
      </c>
      <c r="S6" s="12">
        <v>3106</v>
      </c>
      <c r="T6" s="12">
        <v>3062</v>
      </c>
      <c r="U6" s="12">
        <v>3355</v>
      </c>
      <c r="V6" s="12">
        <f>13037-SUM(S6:U6)</f>
        <v>3514</v>
      </c>
      <c r="W6" s="12">
        <v>3574</v>
      </c>
      <c r="X6" s="12">
        <v>3504</v>
      </c>
      <c r="Y6" s="12">
        <v>3715</v>
      </c>
      <c r="Z6" s="16">
        <f>14726-SUM(W6:Y6)</f>
        <v>3933</v>
      </c>
      <c r="AA6" s="12">
        <v>3977</v>
      </c>
      <c r="AB6" s="12">
        <v>4070</v>
      </c>
      <c r="AC6" s="12">
        <v>4316</v>
      </c>
      <c r="AD6" s="16">
        <f>16876-SUM(AA6:AC6)</f>
        <v>4513</v>
      </c>
      <c r="AE6" s="12">
        <v>4565</v>
      </c>
      <c r="AF6" s="12">
        <v>4603</v>
      </c>
      <c r="AG6" s="12">
        <v>4887</v>
      </c>
      <c r="AH6" s="16">
        <f>19269-SUM(AE6:AG6)</f>
        <v>5214</v>
      </c>
      <c r="AI6" s="12">
        <v>4926</v>
      </c>
      <c r="AJ6" s="12">
        <v>4899</v>
      </c>
      <c r="AK6" s="12">
        <v>5204</v>
      </c>
      <c r="AL6" s="16">
        <f>20716-SUM(AI6:AK6)</f>
        <v>5687</v>
      </c>
      <c r="AM6" s="12">
        <v>5599</v>
      </c>
      <c r="AN6" s="12">
        <v>5758</v>
      </c>
      <c r="AO6" s="12">
        <v>6306</v>
      </c>
      <c r="AP6" s="16">
        <f>24512-SUM(AM6:AO6)</f>
        <v>6849</v>
      </c>
      <c r="AQ6" s="12">
        <v>6628</v>
      </c>
      <c r="AR6" s="12">
        <v>6844</v>
      </c>
      <c r="AS6" s="12">
        <v>6984</v>
      </c>
      <c r="AT6" s="16">
        <f>27195-SUM(AQ6:AS6)</f>
        <v>6739</v>
      </c>
      <c r="AU6" s="12">
        <v>6659</v>
      </c>
      <c r="AV6" s="12">
        <v>7142</v>
      </c>
      <c r="AW6" s="12">
        <v>7653</v>
      </c>
      <c r="BP6" s="16">
        <f t="shared" si="0"/>
        <v>22248</v>
      </c>
      <c r="BQ6" s="16">
        <f t="shared" si="1"/>
        <v>26627</v>
      </c>
      <c r="BR6" s="16">
        <f t="shared" si="2"/>
        <v>27524</v>
      </c>
    </row>
    <row r="7" spans="1:71" x14ac:dyDescent="0.55000000000000004">
      <c r="B7" t="s">
        <v>52</v>
      </c>
      <c r="C7" s="12">
        <v>2945</v>
      </c>
      <c r="D7" s="12">
        <v>4309</v>
      </c>
      <c r="E7" s="12">
        <v>1656</v>
      </c>
      <c r="F7" s="12">
        <f>15276-SUM(C7:E7)</f>
        <v>6366</v>
      </c>
      <c r="G7" s="12">
        <v>3304</v>
      </c>
      <c r="H7" s="12">
        <v>4283</v>
      </c>
      <c r="I7" s="12">
        <v>3542</v>
      </c>
      <c r="J7" s="12">
        <f>15811-SUM(G7:I7)</f>
        <v>4682</v>
      </c>
      <c r="K7" s="12">
        <v>3728</v>
      </c>
      <c r="L7" s="12">
        <v>4315</v>
      </c>
      <c r="M7" s="12">
        <v>3709</v>
      </c>
      <c r="N7" s="12">
        <f>15713-SUM(K7:M7)</f>
        <v>3961</v>
      </c>
      <c r="O7" s="12">
        <v>3333</v>
      </c>
      <c r="P7" s="12">
        <v>3960</v>
      </c>
      <c r="Q7" s="12">
        <v>3406</v>
      </c>
      <c r="R7" s="12">
        <f>14697-SUM(O7:Q7)</f>
        <v>3998</v>
      </c>
      <c r="S7" s="12">
        <v>3218</v>
      </c>
      <c r="T7" s="12">
        <v>4079</v>
      </c>
      <c r="U7" s="12">
        <v>3879</v>
      </c>
      <c r="V7" s="12">
        <f>15539-SUM(S7:U7)</f>
        <v>4363</v>
      </c>
      <c r="W7" s="12">
        <v>3812</v>
      </c>
      <c r="X7" s="12">
        <v>4562</v>
      </c>
      <c r="Y7" s="12">
        <v>4335</v>
      </c>
      <c r="Z7" s="16">
        <f>17469-SUM(W7:Y7)</f>
        <v>4760</v>
      </c>
      <c r="AA7" s="12">
        <v>4098</v>
      </c>
      <c r="AB7" s="12">
        <v>4588</v>
      </c>
      <c r="AC7" s="12">
        <v>4565</v>
      </c>
      <c r="AD7" s="16">
        <f>18213-SUM(AA7:AC7)</f>
        <v>4962</v>
      </c>
      <c r="AE7" s="12">
        <v>4337</v>
      </c>
      <c r="AF7" s="12">
        <v>4933</v>
      </c>
      <c r="AG7" s="12">
        <v>4911</v>
      </c>
      <c r="AH7" s="16">
        <f>19598-SUM(AE7:AG7)</f>
        <v>5417</v>
      </c>
      <c r="AI7" s="12">
        <v>4231</v>
      </c>
      <c r="AJ7" s="12">
        <v>4947</v>
      </c>
      <c r="AK7" s="12">
        <v>5082</v>
      </c>
      <c r="AL7" s="16">
        <f>20117-SUM(AI7:AK7)</f>
        <v>5857</v>
      </c>
      <c r="AM7" s="12">
        <v>4547</v>
      </c>
      <c r="AN7" s="12">
        <v>5379</v>
      </c>
      <c r="AO7" s="12">
        <v>5595</v>
      </c>
      <c r="AP7" s="16">
        <f>21825-SUM(AM7:AO7)</f>
        <v>6304</v>
      </c>
      <c r="AQ7" s="12">
        <v>5126</v>
      </c>
      <c r="AR7" s="12">
        <v>5679</v>
      </c>
      <c r="AS7" s="12">
        <v>5750</v>
      </c>
      <c r="AT7" s="16">
        <f>22759-SUM(AQ7:AS7)</f>
        <v>6204</v>
      </c>
      <c r="AU7" s="12">
        <v>5187</v>
      </c>
      <c r="AV7" s="12">
        <v>6246</v>
      </c>
      <c r="AW7" s="12">
        <v>6207</v>
      </c>
      <c r="BP7" s="16">
        <f t="shared" si="0"/>
        <v>20865</v>
      </c>
      <c r="BQ7" s="16">
        <f t="shared" si="1"/>
        <v>22704</v>
      </c>
      <c r="BR7" s="16">
        <f t="shared" si="2"/>
        <v>23387</v>
      </c>
    </row>
    <row r="8" spans="1:71" x14ac:dyDescent="0.55000000000000004">
      <c r="B8" t="s">
        <v>4</v>
      </c>
      <c r="C8" s="12">
        <v>1127</v>
      </c>
      <c r="D8" s="12">
        <v>1156</v>
      </c>
      <c r="E8" s="12">
        <v>3794</v>
      </c>
      <c r="F8" s="12">
        <f>5149-SUM(C8:E8)</f>
        <v>-928</v>
      </c>
      <c r="G8" s="12">
        <v>1010</v>
      </c>
      <c r="H8" s="12">
        <v>1235</v>
      </c>
      <c r="I8" s="12">
        <v>1166</v>
      </c>
      <c r="J8" s="12">
        <f>4677-SUM(G8:I8)</f>
        <v>1266</v>
      </c>
      <c r="K8" s="12">
        <v>1151</v>
      </c>
      <c r="L8" s="12">
        <v>1097</v>
      </c>
      <c r="M8" s="12">
        <f>1091+190</f>
        <v>1281</v>
      </c>
      <c r="N8" s="12">
        <f>4611-SUM(K8:M8)</f>
        <v>1082</v>
      </c>
      <c r="O8" s="12">
        <v>1084</v>
      </c>
      <c r="P8" s="12">
        <v>1038</v>
      </c>
      <c r="Q8" s="12">
        <v>1140</v>
      </c>
      <c r="R8" s="12">
        <f>4563-SUM(O8:Q8)</f>
        <v>1301</v>
      </c>
      <c r="S8" s="12">
        <v>1045</v>
      </c>
      <c r="T8" s="12">
        <v>879</v>
      </c>
      <c r="U8" s="12">
        <v>1202</v>
      </c>
      <c r="V8" s="12">
        <f>4481-SUM(S8:U8)</f>
        <v>1355</v>
      </c>
      <c r="W8" s="12">
        <v>1166</v>
      </c>
      <c r="X8" s="12">
        <v>1109</v>
      </c>
      <c r="Y8" s="12">
        <v>1208</v>
      </c>
      <c r="Z8" s="16">
        <f>4754-SUM(W8:Y8)</f>
        <v>1271</v>
      </c>
      <c r="AA8" s="12">
        <v>1149</v>
      </c>
      <c r="AB8" s="12">
        <v>1132</v>
      </c>
      <c r="AC8" s="12">
        <v>1179</v>
      </c>
      <c r="AD8" s="16">
        <f>4885-SUM(AA8:AC8)</f>
        <v>1425</v>
      </c>
      <c r="AE8" s="12">
        <v>1061</v>
      </c>
      <c r="AF8" s="12">
        <v>1121</v>
      </c>
      <c r="AG8" s="12">
        <v>1273</v>
      </c>
      <c r="AH8" s="16">
        <f>5111-SUM(AE8:AG8)</f>
        <v>1656</v>
      </c>
      <c r="AI8" s="12">
        <v>1119</v>
      </c>
      <c r="AJ8" s="12">
        <v>1139</v>
      </c>
      <c r="AK8" s="12">
        <v>1327</v>
      </c>
      <c r="AL8" s="16">
        <f>5107-SUM(AI8:AK8)</f>
        <v>1522</v>
      </c>
      <c r="AM8" s="12">
        <v>1287</v>
      </c>
      <c r="AN8" s="12">
        <v>1384</v>
      </c>
      <c r="AO8" s="12">
        <v>1480</v>
      </c>
      <c r="AP8" s="16">
        <f>5900-SUM(AM8:AO8)</f>
        <v>1749</v>
      </c>
      <c r="AQ8" s="12">
        <v>1398</v>
      </c>
      <c r="AR8" s="12">
        <v>2337</v>
      </c>
      <c r="AS8" s="12">
        <v>1643</v>
      </c>
      <c r="AT8" s="16">
        <f>7575-SUM(AQ8:AS8)</f>
        <v>2197</v>
      </c>
      <c r="AU8" s="12">
        <v>1474</v>
      </c>
      <c r="AV8" s="12">
        <v>1977</v>
      </c>
      <c r="AW8" s="12">
        <v>1912</v>
      </c>
      <c r="BP8" s="16">
        <f t="shared" si="0"/>
        <v>5520</v>
      </c>
      <c r="BQ8" s="16">
        <f t="shared" si="1"/>
        <v>6964</v>
      </c>
      <c r="BR8" s="16">
        <f t="shared" si="2"/>
        <v>7291</v>
      </c>
    </row>
    <row r="9" spans="1:71" x14ac:dyDescent="0.55000000000000004">
      <c r="B9" t="s">
        <v>5</v>
      </c>
      <c r="C9" s="12">
        <f t="shared" ref="C9:I9" si="4">SUM(C6:C8)</f>
        <v>6532</v>
      </c>
      <c r="D9" s="12">
        <f t="shared" si="4"/>
        <v>7993</v>
      </c>
      <c r="E9" s="12">
        <f t="shared" si="4"/>
        <v>8090</v>
      </c>
      <c r="F9" s="12">
        <f t="shared" si="4"/>
        <v>8221</v>
      </c>
      <c r="G9" s="12">
        <f t="shared" si="4"/>
        <v>7081</v>
      </c>
      <c r="H9" s="12">
        <f t="shared" si="4"/>
        <v>8266</v>
      </c>
      <c r="I9" s="12">
        <f t="shared" si="4"/>
        <v>7451</v>
      </c>
      <c r="J9" s="12">
        <f>SUM(J6:J8)+127</f>
        <v>9198</v>
      </c>
      <c r="K9" s="12">
        <f>SUM(K6:K8)+1140</f>
        <v>9084</v>
      </c>
      <c r="L9" s="12">
        <f>SUM(L6:L8)+243</f>
        <v>8558</v>
      </c>
      <c r="M9" s="12">
        <f>SUM(M6:M8)</f>
        <v>7974</v>
      </c>
      <c r="N9" s="12">
        <f>SUM(N6:N8)</f>
        <v>8147</v>
      </c>
      <c r="O9" s="12">
        <f>SUM(O6:O8)</f>
        <v>7379</v>
      </c>
      <c r="P9" s="12">
        <f>SUM(P6:P8)</f>
        <v>7898</v>
      </c>
      <c r="Q9" s="12">
        <f>SUM(Q6:Q8)</f>
        <v>7526</v>
      </c>
      <c r="R9" s="12">
        <f>SUM(R6:R8)+1110</f>
        <v>9555</v>
      </c>
      <c r="S9" s="12">
        <f>SUM(S6:S8)</f>
        <v>7369</v>
      </c>
      <c r="T9" s="12">
        <f>SUM(T6:T8)</f>
        <v>8020</v>
      </c>
      <c r="U9" s="12">
        <f>SUM(U6:U8)</f>
        <v>8436</v>
      </c>
      <c r="V9" s="12">
        <f>SUM(V6:V8)+306</f>
        <v>9538</v>
      </c>
      <c r="W9" s="12">
        <f t="shared" ref="W9:AW9" si="5">SUM(W6:W8)</f>
        <v>8552</v>
      </c>
      <c r="X9" s="12">
        <f t="shared" si="5"/>
        <v>9175</v>
      </c>
      <c r="Y9" s="12">
        <f t="shared" si="5"/>
        <v>9258</v>
      </c>
      <c r="Z9" s="12">
        <f t="shared" si="5"/>
        <v>9964</v>
      </c>
      <c r="AA9" s="12">
        <f t="shared" si="5"/>
        <v>9224</v>
      </c>
      <c r="AB9" s="12">
        <f t="shared" si="5"/>
        <v>9790</v>
      </c>
      <c r="AC9" s="12">
        <f t="shared" si="5"/>
        <v>10060</v>
      </c>
      <c r="AD9" s="12">
        <f t="shared" si="5"/>
        <v>10900</v>
      </c>
      <c r="AE9" s="12">
        <f t="shared" si="5"/>
        <v>9963</v>
      </c>
      <c r="AF9" s="12">
        <f t="shared" si="5"/>
        <v>10657</v>
      </c>
      <c r="AG9" s="12">
        <f t="shared" si="5"/>
        <v>11071</v>
      </c>
      <c r="AH9" s="12">
        <f t="shared" si="5"/>
        <v>12287</v>
      </c>
      <c r="AI9" s="12">
        <f t="shared" si="5"/>
        <v>10276</v>
      </c>
      <c r="AJ9" s="12">
        <f t="shared" si="5"/>
        <v>10985</v>
      </c>
      <c r="AK9" s="12">
        <f t="shared" si="5"/>
        <v>11613</v>
      </c>
      <c r="AL9" s="12">
        <f t="shared" si="5"/>
        <v>13066</v>
      </c>
      <c r="AM9" s="12">
        <f t="shared" si="5"/>
        <v>11433</v>
      </c>
      <c r="AN9" s="12">
        <f t="shared" si="5"/>
        <v>12521</v>
      </c>
      <c r="AO9" s="12">
        <f t="shared" si="5"/>
        <v>13381</v>
      </c>
      <c r="AP9" s="12">
        <f t="shared" si="5"/>
        <v>14902</v>
      </c>
      <c r="AQ9" s="12">
        <f t="shared" si="5"/>
        <v>13152</v>
      </c>
      <c r="AR9" s="12">
        <f t="shared" si="5"/>
        <v>14860</v>
      </c>
      <c r="AS9" s="12">
        <f t="shared" si="5"/>
        <v>14377</v>
      </c>
      <c r="AT9" s="12">
        <f t="shared" si="5"/>
        <v>15140</v>
      </c>
      <c r="AU9" s="12">
        <f t="shared" si="5"/>
        <v>13320</v>
      </c>
      <c r="AV9" s="12">
        <f t="shared" si="5"/>
        <v>15365</v>
      </c>
      <c r="AW9" s="12">
        <f t="shared" si="5"/>
        <v>15772</v>
      </c>
      <c r="BP9" s="16">
        <f t="shared" si="0"/>
        <v>48633</v>
      </c>
      <c r="BQ9" s="16">
        <f t="shared" si="1"/>
        <v>56295</v>
      </c>
      <c r="BR9" s="16">
        <f t="shared" si="2"/>
        <v>58202</v>
      </c>
    </row>
    <row r="10" spans="1:71" x14ac:dyDescent="0.55000000000000004">
      <c r="B10" t="s">
        <v>6</v>
      </c>
      <c r="C10" s="12">
        <f t="shared" ref="C10:AW10" si="6">C5-C9</f>
        <v>5308</v>
      </c>
      <c r="D10" s="12">
        <f t="shared" si="6"/>
        <v>7771</v>
      </c>
      <c r="E10" s="12">
        <f t="shared" si="6"/>
        <v>7612</v>
      </c>
      <c r="F10" s="12">
        <f t="shared" si="6"/>
        <v>6073</v>
      </c>
      <c r="G10" s="12">
        <f t="shared" si="6"/>
        <v>6334</v>
      </c>
      <c r="H10" s="12">
        <f t="shared" si="6"/>
        <v>7969</v>
      </c>
      <c r="I10" s="12">
        <f t="shared" si="6"/>
        <v>6974</v>
      </c>
      <c r="J10" s="12">
        <f t="shared" si="6"/>
        <v>6482</v>
      </c>
      <c r="K10" s="12">
        <f t="shared" si="6"/>
        <v>5844</v>
      </c>
      <c r="L10" s="12">
        <f t="shared" si="6"/>
        <v>7776</v>
      </c>
      <c r="M10" s="12">
        <f t="shared" si="6"/>
        <v>6594</v>
      </c>
      <c r="N10" s="12">
        <f t="shared" si="6"/>
        <v>6565</v>
      </c>
      <c r="O10" s="12">
        <f t="shared" si="6"/>
        <v>5793</v>
      </c>
      <c r="P10" s="12">
        <f t="shared" si="6"/>
        <v>6026</v>
      </c>
      <c r="Q10" s="12">
        <f t="shared" si="6"/>
        <v>5283</v>
      </c>
      <c r="R10" s="12">
        <f t="shared" si="6"/>
        <v>3080</v>
      </c>
      <c r="S10" s="12">
        <f t="shared" si="6"/>
        <v>6715</v>
      </c>
      <c r="T10" s="12">
        <f t="shared" si="6"/>
        <v>7905</v>
      </c>
      <c r="U10" s="12">
        <f t="shared" si="6"/>
        <v>5594</v>
      </c>
      <c r="V10" s="12">
        <f t="shared" si="6"/>
        <v>2112</v>
      </c>
      <c r="W10" s="12">
        <f t="shared" si="6"/>
        <v>7708</v>
      </c>
      <c r="X10" s="12">
        <f t="shared" si="6"/>
        <v>8679</v>
      </c>
      <c r="Y10" s="12">
        <f t="shared" si="6"/>
        <v>8292</v>
      </c>
      <c r="Z10" s="12">
        <f t="shared" si="6"/>
        <v>10379</v>
      </c>
      <c r="AA10" s="12">
        <f t="shared" si="6"/>
        <v>9955</v>
      </c>
      <c r="AB10" s="12">
        <f t="shared" si="6"/>
        <v>10258</v>
      </c>
      <c r="AC10" s="12">
        <f t="shared" si="6"/>
        <v>10341</v>
      </c>
      <c r="AD10" s="12">
        <f t="shared" si="6"/>
        <v>12405</v>
      </c>
      <c r="AE10" s="12">
        <f t="shared" si="6"/>
        <v>12686</v>
      </c>
      <c r="AF10" s="12">
        <f t="shared" si="6"/>
        <v>13891</v>
      </c>
      <c r="AG10" s="12">
        <f t="shared" si="6"/>
        <v>12975</v>
      </c>
      <c r="AH10" s="12">
        <f t="shared" si="6"/>
        <v>13407</v>
      </c>
      <c r="AI10" s="12">
        <f t="shared" si="6"/>
        <v>15876</v>
      </c>
      <c r="AJ10" s="12">
        <f t="shared" si="6"/>
        <v>17897</v>
      </c>
      <c r="AK10" s="12">
        <f t="shared" si="6"/>
        <v>17048</v>
      </c>
      <c r="AL10" s="12">
        <f t="shared" si="6"/>
        <v>19095</v>
      </c>
      <c r="AM10" s="12">
        <f t="shared" si="6"/>
        <v>20238</v>
      </c>
      <c r="AN10" s="12">
        <f t="shared" si="6"/>
        <v>22247</v>
      </c>
      <c r="AO10" s="12">
        <f t="shared" si="6"/>
        <v>20364</v>
      </c>
      <c r="AP10" s="12">
        <f t="shared" si="6"/>
        <v>20534</v>
      </c>
      <c r="AQ10" s="12">
        <f t="shared" si="6"/>
        <v>21518</v>
      </c>
      <c r="AR10" s="12">
        <f t="shared" si="6"/>
        <v>20399</v>
      </c>
      <c r="AS10" s="12">
        <f t="shared" si="6"/>
        <v>22352</v>
      </c>
      <c r="AT10" s="12">
        <f t="shared" si="6"/>
        <v>24254</v>
      </c>
      <c r="AU10" s="12">
        <f t="shared" si="6"/>
        <v>26895</v>
      </c>
      <c r="AV10" s="12">
        <f t="shared" si="6"/>
        <v>27032</v>
      </c>
      <c r="AW10" s="12">
        <f t="shared" si="6"/>
        <v>27581</v>
      </c>
      <c r="BP10" s="16">
        <f t="shared" si="0"/>
        <v>78628</v>
      </c>
      <c r="BQ10" s="16">
        <f t="shared" si="1"/>
        <v>82815</v>
      </c>
      <c r="BR10" s="16">
        <f t="shared" si="2"/>
        <v>100533</v>
      </c>
    </row>
    <row r="11" spans="1:71" x14ac:dyDescent="0.55000000000000004">
      <c r="B11" t="s">
        <v>39</v>
      </c>
      <c r="C11" s="12">
        <v>226</v>
      </c>
      <c r="D11" s="12">
        <v>-1</v>
      </c>
      <c r="E11" s="12">
        <v>-9</v>
      </c>
      <c r="F11" s="12">
        <f>288-SUM(C11:E11)</f>
        <v>72</v>
      </c>
      <c r="G11" s="12">
        <v>74</v>
      </c>
      <c r="H11" s="12">
        <f>91</f>
        <v>91</v>
      </c>
      <c r="I11" s="12">
        <v>-17</v>
      </c>
      <c r="J11" s="12">
        <f>61-SUM(G11:I11)</f>
        <v>-87</v>
      </c>
      <c r="K11" s="12">
        <v>52</v>
      </c>
      <c r="L11" s="12">
        <v>74</v>
      </c>
      <c r="M11" s="12">
        <v>-77</v>
      </c>
      <c r="N11" s="12">
        <f>346-SUM(K11:M11)</f>
        <v>297</v>
      </c>
      <c r="O11" s="12">
        <v>-280</v>
      </c>
      <c r="P11" s="12">
        <v>-171</v>
      </c>
      <c r="Q11" s="12">
        <v>-247</v>
      </c>
      <c r="R11" s="12">
        <f>-431-SUM(O11:Q11)</f>
        <v>267</v>
      </c>
      <c r="S11" s="12">
        <v>112</v>
      </c>
      <c r="T11" s="12">
        <v>117</v>
      </c>
      <c r="U11" s="12">
        <v>322</v>
      </c>
      <c r="V11" s="12">
        <f>823-SUM(S11:U11)</f>
        <v>272</v>
      </c>
      <c r="W11" s="12">
        <v>276</v>
      </c>
      <c r="X11" s="12">
        <v>490</v>
      </c>
      <c r="Y11" s="12">
        <v>349</v>
      </c>
      <c r="Z11" s="16">
        <f>1416-SUM(W11:Y11)</f>
        <v>301</v>
      </c>
      <c r="AA11" s="12">
        <v>266</v>
      </c>
      <c r="AB11" s="12">
        <v>127</v>
      </c>
      <c r="AC11" s="12">
        <v>145</v>
      </c>
      <c r="AD11" s="16">
        <f>729-SUM(AA11:AC11)</f>
        <v>191</v>
      </c>
      <c r="AE11" s="12">
        <v>0</v>
      </c>
      <c r="AF11" s="12">
        <v>194</v>
      </c>
      <c r="AG11" s="12">
        <v>-132</v>
      </c>
      <c r="AH11" s="16">
        <f>77-SUM(AE11:AG11)</f>
        <v>15</v>
      </c>
      <c r="AI11" s="12">
        <v>248</v>
      </c>
      <c r="AJ11" s="12">
        <v>440</v>
      </c>
      <c r="AK11" s="12">
        <v>188</v>
      </c>
      <c r="AL11" s="16">
        <f>1186-SUM(AI11:AK11)</f>
        <v>310</v>
      </c>
      <c r="AM11" s="12">
        <v>286</v>
      </c>
      <c r="AN11" s="12">
        <v>268</v>
      </c>
      <c r="AO11" s="12">
        <v>-174</v>
      </c>
      <c r="AP11" s="16">
        <f>333-SUM(AM11:AO11)</f>
        <v>-47</v>
      </c>
      <c r="AQ11" s="12">
        <v>54</v>
      </c>
      <c r="AR11" s="12">
        <v>-60</v>
      </c>
      <c r="AS11" s="12">
        <v>321</v>
      </c>
      <c r="AT11" s="16">
        <f>788-SUM(AQ11:AS11)</f>
        <v>473</v>
      </c>
      <c r="AU11" s="12">
        <v>389</v>
      </c>
      <c r="AV11" s="12">
        <v>-506</v>
      </c>
      <c r="AW11" s="12">
        <v>-854</v>
      </c>
      <c r="BP11" s="16">
        <f t="shared" si="0"/>
        <v>1052</v>
      </c>
      <c r="BQ11" s="16">
        <f t="shared" si="1"/>
        <v>-227</v>
      </c>
      <c r="BR11" s="16">
        <f t="shared" si="2"/>
        <v>677</v>
      </c>
    </row>
    <row r="12" spans="1:71" x14ac:dyDescent="0.55000000000000004">
      <c r="B12" t="s">
        <v>7</v>
      </c>
      <c r="C12" s="12">
        <f t="shared" ref="C12:AW12" si="7">SUM(C10:C11)</f>
        <v>5534</v>
      </c>
      <c r="D12" s="12">
        <f t="shared" si="7"/>
        <v>7770</v>
      </c>
      <c r="E12" s="12">
        <f t="shared" si="7"/>
        <v>7603</v>
      </c>
      <c r="F12" s="12">
        <f t="shared" si="7"/>
        <v>6145</v>
      </c>
      <c r="G12" s="12">
        <f t="shared" si="7"/>
        <v>6408</v>
      </c>
      <c r="H12" s="12">
        <f t="shared" si="7"/>
        <v>8060</v>
      </c>
      <c r="I12" s="12">
        <f t="shared" si="7"/>
        <v>6957</v>
      </c>
      <c r="J12" s="12">
        <f t="shared" si="7"/>
        <v>6395</v>
      </c>
      <c r="K12" s="12">
        <f t="shared" si="7"/>
        <v>5896</v>
      </c>
      <c r="L12" s="12">
        <f t="shared" si="7"/>
        <v>7850</v>
      </c>
      <c r="M12" s="12">
        <f t="shared" si="7"/>
        <v>6517</v>
      </c>
      <c r="N12" s="12">
        <f t="shared" si="7"/>
        <v>6862</v>
      </c>
      <c r="O12" s="12">
        <f t="shared" si="7"/>
        <v>5513</v>
      </c>
      <c r="P12" s="12">
        <f t="shared" si="7"/>
        <v>5855</v>
      </c>
      <c r="Q12" s="12">
        <f t="shared" si="7"/>
        <v>5036</v>
      </c>
      <c r="R12" s="12">
        <f t="shared" si="7"/>
        <v>3347</v>
      </c>
      <c r="S12" s="12">
        <f t="shared" si="7"/>
        <v>6827</v>
      </c>
      <c r="T12" s="12">
        <f t="shared" si="7"/>
        <v>8022</v>
      </c>
      <c r="U12" s="12">
        <f t="shared" si="7"/>
        <v>5916</v>
      </c>
      <c r="V12" s="12">
        <f t="shared" si="7"/>
        <v>2384</v>
      </c>
      <c r="W12" s="12">
        <f t="shared" si="7"/>
        <v>7984</v>
      </c>
      <c r="X12" s="12">
        <f t="shared" si="7"/>
        <v>9169</v>
      </c>
      <c r="Y12" s="12">
        <f t="shared" si="7"/>
        <v>8641</v>
      </c>
      <c r="Z12" s="12">
        <f t="shared" si="7"/>
        <v>10680</v>
      </c>
      <c r="AA12" s="12">
        <f t="shared" si="7"/>
        <v>10221</v>
      </c>
      <c r="AB12" s="12">
        <f t="shared" si="7"/>
        <v>10385</v>
      </c>
      <c r="AC12" s="12">
        <f t="shared" si="7"/>
        <v>10486</v>
      </c>
      <c r="AD12" s="12">
        <f t="shared" si="7"/>
        <v>12596</v>
      </c>
      <c r="AE12" s="12">
        <f t="shared" si="7"/>
        <v>12686</v>
      </c>
      <c r="AF12" s="12">
        <f t="shared" si="7"/>
        <v>14085</v>
      </c>
      <c r="AG12" s="12">
        <f t="shared" si="7"/>
        <v>12843</v>
      </c>
      <c r="AH12" s="12">
        <f t="shared" si="7"/>
        <v>13422</v>
      </c>
      <c r="AI12" s="12">
        <f t="shared" si="7"/>
        <v>16124</v>
      </c>
      <c r="AJ12" s="12">
        <f t="shared" si="7"/>
        <v>18337</v>
      </c>
      <c r="AK12" s="12">
        <f t="shared" si="7"/>
        <v>17236</v>
      </c>
      <c r="AL12" s="12">
        <f t="shared" si="7"/>
        <v>19405</v>
      </c>
      <c r="AM12" s="12">
        <f t="shared" si="7"/>
        <v>20524</v>
      </c>
      <c r="AN12" s="12">
        <f t="shared" si="7"/>
        <v>22515</v>
      </c>
      <c r="AO12" s="12">
        <f t="shared" si="7"/>
        <v>20190</v>
      </c>
      <c r="AP12" s="12">
        <f t="shared" si="7"/>
        <v>20487</v>
      </c>
      <c r="AQ12" s="12">
        <f t="shared" si="7"/>
        <v>21572</v>
      </c>
      <c r="AR12" s="12">
        <f t="shared" si="7"/>
        <v>20339</v>
      </c>
      <c r="AS12" s="12">
        <f t="shared" si="7"/>
        <v>22673</v>
      </c>
      <c r="AT12" s="12">
        <f t="shared" si="7"/>
        <v>24727</v>
      </c>
      <c r="AU12" s="12">
        <f t="shared" si="7"/>
        <v>27284</v>
      </c>
      <c r="AV12" s="12">
        <f t="shared" si="7"/>
        <v>26526</v>
      </c>
      <c r="AW12" s="12">
        <f t="shared" si="7"/>
        <v>26727</v>
      </c>
      <c r="BP12" s="16">
        <f t="shared" si="0"/>
        <v>79680</v>
      </c>
      <c r="BQ12" s="16">
        <f t="shared" si="1"/>
        <v>82588</v>
      </c>
      <c r="BR12" s="16">
        <f t="shared" si="2"/>
        <v>101210</v>
      </c>
    </row>
    <row r="13" spans="1:71" x14ac:dyDescent="0.55000000000000004">
      <c r="B13" t="s">
        <v>8</v>
      </c>
      <c r="C13" s="12">
        <v>1068</v>
      </c>
      <c r="D13" s="12">
        <v>1393</v>
      </c>
      <c r="E13" s="12">
        <v>1548</v>
      </c>
      <c r="F13" s="12">
        <f>5189-SUM(C13:E13)</f>
        <v>1180</v>
      </c>
      <c r="G13" s="12">
        <v>1164</v>
      </c>
      <c r="H13" s="12">
        <v>1320</v>
      </c>
      <c r="I13" s="12">
        <v>1297</v>
      </c>
      <c r="J13" s="12">
        <f>5746-SUM(G13:I13)</f>
        <v>1965</v>
      </c>
      <c r="K13" s="12">
        <v>1356</v>
      </c>
      <c r="L13" s="12">
        <v>1987</v>
      </c>
      <c r="M13" s="12">
        <v>1532</v>
      </c>
      <c r="N13" s="12">
        <f>6314-SUM(K13:M13)</f>
        <v>1439</v>
      </c>
      <c r="O13" s="12">
        <v>893</v>
      </c>
      <c r="P13" s="12">
        <v>857</v>
      </c>
      <c r="Q13" s="12">
        <v>1280</v>
      </c>
      <c r="R13" s="12">
        <f>2953-SUM(O13:Q13)</f>
        <v>-77</v>
      </c>
      <c r="S13" s="12">
        <v>1160</v>
      </c>
      <c r="T13" s="12">
        <v>1755</v>
      </c>
      <c r="U13" s="12">
        <v>1115</v>
      </c>
      <c r="V13" s="12">
        <f>1945-SUM(S13:U13)</f>
        <v>-2085</v>
      </c>
      <c r="W13" s="12">
        <v>1408</v>
      </c>
      <c r="X13" s="12">
        <v>15471</v>
      </c>
      <c r="Y13" s="12">
        <v>1217</v>
      </c>
      <c r="Z13" s="16">
        <f>19903-SUM(W13:Y13)</f>
        <v>1807</v>
      </c>
      <c r="AA13" s="12">
        <v>1397</v>
      </c>
      <c r="AB13" s="12">
        <v>1965</v>
      </c>
      <c r="AC13" s="12">
        <v>1677</v>
      </c>
      <c r="AD13" s="16">
        <f>4448-SUM(AA13:AC13)</f>
        <v>-591</v>
      </c>
      <c r="AE13" s="12">
        <v>2008</v>
      </c>
      <c r="AF13" s="12">
        <v>2436</v>
      </c>
      <c r="AG13" s="12">
        <v>2091</v>
      </c>
      <c r="AH13" s="16">
        <f>8755-SUM(AE13:AG13)</f>
        <v>2220</v>
      </c>
      <c r="AI13" s="12">
        <v>2231</v>
      </c>
      <c r="AJ13" s="12">
        <v>2874</v>
      </c>
      <c r="AK13" s="12">
        <v>1779</v>
      </c>
      <c r="AL13" s="16">
        <f>9831-SUM(AI13:AK13)</f>
        <v>2947</v>
      </c>
      <c r="AM13" s="12">
        <v>19</v>
      </c>
      <c r="AN13" s="12">
        <v>3750</v>
      </c>
      <c r="AO13" s="12">
        <v>3462</v>
      </c>
      <c r="AP13" s="16">
        <f>10978-SUM(AM13:AO13)</f>
        <v>3747</v>
      </c>
      <c r="AQ13" s="12">
        <v>4016</v>
      </c>
      <c r="AR13" s="12">
        <v>3914</v>
      </c>
      <c r="AS13" s="12">
        <v>4374</v>
      </c>
      <c r="AT13" s="16">
        <f>16950-SUM(AQ13:AS13)</f>
        <v>4646</v>
      </c>
      <c r="AU13" s="12">
        <v>4993</v>
      </c>
      <c r="AV13" s="12">
        <v>4656</v>
      </c>
      <c r="AW13" s="12">
        <v>4788</v>
      </c>
      <c r="BP13" s="16">
        <f t="shared" si="0"/>
        <v>8495</v>
      </c>
      <c r="BQ13" s="16">
        <f t="shared" si="1"/>
        <v>15139</v>
      </c>
      <c r="BR13" s="16">
        <f t="shared" si="2"/>
        <v>18669</v>
      </c>
    </row>
    <row r="14" spans="1:71" s="13" customFormat="1" x14ac:dyDescent="0.55000000000000004">
      <c r="A14" t="s">
        <v>43</v>
      </c>
      <c r="B14" t="s">
        <v>9</v>
      </c>
      <c r="C14" s="13">
        <f t="shared" ref="C14:AW14" si="8">C12-C13</f>
        <v>4466</v>
      </c>
      <c r="D14" s="13">
        <f t="shared" si="8"/>
        <v>6377</v>
      </c>
      <c r="E14" s="13">
        <f t="shared" si="8"/>
        <v>6055</v>
      </c>
      <c r="F14" s="13">
        <f t="shared" si="8"/>
        <v>4965</v>
      </c>
      <c r="G14" s="13">
        <f t="shared" si="8"/>
        <v>5244</v>
      </c>
      <c r="H14" s="13">
        <f t="shared" si="8"/>
        <v>6740</v>
      </c>
      <c r="I14" s="13">
        <f t="shared" si="8"/>
        <v>5660</v>
      </c>
      <c r="J14" s="13">
        <f t="shared" si="8"/>
        <v>4430</v>
      </c>
      <c r="K14" s="13">
        <f t="shared" si="8"/>
        <v>4540</v>
      </c>
      <c r="L14" s="13">
        <f t="shared" si="8"/>
        <v>5863</v>
      </c>
      <c r="M14" s="13">
        <f t="shared" si="8"/>
        <v>4985</v>
      </c>
      <c r="N14" s="13">
        <f t="shared" si="8"/>
        <v>5423</v>
      </c>
      <c r="O14" s="13">
        <f t="shared" si="8"/>
        <v>4620</v>
      </c>
      <c r="P14" s="13">
        <f t="shared" si="8"/>
        <v>4998</v>
      </c>
      <c r="Q14" s="13">
        <f t="shared" si="8"/>
        <v>3756</v>
      </c>
      <c r="R14" s="13">
        <f t="shared" si="8"/>
        <v>3424</v>
      </c>
      <c r="S14" s="13">
        <f t="shared" si="8"/>
        <v>5667</v>
      </c>
      <c r="T14" s="13">
        <f t="shared" si="8"/>
        <v>6267</v>
      </c>
      <c r="U14" s="13">
        <f t="shared" si="8"/>
        <v>4801</v>
      </c>
      <c r="V14" s="13">
        <f t="shared" si="8"/>
        <v>4469</v>
      </c>
      <c r="W14" s="13">
        <f t="shared" si="8"/>
        <v>6576</v>
      </c>
      <c r="X14" s="13">
        <f t="shared" si="8"/>
        <v>-6302</v>
      </c>
      <c r="Y14" s="13">
        <f t="shared" si="8"/>
        <v>7424</v>
      </c>
      <c r="Z14" s="13">
        <f t="shared" si="8"/>
        <v>8873</v>
      </c>
      <c r="AA14" s="13">
        <f t="shared" si="8"/>
        <v>8824</v>
      </c>
      <c r="AB14" s="13">
        <f t="shared" si="8"/>
        <v>8420</v>
      </c>
      <c r="AC14" s="13">
        <f t="shared" si="8"/>
        <v>8809</v>
      </c>
      <c r="AD14" s="13">
        <f t="shared" si="8"/>
        <v>13187</v>
      </c>
      <c r="AE14" s="13">
        <f t="shared" si="8"/>
        <v>10678</v>
      </c>
      <c r="AF14" s="13">
        <f t="shared" si="8"/>
        <v>11649</v>
      </c>
      <c r="AG14" s="13">
        <f t="shared" si="8"/>
        <v>10752</v>
      </c>
      <c r="AH14" s="13">
        <f t="shared" si="8"/>
        <v>11202</v>
      </c>
      <c r="AI14" s="13">
        <f t="shared" si="8"/>
        <v>13893</v>
      </c>
      <c r="AJ14" s="13">
        <f t="shared" si="8"/>
        <v>15463</v>
      </c>
      <c r="AK14" s="13">
        <f t="shared" si="8"/>
        <v>15457</v>
      </c>
      <c r="AL14" s="13">
        <f t="shared" si="8"/>
        <v>16458</v>
      </c>
      <c r="AM14" s="13">
        <f t="shared" si="8"/>
        <v>20505</v>
      </c>
      <c r="AN14" s="13">
        <f t="shared" si="8"/>
        <v>18765</v>
      </c>
      <c r="AO14" s="13">
        <f t="shared" si="8"/>
        <v>16728</v>
      </c>
      <c r="AP14" s="13">
        <f t="shared" si="8"/>
        <v>16740</v>
      </c>
      <c r="AQ14" s="13">
        <f t="shared" si="8"/>
        <v>17556</v>
      </c>
      <c r="AR14" s="13">
        <f t="shared" si="8"/>
        <v>16425</v>
      </c>
      <c r="AS14" s="13">
        <f t="shared" si="8"/>
        <v>18299</v>
      </c>
      <c r="AT14" s="13">
        <f t="shared" si="8"/>
        <v>20081</v>
      </c>
      <c r="AU14" s="13">
        <f t="shared" si="8"/>
        <v>22291</v>
      </c>
      <c r="AV14" s="13">
        <f t="shared" si="8"/>
        <v>21870</v>
      </c>
      <c r="AW14" s="13">
        <f t="shared" si="8"/>
        <v>21939</v>
      </c>
      <c r="BP14" s="13">
        <f t="shared" si="0"/>
        <v>71185</v>
      </c>
      <c r="BQ14" s="13">
        <f t="shared" si="1"/>
        <v>67449</v>
      </c>
      <c r="BR14" s="13">
        <f t="shared" si="2"/>
        <v>82541</v>
      </c>
    </row>
    <row r="15" spans="1:71" x14ac:dyDescent="0.55000000000000004">
      <c r="B15" t="s">
        <v>10</v>
      </c>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BP15" s="13"/>
      <c r="BQ15" s="15">
        <f>BQ3/BP3-1</f>
        <v>0.10378955452318239</v>
      </c>
      <c r="BR15" s="15">
        <f>BR3/BQ3-1</f>
        <v>0.11508912559898876</v>
      </c>
    </row>
    <row r="16" spans="1:71" x14ac:dyDescent="0.55000000000000004">
      <c r="B16" t="s">
        <v>11</v>
      </c>
    </row>
    <row r="17" spans="2:70" x14ac:dyDescent="0.55000000000000004">
      <c r="BE17" s="12" t="s">
        <v>99</v>
      </c>
    </row>
    <row r="18" spans="2:70" x14ac:dyDescent="0.55000000000000004">
      <c r="B18" t="s">
        <v>12</v>
      </c>
      <c r="C18" s="15">
        <f>C5/C3</f>
        <v>0.73963018490754617</v>
      </c>
      <c r="D18" s="15">
        <f>D5/D3</f>
        <v>0.7347129008202834</v>
      </c>
      <c r="E18" s="15">
        <f>E5/E3</f>
        <v>0.76636243838157059</v>
      </c>
      <c r="F18" s="15">
        <f>F5/F3</f>
        <v>0.71843586650583036</v>
      </c>
      <c r="G18" s="15">
        <f t="shared" ref="G18:AP18" si="9">G5/G3</f>
        <v>0.72400021587781316</v>
      </c>
      <c r="H18" s="15">
        <f t="shared" si="9"/>
        <v>0.66213956523512374</v>
      </c>
      <c r="I18" s="15">
        <f t="shared" si="9"/>
        <v>0.70700387197961079</v>
      </c>
      <c r="J18" s="15">
        <f t="shared" si="9"/>
        <v>0.67060131725258743</v>
      </c>
      <c r="K18" s="15">
        <f t="shared" si="9"/>
        <v>0.64342054221800782</v>
      </c>
      <c r="L18" s="15">
        <f t="shared" si="9"/>
        <v>0.61707593502077829</v>
      </c>
      <c r="M18" s="15">
        <f t="shared" si="9"/>
        <v>0.67044042523816094</v>
      </c>
      <c r="N18" s="15">
        <f t="shared" si="9"/>
        <v>0.66330027051397655</v>
      </c>
      <c r="O18" s="15">
        <f t="shared" si="9"/>
        <v>0.6463516364885421</v>
      </c>
      <c r="P18" s="15">
        <f t="shared" si="9"/>
        <v>0.58514035972432343</v>
      </c>
      <c r="Q18" s="15">
        <f t="shared" si="9"/>
        <v>0.62388583118211483</v>
      </c>
      <c r="R18" s="15">
        <f t="shared" si="9"/>
        <v>0.61293295818375859</v>
      </c>
      <c r="S18" s="15">
        <f t="shared" si="9"/>
        <v>0.64228383801532285</v>
      </c>
      <c r="T18" s="15">
        <f t="shared" si="9"/>
        <v>0.61662665530860372</v>
      </c>
      <c r="U18" s="15">
        <f t="shared" si="9"/>
        <v>0.63512901765504748</v>
      </c>
      <c r="V18" s="15">
        <f t="shared" si="9"/>
        <v>0.57942902616134484</v>
      </c>
      <c r="W18" s="15">
        <f t="shared" si="9"/>
        <v>0.66264569239546822</v>
      </c>
      <c r="X18" s="15">
        <f>X5/X3</f>
        <v>0.6174009267584204</v>
      </c>
      <c r="Y18" s="15">
        <f t="shared" si="9"/>
        <v>0.65438681531749876</v>
      </c>
      <c r="Z18" s="15">
        <f t="shared" si="9"/>
        <v>0.67618414492271894</v>
      </c>
      <c r="AA18" s="15">
        <f t="shared" si="9"/>
        <v>0.65943474075092834</v>
      </c>
      <c r="AB18" s="15">
        <f t="shared" si="9"/>
        <v>0.61741246034923469</v>
      </c>
      <c r="AC18" s="15">
        <f t="shared" si="9"/>
        <v>0.66733178502502366</v>
      </c>
      <c r="AD18" s="15">
        <f t="shared" si="9"/>
        <v>0.69119435299700449</v>
      </c>
      <c r="AE18" s="15">
        <f t="shared" si="9"/>
        <v>0.6851913477537438</v>
      </c>
      <c r="AF18" s="15">
        <f t="shared" si="9"/>
        <v>0.66514929821709212</v>
      </c>
      <c r="AG18" s="15">
        <f t="shared" si="9"/>
        <v>0.68661660146769077</v>
      </c>
      <c r="AH18" s="15">
        <f t="shared" si="9"/>
        <v>0.67557121447164303</v>
      </c>
      <c r="AI18" s="15">
        <f t="shared" si="9"/>
        <v>0.70388114334930285</v>
      </c>
      <c r="AJ18" s="15">
        <f t="shared" si="9"/>
        <v>0.67048936762930633</v>
      </c>
      <c r="AK18" s="15">
        <f t="shared" si="9"/>
        <v>0.68721526878626582</v>
      </c>
      <c r="AL18" s="15">
        <f t="shared" si="9"/>
        <v>0.69684954064829263</v>
      </c>
      <c r="AM18" s="15">
        <f t="shared" si="9"/>
        <v>0.6988768012004325</v>
      </c>
      <c r="AN18" s="15">
        <f t="shared" si="9"/>
        <v>0.67213114754098358</v>
      </c>
      <c r="AO18" s="15">
        <f t="shared" si="9"/>
        <v>0.68365072933549431</v>
      </c>
      <c r="AP18" s="15">
        <f t="shared" si="9"/>
        <v>0.68323532247180174</v>
      </c>
      <c r="AQ18" s="15">
        <f t="shared" ref="AQ18:AW18" si="10">AQ5/AQ3</f>
        <v>0.69171222217788597</v>
      </c>
      <c r="AR18" s="15">
        <f t="shared" si="10"/>
        <v>0.66845507801391546</v>
      </c>
      <c r="AS18" s="15">
        <f>AS5/AS3</f>
        <v>0.69487485101311086</v>
      </c>
      <c r="AT18" s="15">
        <f t="shared" si="10"/>
        <v>0.70109807969531401</v>
      </c>
      <c r="AU18" s="15">
        <f t="shared" si="10"/>
        <v>0.71155581506449384</v>
      </c>
      <c r="AV18" s="15">
        <f t="shared" si="10"/>
        <v>0.68360206385037081</v>
      </c>
      <c r="AW18" s="15">
        <f t="shared" si="10"/>
        <v>0.70084710142584628</v>
      </c>
      <c r="AX18" s="15"/>
      <c r="AY18" s="15"/>
      <c r="BA18" s="18">
        <f>AVERAGE(C18:AW18)</f>
        <v>0.67161482487871571</v>
      </c>
      <c r="BB18" s="19">
        <f>_xlfn.STDEV.P(C18:AW18)</f>
        <v>3.8567682657433759E-2</v>
      </c>
      <c r="BE18" s="18">
        <f t="shared" ref="BE18:BE23" si="11">AVERAGE(AO18:AW18)</f>
        <v>0.69100347367202586</v>
      </c>
      <c r="BP18" s="15">
        <f>BP5/BP3</f>
        <v>0.68825816779608773</v>
      </c>
      <c r="BQ18" s="15">
        <f>BQ5/BQ3</f>
        <v>0.68159769517967206</v>
      </c>
      <c r="BR18" s="15">
        <f>BR5/BR3</f>
        <v>0.69748179784957576</v>
      </c>
    </row>
    <row r="19" spans="2:70" x14ac:dyDescent="0.55000000000000004">
      <c r="B19" t="s">
        <v>13</v>
      </c>
      <c r="C19" s="15">
        <f>C12/C3</f>
        <v>0.34570214892553724</v>
      </c>
      <c r="D19" s="15">
        <f>D12/D3</f>
        <v>0.36213646532438476</v>
      </c>
      <c r="E19" s="15">
        <f>E12/E3</f>
        <v>0.37107716335594709</v>
      </c>
      <c r="F19" s="15">
        <f>F12/F3</f>
        <v>0.30885605146763168</v>
      </c>
      <c r="G19" s="15">
        <f t="shared" ref="G19:AP19" si="12">G12/G3</f>
        <v>0.34583625667871987</v>
      </c>
      <c r="H19" s="15">
        <f t="shared" si="12"/>
        <v>0.32872466250662752</v>
      </c>
      <c r="I19" s="15">
        <f t="shared" si="12"/>
        <v>0.34097926775474197</v>
      </c>
      <c r="J19" s="15">
        <f t="shared" si="12"/>
        <v>0.27350098366264647</v>
      </c>
      <c r="K19" s="15">
        <f t="shared" si="12"/>
        <v>0.25412697728546185</v>
      </c>
      <c r="L19" s="15">
        <f t="shared" si="12"/>
        <v>0.29656214582546281</v>
      </c>
      <c r="M19" s="15">
        <f t="shared" si="12"/>
        <v>0.29992176354181049</v>
      </c>
      <c r="N19" s="15">
        <f t="shared" si="12"/>
        <v>0.30937781785392243</v>
      </c>
      <c r="O19" s="15">
        <f t="shared" si="12"/>
        <v>0.27052357819323813</v>
      </c>
      <c r="P19" s="15">
        <f t="shared" si="12"/>
        <v>0.24604975626155656</v>
      </c>
      <c r="Q19" s="15">
        <f t="shared" si="12"/>
        <v>0.24528761385222347</v>
      </c>
      <c r="R19" s="15">
        <f t="shared" si="12"/>
        <v>0.16236538274958767</v>
      </c>
      <c r="S19" s="15">
        <f t="shared" si="12"/>
        <v>0.31133710324699015</v>
      </c>
      <c r="T19" s="15">
        <f t="shared" si="12"/>
        <v>0.31061720746534499</v>
      </c>
      <c r="U19" s="15">
        <f t="shared" si="12"/>
        <v>0.26781349026708917</v>
      </c>
      <c r="V19" s="15">
        <f t="shared" si="12"/>
        <v>0.11857157067542028</v>
      </c>
      <c r="W19" s="15">
        <f t="shared" si="12"/>
        <v>0.32537289102616351</v>
      </c>
      <c r="X19" s="15">
        <f>X12/X3</f>
        <v>0.31706895359291792</v>
      </c>
      <c r="Y19" s="15">
        <f t="shared" si="12"/>
        <v>0.32219694992356163</v>
      </c>
      <c r="Z19" s="15">
        <f t="shared" si="12"/>
        <v>0.35499418314774805</v>
      </c>
      <c r="AA19" s="15">
        <f t="shared" si="12"/>
        <v>0.35143033970568011</v>
      </c>
      <c r="AB19" s="15">
        <f t="shared" si="12"/>
        <v>0.3198238428135875</v>
      </c>
      <c r="AC19" s="15">
        <f t="shared" si="12"/>
        <v>0.34300480847862352</v>
      </c>
      <c r="AD19" s="15">
        <f t="shared" si="12"/>
        <v>0.37358009312809559</v>
      </c>
      <c r="AE19" s="15">
        <f t="shared" si="12"/>
        <v>0.38378460142187265</v>
      </c>
      <c r="AF19" s="15">
        <f t="shared" si="12"/>
        <v>0.38164526093318157</v>
      </c>
      <c r="AG19" s="15">
        <f t="shared" si="12"/>
        <v>0.36672282344878787</v>
      </c>
      <c r="AH19" s="15">
        <f t="shared" si="12"/>
        <v>0.35290405700312888</v>
      </c>
      <c r="AI19" s="15">
        <f t="shared" si="12"/>
        <v>0.43397749905797489</v>
      </c>
      <c r="AJ19" s="15">
        <f t="shared" si="12"/>
        <v>0.42568947906026555</v>
      </c>
      <c r="AK19" s="15">
        <f t="shared" si="12"/>
        <v>0.41327386946722294</v>
      </c>
      <c r="AL19" s="15">
        <f t="shared" si="12"/>
        <v>0.42045848500606692</v>
      </c>
      <c r="AM19" s="15">
        <f t="shared" si="12"/>
        <v>0.45289847077255774</v>
      </c>
      <c r="AN19" s="15">
        <f t="shared" si="12"/>
        <v>0.43525750077327557</v>
      </c>
      <c r="AO19" s="15">
        <f t="shared" si="12"/>
        <v>0.40903565640194489</v>
      </c>
      <c r="AP19" s="15">
        <f t="shared" si="12"/>
        <v>0.39500626626819629</v>
      </c>
      <c r="AQ19" s="15">
        <f t="shared" ref="AQ19:AV19" si="13">AQ12/AQ3</f>
        <v>0.43038984876900366</v>
      </c>
      <c r="AR19" s="15">
        <f t="shared" si="13"/>
        <v>0.38559538931124043</v>
      </c>
      <c r="AS19" s="15">
        <f t="shared" si="13"/>
        <v>0.42894980797245397</v>
      </c>
      <c r="AT19" s="15">
        <f t="shared" si="13"/>
        <v>0.4400683407784442</v>
      </c>
      <c r="AU19" s="15">
        <f t="shared" si="13"/>
        <v>0.48275740042818976</v>
      </c>
      <c r="AV19" s="15">
        <f t="shared" si="13"/>
        <v>0.42770074169622702</v>
      </c>
      <c r="AW19" s="15">
        <f>AW12/AW3</f>
        <v>0.43207022535484496</v>
      </c>
      <c r="AX19" s="15"/>
      <c r="AY19" s="15"/>
      <c r="BA19" s="18">
        <f t="shared" ref="BA19:BA25" si="14">AVERAGE(C19:AW19)</f>
        <v>0.34840479133267244</v>
      </c>
      <c r="BB19" s="19">
        <f t="shared" ref="BB19:BB23" si="15">_xlfn.STDEV.P(C19:AW19)</f>
        <v>7.3726302125672327E-2</v>
      </c>
      <c r="BE19" s="18">
        <f t="shared" si="11"/>
        <v>0.42573040855339389</v>
      </c>
      <c r="BP19" s="15">
        <f>BP12/BP3</f>
        <v>0.43092864907546119</v>
      </c>
      <c r="BQ19" s="15">
        <f>BQ12/BQ3</f>
        <v>0.40465667780532499</v>
      </c>
      <c r="BR19" s="15">
        <f>BR12/BR3</f>
        <v>0.44471687252562803</v>
      </c>
    </row>
    <row r="20" spans="2:70" x14ac:dyDescent="0.55000000000000004">
      <c r="B20" t="s">
        <v>14</v>
      </c>
      <c r="C20" s="15">
        <f>C14/C3</f>
        <v>0.27898550724637683</v>
      </c>
      <c r="D20" s="15">
        <f>D14/D3</f>
        <v>0.29721290082028334</v>
      </c>
      <c r="E20" s="15">
        <f>E14/E3</f>
        <v>0.29552442774171506</v>
      </c>
      <c r="F20" s="15">
        <f>F14/F3</f>
        <v>0.24954764776839566</v>
      </c>
      <c r="G20" s="15">
        <f t="shared" ref="G20:AP20" si="16">G14/G3</f>
        <v>0.28301581304981382</v>
      </c>
      <c r="H20" s="15">
        <f t="shared" si="16"/>
        <v>0.27488886169909049</v>
      </c>
      <c r="I20" s="15">
        <f t="shared" si="16"/>
        <v>0.2774101847767485</v>
      </c>
      <c r="J20" s="15">
        <f t="shared" si="16"/>
        <v>0.1894619793003165</v>
      </c>
      <c r="K20" s="15">
        <f t="shared" si="16"/>
        <v>0.19568122063704152</v>
      </c>
      <c r="L20" s="15">
        <f t="shared" si="16"/>
        <v>0.22149603324518322</v>
      </c>
      <c r="M20" s="15">
        <f t="shared" si="16"/>
        <v>0.22941690827925815</v>
      </c>
      <c r="N20" s="15">
        <f t="shared" si="16"/>
        <v>0.24449954914337241</v>
      </c>
      <c r="O20" s="15">
        <f t="shared" si="16"/>
        <v>0.22670395995878109</v>
      </c>
      <c r="P20" s="15">
        <f t="shared" si="16"/>
        <v>0.21003530005042864</v>
      </c>
      <c r="Q20" s="15">
        <f t="shared" si="16"/>
        <v>0.18294286688422387</v>
      </c>
      <c r="R20" s="15">
        <f t="shared" si="16"/>
        <v>0.1661007082565247</v>
      </c>
      <c r="S20" s="15">
        <f t="shared" si="16"/>
        <v>0.25843670193360085</v>
      </c>
      <c r="T20" s="15">
        <f t="shared" si="16"/>
        <v>0.2426624332068458</v>
      </c>
      <c r="U20" s="15">
        <f t="shared" si="16"/>
        <v>0.21733816206428247</v>
      </c>
      <c r="V20" s="15">
        <f t="shared" si="16"/>
        <v>0.22227195861931762</v>
      </c>
      <c r="W20" s="15">
        <f t="shared" si="16"/>
        <v>0.26799250142635911</v>
      </c>
      <c r="X20" s="15">
        <f t="shared" si="16"/>
        <v>-0.21792655093713259</v>
      </c>
      <c r="Y20" s="15">
        <f t="shared" si="16"/>
        <v>0.27681867332861032</v>
      </c>
      <c r="Z20" s="15">
        <f t="shared" si="16"/>
        <v>0.29493102875186972</v>
      </c>
      <c r="AA20" s="15">
        <f t="shared" si="16"/>
        <v>0.30339705680099022</v>
      </c>
      <c r="AB20" s="15">
        <f t="shared" si="16"/>
        <v>0.2593083058729328</v>
      </c>
      <c r="AC20" s="15">
        <f t="shared" si="16"/>
        <v>0.2881488992836348</v>
      </c>
      <c r="AD20" s="15">
        <f t="shared" si="16"/>
        <v>0.39110834297238783</v>
      </c>
      <c r="AE20" s="15">
        <f t="shared" si="16"/>
        <v>0.32303736197247013</v>
      </c>
      <c r="AF20" s="15">
        <f t="shared" si="16"/>
        <v>0.31563973337668672</v>
      </c>
      <c r="AG20" s="15">
        <f t="shared" si="16"/>
        <v>0.30701579052568456</v>
      </c>
      <c r="AH20" s="15">
        <f t="shared" si="16"/>
        <v>0.29453369442326399</v>
      </c>
      <c r="AI20" s="15">
        <f t="shared" si="16"/>
        <v>0.37393012865371156</v>
      </c>
      <c r="AJ20" s="15">
        <f t="shared" si="16"/>
        <v>0.3589701922184047</v>
      </c>
      <c r="AK20" s="15">
        <f t="shared" si="16"/>
        <v>0.3706181364791637</v>
      </c>
      <c r="AL20" s="15">
        <f t="shared" si="16"/>
        <v>0.35660426417056684</v>
      </c>
      <c r="AM20" s="15">
        <f t="shared" si="16"/>
        <v>0.45247920206545006</v>
      </c>
      <c r="AN20" s="15">
        <f t="shared" si="16"/>
        <v>0.36276291370244357</v>
      </c>
      <c r="AO20" s="15">
        <f t="shared" si="16"/>
        <v>0.33889789303079415</v>
      </c>
      <c r="AP20" s="15">
        <f t="shared" si="16"/>
        <v>0.32276101417140651</v>
      </c>
      <c r="AQ20" s="15">
        <f t="shared" ref="AQ20:AV20" si="17">AQ14/AQ3</f>
        <v>0.3502653525398029</v>
      </c>
      <c r="AR20" s="15">
        <f t="shared" si="17"/>
        <v>0.31139211708722769</v>
      </c>
      <c r="AS20" s="15">
        <f t="shared" si="17"/>
        <v>0.34619823296819718</v>
      </c>
      <c r="AT20" s="15">
        <f t="shared" si="17"/>
        <v>0.35738311769207498</v>
      </c>
      <c r="AU20" s="15">
        <f t="shared" si="17"/>
        <v>0.39441230072367606</v>
      </c>
      <c r="AV20" s="15">
        <f t="shared" si="17"/>
        <v>0.35262818445662691</v>
      </c>
      <c r="AW20" s="15">
        <f>AW14/AW3</f>
        <v>0.35466714087102719</v>
      </c>
      <c r="AX20" s="15"/>
      <c r="AY20" s="15"/>
      <c r="BA20" s="18">
        <f t="shared" si="14"/>
        <v>0.28237464155978581</v>
      </c>
      <c r="BB20" s="19">
        <f t="shared" si="15"/>
        <v>9.6763022921780684E-2</v>
      </c>
      <c r="BE20" s="18">
        <f t="shared" si="11"/>
        <v>0.34762281706009263</v>
      </c>
      <c r="BP20" s="15">
        <f>BP14/BP3</f>
        <v>0.38498564111993855</v>
      </c>
      <c r="BQ20" s="15">
        <f>BQ14/BQ3</f>
        <v>0.3304800729075818</v>
      </c>
      <c r="BR20" s="15">
        <f>BR14/BR3</f>
        <v>0.36268526208020813</v>
      </c>
    </row>
    <row r="21" spans="2:70" x14ac:dyDescent="0.55000000000000004">
      <c r="B21" t="s">
        <v>15</v>
      </c>
      <c r="C21" s="15">
        <f>C13/C12</f>
        <v>0.19298879653053849</v>
      </c>
      <c r="D21" s="15">
        <f>D13/D12</f>
        <v>0.17927927927927928</v>
      </c>
      <c r="E21" s="15">
        <f>E13/E12</f>
        <v>0.20360384058924108</v>
      </c>
      <c r="F21" s="15">
        <f>F13/F12</f>
        <v>0.19202603742880389</v>
      </c>
      <c r="G21" s="15">
        <f t="shared" ref="G21:AP21" si="18">G13/G12</f>
        <v>0.18164794007490637</v>
      </c>
      <c r="H21" s="15">
        <f t="shared" si="18"/>
        <v>0.16377171215880892</v>
      </c>
      <c r="I21" s="15">
        <f t="shared" si="18"/>
        <v>0.18643093287336496</v>
      </c>
      <c r="J21" s="15">
        <f t="shared" si="18"/>
        <v>0.30727130570758404</v>
      </c>
      <c r="K21" s="15">
        <f t="shared" si="18"/>
        <v>0.2299864314789688</v>
      </c>
      <c r="L21" s="15">
        <f t="shared" si="18"/>
        <v>0.25312101910828028</v>
      </c>
      <c r="M21" s="15">
        <f t="shared" si="18"/>
        <v>0.23507748964247352</v>
      </c>
      <c r="N21" s="15">
        <f t="shared" si="18"/>
        <v>0.20970562518216262</v>
      </c>
      <c r="O21" s="15">
        <f t="shared" si="18"/>
        <v>0.16198077271902775</v>
      </c>
      <c r="P21" s="15">
        <f t="shared" si="18"/>
        <v>0.14637062339880444</v>
      </c>
      <c r="Q21" s="15">
        <f t="shared" si="18"/>
        <v>0.25416997617156473</v>
      </c>
      <c r="R21" s="15">
        <f t="shared" si="18"/>
        <v>-2.3005676725425753E-2</v>
      </c>
      <c r="S21" s="15">
        <f t="shared" si="18"/>
        <v>0.16991357843855281</v>
      </c>
      <c r="T21" s="15">
        <f t="shared" si="18"/>
        <v>0.21877337322363499</v>
      </c>
      <c r="U21" s="15">
        <f t="shared" si="18"/>
        <v>0.18847194050033805</v>
      </c>
      <c r="V21" s="15">
        <f t="shared" si="18"/>
        <v>-0.87458053691275173</v>
      </c>
      <c r="W21" s="15">
        <f t="shared" si="18"/>
        <v>0.17635270541082165</v>
      </c>
      <c r="X21" s="15">
        <f t="shared" si="18"/>
        <v>1.6873159559384885</v>
      </c>
      <c r="Y21" s="15">
        <f t="shared" si="18"/>
        <v>0.14084018053466035</v>
      </c>
      <c r="Z21" s="15">
        <f t="shared" si="18"/>
        <v>0.16919475655430713</v>
      </c>
      <c r="AA21" s="15">
        <f t="shared" si="18"/>
        <v>0.13667938557871051</v>
      </c>
      <c r="AB21" s="15">
        <f t="shared" si="18"/>
        <v>0.18921521425132404</v>
      </c>
      <c r="AC21" s="15">
        <f t="shared" si="18"/>
        <v>0.15992752241083349</v>
      </c>
      <c r="AD21" s="15">
        <f t="shared" si="18"/>
        <v>-4.6919657033979038E-2</v>
      </c>
      <c r="AE21" s="15">
        <f t="shared" si="18"/>
        <v>0.15828472331704241</v>
      </c>
      <c r="AF21" s="15">
        <f t="shared" si="18"/>
        <v>0.17294994675186368</v>
      </c>
      <c r="AG21" s="15">
        <f t="shared" si="18"/>
        <v>0.16281242700303666</v>
      </c>
      <c r="AH21" s="15">
        <f t="shared" si="18"/>
        <v>0.16540008940545373</v>
      </c>
      <c r="AI21" s="15">
        <f t="shared" si="18"/>
        <v>0.13836516993301909</v>
      </c>
      <c r="AJ21" s="15">
        <f t="shared" si="18"/>
        <v>0.15673228990565524</v>
      </c>
      <c r="AK21" s="15">
        <f t="shared" si="18"/>
        <v>0.10321420283128337</v>
      </c>
      <c r="AL21" s="15">
        <f t="shared" si="18"/>
        <v>0.15186807523834064</v>
      </c>
      <c r="AM21" s="15">
        <f t="shared" si="18"/>
        <v>9.2574546871954783E-4</v>
      </c>
      <c r="AN21" s="15">
        <f t="shared" si="18"/>
        <v>0.16655562958027981</v>
      </c>
      <c r="AO21" s="15">
        <f t="shared" si="18"/>
        <v>0.17147102526002972</v>
      </c>
      <c r="AP21" s="15">
        <f t="shared" si="18"/>
        <v>0.18289647093278666</v>
      </c>
      <c r="AQ21" s="15">
        <f t="shared" ref="AQ21:AW21" si="19">AQ13/AQ12</f>
        <v>0.18616725384758021</v>
      </c>
      <c r="AR21" s="15">
        <f t="shared" si="19"/>
        <v>0.19243817296818919</v>
      </c>
      <c r="AS21" s="15">
        <f t="shared" si="19"/>
        <v>0.19291668504388479</v>
      </c>
      <c r="AT21" s="15">
        <f>AT13/AT12</f>
        <v>0.18789177821814212</v>
      </c>
      <c r="AU21" s="15">
        <f t="shared" si="19"/>
        <v>0.18300102624248643</v>
      </c>
      <c r="AV21" s="15">
        <f t="shared" si="19"/>
        <v>0.17552589911784663</v>
      </c>
      <c r="AW21" s="15">
        <f t="shared" si="19"/>
        <v>0.17914468514984846</v>
      </c>
      <c r="AX21" s="15"/>
      <c r="AY21" s="15"/>
      <c r="BA21" s="18">
        <f t="shared" si="14"/>
        <v>0.17911003873891093</v>
      </c>
      <c r="BB21" s="19">
        <f t="shared" si="15"/>
        <v>0.27527088297407409</v>
      </c>
      <c r="BE21" s="18">
        <f t="shared" si="11"/>
        <v>0.18349477742008824</v>
      </c>
      <c r="BP21" s="15">
        <f>BP13/BP12</f>
        <v>0.10661395582329317</v>
      </c>
      <c r="BQ21" s="15">
        <f>BQ13/BQ12</f>
        <v>0.18330750230057635</v>
      </c>
      <c r="BR21" s="15">
        <f>BR13/BR12</f>
        <v>0.18445805750419919</v>
      </c>
    </row>
    <row r="22" spans="2:70" x14ac:dyDescent="0.55000000000000004">
      <c r="B22" t="s">
        <v>85</v>
      </c>
      <c r="C22" s="15">
        <f t="shared" ref="C22:AP22" si="20">C6/C$5</f>
        <v>0.20777027027027026</v>
      </c>
      <c r="D22" s="15">
        <f t="shared" si="20"/>
        <v>0.16036538949505202</v>
      </c>
      <c r="E22" s="15">
        <f t="shared" si="20"/>
        <v>0.16813144822315629</v>
      </c>
      <c r="F22" s="15">
        <f t="shared" si="20"/>
        <v>0.19469707569609626</v>
      </c>
      <c r="G22" s="15">
        <f t="shared" si="20"/>
        <v>0.20626164740961611</v>
      </c>
      <c r="H22" s="15">
        <f t="shared" si="20"/>
        <v>0.1692639359408685</v>
      </c>
      <c r="I22" s="15">
        <f t="shared" si="20"/>
        <v>0.19015597920277297</v>
      </c>
      <c r="J22" s="15">
        <f t="shared" si="20"/>
        <v>0.19917091836734693</v>
      </c>
      <c r="K22" s="15">
        <f t="shared" si="20"/>
        <v>0.20531886387995713</v>
      </c>
      <c r="L22" s="15">
        <f t="shared" si="20"/>
        <v>0.17772743969633892</v>
      </c>
      <c r="M22" s="15">
        <f t="shared" si="20"/>
        <v>0.20483250961010435</v>
      </c>
      <c r="N22" s="15">
        <f t="shared" si="20"/>
        <v>0.210984230560087</v>
      </c>
      <c r="O22" s="15">
        <f t="shared" si="20"/>
        <v>0.22487093835408442</v>
      </c>
      <c r="P22" s="15">
        <f t="shared" si="20"/>
        <v>0.20827348463085321</v>
      </c>
      <c r="Q22" s="15">
        <f t="shared" si="20"/>
        <v>0.23264891872901866</v>
      </c>
      <c r="R22" s="15">
        <f t="shared" si="20"/>
        <v>0.24899089829837753</v>
      </c>
      <c r="S22" s="15">
        <f t="shared" si="20"/>
        <v>0.220533939221812</v>
      </c>
      <c r="T22" s="15">
        <f t="shared" si="20"/>
        <v>0.192276295133438</v>
      </c>
      <c r="U22" s="15">
        <f t="shared" si="20"/>
        <v>0.2391304347826087</v>
      </c>
      <c r="V22" s="15">
        <f t="shared" si="20"/>
        <v>0.30163090128755365</v>
      </c>
      <c r="W22" s="15">
        <f t="shared" si="20"/>
        <v>0.21980319803198031</v>
      </c>
      <c r="X22" s="15">
        <f t="shared" si="20"/>
        <v>0.19625854150330457</v>
      </c>
      <c r="Y22" s="15">
        <f t="shared" si="20"/>
        <v>0.21168091168091169</v>
      </c>
      <c r="Z22" s="15">
        <f t="shared" si="20"/>
        <v>0.19333431647249669</v>
      </c>
      <c r="AA22" s="15">
        <f t="shared" si="20"/>
        <v>0.20736221909380051</v>
      </c>
      <c r="AB22" s="15">
        <f t="shared" si="20"/>
        <v>0.20301276935355148</v>
      </c>
      <c r="AC22" s="15">
        <f t="shared" si="20"/>
        <v>0.21155825694818881</v>
      </c>
      <c r="AD22" s="15">
        <f t="shared" si="20"/>
        <v>0.19364943145247801</v>
      </c>
      <c r="AE22" s="15">
        <f t="shared" si="20"/>
        <v>0.2015541525012142</v>
      </c>
      <c r="AF22" s="15">
        <f t="shared" si="20"/>
        <v>0.18751018412905329</v>
      </c>
      <c r="AG22" s="15">
        <f t="shared" si="20"/>
        <v>0.20323546535806372</v>
      </c>
      <c r="AH22" s="15">
        <f t="shared" si="20"/>
        <v>0.20292675332762514</v>
      </c>
      <c r="AI22" s="15">
        <f t="shared" si="20"/>
        <v>0.18836035484857755</v>
      </c>
      <c r="AJ22" s="15">
        <f t="shared" si="20"/>
        <v>0.16962121736721833</v>
      </c>
      <c r="AK22" s="15">
        <f t="shared" si="20"/>
        <v>0.18157077561843621</v>
      </c>
      <c r="AL22" s="15">
        <f t="shared" si="20"/>
        <v>0.17682907869780168</v>
      </c>
      <c r="AM22" s="15">
        <f t="shared" si="20"/>
        <v>0.17678633450159451</v>
      </c>
      <c r="AN22" s="15">
        <f t="shared" si="20"/>
        <v>0.16561205706396687</v>
      </c>
      <c r="AO22" s="15">
        <f t="shared" si="20"/>
        <v>0.18687212920432655</v>
      </c>
      <c r="AP22" s="15">
        <f t="shared" si="20"/>
        <v>0.1932780223501524</v>
      </c>
      <c r="AQ22" s="15">
        <f t="shared" ref="AQ22:AW22" si="21">AQ6/AQ$5</f>
        <v>0.19117392558407845</v>
      </c>
      <c r="AR22" s="15">
        <f t="shared" si="21"/>
        <v>0.19410646927025724</v>
      </c>
      <c r="AS22" s="15">
        <f t="shared" si="21"/>
        <v>0.1901494731683411</v>
      </c>
      <c r="AT22" s="15">
        <f t="shared" si="21"/>
        <v>0.17106665989744632</v>
      </c>
      <c r="AU22" s="15">
        <f t="shared" si="21"/>
        <v>0.16558498072858385</v>
      </c>
      <c r="AV22" s="15">
        <f t="shared" si="21"/>
        <v>0.16845531523456847</v>
      </c>
      <c r="AW22" s="15">
        <f t="shared" si="21"/>
        <v>0.17652757594630131</v>
      </c>
      <c r="AX22" s="15"/>
      <c r="AY22" s="15"/>
      <c r="BA22" s="18">
        <f t="shared" si="14"/>
        <v>0.19767906570476024</v>
      </c>
      <c r="BB22" s="19">
        <f t="shared" si="15"/>
        <v>2.4976081810812449E-2</v>
      </c>
      <c r="BE22" s="18">
        <f t="shared" si="11"/>
        <v>0.18191272793156171</v>
      </c>
      <c r="BP22" s="15">
        <f t="shared" ref="BP22:BR23" si="22">BP6/BP$5</f>
        <v>0.17482182286796427</v>
      </c>
      <c r="BQ22" s="15">
        <f t="shared" si="22"/>
        <v>0.19140967579613255</v>
      </c>
      <c r="BR22" s="15">
        <f t="shared" si="22"/>
        <v>0.17339591142470154</v>
      </c>
    </row>
    <row r="23" spans="2:70" x14ac:dyDescent="0.55000000000000004">
      <c r="B23" t="s">
        <v>86</v>
      </c>
      <c r="C23" s="15">
        <f t="shared" ref="C23:AP23" si="23">C7/C$5</f>
        <v>0.24873310810810811</v>
      </c>
      <c r="D23" s="15">
        <f t="shared" si="23"/>
        <v>0.27334432885054555</v>
      </c>
      <c r="E23" s="15">
        <f t="shared" si="23"/>
        <v>0.10546427206725258</v>
      </c>
      <c r="F23" s="15">
        <f t="shared" si="23"/>
        <v>0.44536169021967259</v>
      </c>
      <c r="G23" s="15">
        <f t="shared" si="23"/>
        <v>0.24629146477823333</v>
      </c>
      <c r="H23" s="15">
        <f t="shared" si="23"/>
        <v>0.26381275023098244</v>
      </c>
      <c r="I23" s="15">
        <f t="shared" si="23"/>
        <v>0.24554592720970536</v>
      </c>
      <c r="J23" s="15">
        <f t="shared" si="23"/>
        <v>0.29859693877551019</v>
      </c>
      <c r="K23" s="15">
        <f t="shared" si="23"/>
        <v>0.2497320471596999</v>
      </c>
      <c r="L23" s="15">
        <f t="shared" si="23"/>
        <v>0.26417289090241214</v>
      </c>
      <c r="M23" s="15">
        <f t="shared" si="23"/>
        <v>0.25459912136188906</v>
      </c>
      <c r="N23" s="15">
        <f t="shared" si="23"/>
        <v>0.26923599782490482</v>
      </c>
      <c r="O23" s="15">
        <f t="shared" si="23"/>
        <v>0.25303674460977832</v>
      </c>
      <c r="P23" s="15">
        <f t="shared" si="23"/>
        <v>0.28440103418557888</v>
      </c>
      <c r="Q23" s="15">
        <f t="shared" si="23"/>
        <v>0.26590678429229447</v>
      </c>
      <c r="R23" s="15">
        <f t="shared" si="23"/>
        <v>0.31642263553620892</v>
      </c>
      <c r="S23" s="15">
        <f t="shared" si="23"/>
        <v>0.22848622550411815</v>
      </c>
      <c r="T23" s="15">
        <f t="shared" si="23"/>
        <v>0.25613814756671899</v>
      </c>
      <c r="U23" s="15">
        <f t="shared" si="23"/>
        <v>0.27647897362794011</v>
      </c>
      <c r="V23" s="15">
        <f t="shared" si="23"/>
        <v>0.37450643776824033</v>
      </c>
      <c r="W23" s="15">
        <f t="shared" si="23"/>
        <v>0.23444034440344402</v>
      </c>
      <c r="X23" s="15">
        <f>X7/X$5</f>
        <v>0.25551697098689369</v>
      </c>
      <c r="Y23" s="15">
        <f t="shared" si="23"/>
        <v>0.24700854700854702</v>
      </c>
      <c r="Z23" s="15">
        <f t="shared" si="23"/>
        <v>0.23398712087696014</v>
      </c>
      <c r="AA23" s="15">
        <f t="shared" si="23"/>
        <v>0.21367120287814798</v>
      </c>
      <c r="AB23" s="15">
        <f t="shared" si="23"/>
        <v>0.22885075818036713</v>
      </c>
      <c r="AC23" s="15">
        <f t="shared" si="23"/>
        <v>0.223763541002892</v>
      </c>
      <c r="AD23" s="15">
        <f t="shared" si="23"/>
        <v>0.21291568332975755</v>
      </c>
      <c r="AE23" s="15">
        <f t="shared" si="23"/>
        <v>0.19148748289107687</v>
      </c>
      <c r="AF23" s="15">
        <f t="shared" si="23"/>
        <v>0.20095323447938732</v>
      </c>
      <c r="AG23" s="15">
        <f t="shared" si="23"/>
        <v>0.20423355235798055</v>
      </c>
      <c r="AH23" s="15">
        <f t="shared" si="23"/>
        <v>0.21082743052852806</v>
      </c>
      <c r="AI23" s="15">
        <f t="shared" si="23"/>
        <v>0.16178494952584888</v>
      </c>
      <c r="AJ23" s="15">
        <f t="shared" si="23"/>
        <v>0.17128315213627865</v>
      </c>
      <c r="AK23" s="15">
        <f t="shared" si="23"/>
        <v>0.17731412023306933</v>
      </c>
      <c r="AL23" s="15">
        <f t="shared" si="23"/>
        <v>0.18211498398681633</v>
      </c>
      <c r="AM23" s="15">
        <f t="shared" si="23"/>
        <v>0.14356982728679232</v>
      </c>
      <c r="AN23" s="15">
        <f t="shared" si="23"/>
        <v>0.15471122871606074</v>
      </c>
      <c r="AO23" s="15">
        <f t="shared" si="23"/>
        <v>0.16580234108756853</v>
      </c>
      <c r="AP23" s="15">
        <f t="shared" si="23"/>
        <v>0.17789818263912405</v>
      </c>
      <c r="AQ23" s="15">
        <f t="shared" ref="AQ23:AW23" si="24">AQ7/AQ$5</f>
        <v>0.14785116815690799</v>
      </c>
      <c r="AR23" s="15">
        <f t="shared" si="24"/>
        <v>0.16106525993363396</v>
      </c>
      <c r="AS23" s="15">
        <f t="shared" si="24"/>
        <v>0.15655204334449618</v>
      </c>
      <c r="AT23" s="15">
        <f t="shared" si="24"/>
        <v>0.15748591156013605</v>
      </c>
      <c r="AU23" s="15">
        <f t="shared" si="24"/>
        <v>0.12898172323759791</v>
      </c>
      <c r="AV23" s="15">
        <f t="shared" si="24"/>
        <v>0.14732174446305163</v>
      </c>
      <c r="AW23" s="15">
        <f t="shared" si="24"/>
        <v>0.1431734828039582</v>
      </c>
      <c r="AX23" s="15"/>
      <c r="AY23" s="15"/>
      <c r="BA23" s="18">
        <f t="shared" si="14"/>
        <v>0.22244326614074708</v>
      </c>
      <c r="BB23" s="19">
        <f t="shared" si="15"/>
        <v>6.3961327894021452E-2</v>
      </c>
      <c r="BE23" s="18">
        <f t="shared" si="11"/>
        <v>0.15401465080294161</v>
      </c>
      <c r="BP23" s="15">
        <f t="shared" si="22"/>
        <v>0.16395439294049238</v>
      </c>
      <c r="BQ23" s="15">
        <f t="shared" si="22"/>
        <v>0.16320897131766229</v>
      </c>
      <c r="BR23" s="15">
        <f t="shared" si="22"/>
        <v>0.14733360632500708</v>
      </c>
    </row>
    <row r="24" spans="2:70" x14ac:dyDescent="0.55000000000000004">
      <c r="H24" s="16"/>
      <c r="I24" s="16"/>
      <c r="J24" s="16"/>
      <c r="K24" s="16"/>
      <c r="L24" s="13"/>
      <c r="M24" s="13"/>
      <c r="N24" s="13"/>
      <c r="O24" s="13"/>
      <c r="P24" s="13"/>
      <c r="T24" s="13"/>
      <c r="BE24" s="18"/>
    </row>
    <row r="25" spans="2:70" x14ac:dyDescent="0.55000000000000004">
      <c r="B25" t="s">
        <v>16</v>
      </c>
      <c r="C25" s="15"/>
      <c r="D25" s="15"/>
      <c r="E25" s="15"/>
      <c r="F25" s="15"/>
      <c r="G25" s="15">
        <f t="shared" ref="G25:AW25" si="25">G3/C3-1</f>
        <v>0.15748375812093962</v>
      </c>
      <c r="H25" s="15">
        <f t="shared" si="25"/>
        <v>0.14275727069351229</v>
      </c>
      <c r="I25" s="15">
        <f t="shared" si="25"/>
        <v>-4.1973742007906933E-3</v>
      </c>
      <c r="J25" s="15">
        <f t="shared" si="25"/>
        <v>0.17521109770808208</v>
      </c>
      <c r="K25" s="15">
        <f t="shared" si="25"/>
        <v>0.25214528576825512</v>
      </c>
      <c r="L25" s="15">
        <f t="shared" si="25"/>
        <v>7.9570944981443015E-2</v>
      </c>
      <c r="M25" s="15">
        <f t="shared" si="25"/>
        <v>6.4990442581973173E-2</v>
      </c>
      <c r="N25" s="15">
        <f t="shared" si="25"/>
        <v>-5.1407065263878171E-2</v>
      </c>
      <c r="O25" s="15">
        <f t="shared" si="25"/>
        <v>-0.12163268824619633</v>
      </c>
      <c r="P25" s="15">
        <f t="shared" si="25"/>
        <v>-0.10102002266717036</v>
      </c>
      <c r="Q25" s="15">
        <f t="shared" si="25"/>
        <v>-5.5133692300612047E-2</v>
      </c>
      <c r="R25" s="15">
        <f t="shared" si="25"/>
        <v>-7.06041478809738E-2</v>
      </c>
      <c r="S25" s="15">
        <f t="shared" si="25"/>
        <v>7.600961774375592E-2</v>
      </c>
      <c r="T25" s="15">
        <f t="shared" si="25"/>
        <v>8.5308455202555145E-2</v>
      </c>
      <c r="U25" s="15">
        <f t="shared" si="25"/>
        <v>7.5933953533680709E-2</v>
      </c>
      <c r="V25" s="15">
        <f t="shared" si="25"/>
        <v>-2.4643446201610519E-2</v>
      </c>
      <c r="W25" s="15">
        <f t="shared" si="25"/>
        <v>0.11902590295512594</v>
      </c>
      <c r="X25" s="15">
        <f t="shared" si="25"/>
        <v>0.11972430883605667</v>
      </c>
      <c r="Y25" s="15">
        <f t="shared" si="25"/>
        <v>0.21407876867360787</v>
      </c>
      <c r="Z25" s="15">
        <f t="shared" si="25"/>
        <v>0.49631950661494084</v>
      </c>
      <c r="AA25" s="15">
        <f t="shared" si="25"/>
        <v>0.18526367267095933</v>
      </c>
      <c r="AB25" s="15">
        <f t="shared" si="25"/>
        <v>0.12286465177398154</v>
      </c>
      <c r="AC25" s="15">
        <f t="shared" si="25"/>
        <v>0.13990081658525666</v>
      </c>
      <c r="AD25" s="15">
        <f t="shared" si="25"/>
        <v>0.12072461359481479</v>
      </c>
      <c r="AE25" s="15">
        <f t="shared" si="25"/>
        <v>0.13653555219364599</v>
      </c>
      <c r="AF25" s="15">
        <f t="shared" si="25"/>
        <v>0.13658341289150311</v>
      </c>
      <c r="AG25" s="15">
        <f t="shared" si="25"/>
        <v>0.14556278826338698</v>
      </c>
      <c r="AH25" s="15">
        <f t="shared" si="25"/>
        <v>0.12800664353293589</v>
      </c>
      <c r="AI25" s="15">
        <f t="shared" si="25"/>
        <v>0.12400544546967174</v>
      </c>
      <c r="AJ25" s="15">
        <f t="shared" si="25"/>
        <v>0.16718148810491518</v>
      </c>
      <c r="AK25" s="15">
        <f t="shared" si="25"/>
        <v>0.19088546871876866</v>
      </c>
      <c r="AL25" s="15">
        <f t="shared" si="25"/>
        <v>0.21347251071437956</v>
      </c>
      <c r="AM25" s="15">
        <f t="shared" si="25"/>
        <v>0.21970716477364483</v>
      </c>
      <c r="AN25" s="15">
        <f t="shared" si="25"/>
        <v>0.2008543040208004</v>
      </c>
      <c r="AO25" s="15">
        <f t="shared" si="25"/>
        <v>0.18352275451973332</v>
      </c>
      <c r="AP25" s="15">
        <f t="shared" si="25"/>
        <v>0.12378661813139202</v>
      </c>
      <c r="AQ25" s="15">
        <f t="shared" si="25"/>
        <v>0.1060308493501334</v>
      </c>
      <c r="AR25" s="15">
        <f t="shared" si="25"/>
        <v>1.9699195793380753E-2</v>
      </c>
      <c r="AS25" s="15">
        <f t="shared" si="25"/>
        <v>7.0846839546191198E-2</v>
      </c>
      <c r="AT25" s="15">
        <f t="shared" si="25"/>
        <v>8.3370288248336921E-2</v>
      </c>
      <c r="AU25" s="15">
        <f t="shared" si="25"/>
        <v>0.12758868361198683</v>
      </c>
      <c r="AV25" s="15">
        <f t="shared" si="25"/>
        <v>0.17580146738203117</v>
      </c>
      <c r="AW25" s="15">
        <f t="shared" si="25"/>
        <v>0.17028964943148495</v>
      </c>
      <c r="AX25" s="15"/>
      <c r="AY25" s="15"/>
      <c r="BA25" s="18">
        <f t="shared" si="14"/>
        <v>0.11447455246455887</v>
      </c>
      <c r="BB25" s="19">
        <f>_xlfn.STDEV.P(C25:AW25)</f>
        <v>0.10603544589534852</v>
      </c>
      <c r="BE25" s="18">
        <f>AVERAGE(AO25:AW25)</f>
        <v>0.11788181622385228</v>
      </c>
      <c r="BP25" s="15"/>
      <c r="BQ25" s="15">
        <f>BQ3/BP3-1</f>
        <v>0.10378955452318239</v>
      </c>
      <c r="BR25" s="15">
        <f>BR3/BQ3-1</f>
        <v>0.11508912559898876</v>
      </c>
    </row>
    <row r="26" spans="2:70" x14ac:dyDescent="0.55000000000000004">
      <c r="F26" s="15"/>
    </row>
    <row r="28" spans="2:70" x14ac:dyDescent="0.55000000000000004">
      <c r="B28" t="s">
        <v>17</v>
      </c>
    </row>
    <row r="29" spans="2:70" x14ac:dyDescent="0.55000000000000004">
      <c r="B29" t="s">
        <v>18</v>
      </c>
      <c r="O29" s="17"/>
    </row>
    <row r="30" spans="2:70" x14ac:dyDescent="0.55000000000000004">
      <c r="B30" t="s">
        <v>19</v>
      </c>
      <c r="O30" s="17"/>
    </row>
    <row r="31" spans="2:70" x14ac:dyDescent="0.55000000000000004">
      <c r="B31" t="s">
        <v>20</v>
      </c>
      <c r="O31" s="17"/>
    </row>
    <row r="32" spans="2:70" x14ac:dyDescent="0.55000000000000004">
      <c r="B32" t="s">
        <v>21</v>
      </c>
      <c r="O32" s="17"/>
    </row>
    <row r="33" spans="2:37" x14ac:dyDescent="0.55000000000000004">
      <c r="B33" t="s">
        <v>22</v>
      </c>
      <c r="O33" s="17"/>
    </row>
    <row r="34" spans="2:37" x14ac:dyDescent="0.55000000000000004">
      <c r="B34" t="s">
        <v>23</v>
      </c>
      <c r="O34" s="17"/>
    </row>
    <row r="35" spans="2:37" x14ac:dyDescent="0.55000000000000004">
      <c r="B35" t="s">
        <v>24</v>
      </c>
      <c r="O35" s="17"/>
    </row>
    <row r="36" spans="2:37" x14ac:dyDescent="0.55000000000000004">
      <c r="B36" t="s">
        <v>25</v>
      </c>
      <c r="O36" s="17"/>
    </row>
    <row r="37" spans="2:37" x14ac:dyDescent="0.55000000000000004">
      <c r="B37" t="s">
        <v>26</v>
      </c>
      <c r="E37" s="13"/>
      <c r="F37" s="13"/>
      <c r="G37" s="13"/>
      <c r="H37" s="13"/>
      <c r="I37" s="13"/>
      <c r="J37" s="13"/>
      <c r="K37" s="13"/>
      <c r="L37" s="13"/>
      <c r="M37" s="13"/>
      <c r="N37" s="13"/>
      <c r="O37" s="17"/>
      <c r="P37" s="13"/>
      <c r="Q37" s="13"/>
      <c r="R37" s="13"/>
      <c r="S37" s="13"/>
      <c r="T37" s="13"/>
      <c r="U37" s="13"/>
      <c r="V37" s="13"/>
      <c r="X37" s="13"/>
      <c r="Y37" s="13"/>
      <c r="Z37" s="13"/>
      <c r="AA37" s="13"/>
      <c r="AB37" s="13"/>
      <c r="AC37" s="13"/>
      <c r="AD37" s="13"/>
      <c r="AE37" s="13"/>
      <c r="AF37" s="13"/>
      <c r="AH37" s="13"/>
      <c r="AI37" s="13"/>
      <c r="AJ37" s="13"/>
      <c r="AK37" s="13"/>
    </row>
    <row r="38" spans="2:37" x14ac:dyDescent="0.55000000000000004">
      <c r="O38" s="17"/>
    </row>
    <row r="39" spans="2:37" x14ac:dyDescent="0.55000000000000004">
      <c r="B39" t="s">
        <v>27</v>
      </c>
      <c r="O39" s="17"/>
    </row>
    <row r="40" spans="2:37" x14ac:dyDescent="0.55000000000000004">
      <c r="B40" t="s">
        <v>28</v>
      </c>
      <c r="O40" s="17"/>
    </row>
    <row r="41" spans="2:37" x14ac:dyDescent="0.55000000000000004">
      <c r="B41" t="s">
        <v>29</v>
      </c>
      <c r="O41" s="17"/>
    </row>
    <row r="42" spans="2:37" x14ac:dyDescent="0.55000000000000004">
      <c r="B42" t="s">
        <v>30</v>
      </c>
      <c r="O42" s="17"/>
    </row>
    <row r="43" spans="2:37" x14ac:dyDescent="0.55000000000000004">
      <c r="B43" t="s">
        <v>31</v>
      </c>
      <c r="O43" s="17"/>
    </row>
    <row r="44" spans="2:37" x14ac:dyDescent="0.55000000000000004">
      <c r="B44" t="s">
        <v>32</v>
      </c>
      <c r="E44" s="13"/>
      <c r="F44" s="13"/>
      <c r="G44" s="13"/>
      <c r="H44" s="13"/>
      <c r="I44" s="13"/>
      <c r="J44" s="13"/>
      <c r="K44" s="13"/>
      <c r="L44" s="13"/>
      <c r="M44" s="13"/>
      <c r="N44" s="13"/>
      <c r="O44" s="17"/>
      <c r="P44" s="13"/>
      <c r="Q44" s="13"/>
      <c r="R44" s="13"/>
      <c r="S44" s="13"/>
      <c r="T44" s="13"/>
      <c r="U44" s="13"/>
      <c r="V44" s="13"/>
      <c r="X44" s="13"/>
      <c r="Y44" s="13"/>
      <c r="Z44" s="13"/>
      <c r="AA44" s="13"/>
      <c r="AB44" s="13"/>
      <c r="AC44" s="13"/>
      <c r="AD44" s="13"/>
      <c r="AE44" s="13"/>
      <c r="AF44" s="13"/>
      <c r="AH44" s="13"/>
      <c r="AI44" s="13"/>
      <c r="AJ44" s="13"/>
      <c r="AK44" s="13"/>
    </row>
    <row r="45" spans="2:37" x14ac:dyDescent="0.55000000000000004">
      <c r="B45" t="s">
        <v>33</v>
      </c>
    </row>
    <row r="46" spans="2:37" x14ac:dyDescent="0.55000000000000004">
      <c r="B46" t="s">
        <v>34</v>
      </c>
    </row>
    <row r="52" spans="1:49" x14ac:dyDescent="0.55000000000000004">
      <c r="B52" t="s">
        <v>100</v>
      </c>
      <c r="C52" s="12" t="s">
        <v>106</v>
      </c>
    </row>
    <row r="53" spans="1:49" x14ac:dyDescent="0.55000000000000004">
      <c r="A53" t="s">
        <v>104</v>
      </c>
      <c r="B53" t="s">
        <v>101</v>
      </c>
      <c r="C53" s="21">
        <f>AVERAGE(D53:AW53)</f>
        <v>2.3016491948867606E-2</v>
      </c>
      <c r="D53" s="22">
        <f>(D3-C3)/D3</f>
        <v>0.25391498881431768</v>
      </c>
      <c r="E53" s="22">
        <f t="shared" ref="E53:AW53" si="26">(E3-D3)/E3</f>
        <v>-4.7196056420518329E-2</v>
      </c>
      <c r="F53" s="22">
        <f t="shared" si="26"/>
        <v>-2.9804985926819461E-2</v>
      </c>
      <c r="G53" s="22">
        <f t="shared" si="26"/>
        <v>-7.3776242646661994E-2</v>
      </c>
      <c r="H53" s="22">
        <f t="shared" si="26"/>
        <v>0.24430033851298993</v>
      </c>
      <c r="I53" s="22">
        <f t="shared" si="26"/>
        <v>-0.20173503896485812</v>
      </c>
      <c r="J53" s="22">
        <f t="shared" si="26"/>
        <v>0.12740569668976134</v>
      </c>
      <c r="K53" s="22">
        <f t="shared" si="26"/>
        <v>-7.8013878712124476E-3</v>
      </c>
      <c r="L53" s="22">
        <f t="shared" si="26"/>
        <v>0.12349829996222138</v>
      </c>
      <c r="M53" s="22">
        <f t="shared" si="26"/>
        <v>-0.21818767545676285</v>
      </c>
      <c r="N53" s="22">
        <f t="shared" si="26"/>
        <v>2.0333633904418395E-2</v>
      </c>
      <c r="O53" s="22">
        <f t="shared" si="26"/>
        <v>-8.8375288286962075E-2</v>
      </c>
      <c r="P53" s="22">
        <f t="shared" si="26"/>
        <v>0.14359556227937467</v>
      </c>
      <c r="Q53" s="22">
        <f t="shared" si="26"/>
        <v>-0.15902781160196774</v>
      </c>
      <c r="R53" s="22">
        <f t="shared" si="26"/>
        <v>4.0263898321529056E-3</v>
      </c>
      <c r="S53" s="22">
        <f t="shared" si="26"/>
        <v>5.9923385625684056E-2</v>
      </c>
      <c r="T53" s="22">
        <f t="shared" si="26"/>
        <v>0.15093316812514521</v>
      </c>
      <c r="U53" s="22">
        <f t="shared" si="26"/>
        <v>-0.16912630149388863</v>
      </c>
      <c r="V53" s="22">
        <f t="shared" si="26"/>
        <v>-9.8677011837262504E-2</v>
      </c>
      <c r="W53" s="22">
        <f t="shared" si="26"/>
        <v>0.18061781726302062</v>
      </c>
      <c r="X53" s="22">
        <f t="shared" si="26"/>
        <v>0.1514627567604952</v>
      </c>
      <c r="Y53" s="22">
        <f t="shared" si="26"/>
        <v>-7.8265408851933324E-2</v>
      </c>
      <c r="Z53" s="22">
        <f t="shared" si="26"/>
        <v>0.10855908259930198</v>
      </c>
      <c r="AA53" s="22">
        <f t="shared" si="26"/>
        <v>-3.4417549167927386E-2</v>
      </c>
      <c r="AB53" s="22">
        <f t="shared" si="26"/>
        <v>0.10430845985648733</v>
      </c>
      <c r="AC53" s="22">
        <f t="shared" si="26"/>
        <v>-6.2150403977625855E-2</v>
      </c>
      <c r="AD53" s="22">
        <f t="shared" si="26"/>
        <v>9.330604739448943E-2</v>
      </c>
      <c r="AE53" s="22">
        <f t="shared" si="26"/>
        <v>-2.0027227348358795E-2</v>
      </c>
      <c r="AF53" s="22">
        <f t="shared" si="26"/>
        <v>0.10434617677342438</v>
      </c>
      <c r="AG53" s="22">
        <f t="shared" si="26"/>
        <v>-5.3824847948373833E-2</v>
      </c>
      <c r="AH53" s="22">
        <f t="shared" si="26"/>
        <v>7.9194383824573403E-2</v>
      </c>
      <c r="AI53" s="22">
        <f t="shared" si="26"/>
        <v>-2.3658287129245843E-2</v>
      </c>
      <c r="AJ53" s="22">
        <f t="shared" si="26"/>
        <v>0.13747794595598478</v>
      </c>
      <c r="AK53" s="22">
        <f t="shared" si="26"/>
        <v>-3.2848990552918046E-2</v>
      </c>
      <c r="AL53" s="22">
        <f t="shared" si="26"/>
        <v>9.6333853354134164E-2</v>
      </c>
      <c r="AM53" s="22">
        <f t="shared" si="26"/>
        <v>-1.8425756338680849E-2</v>
      </c>
      <c r="AN53" s="22">
        <f t="shared" si="26"/>
        <v>0.12393674605629447</v>
      </c>
      <c r="AO53" s="22">
        <f t="shared" si="26"/>
        <v>-4.7974068071312805E-2</v>
      </c>
      <c r="AP53" s="22">
        <f t="shared" si="26"/>
        <v>4.8298467174395066E-2</v>
      </c>
      <c r="AQ53" s="22">
        <f t="shared" si="26"/>
        <v>-3.4775148637324928E-2</v>
      </c>
      <c r="AR53" s="22">
        <f t="shared" si="26"/>
        <v>4.9765863461429083E-2</v>
      </c>
      <c r="AS53" s="22">
        <f t="shared" si="26"/>
        <v>2.0810867056397448E-3</v>
      </c>
      <c r="AT53" s="22">
        <f t="shared" si="26"/>
        <v>5.9299862962501559E-2</v>
      </c>
      <c r="AU53" s="22">
        <f t="shared" si="26"/>
        <v>5.803563529557478E-3</v>
      </c>
      <c r="AV53" s="22">
        <f t="shared" si="26"/>
        <v>8.872944211544663E-2</v>
      </c>
      <c r="AW53" s="22">
        <f t="shared" si="26"/>
        <v>-2.6189013547156391E-3</v>
      </c>
    </row>
    <row r="54" spans="1:49" x14ac:dyDescent="0.55000000000000004">
      <c r="A54" t="s">
        <v>104</v>
      </c>
      <c r="B54" t="s">
        <v>102</v>
      </c>
      <c r="C54" s="21">
        <f>AVERAGE(D54:AW54)</f>
        <v>2.9385931269188537E-2</v>
      </c>
      <c r="D54" s="23">
        <f>LN(D3/C3)</f>
        <v>0.2929157292578905</v>
      </c>
      <c r="E54" s="23">
        <f t="shared" ref="E54:AW54" si="27">LN(E3/D3)</f>
        <v>-4.611616977426064E-2</v>
      </c>
      <c r="F54" s="23">
        <f t="shared" si="27"/>
        <v>-2.936945026395861E-2</v>
      </c>
      <c r="G54" s="23">
        <f t="shared" si="27"/>
        <v>-7.1181634200826016E-2</v>
      </c>
      <c r="H54" s="23">
        <f t="shared" si="27"/>
        <v>0.28011125490182481</v>
      </c>
      <c r="I54" s="23">
        <f t="shared" si="27"/>
        <v>-0.18376637834049103</v>
      </c>
      <c r="J54" s="23">
        <f t="shared" si="27"/>
        <v>0.13628454672301593</v>
      </c>
      <c r="K54" s="23">
        <f t="shared" si="27"/>
        <v>-7.771114393013953E-3</v>
      </c>
      <c r="L54" s="23">
        <f t="shared" si="27"/>
        <v>0.13181663504739666</v>
      </c>
      <c r="M54" s="23">
        <f t="shared" si="27"/>
        <v>-0.19736424235771116</v>
      </c>
      <c r="N54" s="23">
        <f t="shared" si="27"/>
        <v>2.0543208040922262E-2</v>
      </c>
      <c r="O54" s="23">
        <f t="shared" si="27"/>
        <v>-8.4686023044946351E-2</v>
      </c>
      <c r="P54" s="23">
        <f t="shared" si="27"/>
        <v>0.15501254044838475</v>
      </c>
      <c r="Q54" s="23">
        <f t="shared" si="27"/>
        <v>-0.14758156027503191</v>
      </c>
      <c r="R54" s="23">
        <f t="shared" si="27"/>
        <v>4.0345175639736374E-3</v>
      </c>
      <c r="S54" s="23">
        <f t="shared" si="27"/>
        <v>6.1793902385883726E-2</v>
      </c>
      <c r="T54" s="23">
        <f t="shared" si="27"/>
        <v>0.16361737742397517</v>
      </c>
      <c r="U54" s="23">
        <f t="shared" si="27"/>
        <v>-0.15625671899243412</v>
      </c>
      <c r="V54" s="23">
        <f t="shared" si="27"/>
        <v>-9.4106739448797494E-2</v>
      </c>
      <c r="W54" s="23">
        <f t="shared" si="27"/>
        <v>0.19920465838576273</v>
      </c>
      <c r="X54" s="23">
        <f t="shared" si="27"/>
        <v>0.16424130223694353</v>
      </c>
      <c r="Y54" s="23">
        <f t="shared" si="27"/>
        <v>-7.5353647055283038E-2</v>
      </c>
      <c r="Z54" s="23">
        <f t="shared" si="27"/>
        <v>0.11491611712166365</v>
      </c>
      <c r="AA54" s="23">
        <f t="shared" si="27"/>
        <v>-3.383851388450472E-2</v>
      </c>
      <c r="AB54" s="23">
        <f t="shared" si="27"/>
        <v>0.11015918851208395</v>
      </c>
      <c r="AC54" s="23">
        <f t="shared" si="27"/>
        <v>-6.0295536123207635E-2</v>
      </c>
      <c r="AD54" s="23">
        <f t="shared" si="27"/>
        <v>9.7950314027553012E-2</v>
      </c>
      <c r="AE54" s="23">
        <f t="shared" si="27"/>
        <v>-1.9829320418698313E-2</v>
      </c>
      <c r="AF54" s="23">
        <f t="shared" si="27"/>
        <v>0.1102012986687448</v>
      </c>
      <c r="AG54" s="23">
        <f t="shared" si="27"/>
        <v>-5.2426257892904934E-2</v>
      </c>
      <c r="AH54" s="23">
        <f t="shared" si="27"/>
        <v>8.2506322358239612E-2</v>
      </c>
      <c r="AI54" s="23">
        <f t="shared" si="27"/>
        <v>-2.338276695040863E-2</v>
      </c>
      <c r="AJ54" s="23">
        <f t="shared" si="27"/>
        <v>0.14789456049742214</v>
      </c>
      <c r="AK54" s="23">
        <f t="shared" si="27"/>
        <v>-3.2320994120230671E-2</v>
      </c>
      <c r="AL54" s="23">
        <f t="shared" si="27"/>
        <v>0.10129529360818447</v>
      </c>
      <c r="AM54" s="23">
        <f t="shared" si="27"/>
        <v>-1.8258058925813014E-2</v>
      </c>
      <c r="AN54" s="23">
        <f t="shared" si="27"/>
        <v>0.132316982954302</v>
      </c>
      <c r="AO54" s="23">
        <f t="shared" si="27"/>
        <v>-4.6858841385944927E-2</v>
      </c>
      <c r="AP54" s="23">
        <f t="shared" si="27"/>
        <v>4.9503809286659019E-2</v>
      </c>
      <c r="AQ54" s="23">
        <f t="shared" si="27"/>
        <v>-3.4184155422228059E-2</v>
      </c>
      <c r="AR54" s="23">
        <f t="shared" si="27"/>
        <v>5.1046865239422187E-2</v>
      </c>
      <c r="AS54" s="23">
        <f t="shared" si="27"/>
        <v>2.0832551756161956E-3</v>
      </c>
      <c r="AT54" s="23">
        <f t="shared" si="27"/>
        <v>6.1130854328151338E-2</v>
      </c>
      <c r="AU54" s="23">
        <f t="shared" si="27"/>
        <v>5.820469646593867E-3</v>
      </c>
      <c r="AV54" s="23">
        <f t="shared" si="27"/>
        <v>9.2915435820955933E-2</v>
      </c>
      <c r="AW54" s="23">
        <f t="shared" si="27"/>
        <v>-2.6154780081980144E-3</v>
      </c>
    </row>
    <row r="55" spans="1:49" x14ac:dyDescent="0.55000000000000004">
      <c r="A55" t="s">
        <v>105</v>
      </c>
      <c r="B55" t="s">
        <v>103</v>
      </c>
      <c r="C55" s="21">
        <f>AVERAGE(G55:AW55)</f>
        <v>9.4519540479655384E-2</v>
      </c>
      <c r="D55" s="16"/>
      <c r="E55" s="16"/>
      <c r="F55" s="16"/>
      <c r="G55" s="22">
        <f>(G3-C3)/G3</f>
        <v>0.13605699174267363</v>
      </c>
      <c r="H55" s="22">
        <f t="shared" ref="H55:AW55" si="28">(H3-D3)/H3</f>
        <v>0.12492352869203475</v>
      </c>
      <c r="I55" s="22">
        <f t="shared" si="28"/>
        <v>-4.2150664118021861E-3</v>
      </c>
      <c r="J55" s="22">
        <f t="shared" si="28"/>
        <v>0.14908904285347704</v>
      </c>
      <c r="K55" s="22">
        <f t="shared" si="28"/>
        <v>0.20137063057626828</v>
      </c>
      <c r="L55" s="22">
        <f t="shared" si="28"/>
        <v>7.3706082357385724E-2</v>
      </c>
      <c r="M55" s="22">
        <f t="shared" si="28"/>
        <v>6.1024437387822726E-2</v>
      </c>
      <c r="N55" s="22">
        <f t="shared" si="28"/>
        <v>-5.4192966636609559E-2</v>
      </c>
      <c r="O55" s="22">
        <f t="shared" si="28"/>
        <v>-0.13847588203542863</v>
      </c>
      <c r="P55" s="22">
        <f t="shared" si="28"/>
        <v>-0.11237182719784838</v>
      </c>
      <c r="Q55" s="22">
        <f t="shared" si="28"/>
        <v>-5.8350786615362138E-2</v>
      </c>
      <c r="R55" s="22">
        <f t="shared" si="28"/>
        <v>-7.5967788881342771E-2</v>
      </c>
      <c r="S55" s="22">
        <f t="shared" si="28"/>
        <v>7.0640277271068946E-2</v>
      </c>
      <c r="T55" s="22">
        <f t="shared" si="28"/>
        <v>7.8602958259118713E-2</v>
      </c>
      <c r="U55" s="22">
        <f t="shared" si="28"/>
        <v>7.0574920778632866E-2</v>
      </c>
      <c r="V55" s="22">
        <f t="shared" si="28"/>
        <v>-2.5266089724460362E-2</v>
      </c>
      <c r="W55" s="22">
        <f t="shared" si="28"/>
        <v>0.10636563697122831</v>
      </c>
      <c r="X55" s="22">
        <f t="shared" si="28"/>
        <v>0.10692302372224911</v>
      </c>
      <c r="Y55" s="22">
        <f t="shared" si="28"/>
        <v>0.17633021365449866</v>
      </c>
      <c r="Z55" s="22">
        <f t="shared" si="28"/>
        <v>0.33169353498421139</v>
      </c>
      <c r="AA55" s="22">
        <f t="shared" si="28"/>
        <v>0.15630587264475312</v>
      </c>
      <c r="AB55" s="22">
        <f t="shared" si="28"/>
        <v>0.10942071386775892</v>
      </c>
      <c r="AC55" s="22">
        <f t="shared" si="28"/>
        <v>0.12273069248634326</v>
      </c>
      <c r="AD55" s="22">
        <f t="shared" si="28"/>
        <v>0.10772014117507489</v>
      </c>
      <c r="AE55" s="22">
        <f t="shared" si="28"/>
        <v>0.12013311148086522</v>
      </c>
      <c r="AF55" s="22">
        <f t="shared" si="28"/>
        <v>0.12017016203327373</v>
      </c>
      <c r="AG55" s="22">
        <f t="shared" si="28"/>
        <v>0.1270666171725536</v>
      </c>
      <c r="AH55" s="22">
        <f t="shared" si="28"/>
        <v>0.11348039860121474</v>
      </c>
      <c r="AI55" s="22">
        <f t="shared" si="28"/>
        <v>0.11032459492921354</v>
      </c>
      <c r="AJ55" s="22">
        <f t="shared" si="28"/>
        <v>0.14323521218311822</v>
      </c>
      <c r="AK55" s="22">
        <f t="shared" si="28"/>
        <v>0.16028868747901981</v>
      </c>
      <c r="AL55" s="22">
        <f t="shared" si="28"/>
        <v>0.17591870341480326</v>
      </c>
      <c r="AM55" s="22">
        <f t="shared" si="28"/>
        <v>0.18013107663790631</v>
      </c>
      <c r="AN55" s="22">
        <f t="shared" si="28"/>
        <v>0.16725951128982369</v>
      </c>
      <c r="AO55" s="22">
        <f t="shared" si="28"/>
        <v>0.15506482982171799</v>
      </c>
      <c r="AP55" s="22">
        <f t="shared" si="28"/>
        <v>0.11015135447797166</v>
      </c>
      <c r="AQ55" s="22">
        <f t="shared" si="28"/>
        <v>9.5866086748334065E-2</v>
      </c>
      <c r="AR55" s="22">
        <f t="shared" si="28"/>
        <v>1.9318634235122378E-2</v>
      </c>
      <c r="AS55" s="22">
        <f t="shared" si="28"/>
        <v>6.6159638269292623E-2</v>
      </c>
      <c r="AT55" s="22">
        <f t="shared" si="28"/>
        <v>7.6954564060581251E-2</v>
      </c>
      <c r="AU55" s="22">
        <f t="shared" si="28"/>
        <v>0.11315179503512218</v>
      </c>
      <c r="AV55" s="22">
        <f t="shared" si="28"/>
        <v>0.14951628506933248</v>
      </c>
      <c r="AW55" s="22">
        <f t="shared" si="28"/>
        <v>0.14551068576416956</v>
      </c>
    </row>
    <row r="56" spans="1:49" x14ac:dyDescent="0.55000000000000004">
      <c r="A56" t="s">
        <v>105</v>
      </c>
      <c r="B56" t="s">
        <v>102</v>
      </c>
      <c r="C56" s="21">
        <f>AVERAGE(G56:AW56)</f>
        <v>0.10386188484431598</v>
      </c>
      <c r="D56" s="16"/>
      <c r="E56" s="16"/>
      <c r="F56" s="16"/>
      <c r="G56" s="22">
        <f>LN(G3/C3)</f>
        <v>0.1462484750188453</v>
      </c>
      <c r="H56" s="22">
        <f t="shared" ref="H56:AW56" si="29">LN(H3/D3)</f>
        <v>0.13344400066277964</v>
      </c>
      <c r="I56" s="22">
        <f t="shared" si="29"/>
        <v>-4.206207903450802E-3</v>
      </c>
      <c r="J56" s="22">
        <f t="shared" si="29"/>
        <v>0.16144778908352367</v>
      </c>
      <c r="K56" s="22">
        <f t="shared" si="29"/>
        <v>0.22485830889133565</v>
      </c>
      <c r="L56" s="22">
        <f t="shared" si="29"/>
        <v>7.6563689036907606E-2</v>
      </c>
      <c r="M56" s="22">
        <f t="shared" si="29"/>
        <v>6.296582501968731E-2</v>
      </c>
      <c r="N56" s="22">
        <f t="shared" si="29"/>
        <v>-5.2775513662406175E-2</v>
      </c>
      <c r="O56" s="22">
        <f t="shared" si="29"/>
        <v>-0.12969042231433869</v>
      </c>
      <c r="P56" s="22">
        <f t="shared" si="29"/>
        <v>-0.10649451691335064</v>
      </c>
      <c r="Q56" s="22">
        <f t="shared" si="29"/>
        <v>-5.6711834830671361E-2</v>
      </c>
      <c r="R56" s="22">
        <f t="shared" si="29"/>
        <v>-7.3220525307619938E-2</v>
      </c>
      <c r="S56" s="22">
        <f t="shared" si="29"/>
        <v>7.325940012321018E-2</v>
      </c>
      <c r="T56" s="22">
        <f t="shared" si="29"/>
        <v>8.186423709880071E-2</v>
      </c>
      <c r="U56" s="22">
        <f t="shared" si="29"/>
        <v>7.3189078381398459E-2</v>
      </c>
      <c r="V56" s="22">
        <f t="shared" si="29"/>
        <v>-2.4952178631372602E-2</v>
      </c>
      <c r="W56" s="22">
        <f t="shared" si="29"/>
        <v>0.11245857736850649</v>
      </c>
      <c r="X56" s="22">
        <f t="shared" si="29"/>
        <v>0.11308250218147467</v>
      </c>
      <c r="Y56" s="22">
        <f t="shared" si="29"/>
        <v>0.19398557411862563</v>
      </c>
      <c r="Z56" s="22">
        <f t="shared" si="29"/>
        <v>0.40300843068908676</v>
      </c>
      <c r="AA56" s="22">
        <f t="shared" si="29"/>
        <v>0.16996525841881929</v>
      </c>
      <c r="AB56" s="22">
        <f t="shared" si="29"/>
        <v>0.11588314469395969</v>
      </c>
      <c r="AC56" s="22">
        <f t="shared" si="29"/>
        <v>0.13094125562603506</v>
      </c>
      <c r="AD56" s="22">
        <f t="shared" si="29"/>
        <v>0.11397545253192475</v>
      </c>
      <c r="AE56" s="22">
        <f t="shared" si="29"/>
        <v>0.12798464599773104</v>
      </c>
      <c r="AF56" s="22">
        <f t="shared" si="29"/>
        <v>0.12802675615439185</v>
      </c>
      <c r="AG56" s="22">
        <f t="shared" si="29"/>
        <v>0.13589603438469477</v>
      </c>
      <c r="AH56" s="22">
        <f t="shared" si="29"/>
        <v>0.12045204271538125</v>
      </c>
      <c r="AI56" s="22">
        <f t="shared" si="29"/>
        <v>0.11689859618367093</v>
      </c>
      <c r="AJ56" s="22">
        <f t="shared" si="29"/>
        <v>0.15459185801234826</v>
      </c>
      <c r="AK56" s="22">
        <f t="shared" si="29"/>
        <v>0.17469712178502247</v>
      </c>
      <c r="AL56" s="22">
        <f t="shared" si="29"/>
        <v>0.19348609303496725</v>
      </c>
      <c r="AM56" s="22">
        <f t="shared" si="29"/>
        <v>0.19861080105956289</v>
      </c>
      <c r="AN56" s="22">
        <f t="shared" si="29"/>
        <v>0.18303322351644274</v>
      </c>
      <c r="AO56" s="22">
        <f t="shared" si="29"/>
        <v>0.1684953762507285</v>
      </c>
      <c r="AP56" s="22">
        <f t="shared" si="29"/>
        <v>0.11670389192920315</v>
      </c>
      <c r="AQ56" s="22">
        <f t="shared" si="29"/>
        <v>0.10077779543278793</v>
      </c>
      <c r="AR56" s="22">
        <f t="shared" si="29"/>
        <v>1.9507677717908241E-2</v>
      </c>
      <c r="AS56" s="22">
        <f t="shared" si="29"/>
        <v>6.8449774279469397E-2</v>
      </c>
      <c r="AT56" s="22">
        <f t="shared" si="29"/>
        <v>8.007681932096164E-2</v>
      </c>
      <c r="AU56" s="22">
        <f t="shared" si="29"/>
        <v>0.12008144438978376</v>
      </c>
      <c r="AV56" s="22">
        <f t="shared" si="29"/>
        <v>0.16195001497131734</v>
      </c>
      <c r="AW56" s="22">
        <f t="shared" si="29"/>
        <v>0.157251281787503</v>
      </c>
    </row>
    <row r="57" spans="1:49" x14ac:dyDescent="0.55000000000000004">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row>
  </sheetData>
  <phoneticPr fontId="2" type="noConversion"/>
  <hyperlinks>
    <hyperlink ref="A1" location="Main!A1" display="Main" xr:uid="{5EA6A07C-5D11-4225-A87D-D0611C80E4F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237C1-1BBB-4A82-A406-2E1E63322F1D}">
  <dimension ref="A1:KF43"/>
  <sheetViews>
    <sheetView tabSelected="1" zoomScaleNormal="100" workbookViewId="0">
      <pane xSplit="2" ySplit="2" topLeftCell="BT3" activePane="bottomRight" state="frozen"/>
      <selection pane="topRight" activeCell="C1" sqref="C1"/>
      <selection pane="bottomLeft" activeCell="A3" sqref="A3"/>
      <selection pane="bottomRight" activeCell="BX20" sqref="BX19:CA20"/>
    </sheetView>
  </sheetViews>
  <sheetFormatPr defaultRowHeight="14.4" x14ac:dyDescent="0.55000000000000004"/>
  <cols>
    <col min="1" max="1" width="4.5234375" bestFit="1" customWidth="1"/>
    <col min="2" max="2" width="17.89453125" bestFit="1" customWidth="1"/>
    <col min="6" max="6" width="11.7890625" bestFit="1" customWidth="1"/>
    <col min="7" max="30" width="12" bestFit="1" customWidth="1"/>
    <col min="31" max="31" width="10.1015625" bestFit="1" customWidth="1"/>
    <col min="32" max="36" width="12" bestFit="1" customWidth="1"/>
    <col min="37" max="38" width="12.3125" bestFit="1" customWidth="1"/>
    <col min="39" max="65" width="9.7890625" customWidth="1"/>
    <col min="90" max="90" width="11.20703125" bestFit="1" customWidth="1"/>
    <col min="91" max="92" width="11.7890625" bestFit="1" customWidth="1"/>
  </cols>
  <sheetData>
    <row r="1" spans="1:292" x14ac:dyDescent="0.55000000000000004">
      <c r="A1" s="8" t="s">
        <v>40</v>
      </c>
      <c r="M1" s="1"/>
      <c r="N1">
        <v>1</v>
      </c>
      <c r="BU1" t="s">
        <v>42</v>
      </c>
      <c r="BV1" t="s">
        <v>41</v>
      </c>
    </row>
    <row r="2" spans="1:292" x14ac:dyDescent="0.55000000000000004">
      <c r="B2" t="s">
        <v>35</v>
      </c>
      <c r="C2" t="s">
        <v>36</v>
      </c>
      <c r="D2" t="s">
        <v>37</v>
      </c>
      <c r="E2" t="s">
        <v>38</v>
      </c>
      <c r="F2" s="4">
        <v>41636</v>
      </c>
      <c r="G2" s="4">
        <v>41727</v>
      </c>
      <c r="H2" s="4">
        <v>41817</v>
      </c>
      <c r="I2" s="4">
        <v>41909</v>
      </c>
      <c r="J2" s="4">
        <v>41999</v>
      </c>
      <c r="K2" s="4">
        <v>42091</v>
      </c>
      <c r="L2" s="4">
        <v>42182</v>
      </c>
      <c r="M2" s="4">
        <v>42274</v>
      </c>
      <c r="N2" s="4">
        <v>42364</v>
      </c>
      <c r="O2" s="4">
        <v>42457</v>
      </c>
      <c r="P2" s="4">
        <v>42546</v>
      </c>
      <c r="Q2" s="4">
        <v>42640</v>
      </c>
      <c r="R2" s="4">
        <v>42730</v>
      </c>
      <c r="S2" s="4">
        <v>42826</v>
      </c>
      <c r="T2" s="4">
        <v>42917</v>
      </c>
      <c r="U2" s="4">
        <v>43008</v>
      </c>
      <c r="V2" s="4">
        <v>43099</v>
      </c>
      <c r="W2" s="4">
        <v>43190</v>
      </c>
      <c r="X2" s="4">
        <v>43281</v>
      </c>
      <c r="Y2" s="4">
        <v>43373</v>
      </c>
      <c r="Z2" s="4">
        <v>43463</v>
      </c>
      <c r="AA2" s="4">
        <v>43554</v>
      </c>
      <c r="AB2" s="4">
        <v>43645</v>
      </c>
      <c r="AC2" s="4">
        <v>43736</v>
      </c>
      <c r="AD2" s="4">
        <v>43828</v>
      </c>
      <c r="AE2" s="4">
        <v>43920</v>
      </c>
      <c r="AF2" s="4">
        <v>44009</v>
      </c>
      <c r="AG2" s="10">
        <v>44099</v>
      </c>
      <c r="AH2" s="4">
        <v>44195</v>
      </c>
      <c r="AI2" s="4">
        <v>44286</v>
      </c>
      <c r="AJ2" s="4">
        <v>44373</v>
      </c>
      <c r="AK2" s="4">
        <v>44464</v>
      </c>
      <c r="AL2" s="4">
        <v>44555</v>
      </c>
      <c r="AM2" s="4"/>
      <c r="AN2" s="4"/>
      <c r="AO2" s="4"/>
      <c r="AP2" s="4"/>
      <c r="AQ2" s="4"/>
      <c r="AR2" s="4"/>
      <c r="AS2" s="4"/>
      <c r="AT2" s="4"/>
      <c r="AU2" s="4"/>
      <c r="AV2" s="4"/>
      <c r="AW2" s="4"/>
      <c r="AX2" s="4"/>
      <c r="AY2" s="4"/>
      <c r="AZ2" s="4"/>
      <c r="BA2" s="4"/>
      <c r="BB2" s="4"/>
      <c r="BC2" s="4"/>
      <c r="BD2" s="4"/>
      <c r="BE2" s="4"/>
      <c r="BF2" s="4"/>
      <c r="BG2" s="4"/>
      <c r="BH2" s="4"/>
      <c r="BI2" s="4"/>
      <c r="BJ2" s="4"/>
      <c r="BK2" s="4"/>
      <c r="BL2" s="4"/>
      <c r="BM2" s="4"/>
      <c r="BP2">
        <v>2009</v>
      </c>
      <c r="BQ2">
        <v>2010</v>
      </c>
      <c r="BR2">
        <v>2011</v>
      </c>
      <c r="BS2">
        <v>2012</v>
      </c>
      <c r="BT2">
        <v>2013</v>
      </c>
      <c r="BU2">
        <v>2014</v>
      </c>
      <c r="BV2">
        <v>2015</v>
      </c>
      <c r="BW2">
        <v>2016</v>
      </c>
      <c r="BX2">
        <v>2017</v>
      </c>
      <c r="BY2">
        <v>2018</v>
      </c>
      <c r="BZ2">
        <v>2019</v>
      </c>
      <c r="CA2">
        <v>2020</v>
      </c>
      <c r="CB2">
        <v>2021</v>
      </c>
      <c r="CC2">
        <v>2022</v>
      </c>
      <c r="CD2">
        <v>2023</v>
      </c>
      <c r="CE2">
        <v>2024</v>
      </c>
      <c r="CF2">
        <v>2025</v>
      </c>
      <c r="CG2">
        <v>2026</v>
      </c>
      <c r="CH2">
        <v>2027</v>
      </c>
      <c r="CI2">
        <v>2028</v>
      </c>
      <c r="CJ2">
        <v>2029</v>
      </c>
      <c r="CK2">
        <v>2030</v>
      </c>
    </row>
    <row r="3" spans="1:292" s="1" customFormat="1" x14ac:dyDescent="0.55000000000000004">
      <c r="A3"/>
      <c r="B3" t="s">
        <v>0</v>
      </c>
      <c r="C3"/>
      <c r="D3"/>
      <c r="E3"/>
      <c r="F3" s="1">
        <v>57594</v>
      </c>
      <c r="G3" s="1">
        <v>45646</v>
      </c>
      <c r="H3" s="1">
        <v>37432</v>
      </c>
      <c r="I3" s="1">
        <f>182795-SUM(F3:H3)</f>
        <v>42123</v>
      </c>
      <c r="J3" s="1">
        <v>74599</v>
      </c>
      <c r="K3" s="1">
        <v>58010</v>
      </c>
      <c r="L3" s="1">
        <v>49605</v>
      </c>
      <c r="M3" s="1">
        <f>233715-SUM(J3:L3)</f>
        <v>51501</v>
      </c>
      <c r="N3" s="1">
        <v>75872</v>
      </c>
      <c r="O3" s="1">
        <v>50557</v>
      </c>
      <c r="P3" s="1">
        <v>42358</v>
      </c>
      <c r="Q3" s="1">
        <f>215639-SUM(N3:P3)</f>
        <v>46852</v>
      </c>
      <c r="R3" s="1">
        <v>78351</v>
      </c>
      <c r="S3" s="1">
        <v>52896</v>
      </c>
      <c r="T3" s="1">
        <v>45408</v>
      </c>
      <c r="U3" s="1">
        <f>229234-SUM(R3:T3)</f>
        <v>52579</v>
      </c>
      <c r="V3" s="1">
        <v>88293</v>
      </c>
      <c r="W3" s="1">
        <v>61137</v>
      </c>
      <c r="X3" s="1">
        <v>53265</v>
      </c>
      <c r="Y3" s="1">
        <f>265595-SUM(V3:X3)</f>
        <v>62900</v>
      </c>
      <c r="Z3" s="1">
        <v>84310</v>
      </c>
      <c r="AA3" s="1">
        <v>58015</v>
      </c>
      <c r="AB3" s="1">
        <v>53809</v>
      </c>
      <c r="AC3" s="1">
        <f>260174-SUM(Z3:AB3)</f>
        <v>64040</v>
      </c>
      <c r="AD3" s="1">
        <v>91819</v>
      </c>
      <c r="AE3" s="1">
        <v>58313</v>
      </c>
      <c r="AF3" s="1">
        <v>59685</v>
      </c>
      <c r="AG3" s="1">
        <f>274515-SUM(AD3:AF3)</f>
        <v>64698</v>
      </c>
      <c r="AH3" s="1">
        <v>111439</v>
      </c>
      <c r="AI3" s="1">
        <v>89584</v>
      </c>
      <c r="AJ3" s="1">
        <v>81434</v>
      </c>
      <c r="AK3" s="1">
        <f>365817-SUM(AH3:AJ3)</f>
        <v>83360</v>
      </c>
      <c r="AL3" s="1">
        <v>123945</v>
      </c>
      <c r="BU3" s="1">
        <f>SUM(F3:I3)</f>
        <v>182795</v>
      </c>
      <c r="BV3" s="1">
        <f>SUM(J3:M3)</f>
        <v>233715</v>
      </c>
      <c r="BW3" s="1">
        <f>SUM(N3:Q3)</f>
        <v>215639</v>
      </c>
      <c r="BX3" s="1">
        <f>BW3*0.9</f>
        <v>194075.1</v>
      </c>
      <c r="BY3" s="1">
        <f t="shared" ref="BY3:CK3" si="0">BX3*0.9</f>
        <v>174667.59</v>
      </c>
      <c r="BZ3" s="1">
        <f>BY3*0.9</f>
        <v>157200.83100000001</v>
      </c>
      <c r="CA3" s="1">
        <f t="shared" si="0"/>
        <v>141480.74790000002</v>
      </c>
      <c r="CB3" s="1">
        <f>CA3*0.9</f>
        <v>127332.67311000002</v>
      </c>
      <c r="CC3" s="1">
        <f>CB3*0.9</f>
        <v>114599.40579900001</v>
      </c>
      <c r="CD3" s="1">
        <f t="shared" si="0"/>
        <v>103139.46521910002</v>
      </c>
      <c r="CE3" s="1">
        <f t="shared" si="0"/>
        <v>92825.518697190026</v>
      </c>
      <c r="CF3" s="1">
        <f t="shared" si="0"/>
        <v>83542.966827471027</v>
      </c>
      <c r="CG3" s="1">
        <f t="shared" si="0"/>
        <v>75188.670144723932</v>
      </c>
      <c r="CH3" s="1">
        <f t="shared" si="0"/>
        <v>67669.803130251545</v>
      </c>
      <c r="CI3" s="1">
        <f t="shared" si="0"/>
        <v>60902.822817226392</v>
      </c>
      <c r="CJ3" s="1">
        <f t="shared" si="0"/>
        <v>54812.540535503751</v>
      </c>
      <c r="CK3" s="1">
        <f t="shared" si="0"/>
        <v>49331.286481953379</v>
      </c>
    </row>
    <row r="4" spans="1:292" x14ac:dyDescent="0.55000000000000004">
      <c r="B4" t="s">
        <v>1</v>
      </c>
      <c r="F4">
        <v>35748</v>
      </c>
      <c r="G4">
        <v>27699</v>
      </c>
      <c r="H4">
        <v>22697</v>
      </c>
      <c r="I4">
        <f>112258-SUM(F4:H4)</f>
        <v>26114</v>
      </c>
      <c r="J4">
        <v>44858</v>
      </c>
      <c r="K4">
        <v>34354</v>
      </c>
      <c r="L4">
        <v>29924</v>
      </c>
      <c r="M4">
        <f>140089-SUM(J4:L4)</f>
        <v>30953</v>
      </c>
      <c r="N4">
        <v>45449</v>
      </c>
      <c r="O4">
        <v>30636</v>
      </c>
      <c r="P4">
        <v>26252</v>
      </c>
      <c r="Q4">
        <f>131376-SUM(N4:P4)</f>
        <v>29039</v>
      </c>
      <c r="R4">
        <v>48175</v>
      </c>
      <c r="S4">
        <v>32305</v>
      </c>
      <c r="T4">
        <v>27920</v>
      </c>
      <c r="U4">
        <f>141048-SUM(R4:T4)</f>
        <v>32648</v>
      </c>
      <c r="V4">
        <v>54381</v>
      </c>
      <c r="W4">
        <v>37715</v>
      </c>
      <c r="X4">
        <v>32844</v>
      </c>
      <c r="Y4">
        <f>164756-SUM(V4:X4)</f>
        <v>39816</v>
      </c>
      <c r="Z4">
        <v>52279</v>
      </c>
      <c r="AA4">
        <v>36194</v>
      </c>
      <c r="AB4">
        <v>33582</v>
      </c>
      <c r="AC4">
        <f>151782-SUM(Z4:AB4)</f>
        <v>29727</v>
      </c>
      <c r="AD4">
        <v>56602</v>
      </c>
      <c r="AE4">
        <v>35943</v>
      </c>
      <c r="AF4">
        <v>37005</v>
      </c>
      <c r="AG4">
        <f>169559-SUM(AD4:AF4)</f>
        <v>40009</v>
      </c>
      <c r="AH4">
        <v>67111</v>
      </c>
      <c r="AI4">
        <v>51505</v>
      </c>
      <c r="AJ4">
        <v>46179</v>
      </c>
      <c r="AK4">
        <f>212981-SUM(AH4:AJ4)</f>
        <v>48186</v>
      </c>
      <c r="AL4">
        <v>69702</v>
      </c>
      <c r="BU4">
        <f>SUM(I4:L4)</f>
        <v>135250</v>
      </c>
      <c r="BV4">
        <f>SUM(J4:M4)</f>
        <v>140089</v>
      </c>
      <c r="BW4" s="2">
        <f>SUM(N4:Q4)</f>
        <v>131376</v>
      </c>
      <c r="BX4">
        <f>BX3-BX5</f>
        <v>116445.06</v>
      </c>
      <c r="BY4">
        <f t="shared" ref="BY4:CK4" si="1">BY3-BY5</f>
        <v>104800.55399999999</v>
      </c>
      <c r="BZ4">
        <f t="shared" si="1"/>
        <v>94320.498599999992</v>
      </c>
      <c r="CA4">
        <f t="shared" si="1"/>
        <v>84888.448740000007</v>
      </c>
      <c r="CB4">
        <f t="shared" si="1"/>
        <v>76399.603866000005</v>
      </c>
      <c r="CC4">
        <f t="shared" si="1"/>
        <v>68759.643479400009</v>
      </c>
      <c r="CD4">
        <f t="shared" si="1"/>
        <v>61883.679131460012</v>
      </c>
      <c r="CE4">
        <f t="shared" si="1"/>
        <v>55695.311218314011</v>
      </c>
      <c r="CF4">
        <f t="shared" si="1"/>
        <v>50125.780096482616</v>
      </c>
      <c r="CG4">
        <f t="shared" si="1"/>
        <v>45113.202086834353</v>
      </c>
      <c r="CH4">
        <f t="shared" si="1"/>
        <v>40601.881878150925</v>
      </c>
      <c r="CI4">
        <f t="shared" si="1"/>
        <v>36541.693690335829</v>
      </c>
      <c r="CJ4">
        <f t="shared" si="1"/>
        <v>32887.524321302248</v>
      </c>
      <c r="CK4">
        <f t="shared" si="1"/>
        <v>29598.771889172025</v>
      </c>
    </row>
    <row r="5" spans="1:292" x14ac:dyDescent="0.55000000000000004">
      <c r="B5" t="s">
        <v>2</v>
      </c>
      <c r="F5">
        <f t="shared" ref="F5:Q5" si="2">F3-F4</f>
        <v>21846</v>
      </c>
      <c r="G5">
        <f t="shared" si="2"/>
        <v>17947</v>
      </c>
      <c r="H5">
        <f t="shared" si="2"/>
        <v>14735</v>
      </c>
      <c r="I5">
        <f t="shared" si="2"/>
        <v>16009</v>
      </c>
      <c r="J5">
        <f t="shared" si="2"/>
        <v>29741</v>
      </c>
      <c r="K5">
        <f t="shared" si="2"/>
        <v>23656</v>
      </c>
      <c r="L5">
        <f t="shared" si="2"/>
        <v>19681</v>
      </c>
      <c r="M5">
        <f t="shared" si="2"/>
        <v>20548</v>
      </c>
      <c r="N5">
        <f t="shared" si="2"/>
        <v>30423</v>
      </c>
      <c r="O5">
        <f t="shared" si="2"/>
        <v>19921</v>
      </c>
      <c r="P5">
        <f t="shared" si="2"/>
        <v>16106</v>
      </c>
      <c r="Q5">
        <f t="shared" si="2"/>
        <v>17813</v>
      </c>
      <c r="R5">
        <f t="shared" ref="R5:AL5" si="3">R3-R4</f>
        <v>30176</v>
      </c>
      <c r="S5">
        <f t="shared" si="3"/>
        <v>20591</v>
      </c>
      <c r="T5">
        <f t="shared" si="3"/>
        <v>17488</v>
      </c>
      <c r="U5">
        <f t="shared" si="3"/>
        <v>19931</v>
      </c>
      <c r="V5">
        <f t="shared" si="3"/>
        <v>33912</v>
      </c>
      <c r="W5">
        <f t="shared" si="3"/>
        <v>23422</v>
      </c>
      <c r="X5">
        <f t="shared" si="3"/>
        <v>20421</v>
      </c>
      <c r="Y5">
        <f t="shared" si="3"/>
        <v>23084</v>
      </c>
      <c r="Z5">
        <f t="shared" si="3"/>
        <v>32031</v>
      </c>
      <c r="AA5">
        <f t="shared" si="3"/>
        <v>21821</v>
      </c>
      <c r="AB5">
        <f t="shared" si="3"/>
        <v>20227</v>
      </c>
      <c r="AC5">
        <f t="shared" si="3"/>
        <v>34313</v>
      </c>
      <c r="AD5">
        <f t="shared" si="3"/>
        <v>35217</v>
      </c>
      <c r="AE5">
        <f t="shared" si="3"/>
        <v>22370</v>
      </c>
      <c r="AF5">
        <f t="shared" si="3"/>
        <v>22680</v>
      </c>
      <c r="AG5">
        <f t="shared" si="3"/>
        <v>24689</v>
      </c>
      <c r="AH5">
        <f t="shared" si="3"/>
        <v>44328</v>
      </c>
      <c r="AI5">
        <f t="shared" si="3"/>
        <v>38079</v>
      </c>
      <c r="AJ5">
        <f t="shared" si="3"/>
        <v>35255</v>
      </c>
      <c r="AK5">
        <f t="shared" si="3"/>
        <v>35174</v>
      </c>
      <c r="AL5">
        <f t="shared" si="3"/>
        <v>54243</v>
      </c>
      <c r="BU5">
        <f>BU3-BU4</f>
        <v>47545</v>
      </c>
      <c r="BV5">
        <f>BV3-BV4</f>
        <v>93626</v>
      </c>
      <c r="BW5">
        <f>BW3-BW4</f>
        <v>84263</v>
      </c>
      <c r="BX5">
        <f>BX3*0.4</f>
        <v>77630.040000000008</v>
      </c>
      <c r="BY5">
        <f t="shared" ref="BY5:CK5" si="4">BY3*0.4</f>
        <v>69867.036000000007</v>
      </c>
      <c r="BZ5">
        <f t="shared" si="4"/>
        <v>62880.332400000007</v>
      </c>
      <c r="CA5">
        <f t="shared" si="4"/>
        <v>56592.29916000001</v>
      </c>
      <c r="CB5">
        <f t="shared" si="4"/>
        <v>50933.069244000013</v>
      </c>
      <c r="CC5">
        <f t="shared" si="4"/>
        <v>45839.762319600006</v>
      </c>
      <c r="CD5">
        <f t="shared" si="4"/>
        <v>41255.786087640008</v>
      </c>
      <c r="CE5">
        <f t="shared" si="4"/>
        <v>37130.207478876015</v>
      </c>
      <c r="CF5">
        <f t="shared" si="4"/>
        <v>33417.186730988411</v>
      </c>
      <c r="CG5">
        <f t="shared" si="4"/>
        <v>30075.468057889575</v>
      </c>
      <c r="CH5">
        <f t="shared" si="4"/>
        <v>27067.921252100619</v>
      </c>
      <c r="CI5">
        <f t="shared" si="4"/>
        <v>24361.129126890559</v>
      </c>
      <c r="CJ5">
        <f t="shared" si="4"/>
        <v>21925.016214201503</v>
      </c>
      <c r="CK5">
        <f t="shared" si="4"/>
        <v>19732.514592781354</v>
      </c>
    </row>
    <row r="6" spans="1:292" x14ac:dyDescent="0.55000000000000004">
      <c r="B6" t="s">
        <v>3</v>
      </c>
      <c r="F6">
        <v>1330</v>
      </c>
      <c r="G6">
        <v>1422</v>
      </c>
      <c r="H6">
        <v>1603</v>
      </c>
      <c r="I6">
        <f>6041-SUM(F6:H6)</f>
        <v>1686</v>
      </c>
      <c r="J6">
        <v>1895</v>
      </c>
      <c r="K6">
        <v>1918</v>
      </c>
      <c r="L6">
        <v>2034</v>
      </c>
      <c r="M6">
        <f>8067-SUM(J6:L6)</f>
        <v>2220</v>
      </c>
      <c r="N6">
        <v>2404</v>
      </c>
      <c r="O6">
        <v>2511</v>
      </c>
      <c r="P6">
        <v>2560</v>
      </c>
      <c r="Q6">
        <f>10045-SUM(N6:P6)</f>
        <v>2570</v>
      </c>
      <c r="R6">
        <v>2871</v>
      </c>
      <c r="S6">
        <v>2776</v>
      </c>
      <c r="T6">
        <v>2937</v>
      </c>
      <c r="U6">
        <f>11581-SUM(R6:T6)</f>
        <v>2997</v>
      </c>
      <c r="V6">
        <v>3407</v>
      </c>
      <c r="W6">
        <v>3378</v>
      </c>
      <c r="X6">
        <v>3701</v>
      </c>
      <c r="Y6">
        <f>14236-SUM(V6:X6)</f>
        <v>3750</v>
      </c>
      <c r="Z6">
        <v>3902</v>
      </c>
      <c r="AA6">
        <v>3948</v>
      </c>
      <c r="AB6">
        <v>4257</v>
      </c>
      <c r="AC6">
        <f>16217-SUM(Z6:AB6)</f>
        <v>4110</v>
      </c>
      <c r="AD6">
        <v>4451</v>
      </c>
      <c r="AE6">
        <v>4565</v>
      </c>
      <c r="AF6">
        <v>4758</v>
      </c>
      <c r="AG6">
        <f>18752-SUM(AD6:AF6)</f>
        <v>4978</v>
      </c>
      <c r="AH6">
        <v>5163</v>
      </c>
      <c r="AI6">
        <v>5262</v>
      </c>
      <c r="AJ6">
        <v>5717</v>
      </c>
      <c r="AK6">
        <f>21914-SUM(AH6:AJ6)</f>
        <v>5772</v>
      </c>
      <c r="AL6">
        <v>6306</v>
      </c>
      <c r="BU6">
        <f>SUM(I6:L6)</f>
        <v>7533</v>
      </c>
      <c r="BV6">
        <f>SUM(J6:M6)</f>
        <v>8067</v>
      </c>
      <c r="BW6" s="2">
        <f>SUM(N6:Q6)</f>
        <v>10045</v>
      </c>
      <c r="BX6">
        <f>BW6*0.99</f>
        <v>9944.5499999999993</v>
      </c>
      <c r="BY6">
        <f t="shared" ref="BY6:CK6" si="5">BX6*0.99</f>
        <v>9845.1044999999995</v>
      </c>
      <c r="BZ6">
        <f t="shared" si="5"/>
        <v>9746.6534549999997</v>
      </c>
      <c r="CA6">
        <f t="shared" si="5"/>
        <v>9649.1869204499999</v>
      </c>
      <c r="CB6">
        <f t="shared" si="5"/>
        <v>9552.6950512455005</v>
      </c>
      <c r="CC6">
        <f t="shared" si="5"/>
        <v>9457.1681007330462</v>
      </c>
      <c r="CD6">
        <f t="shared" si="5"/>
        <v>9362.5964197257163</v>
      </c>
      <c r="CE6">
        <f t="shared" si="5"/>
        <v>9268.9704555284588</v>
      </c>
      <c r="CF6">
        <f t="shared" si="5"/>
        <v>9176.2807509731738</v>
      </c>
      <c r="CG6">
        <f t="shared" si="5"/>
        <v>9084.5179434634429</v>
      </c>
      <c r="CH6">
        <f t="shared" si="5"/>
        <v>8993.6727640288082</v>
      </c>
      <c r="CI6">
        <f t="shared" si="5"/>
        <v>8903.73603638852</v>
      </c>
      <c r="CJ6">
        <f t="shared" si="5"/>
        <v>8814.6986760246346</v>
      </c>
      <c r="CK6">
        <f t="shared" si="5"/>
        <v>8726.5516892643882</v>
      </c>
    </row>
    <row r="7" spans="1:292" x14ac:dyDescent="0.55000000000000004">
      <c r="B7" t="s">
        <v>4</v>
      </c>
      <c r="F7">
        <v>3053</v>
      </c>
      <c r="G7">
        <v>2932</v>
      </c>
      <c r="H7">
        <v>2850</v>
      </c>
      <c r="I7">
        <f>11993-SUM(F7:H7)</f>
        <v>3158</v>
      </c>
      <c r="J7">
        <v>3600</v>
      </c>
      <c r="K7">
        <v>3460</v>
      </c>
      <c r="L7">
        <v>3564</v>
      </c>
      <c r="M7">
        <f>14329-SUM(J7:L7)</f>
        <v>3705</v>
      </c>
      <c r="N7">
        <v>3848</v>
      </c>
      <c r="O7">
        <v>3423</v>
      </c>
      <c r="P7">
        <v>3441</v>
      </c>
      <c r="Q7">
        <f>14194-SUM(N7:P7)</f>
        <v>3482</v>
      </c>
      <c r="R7">
        <v>3946</v>
      </c>
      <c r="S7">
        <v>3718</v>
      </c>
      <c r="T7">
        <v>3783</v>
      </c>
      <c r="U7">
        <f>15261-SUM(R7:T7)</f>
        <v>3814</v>
      </c>
      <c r="V7">
        <v>4231</v>
      </c>
      <c r="W7">
        <v>4150</v>
      </c>
      <c r="X7">
        <v>4108</v>
      </c>
      <c r="Y7">
        <f>16705-SUM(V7:X7)</f>
        <v>4216</v>
      </c>
      <c r="Z7">
        <v>4783</v>
      </c>
      <c r="AA7">
        <v>4458</v>
      </c>
      <c r="AB7">
        <v>4426</v>
      </c>
      <c r="AC7">
        <f>18245-SUM(Z7:AB7)</f>
        <v>4578</v>
      </c>
      <c r="AD7">
        <v>5197</v>
      </c>
      <c r="AE7">
        <v>4952</v>
      </c>
      <c r="AF7">
        <v>4831</v>
      </c>
      <c r="AG7">
        <f>18245-SUM(AD7:AF7)</f>
        <v>3265</v>
      </c>
      <c r="AH7">
        <v>5631</v>
      </c>
      <c r="AI7">
        <v>5314</v>
      </c>
      <c r="AJ7">
        <v>5412</v>
      </c>
      <c r="AK7">
        <f>21973-SUM(AH7:AJ7)</f>
        <v>5616</v>
      </c>
      <c r="AL7">
        <v>6449</v>
      </c>
      <c r="BU7">
        <f>SUM(I7:L7)</f>
        <v>13782</v>
      </c>
      <c r="BV7">
        <f>SUM(J7:M7)</f>
        <v>14329</v>
      </c>
      <c r="BW7" s="2">
        <f>SUM(N7:Q7)</f>
        <v>14194</v>
      </c>
      <c r="BX7">
        <f t="shared" ref="BX7:CK7" si="6">BW7*0.99</f>
        <v>14052.06</v>
      </c>
      <c r="BY7">
        <f t="shared" si="6"/>
        <v>13911.5394</v>
      </c>
      <c r="BZ7">
        <f t="shared" si="6"/>
        <v>13772.424005999999</v>
      </c>
      <c r="CA7">
        <f t="shared" si="6"/>
        <v>13634.699765939999</v>
      </c>
      <c r="CB7">
        <f t="shared" si="6"/>
        <v>13498.352768280598</v>
      </c>
      <c r="CC7">
        <f t="shared" si="6"/>
        <v>13363.369240597793</v>
      </c>
      <c r="CD7">
        <f t="shared" si="6"/>
        <v>13229.735548191815</v>
      </c>
      <c r="CE7">
        <f t="shared" si="6"/>
        <v>13097.438192709897</v>
      </c>
      <c r="CF7">
        <f t="shared" si="6"/>
        <v>12966.463810782798</v>
      </c>
      <c r="CG7">
        <f t="shared" si="6"/>
        <v>12836.79917267497</v>
      </c>
      <c r="CH7">
        <f t="shared" si="6"/>
        <v>12708.431180948221</v>
      </c>
      <c r="CI7">
        <f t="shared" si="6"/>
        <v>12581.346869138739</v>
      </c>
      <c r="CJ7">
        <f t="shared" si="6"/>
        <v>12455.533400447352</v>
      </c>
      <c r="CK7">
        <f t="shared" si="6"/>
        <v>12330.978066442878</v>
      </c>
    </row>
    <row r="8" spans="1:292" x14ac:dyDescent="0.55000000000000004">
      <c r="B8" t="s">
        <v>5</v>
      </c>
      <c r="F8">
        <f t="shared" ref="F8:Q8" si="7">SUM(F6:F7)</f>
        <v>4383</v>
      </c>
      <c r="G8">
        <f t="shared" si="7"/>
        <v>4354</v>
      </c>
      <c r="H8">
        <f t="shared" si="7"/>
        <v>4453</v>
      </c>
      <c r="I8">
        <f t="shared" si="7"/>
        <v>4844</v>
      </c>
      <c r="J8">
        <f t="shared" si="7"/>
        <v>5495</v>
      </c>
      <c r="K8">
        <f t="shared" si="7"/>
        <v>5378</v>
      </c>
      <c r="L8">
        <f t="shared" si="7"/>
        <v>5598</v>
      </c>
      <c r="M8">
        <f t="shared" si="7"/>
        <v>5925</v>
      </c>
      <c r="N8">
        <f t="shared" si="7"/>
        <v>6252</v>
      </c>
      <c r="O8">
        <f t="shared" si="7"/>
        <v>5934</v>
      </c>
      <c r="P8">
        <f t="shared" si="7"/>
        <v>6001</v>
      </c>
      <c r="Q8">
        <f t="shared" si="7"/>
        <v>6052</v>
      </c>
      <c r="R8">
        <f t="shared" ref="R8:AL8" si="8">SUM(R6:R7)</f>
        <v>6817</v>
      </c>
      <c r="S8">
        <f t="shared" si="8"/>
        <v>6494</v>
      </c>
      <c r="T8">
        <f t="shared" si="8"/>
        <v>6720</v>
      </c>
      <c r="U8">
        <f t="shared" si="8"/>
        <v>6811</v>
      </c>
      <c r="V8">
        <f t="shared" si="8"/>
        <v>7638</v>
      </c>
      <c r="W8">
        <f t="shared" si="8"/>
        <v>7528</v>
      </c>
      <c r="X8">
        <f t="shared" si="8"/>
        <v>7809</v>
      </c>
      <c r="Y8">
        <f t="shared" si="8"/>
        <v>7966</v>
      </c>
      <c r="Z8">
        <f t="shared" si="8"/>
        <v>8685</v>
      </c>
      <c r="AA8">
        <f t="shared" si="8"/>
        <v>8406</v>
      </c>
      <c r="AB8">
        <f t="shared" si="8"/>
        <v>8683</v>
      </c>
      <c r="AC8">
        <f t="shared" si="8"/>
        <v>8688</v>
      </c>
      <c r="AD8">
        <f t="shared" si="8"/>
        <v>9648</v>
      </c>
      <c r="AE8">
        <f t="shared" si="8"/>
        <v>9517</v>
      </c>
      <c r="AF8">
        <f t="shared" si="8"/>
        <v>9589</v>
      </c>
      <c r="AG8">
        <f t="shared" si="8"/>
        <v>8243</v>
      </c>
      <c r="AH8">
        <f t="shared" si="8"/>
        <v>10794</v>
      </c>
      <c r="AI8">
        <f t="shared" si="8"/>
        <v>10576</v>
      </c>
      <c r="AJ8">
        <f t="shared" si="8"/>
        <v>11129</v>
      </c>
      <c r="AK8">
        <f t="shared" si="8"/>
        <v>11388</v>
      </c>
      <c r="AL8">
        <f t="shared" si="8"/>
        <v>12755</v>
      </c>
      <c r="BU8">
        <f>SUM(BU6:BU7)</f>
        <v>21315</v>
      </c>
      <c r="BV8">
        <f>SUM(BV6:BV7)</f>
        <v>22396</v>
      </c>
      <c r="BW8">
        <f>SUM(BW6:BW7)</f>
        <v>24239</v>
      </c>
      <c r="BX8">
        <f t="shared" ref="BX8:CK8" si="9">SUM(BX6:BX7)</f>
        <v>23996.61</v>
      </c>
      <c r="BY8">
        <f t="shared" si="9"/>
        <v>23756.643899999999</v>
      </c>
      <c r="BZ8">
        <f t="shared" si="9"/>
        <v>23519.077461000001</v>
      </c>
      <c r="CA8">
        <f t="shared" si="9"/>
        <v>23283.886686389997</v>
      </c>
      <c r="CB8">
        <f t="shared" si="9"/>
        <v>23051.047819526098</v>
      </c>
      <c r="CC8">
        <f t="shared" si="9"/>
        <v>22820.537341330841</v>
      </c>
      <c r="CD8">
        <f t="shared" si="9"/>
        <v>22592.331967917533</v>
      </c>
      <c r="CE8">
        <f t="shared" si="9"/>
        <v>22366.408648238357</v>
      </c>
      <c r="CF8">
        <f t="shared" si="9"/>
        <v>22142.744561755972</v>
      </c>
      <c r="CG8">
        <f t="shared" si="9"/>
        <v>21921.317116138413</v>
      </c>
      <c r="CH8">
        <f t="shared" si="9"/>
        <v>21702.103944977029</v>
      </c>
      <c r="CI8">
        <f t="shared" si="9"/>
        <v>21485.082905527259</v>
      </c>
      <c r="CJ8">
        <f t="shared" si="9"/>
        <v>21270.232076471984</v>
      </c>
      <c r="CK8">
        <f t="shared" si="9"/>
        <v>21057.529755707266</v>
      </c>
    </row>
    <row r="9" spans="1:292" x14ac:dyDescent="0.55000000000000004">
      <c r="B9" t="s">
        <v>6</v>
      </c>
      <c r="F9">
        <v>17463</v>
      </c>
      <c r="G9">
        <v>13593</v>
      </c>
      <c r="H9">
        <v>10282</v>
      </c>
      <c r="I9">
        <f>52053-SUM(F9:H9)</f>
        <v>10715</v>
      </c>
      <c r="J9">
        <v>24246</v>
      </c>
      <c r="K9">
        <v>18278</v>
      </c>
      <c r="L9">
        <v>14083</v>
      </c>
      <c r="M9">
        <f>71230-SUM(J9:L9)</f>
        <v>14623</v>
      </c>
      <c r="N9">
        <f t="shared" ref="N9:AL9" si="10">N5-N8</f>
        <v>24171</v>
      </c>
      <c r="O9">
        <f t="shared" si="10"/>
        <v>13987</v>
      </c>
      <c r="P9">
        <f t="shared" si="10"/>
        <v>10105</v>
      </c>
      <c r="Q9">
        <f t="shared" si="10"/>
        <v>11761</v>
      </c>
      <c r="R9">
        <f t="shared" si="10"/>
        <v>23359</v>
      </c>
      <c r="S9">
        <f t="shared" si="10"/>
        <v>14097</v>
      </c>
      <c r="T9">
        <f t="shared" si="10"/>
        <v>10768</v>
      </c>
      <c r="U9">
        <f t="shared" si="10"/>
        <v>13120</v>
      </c>
      <c r="V9">
        <f t="shared" si="10"/>
        <v>26274</v>
      </c>
      <c r="W9">
        <f t="shared" si="10"/>
        <v>15894</v>
      </c>
      <c r="X9">
        <f t="shared" si="10"/>
        <v>12612</v>
      </c>
      <c r="Y9">
        <f t="shared" si="10"/>
        <v>15118</v>
      </c>
      <c r="Z9">
        <f t="shared" si="10"/>
        <v>23346</v>
      </c>
      <c r="AA9">
        <f t="shared" si="10"/>
        <v>13415</v>
      </c>
      <c r="AB9">
        <f t="shared" si="10"/>
        <v>11544</v>
      </c>
      <c r="AC9">
        <f t="shared" si="10"/>
        <v>25625</v>
      </c>
      <c r="AD9">
        <f t="shared" si="10"/>
        <v>25569</v>
      </c>
      <c r="AE9">
        <f t="shared" si="10"/>
        <v>12853</v>
      </c>
      <c r="AF9">
        <f t="shared" si="10"/>
        <v>13091</v>
      </c>
      <c r="AG9">
        <f t="shared" si="10"/>
        <v>16446</v>
      </c>
      <c r="AH9">
        <f t="shared" si="10"/>
        <v>33534</v>
      </c>
      <c r="AI9">
        <f t="shared" si="10"/>
        <v>27503</v>
      </c>
      <c r="AJ9">
        <f t="shared" si="10"/>
        <v>24126</v>
      </c>
      <c r="AK9">
        <f t="shared" si="10"/>
        <v>23786</v>
      </c>
      <c r="AL9">
        <f t="shared" si="10"/>
        <v>41488</v>
      </c>
      <c r="BU9">
        <f>BU5-BU8</f>
        <v>26230</v>
      </c>
      <c r="BV9">
        <f>BV5-BV8</f>
        <v>71230</v>
      </c>
      <c r="BW9">
        <f>BW5-BW8</f>
        <v>60024</v>
      </c>
      <c r="BX9">
        <f t="shared" ref="BX9:CK9" si="11">BX5-BX8</f>
        <v>53633.430000000008</v>
      </c>
      <c r="BY9">
        <f t="shared" si="11"/>
        <v>46110.392100000012</v>
      </c>
      <c r="BZ9">
        <f t="shared" si="11"/>
        <v>39361.254939000006</v>
      </c>
      <c r="CA9">
        <f t="shared" si="11"/>
        <v>33308.412473610013</v>
      </c>
      <c r="CB9">
        <f t="shared" si="11"/>
        <v>27882.021424473915</v>
      </c>
      <c r="CC9">
        <f t="shared" si="11"/>
        <v>23019.224978269165</v>
      </c>
      <c r="CD9">
        <f t="shared" si="11"/>
        <v>18663.454119722475</v>
      </c>
      <c r="CE9">
        <f t="shared" si="11"/>
        <v>14763.798830637657</v>
      </c>
      <c r="CF9">
        <f t="shared" si="11"/>
        <v>11274.442169232439</v>
      </c>
      <c r="CG9">
        <f t="shared" si="11"/>
        <v>8154.1509417511625</v>
      </c>
      <c r="CH9">
        <f t="shared" si="11"/>
        <v>5365.8173071235906</v>
      </c>
      <c r="CI9">
        <f t="shared" si="11"/>
        <v>2876.0462213633</v>
      </c>
      <c r="CJ9">
        <f t="shared" si="11"/>
        <v>654.78413772951899</v>
      </c>
      <c r="CK9">
        <f t="shared" si="11"/>
        <v>-1325.0151629259126</v>
      </c>
    </row>
    <row r="10" spans="1:292" x14ac:dyDescent="0.55000000000000004">
      <c r="B10" t="s">
        <v>39</v>
      </c>
      <c r="F10">
        <v>246</v>
      </c>
      <c r="G10">
        <v>225</v>
      </c>
      <c r="H10">
        <v>202</v>
      </c>
      <c r="I10">
        <f>980-SUM(F10:H10)</f>
        <v>307</v>
      </c>
      <c r="J10">
        <v>170</v>
      </c>
      <c r="K10">
        <v>286</v>
      </c>
      <c r="L10">
        <v>390</v>
      </c>
      <c r="M10">
        <f>1285-SUM(J10:L10)</f>
        <v>439</v>
      </c>
      <c r="N10">
        <v>402</v>
      </c>
      <c r="O10">
        <v>155</v>
      </c>
      <c r="P10">
        <v>364</v>
      </c>
      <c r="Q10">
        <f>1348-SUM(N10:P10)</f>
        <v>427</v>
      </c>
      <c r="R10">
        <v>821</v>
      </c>
      <c r="S10">
        <v>587</v>
      </c>
      <c r="T10">
        <v>540</v>
      </c>
      <c r="U10">
        <f>2745-SUM(R10:T10)</f>
        <v>797</v>
      </c>
      <c r="V10">
        <v>756</v>
      </c>
      <c r="W10">
        <v>274</v>
      </c>
      <c r="X10">
        <v>672</v>
      </c>
      <c r="Y10">
        <f>2005-SUM(V10:X10)</f>
        <v>303</v>
      </c>
      <c r="Z10">
        <v>560</v>
      </c>
      <c r="AA10">
        <v>378</v>
      </c>
      <c r="AB10">
        <v>367</v>
      </c>
      <c r="AC10">
        <f>1807-SUM(Z10:AB10)</f>
        <v>502</v>
      </c>
      <c r="AD10">
        <v>349</v>
      </c>
      <c r="AE10">
        <v>282</v>
      </c>
      <c r="AF10">
        <v>46</v>
      </c>
      <c r="AG10">
        <f>803-SUM(AD10:AF10)</f>
        <v>126</v>
      </c>
      <c r="AH10">
        <v>45</v>
      </c>
      <c r="AI10">
        <v>508</v>
      </c>
      <c r="AJ10">
        <v>243</v>
      </c>
      <c r="AK10">
        <f>252-SUM(AH10:AJ10)</f>
        <v>-544</v>
      </c>
      <c r="AL10">
        <v>-247</v>
      </c>
      <c r="BU10">
        <f>SUM(I10:L10)</f>
        <v>1153</v>
      </c>
      <c r="BV10">
        <f>SUM(J10:M10)</f>
        <v>1285</v>
      </c>
      <c r="BW10" s="2">
        <f>SUM(N10:Q10)</f>
        <v>1348</v>
      </c>
      <c r="BX10">
        <f>BW10*1.01</f>
        <v>1361.48</v>
      </c>
      <c r="BY10">
        <f t="shared" ref="BY10:CK10" si="12">BX10*1.01</f>
        <v>1375.0948000000001</v>
      </c>
      <c r="BZ10">
        <f t="shared" si="12"/>
        <v>1388.8457480000002</v>
      </c>
      <c r="CA10">
        <f t="shared" si="12"/>
        <v>1402.7342054800001</v>
      </c>
      <c r="CB10">
        <f t="shared" si="12"/>
        <v>1416.7615475348002</v>
      </c>
      <c r="CC10">
        <f t="shared" si="12"/>
        <v>1430.9291630101482</v>
      </c>
      <c r="CD10">
        <f t="shared" si="12"/>
        <v>1445.2384546402498</v>
      </c>
      <c r="CE10">
        <f t="shared" si="12"/>
        <v>1459.6908391866523</v>
      </c>
      <c r="CF10">
        <f t="shared" si="12"/>
        <v>1474.2877475785187</v>
      </c>
      <c r="CG10">
        <f t="shared" si="12"/>
        <v>1489.030625054304</v>
      </c>
      <c r="CH10">
        <f t="shared" si="12"/>
        <v>1503.920931304847</v>
      </c>
      <c r="CI10">
        <f t="shared" si="12"/>
        <v>1518.9601406178956</v>
      </c>
      <c r="CJ10">
        <f t="shared" si="12"/>
        <v>1534.1497420240746</v>
      </c>
      <c r="CK10">
        <f t="shared" si="12"/>
        <v>1549.4912394443154</v>
      </c>
    </row>
    <row r="11" spans="1:292" x14ac:dyDescent="0.55000000000000004">
      <c r="B11" t="s">
        <v>7</v>
      </c>
      <c r="F11">
        <f t="shared" ref="F11:Q11" si="13">SUM(F9:F10)</f>
        <v>17709</v>
      </c>
      <c r="G11">
        <f t="shared" si="13"/>
        <v>13818</v>
      </c>
      <c r="H11">
        <f t="shared" si="13"/>
        <v>10484</v>
      </c>
      <c r="I11">
        <f t="shared" si="13"/>
        <v>11022</v>
      </c>
      <c r="J11">
        <f t="shared" si="13"/>
        <v>24416</v>
      </c>
      <c r="K11">
        <f t="shared" si="13"/>
        <v>18564</v>
      </c>
      <c r="L11">
        <f t="shared" si="13"/>
        <v>14473</v>
      </c>
      <c r="M11">
        <f t="shared" si="13"/>
        <v>15062</v>
      </c>
      <c r="N11">
        <f t="shared" si="13"/>
        <v>24573</v>
      </c>
      <c r="O11">
        <f t="shared" si="13"/>
        <v>14142</v>
      </c>
      <c r="P11">
        <f t="shared" si="13"/>
        <v>10469</v>
      </c>
      <c r="Q11">
        <f t="shared" si="13"/>
        <v>12188</v>
      </c>
      <c r="R11">
        <f t="shared" ref="R11:AL11" si="14">SUM(R9:R10)</f>
        <v>24180</v>
      </c>
      <c r="S11">
        <f t="shared" si="14"/>
        <v>14684</v>
      </c>
      <c r="T11">
        <f t="shared" si="14"/>
        <v>11308</v>
      </c>
      <c r="U11">
        <f t="shared" si="14"/>
        <v>13917</v>
      </c>
      <c r="V11">
        <f t="shared" si="14"/>
        <v>27030</v>
      </c>
      <c r="W11">
        <f t="shared" si="14"/>
        <v>16168</v>
      </c>
      <c r="X11">
        <f t="shared" si="14"/>
        <v>13284</v>
      </c>
      <c r="Y11">
        <f t="shared" si="14"/>
        <v>15421</v>
      </c>
      <c r="Z11">
        <f t="shared" si="14"/>
        <v>23906</v>
      </c>
      <c r="AA11">
        <f t="shared" si="14"/>
        <v>13793</v>
      </c>
      <c r="AB11">
        <f t="shared" si="14"/>
        <v>11911</v>
      </c>
      <c r="AC11">
        <f t="shared" si="14"/>
        <v>26127</v>
      </c>
      <c r="AD11">
        <f t="shared" si="14"/>
        <v>25918</v>
      </c>
      <c r="AE11">
        <f t="shared" si="14"/>
        <v>13135</v>
      </c>
      <c r="AF11">
        <f t="shared" si="14"/>
        <v>13137</v>
      </c>
      <c r="AG11">
        <f t="shared" si="14"/>
        <v>16572</v>
      </c>
      <c r="AH11">
        <f t="shared" si="14"/>
        <v>33579</v>
      </c>
      <c r="AI11">
        <f t="shared" si="14"/>
        <v>28011</v>
      </c>
      <c r="AJ11">
        <f t="shared" si="14"/>
        <v>24369</v>
      </c>
      <c r="AK11">
        <f t="shared" si="14"/>
        <v>23242</v>
      </c>
      <c r="AL11">
        <f t="shared" si="14"/>
        <v>41241</v>
      </c>
      <c r="BU11">
        <f>SUM(BU9:BU10)</f>
        <v>27383</v>
      </c>
      <c r="BV11">
        <f>SUM(BV9:BV10)</f>
        <v>72515</v>
      </c>
      <c r="BW11">
        <f>SUM(BW9:BW10)</f>
        <v>61372</v>
      </c>
      <c r="BX11">
        <f t="shared" ref="BX11:CK11" si="15">SUM(BX9:BX10)</f>
        <v>54994.910000000011</v>
      </c>
      <c r="BY11">
        <f t="shared" si="15"/>
        <v>47485.486900000011</v>
      </c>
      <c r="BZ11">
        <f t="shared" si="15"/>
        <v>40750.100687000006</v>
      </c>
      <c r="CA11">
        <f t="shared" si="15"/>
        <v>34711.146679090016</v>
      </c>
      <c r="CB11">
        <f t="shared" si="15"/>
        <v>29298.782972008714</v>
      </c>
      <c r="CC11">
        <f t="shared" si="15"/>
        <v>24450.154141279312</v>
      </c>
      <c r="CD11">
        <f t="shared" si="15"/>
        <v>20108.692574362725</v>
      </c>
      <c r="CE11">
        <f t="shared" si="15"/>
        <v>16223.48966982431</v>
      </c>
      <c r="CF11">
        <f t="shared" si="15"/>
        <v>12748.729916810958</v>
      </c>
      <c r="CG11">
        <f t="shared" si="15"/>
        <v>9643.181566805466</v>
      </c>
      <c r="CH11">
        <f t="shared" si="15"/>
        <v>6869.7382384284374</v>
      </c>
      <c r="CI11">
        <f t="shared" si="15"/>
        <v>4395.0063619811954</v>
      </c>
      <c r="CJ11">
        <f t="shared" si="15"/>
        <v>2188.9338797535938</v>
      </c>
      <c r="CK11">
        <f t="shared" si="15"/>
        <v>224.47607651840281</v>
      </c>
    </row>
    <row r="12" spans="1:292" x14ac:dyDescent="0.55000000000000004">
      <c r="B12" t="s">
        <v>8</v>
      </c>
      <c r="F12">
        <v>4637</v>
      </c>
      <c r="G12">
        <v>3595</v>
      </c>
      <c r="H12">
        <v>2736</v>
      </c>
      <c r="I12">
        <f>13973-SUM(F12:H12)</f>
        <v>3005</v>
      </c>
      <c r="J12">
        <v>6392</v>
      </c>
      <c r="K12">
        <v>4995</v>
      </c>
      <c r="L12">
        <v>3796</v>
      </c>
      <c r="M12">
        <f>19121-SUM(J12:L12)</f>
        <v>3938</v>
      </c>
      <c r="N12">
        <v>6212</v>
      </c>
      <c r="O12">
        <v>3626</v>
      </c>
      <c r="P12">
        <v>2673</v>
      </c>
      <c r="Q12">
        <f>15685-SUM(N12:P12)</f>
        <v>3174</v>
      </c>
      <c r="R12">
        <v>6289</v>
      </c>
      <c r="S12">
        <v>3655</v>
      </c>
      <c r="T12">
        <v>2591</v>
      </c>
      <c r="U12">
        <f>15738-SUM(R12:T12)</f>
        <v>3203</v>
      </c>
      <c r="V12">
        <v>6965</v>
      </c>
      <c r="W12">
        <v>2346</v>
      </c>
      <c r="X12">
        <v>1765</v>
      </c>
      <c r="Y12">
        <f>13372-SUM(V12:X12)</f>
        <v>2296</v>
      </c>
      <c r="Z12">
        <v>3941</v>
      </c>
      <c r="AA12">
        <v>2232</v>
      </c>
      <c r="AB12">
        <v>1867</v>
      </c>
      <c r="AC12">
        <f>10481-SUM(Z12:AB12)</f>
        <v>2441</v>
      </c>
      <c r="AD12">
        <v>3682</v>
      </c>
      <c r="AE12">
        <v>1886</v>
      </c>
      <c r="AF12">
        <v>1884</v>
      </c>
      <c r="AG12">
        <f>9680-SUM(AD12:AF12)</f>
        <v>2228</v>
      </c>
      <c r="AH12">
        <v>4824</v>
      </c>
      <c r="AI12">
        <v>4381</v>
      </c>
      <c r="AJ12">
        <v>2625</v>
      </c>
      <c r="AK12">
        <f>14527-SUM(AH12:AJ12)</f>
        <v>2697</v>
      </c>
      <c r="AL12">
        <v>6611</v>
      </c>
      <c r="BU12">
        <f>SUM(I12:L12)</f>
        <v>18188</v>
      </c>
      <c r="BV12">
        <f>SUM(J12:M12)</f>
        <v>19121</v>
      </c>
      <c r="BW12" s="2">
        <f>SUM(N12:Q12)</f>
        <v>15685</v>
      </c>
      <c r="BX12">
        <f>BX11*0.25</f>
        <v>13748.727500000003</v>
      </c>
      <c r="BY12">
        <f t="shared" ref="BY12:CK12" si="16">BY11*0.25</f>
        <v>11871.371725000003</v>
      </c>
      <c r="BZ12">
        <f t="shared" si="16"/>
        <v>10187.525171750001</v>
      </c>
      <c r="CA12">
        <f t="shared" si="16"/>
        <v>8677.786669772504</v>
      </c>
      <c r="CB12">
        <f t="shared" si="16"/>
        <v>7324.6957430021785</v>
      </c>
      <c r="CC12">
        <f t="shared" si="16"/>
        <v>6112.538535319828</v>
      </c>
      <c r="CD12">
        <f t="shared" si="16"/>
        <v>5027.1731435906813</v>
      </c>
      <c r="CE12">
        <f t="shared" si="16"/>
        <v>4055.8724174560775</v>
      </c>
      <c r="CF12">
        <f t="shared" si="16"/>
        <v>3187.1824792027396</v>
      </c>
      <c r="CG12">
        <f t="shared" si="16"/>
        <v>2410.7953917013665</v>
      </c>
      <c r="CH12">
        <f t="shared" si="16"/>
        <v>1717.4345596071093</v>
      </c>
      <c r="CI12">
        <f t="shared" si="16"/>
        <v>1098.7515904952988</v>
      </c>
      <c r="CJ12">
        <f t="shared" si="16"/>
        <v>547.23346993839846</v>
      </c>
      <c r="CK12">
        <f t="shared" si="16"/>
        <v>56.119019129600701</v>
      </c>
    </row>
    <row r="13" spans="1:292" s="1" customFormat="1" x14ac:dyDescent="0.55000000000000004">
      <c r="A13" t="s">
        <v>43</v>
      </c>
      <c r="B13" t="s">
        <v>9</v>
      </c>
      <c r="C13"/>
      <c r="D13"/>
      <c r="E13"/>
      <c r="F13">
        <f t="shared" ref="F13:Q13" si="17">F11-F12</f>
        <v>13072</v>
      </c>
      <c r="G13">
        <f t="shared" si="17"/>
        <v>10223</v>
      </c>
      <c r="H13">
        <f t="shared" si="17"/>
        <v>7748</v>
      </c>
      <c r="I13">
        <f t="shared" si="17"/>
        <v>8017</v>
      </c>
      <c r="J13">
        <f t="shared" si="17"/>
        <v>18024</v>
      </c>
      <c r="K13">
        <f t="shared" si="17"/>
        <v>13569</v>
      </c>
      <c r="L13">
        <f t="shared" si="17"/>
        <v>10677</v>
      </c>
      <c r="M13">
        <f t="shared" si="17"/>
        <v>11124</v>
      </c>
      <c r="N13">
        <f t="shared" si="17"/>
        <v>18361</v>
      </c>
      <c r="O13">
        <f t="shared" si="17"/>
        <v>10516</v>
      </c>
      <c r="P13">
        <f t="shared" si="17"/>
        <v>7796</v>
      </c>
      <c r="Q13">
        <f t="shared" si="17"/>
        <v>9014</v>
      </c>
      <c r="R13">
        <f t="shared" ref="R13:AL13" si="18">R11-R12</f>
        <v>17891</v>
      </c>
      <c r="S13">
        <f t="shared" si="18"/>
        <v>11029</v>
      </c>
      <c r="T13">
        <f t="shared" si="18"/>
        <v>8717</v>
      </c>
      <c r="U13">
        <f t="shared" si="18"/>
        <v>10714</v>
      </c>
      <c r="V13">
        <f t="shared" si="18"/>
        <v>20065</v>
      </c>
      <c r="W13">
        <f t="shared" si="18"/>
        <v>13822</v>
      </c>
      <c r="X13">
        <f t="shared" si="18"/>
        <v>11519</v>
      </c>
      <c r="Y13">
        <f t="shared" si="18"/>
        <v>13125</v>
      </c>
      <c r="Z13">
        <f t="shared" si="18"/>
        <v>19965</v>
      </c>
      <c r="AA13">
        <f t="shared" si="18"/>
        <v>11561</v>
      </c>
      <c r="AB13">
        <f t="shared" si="18"/>
        <v>10044</v>
      </c>
      <c r="AC13">
        <f t="shared" si="18"/>
        <v>23686</v>
      </c>
      <c r="AD13">
        <f t="shared" si="18"/>
        <v>22236</v>
      </c>
      <c r="AE13">
        <f t="shared" si="18"/>
        <v>11249</v>
      </c>
      <c r="AF13">
        <f t="shared" si="18"/>
        <v>11253</v>
      </c>
      <c r="AG13">
        <f t="shared" si="18"/>
        <v>14344</v>
      </c>
      <c r="AH13">
        <f t="shared" si="18"/>
        <v>28755</v>
      </c>
      <c r="AI13">
        <f t="shared" si="18"/>
        <v>23630</v>
      </c>
      <c r="AJ13">
        <f t="shared" si="18"/>
        <v>21744</v>
      </c>
      <c r="AK13">
        <f t="shared" si="18"/>
        <v>20545</v>
      </c>
      <c r="AL13">
        <f t="shared" si="18"/>
        <v>34630</v>
      </c>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s="1">
        <f>SUM(I13:L13)</f>
        <v>50287</v>
      </c>
      <c r="BV13" s="1">
        <f>SUM(J13:M13)</f>
        <v>53394</v>
      </c>
      <c r="BW13" s="1">
        <f>BW11-BW12</f>
        <v>45687</v>
      </c>
      <c r="BX13" s="1">
        <f>BX11-BX12</f>
        <v>41246.18250000001</v>
      </c>
      <c r="BY13" s="1">
        <f t="shared" ref="BY13:CJ13" si="19">BY11-BY12</f>
        <v>35614.115175000006</v>
      </c>
      <c r="BZ13" s="1">
        <f t="shared" si="19"/>
        <v>30562.575515250006</v>
      </c>
      <c r="CA13" s="1">
        <f t="shared" si="19"/>
        <v>26033.360009317512</v>
      </c>
      <c r="CB13" s="1">
        <f t="shared" si="19"/>
        <v>21974.087229006534</v>
      </c>
      <c r="CC13" s="1">
        <f t="shared" si="19"/>
        <v>18337.615605959483</v>
      </c>
      <c r="CD13" s="1">
        <f t="shared" si="19"/>
        <v>15081.519430772045</v>
      </c>
      <c r="CE13" s="1">
        <f t="shared" si="19"/>
        <v>12167.617252368233</v>
      </c>
      <c r="CF13" s="1">
        <f t="shared" si="19"/>
        <v>9561.5474376082184</v>
      </c>
      <c r="CG13" s="1">
        <f t="shared" si="19"/>
        <v>7232.3861751040995</v>
      </c>
      <c r="CH13" s="1">
        <f t="shared" si="19"/>
        <v>5152.3036788213285</v>
      </c>
      <c r="CI13" s="1">
        <f t="shared" si="19"/>
        <v>3296.2547714858965</v>
      </c>
      <c r="CJ13" s="1">
        <f t="shared" si="19"/>
        <v>1641.7004098151954</v>
      </c>
      <c r="CK13" s="1">
        <f>CK11-CK12</f>
        <v>168.3570573888021</v>
      </c>
      <c r="CL13" s="1">
        <f>CK13*(1+$CN$16)</f>
        <v>161.62277509325003</v>
      </c>
      <c r="CM13" s="1">
        <f t="shared" ref="CM13:EX13" si="20">CL13*(1+$CN$16)</f>
        <v>155.15786408952002</v>
      </c>
      <c r="CN13" s="1">
        <f>CM13*(1+$CN$16)</f>
        <v>148.95154952593921</v>
      </c>
      <c r="CO13" s="1">
        <f t="shared" si="20"/>
        <v>142.99348754490163</v>
      </c>
      <c r="CP13" s="1">
        <f t="shared" si="20"/>
        <v>137.27374804310557</v>
      </c>
      <c r="CQ13" s="1">
        <f t="shared" si="20"/>
        <v>131.78279812138135</v>
      </c>
      <c r="CR13" s="1">
        <f t="shared" si="20"/>
        <v>126.51148619652609</v>
      </c>
      <c r="CS13" s="1">
        <f t="shared" si="20"/>
        <v>121.45102674866504</v>
      </c>
      <c r="CT13" s="1">
        <f t="shared" si="20"/>
        <v>116.59298567871843</v>
      </c>
      <c r="CU13" s="1">
        <f t="shared" si="20"/>
        <v>111.9292662515697</v>
      </c>
      <c r="CV13" s="1">
        <f t="shared" si="20"/>
        <v>107.45209560150691</v>
      </c>
      <c r="CW13" s="1">
        <f t="shared" si="20"/>
        <v>103.15401177744663</v>
      </c>
      <c r="CX13" s="1">
        <f t="shared" si="20"/>
        <v>99.027851306348765</v>
      </c>
      <c r="CY13" s="1">
        <f t="shared" si="20"/>
        <v>95.066737254094818</v>
      </c>
      <c r="CZ13" s="1">
        <f t="shared" si="20"/>
        <v>91.264067763931024</v>
      </c>
      <c r="DA13" s="1">
        <f t="shared" si="20"/>
        <v>87.613505053373785</v>
      </c>
      <c r="DB13" s="1">
        <f t="shared" si="20"/>
        <v>84.108964851238838</v>
      </c>
      <c r="DC13" s="1">
        <f t="shared" si="20"/>
        <v>80.744606257189275</v>
      </c>
      <c r="DD13" s="1">
        <f t="shared" si="20"/>
        <v>77.514822006901696</v>
      </c>
      <c r="DE13" s="1">
        <f t="shared" si="20"/>
        <v>74.414229126625628</v>
      </c>
      <c r="DF13" s="1">
        <f t="shared" si="20"/>
        <v>71.437659961560598</v>
      </c>
      <c r="DG13" s="1">
        <f t="shared" si="20"/>
        <v>68.580153563098179</v>
      </c>
      <c r="DH13" s="1">
        <f t="shared" si="20"/>
        <v>65.836947420574248</v>
      </c>
      <c r="DI13" s="1">
        <f t="shared" si="20"/>
        <v>63.203469523751274</v>
      </c>
      <c r="DJ13" s="1">
        <f t="shared" si="20"/>
        <v>60.675330742801222</v>
      </c>
      <c r="DK13" s="1">
        <f t="shared" si="20"/>
        <v>58.248317513089169</v>
      </c>
      <c r="DL13" s="1">
        <f t="shared" si="20"/>
        <v>55.918384812565598</v>
      </c>
      <c r="DM13" s="1">
        <f t="shared" si="20"/>
        <v>53.681649420062975</v>
      </c>
      <c r="DN13" s="1">
        <f t="shared" si="20"/>
        <v>51.534383443260452</v>
      </c>
      <c r="DO13" s="1">
        <f t="shared" si="20"/>
        <v>49.473008105530035</v>
      </c>
      <c r="DP13" s="1">
        <f t="shared" si="20"/>
        <v>47.494087781308835</v>
      </c>
      <c r="DQ13" s="1">
        <f t="shared" si="20"/>
        <v>45.594324270056482</v>
      </c>
      <c r="DR13" s="1">
        <f t="shared" si="20"/>
        <v>43.770551299254222</v>
      </c>
      <c r="DS13" s="1">
        <f t="shared" si="20"/>
        <v>42.019729247284054</v>
      </c>
      <c r="DT13" s="1">
        <f t="shared" si="20"/>
        <v>40.338940077392692</v>
      </c>
      <c r="DU13" s="1">
        <f t="shared" si="20"/>
        <v>38.725382474296985</v>
      </c>
      <c r="DV13" s="1">
        <f t="shared" si="20"/>
        <v>37.176367175325105</v>
      </c>
      <c r="DW13" s="1">
        <f t="shared" si="20"/>
        <v>35.689312488312098</v>
      </c>
      <c r="DX13" s="1">
        <f t="shared" si="20"/>
        <v>34.26173998877961</v>
      </c>
      <c r="DY13" s="1">
        <f t="shared" si="20"/>
        <v>32.891270389228424</v>
      </c>
      <c r="DZ13" s="1">
        <f t="shared" si="20"/>
        <v>31.575619573659285</v>
      </c>
      <c r="EA13" s="1">
        <f t="shared" si="20"/>
        <v>30.312594790712911</v>
      </c>
      <c r="EB13" s="1">
        <f t="shared" si="20"/>
        <v>29.100090999084394</v>
      </c>
      <c r="EC13" s="1">
        <f t="shared" si="20"/>
        <v>27.936087359121018</v>
      </c>
      <c r="ED13" s="1">
        <f t="shared" si="20"/>
        <v>26.818643864756176</v>
      </c>
      <c r="EE13" s="1">
        <f t="shared" si="20"/>
        <v>25.745898110165928</v>
      </c>
      <c r="EF13" s="1">
        <f t="shared" si="20"/>
        <v>24.716062185759291</v>
      </c>
      <c r="EG13" s="1">
        <f t="shared" si="20"/>
        <v>23.727419698328919</v>
      </c>
      <c r="EH13" s="1">
        <f t="shared" si="20"/>
        <v>22.778322910395762</v>
      </c>
      <c r="EI13" s="1">
        <f t="shared" si="20"/>
        <v>21.867189993979931</v>
      </c>
      <c r="EJ13" s="1">
        <f t="shared" si="20"/>
        <v>20.992502394220732</v>
      </c>
      <c r="EK13" s="1">
        <f t="shared" si="20"/>
        <v>20.152802298451903</v>
      </c>
      <c r="EL13" s="1">
        <f t="shared" si="20"/>
        <v>19.346690206513827</v>
      </c>
      <c r="EM13" s="1">
        <f t="shared" si="20"/>
        <v>18.572822598253275</v>
      </c>
      <c r="EN13" s="1">
        <f t="shared" si="20"/>
        <v>17.829909694323142</v>
      </c>
      <c r="EO13" s="1">
        <f t="shared" si="20"/>
        <v>17.116713306550217</v>
      </c>
      <c r="EP13" s="1">
        <f t="shared" si="20"/>
        <v>16.432044774288208</v>
      </c>
      <c r="EQ13" s="1">
        <f t="shared" si="20"/>
        <v>15.774762983316679</v>
      </c>
      <c r="ER13" s="1">
        <f t="shared" si="20"/>
        <v>15.143772463984011</v>
      </c>
      <c r="ES13" s="1">
        <f t="shared" si="20"/>
        <v>14.53802156542465</v>
      </c>
      <c r="ET13" s="1">
        <f t="shared" si="20"/>
        <v>13.956500702807663</v>
      </c>
      <c r="EU13" s="1">
        <f t="shared" si="20"/>
        <v>13.398240674695355</v>
      </c>
      <c r="EV13" s="1">
        <f t="shared" si="20"/>
        <v>12.862311047707541</v>
      </c>
      <c r="EW13" s="1">
        <f t="shared" si="20"/>
        <v>12.347818605799239</v>
      </c>
      <c r="EX13" s="1">
        <f t="shared" si="20"/>
        <v>11.853905861567268</v>
      </c>
      <c r="EY13" s="1">
        <f t="shared" ref="EY13:HJ13" si="21">EX13*(1+$CN$16)</f>
        <v>11.379749627104577</v>
      </c>
      <c r="EZ13" s="1">
        <f t="shared" si="21"/>
        <v>10.924559642020393</v>
      </c>
      <c r="FA13" s="1">
        <f t="shared" si="21"/>
        <v>10.487577256339577</v>
      </c>
      <c r="FB13" s="1">
        <f t="shared" si="21"/>
        <v>10.068074166085994</v>
      </c>
      <c r="FC13" s="1">
        <f t="shared" si="21"/>
        <v>9.6653511994425543</v>
      </c>
      <c r="FD13" s="1">
        <f t="shared" si="21"/>
        <v>9.2787371514648509</v>
      </c>
      <c r="FE13" s="1">
        <f t="shared" si="21"/>
        <v>8.9075876654062558</v>
      </c>
      <c r="FF13" s="1">
        <f t="shared" si="21"/>
        <v>8.5512841587900059</v>
      </c>
      <c r="FG13" s="1">
        <f t="shared" si="21"/>
        <v>8.2092327924384048</v>
      </c>
      <c r="FH13" s="1">
        <f t="shared" si="21"/>
        <v>7.8808634807408682</v>
      </c>
      <c r="FI13" s="1">
        <f t="shared" si="21"/>
        <v>7.5656289415112328</v>
      </c>
      <c r="FJ13" s="1">
        <f t="shared" si="21"/>
        <v>7.2630037838507828</v>
      </c>
      <c r="FK13" s="1">
        <f t="shared" si="21"/>
        <v>6.9724836324967514</v>
      </c>
      <c r="FL13" s="1">
        <f t="shared" si="21"/>
        <v>6.6935842871968809</v>
      </c>
      <c r="FM13" s="1">
        <f t="shared" si="21"/>
        <v>6.4258409157090055</v>
      </c>
      <c r="FN13" s="1">
        <f t="shared" si="21"/>
        <v>6.168807279080645</v>
      </c>
      <c r="FO13" s="1">
        <f t="shared" si="21"/>
        <v>5.9220549879174191</v>
      </c>
      <c r="FP13" s="1">
        <f t="shared" si="21"/>
        <v>5.6851727884007222</v>
      </c>
      <c r="FQ13" s="1">
        <f t="shared" si="21"/>
        <v>5.4577658768646931</v>
      </c>
      <c r="FR13" s="1">
        <f t="shared" si="21"/>
        <v>5.2394552417901048</v>
      </c>
      <c r="FS13" s="1">
        <f t="shared" si="21"/>
        <v>5.0298770321185007</v>
      </c>
      <c r="FT13" s="1">
        <f t="shared" si="21"/>
        <v>4.8286819508337606</v>
      </c>
      <c r="FU13" s="1">
        <f t="shared" si="21"/>
        <v>4.6355346728004099</v>
      </c>
      <c r="FV13" s="1">
        <f t="shared" si="21"/>
        <v>4.4501132858883929</v>
      </c>
      <c r="FW13" s="1">
        <f t="shared" si="21"/>
        <v>4.2721087544528569</v>
      </c>
      <c r="FX13" s="1">
        <f t="shared" si="21"/>
        <v>4.1012244042747428</v>
      </c>
      <c r="FY13" s="1">
        <f t="shared" si="21"/>
        <v>3.9371754281037528</v>
      </c>
      <c r="FZ13" s="1">
        <f t="shared" si="21"/>
        <v>3.7796884109796025</v>
      </c>
      <c r="GA13" s="1">
        <f t="shared" si="21"/>
        <v>3.6285008745404181</v>
      </c>
      <c r="GB13" s="1">
        <f t="shared" si="21"/>
        <v>3.4833608395588014</v>
      </c>
      <c r="GC13" s="1">
        <f t="shared" si="21"/>
        <v>3.3440264059764493</v>
      </c>
      <c r="GD13" s="1">
        <f t="shared" si="21"/>
        <v>3.2102653497373912</v>
      </c>
      <c r="GE13" s="1">
        <f t="shared" si="21"/>
        <v>3.0818547357478954</v>
      </c>
      <c r="GF13" s="1">
        <f t="shared" si="21"/>
        <v>2.9585805463179793</v>
      </c>
      <c r="GG13" s="1">
        <f t="shared" si="21"/>
        <v>2.8402373244652601</v>
      </c>
      <c r="GH13" s="1">
        <f t="shared" si="21"/>
        <v>2.7266278314866494</v>
      </c>
      <c r="GI13" s="1">
        <f t="shared" si="21"/>
        <v>2.6175627182271834</v>
      </c>
      <c r="GJ13" s="1">
        <f t="shared" si="21"/>
        <v>2.5128602094980961</v>
      </c>
      <c r="GK13" s="1">
        <f t="shared" si="21"/>
        <v>2.412345801118172</v>
      </c>
      <c r="GL13" s="1">
        <f t="shared" si="21"/>
        <v>2.3158519690734449</v>
      </c>
      <c r="GM13" s="1">
        <f t="shared" si="21"/>
        <v>2.2232178903105071</v>
      </c>
      <c r="GN13" s="1">
        <f t="shared" si="21"/>
        <v>2.1342891746980865</v>
      </c>
      <c r="GO13" s="1">
        <f t="shared" si="21"/>
        <v>2.048917607710163</v>
      </c>
      <c r="GP13" s="1">
        <f t="shared" si="21"/>
        <v>1.9669609034017563</v>
      </c>
      <c r="GQ13" s="1">
        <f t="shared" si="21"/>
        <v>1.8882824672656859</v>
      </c>
      <c r="GR13" s="1">
        <f t="shared" si="21"/>
        <v>1.8127511685750584</v>
      </c>
      <c r="GS13" s="1">
        <f t="shared" si="21"/>
        <v>1.7402411218320559</v>
      </c>
      <c r="GT13" s="1">
        <f t="shared" si="21"/>
        <v>1.6706314769587736</v>
      </c>
      <c r="GU13" s="1">
        <f t="shared" si="21"/>
        <v>1.6038062178804227</v>
      </c>
      <c r="GV13" s="1">
        <f t="shared" si="21"/>
        <v>1.5396539691652058</v>
      </c>
      <c r="GW13" s="1">
        <f t="shared" si="21"/>
        <v>1.4780678103985976</v>
      </c>
      <c r="GX13" s="1">
        <f t="shared" si="21"/>
        <v>1.4189450979826537</v>
      </c>
      <c r="GY13" s="1">
        <f t="shared" si="21"/>
        <v>1.3621872940633475</v>
      </c>
      <c r="GZ13" s="1">
        <f t="shared" si="21"/>
        <v>1.3076998023008135</v>
      </c>
      <c r="HA13" s="1">
        <f t="shared" si="21"/>
        <v>1.2553918102087809</v>
      </c>
      <c r="HB13" s="1">
        <f t="shared" si="21"/>
        <v>1.2051761378004295</v>
      </c>
      <c r="HC13" s="1">
        <f t="shared" si="21"/>
        <v>1.1569690922884124</v>
      </c>
      <c r="HD13" s="1">
        <f t="shared" si="21"/>
        <v>1.1106903285968759</v>
      </c>
      <c r="HE13" s="1">
        <f t="shared" si="21"/>
        <v>1.0662627154530009</v>
      </c>
      <c r="HF13" s="1">
        <f t="shared" si="21"/>
        <v>1.0236122068348807</v>
      </c>
      <c r="HG13" s="1">
        <f t="shared" si="21"/>
        <v>0.98266771856148549</v>
      </c>
      <c r="HH13" s="1">
        <f t="shared" si="21"/>
        <v>0.94336100981902604</v>
      </c>
      <c r="HI13" s="1">
        <f t="shared" si="21"/>
        <v>0.90562656942626496</v>
      </c>
      <c r="HJ13" s="1">
        <f t="shared" si="21"/>
        <v>0.86940150664921434</v>
      </c>
      <c r="HK13" s="1">
        <f t="shared" ref="HK13:JV13" si="22">HJ13*(1+$CN$16)</f>
        <v>0.83462544638324576</v>
      </c>
      <c r="HL13" s="1">
        <f t="shared" si="22"/>
        <v>0.80124042852791588</v>
      </c>
      <c r="HM13" s="1">
        <f t="shared" si="22"/>
        <v>0.76919081138679923</v>
      </c>
      <c r="HN13" s="1">
        <f t="shared" si="22"/>
        <v>0.73842317893132725</v>
      </c>
      <c r="HO13" s="1">
        <f t="shared" si="22"/>
        <v>0.70888625177407416</v>
      </c>
      <c r="HP13" s="1">
        <f t="shared" si="22"/>
        <v>0.6805308017031112</v>
      </c>
      <c r="HQ13" s="1">
        <f t="shared" si="22"/>
        <v>0.65330956963498676</v>
      </c>
      <c r="HR13" s="1">
        <f t="shared" si="22"/>
        <v>0.62717718684958723</v>
      </c>
      <c r="HS13" s="1">
        <f t="shared" si="22"/>
        <v>0.60209009937560376</v>
      </c>
      <c r="HT13" s="1">
        <f t="shared" si="22"/>
        <v>0.57800649540057958</v>
      </c>
      <c r="HU13" s="1">
        <f t="shared" si="22"/>
        <v>0.55488623558455641</v>
      </c>
      <c r="HV13" s="1">
        <f t="shared" si="22"/>
        <v>0.53269078616117416</v>
      </c>
      <c r="HW13" s="1">
        <f t="shared" si="22"/>
        <v>0.51138315471472717</v>
      </c>
      <c r="HX13" s="1">
        <f t="shared" si="22"/>
        <v>0.49092782852613809</v>
      </c>
      <c r="HY13" s="1">
        <f t="shared" si="22"/>
        <v>0.47129071538509254</v>
      </c>
      <c r="HZ13" s="1">
        <f t="shared" si="22"/>
        <v>0.4524390867696888</v>
      </c>
      <c r="IA13" s="1">
        <f t="shared" si="22"/>
        <v>0.43434152329890124</v>
      </c>
      <c r="IB13" s="1">
        <f t="shared" si="22"/>
        <v>0.41696786236694516</v>
      </c>
      <c r="IC13" s="1">
        <f t="shared" si="22"/>
        <v>0.40028914787226733</v>
      </c>
      <c r="ID13" s="1">
        <f t="shared" si="22"/>
        <v>0.3842775819573766</v>
      </c>
      <c r="IE13" s="1">
        <f t="shared" si="22"/>
        <v>0.36890647867908155</v>
      </c>
      <c r="IF13" s="1">
        <f t="shared" si="22"/>
        <v>0.35415021953191828</v>
      </c>
      <c r="IG13" s="1">
        <f t="shared" si="22"/>
        <v>0.33998421075064156</v>
      </c>
      <c r="IH13" s="1">
        <f t="shared" si="22"/>
        <v>0.32638484232061588</v>
      </c>
      <c r="II13" s="1">
        <f t="shared" si="22"/>
        <v>0.31332944862779122</v>
      </c>
      <c r="IJ13" s="1">
        <f t="shared" si="22"/>
        <v>0.30079627068267956</v>
      </c>
      <c r="IK13" s="1">
        <f t="shared" si="22"/>
        <v>0.28876441985537238</v>
      </c>
      <c r="IL13" s="1">
        <f t="shared" si="22"/>
        <v>0.27721384306115748</v>
      </c>
      <c r="IM13" s="1">
        <f t="shared" si="22"/>
        <v>0.26612528933871116</v>
      </c>
      <c r="IN13" s="1">
        <f t="shared" si="22"/>
        <v>0.25548027776516269</v>
      </c>
      <c r="IO13" s="1">
        <f t="shared" si="22"/>
        <v>0.24526106665455616</v>
      </c>
      <c r="IP13" s="1">
        <f t="shared" si="22"/>
        <v>0.23545062398837391</v>
      </c>
      <c r="IQ13" s="1">
        <f t="shared" si="22"/>
        <v>0.22603259902883893</v>
      </c>
      <c r="IR13" s="1">
        <f t="shared" si="22"/>
        <v>0.21699129506768536</v>
      </c>
      <c r="IS13" s="1">
        <f t="shared" si="22"/>
        <v>0.20831164326497795</v>
      </c>
      <c r="IT13" s="1">
        <f t="shared" si="22"/>
        <v>0.19997917753437883</v>
      </c>
      <c r="IU13" s="1">
        <f t="shared" si="22"/>
        <v>0.19198001043300367</v>
      </c>
      <c r="IV13" s="1">
        <f t="shared" si="22"/>
        <v>0.18430081001568352</v>
      </c>
      <c r="IW13" s="1">
        <f t="shared" si="22"/>
        <v>0.17692877761505618</v>
      </c>
      <c r="IX13" s="1">
        <f t="shared" si="22"/>
        <v>0.16985162651045393</v>
      </c>
      <c r="IY13" s="1">
        <f t="shared" si="22"/>
        <v>0.16305756145003578</v>
      </c>
      <c r="IZ13" s="1">
        <f t="shared" si="22"/>
        <v>0.15653525899203433</v>
      </c>
      <c r="JA13" s="1">
        <f t="shared" si="22"/>
        <v>0.15027384863235294</v>
      </c>
      <c r="JB13" s="1">
        <f t="shared" si="22"/>
        <v>0.1442628946870588</v>
      </c>
      <c r="JC13" s="1">
        <f t="shared" si="22"/>
        <v>0.13849237889957644</v>
      </c>
      <c r="JD13" s="1">
        <f t="shared" si="22"/>
        <v>0.13295268374359337</v>
      </c>
      <c r="JE13" s="1">
        <f t="shared" si="22"/>
        <v>0.12763457639384962</v>
      </c>
      <c r="JF13" s="1">
        <f t="shared" si="22"/>
        <v>0.12252919333809563</v>
      </c>
      <c r="JG13" s="1">
        <f t="shared" si="22"/>
        <v>0.11762802560457181</v>
      </c>
      <c r="JH13" s="1">
        <f t="shared" si="22"/>
        <v>0.11292290458038894</v>
      </c>
      <c r="JI13" s="1">
        <f t="shared" si="22"/>
        <v>0.10840598839717337</v>
      </c>
      <c r="JJ13" s="1">
        <f t="shared" si="22"/>
        <v>0.10406974886128643</v>
      </c>
      <c r="JK13" s="1">
        <f t="shared" si="22"/>
        <v>9.9906958906834972E-2</v>
      </c>
      <c r="JL13" s="1">
        <f t="shared" si="22"/>
        <v>9.5910680550561567E-2</v>
      </c>
      <c r="JM13" s="1">
        <f t="shared" si="22"/>
        <v>9.2074253328539107E-2</v>
      </c>
      <c r="JN13" s="1">
        <f t="shared" si="22"/>
        <v>8.8391283195397546E-2</v>
      </c>
      <c r="JO13" s="1">
        <f t="shared" si="22"/>
        <v>8.4855631867581646E-2</v>
      </c>
      <c r="JP13" s="1">
        <f t="shared" si="22"/>
        <v>8.1461406592878371E-2</v>
      </c>
      <c r="JQ13" s="1">
        <f t="shared" si="22"/>
        <v>7.8202950329163232E-2</v>
      </c>
      <c r="JR13" s="1">
        <f t="shared" si="22"/>
        <v>7.5074832315996695E-2</v>
      </c>
      <c r="JS13" s="1">
        <f t="shared" si="22"/>
        <v>7.2071839023356829E-2</v>
      </c>
      <c r="JT13" s="1">
        <f t="shared" si="22"/>
        <v>6.918896546242255E-2</v>
      </c>
      <c r="JU13" s="1">
        <f t="shared" si="22"/>
        <v>6.642140684392564E-2</v>
      </c>
      <c r="JV13" s="1">
        <f t="shared" si="22"/>
        <v>6.376455057016861E-2</v>
      </c>
      <c r="JW13" s="1">
        <f t="shared" ref="JW13:KF13" si="23">JV13*(1+$CN$16)</f>
        <v>6.1213968547361865E-2</v>
      </c>
      <c r="JX13" s="1">
        <f t="shared" si="23"/>
        <v>5.8765409805467385E-2</v>
      </c>
      <c r="JY13" s="1">
        <f t="shared" si="23"/>
        <v>5.641479341324869E-2</v>
      </c>
      <c r="JZ13" s="1">
        <f t="shared" si="23"/>
        <v>5.415820167671874E-2</v>
      </c>
      <c r="KA13" s="1">
        <f t="shared" si="23"/>
        <v>5.1991873609649991E-2</v>
      </c>
      <c r="KB13" s="1">
        <f t="shared" si="23"/>
        <v>4.9912198665263988E-2</v>
      </c>
      <c r="KC13" s="1">
        <f t="shared" si="23"/>
        <v>4.7915710718653429E-2</v>
      </c>
      <c r="KD13" s="1">
        <f t="shared" si="23"/>
        <v>4.5999082289907289E-2</v>
      </c>
      <c r="KE13" s="1">
        <f t="shared" si="23"/>
        <v>4.4159118998310994E-2</v>
      </c>
      <c r="KF13" s="1">
        <f t="shared" si="23"/>
        <v>4.2392754238378551E-2</v>
      </c>
    </row>
    <row r="14" spans="1:292" x14ac:dyDescent="0.55000000000000004">
      <c r="B14" t="s">
        <v>10</v>
      </c>
      <c r="F14">
        <v>891.98900000000003</v>
      </c>
      <c r="G14">
        <v>6123.3019999999997</v>
      </c>
      <c r="H14">
        <v>6012.6450000000004</v>
      </c>
      <c r="I14">
        <v>6085.5720000000001</v>
      </c>
      <c r="J14">
        <v>5843.0820000000003</v>
      </c>
      <c r="K14">
        <v>5793.799</v>
      </c>
      <c r="L14">
        <v>5729.8860000000004</v>
      </c>
      <c r="M14">
        <v>5753.4210000000003</v>
      </c>
      <c r="N14">
        <v>5558.93</v>
      </c>
      <c r="O14">
        <v>5514.3810000000003</v>
      </c>
      <c r="P14">
        <v>5443.058</v>
      </c>
      <c r="Q14">
        <v>5470.82</v>
      </c>
      <c r="R14">
        <v>5298.6610000000001</v>
      </c>
      <c r="S14">
        <v>5225.7910000000002</v>
      </c>
      <c r="T14">
        <v>5195.0879999999997</v>
      </c>
      <c r="U14">
        <v>5217.2420000000002</v>
      </c>
      <c r="V14">
        <v>5112.8770000000004</v>
      </c>
      <c r="W14">
        <v>5024.8770000000004</v>
      </c>
      <c r="X14">
        <v>4882.1670000000004</v>
      </c>
      <c r="Y14">
        <v>4955.3770000000004</v>
      </c>
      <c r="Z14">
        <v>4735.82</v>
      </c>
      <c r="AA14">
        <v>4674.0709999999999</v>
      </c>
      <c r="AB14">
        <v>4570.6329999999998</v>
      </c>
      <c r="AC14">
        <v>4617.8339999999998</v>
      </c>
      <c r="AD14">
        <v>4415.05</v>
      </c>
      <c r="AE14">
        <v>17440.401999999998</v>
      </c>
      <c r="AF14">
        <v>17250.291000000001</v>
      </c>
      <c r="AG14">
        <v>17352.118999999999</v>
      </c>
      <c r="AH14">
        <v>16935.118999999999</v>
      </c>
      <c r="AI14">
        <v>16753.475999999999</v>
      </c>
      <c r="AJ14">
        <v>16629.370999999999</v>
      </c>
      <c r="AK14">
        <v>16701.272000000001</v>
      </c>
      <c r="AL14">
        <v>16391.723999999998</v>
      </c>
      <c r="BU14">
        <v>5558.93</v>
      </c>
      <c r="BV14">
        <v>5558.93</v>
      </c>
      <c r="BW14">
        <v>5558.93</v>
      </c>
      <c r="BX14">
        <v>5558.93</v>
      </c>
      <c r="BY14">
        <v>5558.93</v>
      </c>
      <c r="BZ14">
        <v>5558.93</v>
      </c>
      <c r="CA14">
        <v>5558.93</v>
      </c>
      <c r="CB14">
        <v>5558.93</v>
      </c>
      <c r="CC14">
        <v>5558.93</v>
      </c>
      <c r="CD14">
        <v>5558.93</v>
      </c>
      <c r="CE14">
        <v>5558.93</v>
      </c>
      <c r="CF14">
        <v>5558.93</v>
      </c>
      <c r="CG14">
        <v>5558.93</v>
      </c>
      <c r="CH14">
        <v>5558.93</v>
      </c>
      <c r="CI14">
        <v>5558.93</v>
      </c>
      <c r="CJ14">
        <v>5558.93</v>
      </c>
      <c r="CK14">
        <v>5558.93</v>
      </c>
    </row>
    <row r="15" spans="1:292" x14ac:dyDescent="0.55000000000000004">
      <c r="B15" t="s">
        <v>11</v>
      </c>
      <c r="F15">
        <f t="shared" ref="F15:Q15" si="24">F13/F14</f>
        <v>14.654889241907691</v>
      </c>
      <c r="G15">
        <f t="shared" si="24"/>
        <v>1.6695240574448231</v>
      </c>
      <c r="H15">
        <f t="shared" si="24"/>
        <v>1.2886175718007631</v>
      </c>
      <c r="I15">
        <f t="shared" si="24"/>
        <v>1.3173782185142169</v>
      </c>
      <c r="J15">
        <f t="shared" si="24"/>
        <v>3.08467346513364</v>
      </c>
      <c r="K15">
        <f t="shared" si="24"/>
        <v>2.3419866653986445</v>
      </c>
      <c r="L15">
        <f t="shared" si="24"/>
        <v>1.8633878579783261</v>
      </c>
      <c r="M15">
        <f t="shared" si="24"/>
        <v>1.9334583719842506</v>
      </c>
      <c r="N15">
        <f t="shared" si="24"/>
        <v>3.3029737737298364</v>
      </c>
      <c r="O15">
        <f t="shared" si="24"/>
        <v>1.9070136793232095</v>
      </c>
      <c r="P15">
        <f t="shared" si="24"/>
        <v>1.4322831026235621</v>
      </c>
      <c r="Q15">
        <f t="shared" si="24"/>
        <v>1.6476506264143218</v>
      </c>
      <c r="R15">
        <f t="shared" ref="R15:AL15" si="25">R13/R14</f>
        <v>3.3765134248067579</v>
      </c>
      <c r="S15">
        <f t="shared" si="25"/>
        <v>2.1104938946084908</v>
      </c>
      <c r="T15">
        <f t="shared" si="25"/>
        <v>1.6779311534280075</v>
      </c>
      <c r="U15">
        <f t="shared" si="25"/>
        <v>2.053575433150312</v>
      </c>
      <c r="V15">
        <f t="shared" si="25"/>
        <v>3.9244049876419869</v>
      </c>
      <c r="W15">
        <f t="shared" si="25"/>
        <v>2.750714097081381</v>
      </c>
      <c r="X15">
        <f t="shared" si="25"/>
        <v>2.3594031093160064</v>
      </c>
      <c r="Y15">
        <f t="shared" si="25"/>
        <v>2.6486380350072252</v>
      </c>
      <c r="Z15">
        <f t="shared" si="25"/>
        <v>4.2157429969889062</v>
      </c>
      <c r="AA15">
        <f t="shared" si="25"/>
        <v>2.4734326885492326</v>
      </c>
      <c r="AB15">
        <f t="shared" si="25"/>
        <v>2.1975074349657913</v>
      </c>
      <c r="AC15">
        <f t="shared" si="25"/>
        <v>5.1292445765698815</v>
      </c>
      <c r="AD15">
        <f t="shared" si="25"/>
        <v>5.0364095536856883</v>
      </c>
      <c r="AE15">
        <f t="shared" si="25"/>
        <v>0.64499660042239859</v>
      </c>
      <c r="AF15">
        <f t="shared" si="25"/>
        <v>0.65233682144840333</v>
      </c>
      <c r="AG15">
        <f t="shared" si="25"/>
        <v>0.82664255587458801</v>
      </c>
      <c r="AH15">
        <f t="shared" si="25"/>
        <v>1.6979508676614556</v>
      </c>
      <c r="AI15">
        <f t="shared" si="25"/>
        <v>1.4104535679640453</v>
      </c>
      <c r="AJ15">
        <f t="shared" si="25"/>
        <v>1.3075659927245595</v>
      </c>
      <c r="AK15">
        <f t="shared" si="25"/>
        <v>1.2301458236234939</v>
      </c>
      <c r="AL15">
        <f t="shared" si="25"/>
        <v>2.1126514819307598</v>
      </c>
      <c r="BU15">
        <f>BU13/BU14</f>
        <v>9.0461653591608453</v>
      </c>
      <c r="BV15">
        <f>BV13/BV14</f>
        <v>9.6050858708420499</v>
      </c>
      <c r="BW15">
        <f>BW13/BW14</f>
        <v>8.2186679810682985</v>
      </c>
      <c r="BX15">
        <f t="shared" ref="BX15:CK15" si="26">BX13/BX14</f>
        <v>7.4198060597992797</v>
      </c>
      <c r="BY15">
        <f t="shared" si="26"/>
        <v>6.4066493326953218</v>
      </c>
      <c r="BZ15">
        <f t="shared" si="26"/>
        <v>5.4979241536140959</v>
      </c>
      <c r="CA15">
        <f t="shared" si="26"/>
        <v>4.6831602501412162</v>
      </c>
      <c r="CB15">
        <f t="shared" si="26"/>
        <v>3.9529346886912649</v>
      </c>
      <c r="CC15">
        <f t="shared" si="26"/>
        <v>3.2987671379131385</v>
      </c>
      <c r="CD15">
        <f t="shared" si="26"/>
        <v>2.7130256057860134</v>
      </c>
      <c r="CE15">
        <f t="shared" si="26"/>
        <v>2.1888416030365971</v>
      </c>
      <c r="CF15">
        <f t="shared" si="26"/>
        <v>1.7200337902452842</v>
      </c>
      <c r="CG15">
        <f t="shared" si="26"/>
        <v>1.3010392602720486</v>
      </c>
      <c r="CH15">
        <f t="shared" si="26"/>
        <v>0.9268516924698329</v>
      </c>
      <c r="CI15">
        <f t="shared" si="26"/>
        <v>0.5929656915064403</v>
      </c>
      <c r="CJ15">
        <f t="shared" si="26"/>
        <v>0.29532669233381159</v>
      </c>
      <c r="CK15">
        <f t="shared" si="26"/>
        <v>3.0285874689697855E-2</v>
      </c>
    </row>
    <row r="16" spans="1:292" x14ac:dyDescent="0.55000000000000004">
      <c r="CM16" t="s">
        <v>51</v>
      </c>
      <c r="CN16" s="6">
        <v>-0.04</v>
      </c>
    </row>
    <row r="17" spans="2:92" x14ac:dyDescent="0.55000000000000004">
      <c r="B17" t="s">
        <v>12</v>
      </c>
      <c r="F17" s="3">
        <f t="shared" ref="F17:Z17" si="27">F5/F3</f>
        <v>0.37931034482758619</v>
      </c>
      <c r="G17" s="3">
        <f t="shared" si="27"/>
        <v>0.39317793453971872</v>
      </c>
      <c r="H17" s="3">
        <f t="shared" si="27"/>
        <v>0.39364714682624491</v>
      </c>
      <c r="I17" s="3">
        <f t="shared" si="27"/>
        <v>0.38005365239892697</v>
      </c>
      <c r="J17" s="3">
        <f t="shared" si="27"/>
        <v>0.39867826646469789</v>
      </c>
      <c r="K17" s="3">
        <f t="shared" si="27"/>
        <v>0.40779176004137219</v>
      </c>
      <c r="L17" s="3">
        <f t="shared" si="27"/>
        <v>0.3967543594395726</v>
      </c>
      <c r="M17" s="3">
        <f t="shared" si="27"/>
        <v>0.39898254402827127</v>
      </c>
      <c r="N17" s="3">
        <f t="shared" si="27"/>
        <v>0.40097796288485871</v>
      </c>
      <c r="O17" s="3">
        <f t="shared" si="27"/>
        <v>0.39403050022746605</v>
      </c>
      <c r="P17" s="3">
        <f t="shared" si="27"/>
        <v>0.38023513858066954</v>
      </c>
      <c r="Q17" s="3">
        <f t="shared" si="27"/>
        <v>0.38019721676769402</v>
      </c>
      <c r="R17" s="3">
        <f t="shared" si="27"/>
        <v>0.38513867085295656</v>
      </c>
      <c r="S17" s="3">
        <f t="shared" si="27"/>
        <v>0.38927329098608593</v>
      </c>
      <c r="T17" s="3">
        <f t="shared" si="27"/>
        <v>0.38513037350246654</v>
      </c>
      <c r="U17" s="3">
        <f t="shared" si="27"/>
        <v>0.37906768862093232</v>
      </c>
      <c r="V17" s="3">
        <f t="shared" si="27"/>
        <v>0.38408480853521798</v>
      </c>
      <c r="W17" s="3">
        <f t="shared" si="27"/>
        <v>0.38310679294044525</v>
      </c>
      <c r="X17" s="3">
        <f t="shared" si="27"/>
        <v>0.38338496198254013</v>
      </c>
      <c r="Y17" s="3">
        <f t="shared" si="27"/>
        <v>0.36699523052464228</v>
      </c>
      <c r="Z17" s="3">
        <f t="shared" si="27"/>
        <v>0.37991934527339583</v>
      </c>
      <c r="AA17" s="3">
        <f t="shared" ref="AA17:AF17" si="28">AA5/AA3</f>
        <v>0.37612686374213566</v>
      </c>
      <c r="AB17" s="3">
        <f t="shared" si="28"/>
        <v>0.37590365923916075</v>
      </c>
      <c r="AC17" s="3">
        <f t="shared" si="28"/>
        <v>0.53580574640849465</v>
      </c>
      <c r="AD17" s="3">
        <f t="shared" si="28"/>
        <v>0.38354806739345887</v>
      </c>
      <c r="AE17" s="3">
        <f t="shared" si="28"/>
        <v>0.38361943305952362</v>
      </c>
      <c r="AF17" s="3">
        <f t="shared" si="28"/>
        <v>0.37999497361146017</v>
      </c>
      <c r="AG17" s="3">
        <f t="shared" ref="AG17:AL17" si="29">AG5/AG3</f>
        <v>0.38160375900336951</v>
      </c>
      <c r="AH17" s="3">
        <f t="shared" si="29"/>
        <v>0.39777815665969724</v>
      </c>
      <c r="AI17" s="3">
        <f t="shared" si="29"/>
        <v>0.42506474370423292</v>
      </c>
      <c r="AJ17" s="3">
        <f t="shared" si="29"/>
        <v>0.43292727853230839</v>
      </c>
      <c r="AK17" s="3">
        <f t="shared" si="29"/>
        <v>0.42195297504798462</v>
      </c>
      <c r="AL17" s="3">
        <f t="shared" si="29"/>
        <v>0.43763766186615033</v>
      </c>
      <c r="BU17" s="5">
        <f>BU5/BU3</f>
        <v>0.26010011214748763</v>
      </c>
      <c r="BV17" s="5">
        <f>BV5/BV3</f>
        <v>0.40059902017414373</v>
      </c>
      <c r="BW17" s="5">
        <f>BW5/BW3</f>
        <v>0.39075955648097049</v>
      </c>
      <c r="BX17" s="5">
        <f t="shared" ref="BX17:CK17" si="30">BX5/BX3</f>
        <v>0.4</v>
      </c>
      <c r="BY17" s="5">
        <f t="shared" si="30"/>
        <v>0.40000000000000008</v>
      </c>
      <c r="BZ17" s="5">
        <f t="shared" si="30"/>
        <v>0.4</v>
      </c>
      <c r="CA17" s="5">
        <f t="shared" si="30"/>
        <v>0.4</v>
      </c>
      <c r="CB17" s="5">
        <f t="shared" si="30"/>
        <v>0.4</v>
      </c>
      <c r="CC17" s="5">
        <f t="shared" si="30"/>
        <v>0.4</v>
      </c>
      <c r="CD17" s="5">
        <f t="shared" si="30"/>
        <v>0.4</v>
      </c>
      <c r="CE17" s="5">
        <f t="shared" si="30"/>
        <v>0.4</v>
      </c>
      <c r="CF17" s="5">
        <f t="shared" si="30"/>
        <v>0.4</v>
      </c>
      <c r="CG17" s="5">
        <f t="shared" si="30"/>
        <v>0.4</v>
      </c>
      <c r="CH17" s="5">
        <f t="shared" si="30"/>
        <v>0.4</v>
      </c>
      <c r="CI17" s="5">
        <f t="shared" si="30"/>
        <v>0.4</v>
      </c>
      <c r="CJ17" s="5">
        <f t="shared" si="30"/>
        <v>0.40000000000000008</v>
      </c>
      <c r="CK17" s="5">
        <f t="shared" si="30"/>
        <v>0.4</v>
      </c>
      <c r="CM17" t="s">
        <v>44</v>
      </c>
      <c r="CN17" s="11">
        <v>6.5000000000000002E-2</v>
      </c>
    </row>
    <row r="18" spans="2:92" x14ac:dyDescent="0.55000000000000004">
      <c r="B18" t="s">
        <v>13</v>
      </c>
      <c r="F18" s="3">
        <f t="shared" ref="F18:Z18" si="31">F11/F3</f>
        <v>0.30747994582769039</v>
      </c>
      <c r="G18" s="3">
        <f t="shared" si="31"/>
        <v>0.30272093940323358</v>
      </c>
      <c r="H18" s="3">
        <f t="shared" si="31"/>
        <v>0.28008121393460139</v>
      </c>
      <c r="I18" s="3">
        <f t="shared" si="31"/>
        <v>0.26166227476675452</v>
      </c>
      <c r="J18" s="3">
        <f t="shared" si="31"/>
        <v>0.3272966125551281</v>
      </c>
      <c r="K18" s="3">
        <f t="shared" si="31"/>
        <v>0.32001379072573694</v>
      </c>
      <c r="L18" s="3">
        <f t="shared" si="31"/>
        <v>0.29176494305009576</v>
      </c>
      <c r="M18" s="3">
        <f t="shared" si="31"/>
        <v>0.29246034057591114</v>
      </c>
      <c r="N18" s="3">
        <f t="shared" si="31"/>
        <v>0.32387442007591732</v>
      </c>
      <c r="O18" s="3">
        <f t="shared" si="31"/>
        <v>0.2797238760211247</v>
      </c>
      <c r="P18" s="3">
        <f t="shared" si="31"/>
        <v>0.24715520090655838</v>
      </c>
      <c r="Q18" s="3">
        <f t="shared" si="31"/>
        <v>0.26013830786305814</v>
      </c>
      <c r="R18" s="3">
        <f t="shared" si="31"/>
        <v>0.30861124937779988</v>
      </c>
      <c r="S18" s="3">
        <f t="shared" si="31"/>
        <v>0.2776013309134906</v>
      </c>
      <c r="T18" s="3">
        <f t="shared" si="31"/>
        <v>0.24903100775193798</v>
      </c>
      <c r="U18" s="3">
        <f t="shared" si="31"/>
        <v>0.26468742273531259</v>
      </c>
      <c r="V18" s="3">
        <f t="shared" si="31"/>
        <v>0.30613978458088409</v>
      </c>
      <c r="W18" s="3">
        <f t="shared" si="31"/>
        <v>0.26445523987110914</v>
      </c>
      <c r="X18" s="3">
        <f t="shared" si="31"/>
        <v>0.2493945367502112</v>
      </c>
      <c r="Y18" s="3">
        <f t="shared" si="31"/>
        <v>0.24516693163751987</v>
      </c>
      <c r="Z18" s="3">
        <f t="shared" si="31"/>
        <v>0.28354880797058474</v>
      </c>
      <c r="AA18" s="3">
        <f t="shared" ref="AA18:AF18" si="32">AA11/AA3</f>
        <v>0.23774885805395157</v>
      </c>
      <c r="AB18" s="3">
        <f t="shared" si="32"/>
        <v>0.22135702205950678</v>
      </c>
      <c r="AC18" s="3">
        <f t="shared" si="32"/>
        <v>0.40797938788257337</v>
      </c>
      <c r="AD18" s="3">
        <f t="shared" si="32"/>
        <v>0.28227273222317822</v>
      </c>
      <c r="AE18" s="3">
        <f t="shared" si="32"/>
        <v>0.22524994426628711</v>
      </c>
      <c r="AF18" s="3">
        <f t="shared" si="32"/>
        <v>0.22010555415933653</v>
      </c>
      <c r="AG18" s="3">
        <f t="shared" ref="AG18:AL18" si="33">AG11/AG3</f>
        <v>0.2561439302605954</v>
      </c>
      <c r="AH18" s="3">
        <f t="shared" si="33"/>
        <v>0.30132179937005893</v>
      </c>
      <c r="AI18" s="3">
        <f t="shared" si="33"/>
        <v>0.3126786033220218</v>
      </c>
      <c r="AJ18" s="3">
        <f t="shared" si="33"/>
        <v>0.29924847115455461</v>
      </c>
      <c r="AK18" s="3">
        <f t="shared" si="33"/>
        <v>0.27881477927063342</v>
      </c>
      <c r="AL18" s="3">
        <f t="shared" si="33"/>
        <v>0.33273629432409535</v>
      </c>
      <c r="BU18" s="5">
        <f>BU11/BU3</f>
        <v>0.14980169041822808</v>
      </c>
      <c r="BV18" s="5">
        <f>BV11/BV3</f>
        <v>0.31027105662880006</v>
      </c>
      <c r="BW18" s="5">
        <f>BW11/BW3</f>
        <v>0.28460528939570301</v>
      </c>
      <c r="BX18" s="5">
        <f t="shared" ref="BX18:CK18" si="34">BX11/BX3</f>
        <v>0.28336922150239785</v>
      </c>
      <c r="BY18" s="5">
        <f t="shared" si="34"/>
        <v>0.27186203748503091</v>
      </c>
      <c r="BZ18" s="5">
        <f t="shared" si="34"/>
        <v>0.25922318875655309</v>
      </c>
      <c r="CA18" s="5">
        <f t="shared" si="34"/>
        <v>0.24534183763026327</v>
      </c>
      <c r="CB18" s="5">
        <f t="shared" si="34"/>
        <v>0.23009634727999553</v>
      </c>
      <c r="CC18" s="5">
        <f t="shared" si="34"/>
        <v>0.21335323661418726</v>
      </c>
      <c r="CD18" s="5">
        <f t="shared" si="34"/>
        <v>0.19496603488922173</v>
      </c>
      <c r="CE18" s="5">
        <f t="shared" si="34"/>
        <v>0.17477402655564606</v>
      </c>
      <c r="CF18" s="5">
        <f t="shared" si="34"/>
        <v>0.1526008759437408</v>
      </c>
      <c r="CG18" s="5">
        <f t="shared" si="34"/>
        <v>0.12825312042684317</v>
      </c>
      <c r="CH18" s="5">
        <f t="shared" si="34"/>
        <v>0.10151851964465589</v>
      </c>
      <c r="CI18" s="5">
        <f t="shared" si="34"/>
        <v>7.2164247216765551E-2</v>
      </c>
      <c r="CJ18" s="5">
        <f t="shared" si="34"/>
        <v>3.9934910120353842E-2</v>
      </c>
      <c r="CK18" s="5">
        <f t="shared" si="34"/>
        <v>4.5503795365345236E-3</v>
      </c>
      <c r="CM18" t="s">
        <v>45</v>
      </c>
      <c r="CN18" s="7">
        <f>NPV(CN17,BW13:XFD13)</f>
        <v>208309.91578798014</v>
      </c>
    </row>
    <row r="19" spans="2:92" x14ac:dyDescent="0.55000000000000004">
      <c r="B19" t="s">
        <v>14</v>
      </c>
      <c r="F19" s="3">
        <f t="shared" ref="F19:Z19" si="35">F13/F3</f>
        <v>0.2269680869535021</v>
      </c>
      <c r="G19" s="3">
        <f t="shared" si="35"/>
        <v>0.22396266923717303</v>
      </c>
      <c r="H19" s="3">
        <f t="shared" si="35"/>
        <v>0.20698867279333191</v>
      </c>
      <c r="I19" s="3">
        <f t="shared" si="35"/>
        <v>0.19032357619352847</v>
      </c>
      <c r="J19" s="3">
        <f t="shared" si="35"/>
        <v>0.24161181785278624</v>
      </c>
      <c r="K19" s="3">
        <f t="shared" si="35"/>
        <v>0.2339079469057059</v>
      </c>
      <c r="L19" s="3">
        <f t="shared" si="35"/>
        <v>0.21524039915331117</v>
      </c>
      <c r="M19" s="3">
        <f t="shared" si="35"/>
        <v>0.21599580590668144</v>
      </c>
      <c r="N19" s="3">
        <f t="shared" si="35"/>
        <v>0.24199968367777308</v>
      </c>
      <c r="O19" s="3">
        <f t="shared" si="35"/>
        <v>0.20800284827026921</v>
      </c>
      <c r="P19" s="3">
        <f t="shared" si="35"/>
        <v>0.18405023844374144</v>
      </c>
      <c r="Q19" s="3">
        <f t="shared" si="35"/>
        <v>0.19239306753180227</v>
      </c>
      <c r="R19" s="3">
        <f t="shared" si="35"/>
        <v>0.22834424576584855</v>
      </c>
      <c r="S19" s="3">
        <f t="shared" si="35"/>
        <v>0.20850347852389595</v>
      </c>
      <c r="T19" s="3">
        <f t="shared" si="35"/>
        <v>0.19197057787174066</v>
      </c>
      <c r="U19" s="3">
        <f t="shared" si="35"/>
        <v>0.20376956579623043</v>
      </c>
      <c r="V19" s="3">
        <f t="shared" si="35"/>
        <v>0.22725470875380835</v>
      </c>
      <c r="W19" s="3">
        <f t="shared" si="35"/>
        <v>0.22608240509020724</v>
      </c>
      <c r="X19" s="3">
        <f t="shared" si="35"/>
        <v>0.21625833098657654</v>
      </c>
      <c r="Y19" s="3">
        <f t="shared" si="35"/>
        <v>0.20866454689984101</v>
      </c>
      <c r="Z19" s="3">
        <f t="shared" si="35"/>
        <v>0.23680464950776894</v>
      </c>
      <c r="AA19" s="3">
        <f t="shared" ref="AA19:AF19" si="36">AA13/AA3</f>
        <v>0.19927604929759546</v>
      </c>
      <c r="AB19" s="3">
        <f t="shared" si="36"/>
        <v>0.18666022412607555</v>
      </c>
      <c r="AC19" s="3">
        <f t="shared" si="36"/>
        <v>0.36986258588382259</v>
      </c>
      <c r="AD19" s="3">
        <f t="shared" si="36"/>
        <v>0.2421720994565395</v>
      </c>
      <c r="AE19" s="3">
        <f t="shared" si="36"/>
        <v>0.19290724195290929</v>
      </c>
      <c r="AF19" s="3">
        <f t="shared" si="36"/>
        <v>0.18853983412917819</v>
      </c>
      <c r="AG19" s="3">
        <f t="shared" ref="AG19:AL19" si="37">AG13/AG3</f>
        <v>0.22170700794460416</v>
      </c>
      <c r="AH19" s="3">
        <f t="shared" si="37"/>
        <v>0.25803354301456405</v>
      </c>
      <c r="AI19" s="3">
        <f t="shared" si="37"/>
        <v>0.26377478121093051</v>
      </c>
      <c r="AJ19" s="3">
        <f t="shared" si="37"/>
        <v>0.26701377802883319</v>
      </c>
      <c r="AK19" s="3">
        <f t="shared" si="37"/>
        <v>0.24646113243761997</v>
      </c>
      <c r="AL19" s="3">
        <f t="shared" si="37"/>
        <v>0.27939812013393039</v>
      </c>
      <c r="BU19" s="5">
        <f>BU13/BU3</f>
        <v>0.27510052244317407</v>
      </c>
      <c r="BV19" s="5">
        <f>BV13/BV3</f>
        <v>0.22845773698735639</v>
      </c>
      <c r="BW19" s="5">
        <f>BW13/BW3</f>
        <v>0.211867983064288</v>
      </c>
      <c r="BX19" s="5">
        <f t="shared" ref="BX19:CK19" si="38">BX13/BX3</f>
        <v>0.21252691612679839</v>
      </c>
      <c r="BY19" s="5">
        <f t="shared" si="38"/>
        <v>0.20389652811377318</v>
      </c>
      <c r="BZ19" s="5">
        <f t="shared" si="38"/>
        <v>0.19441739156741483</v>
      </c>
      <c r="CA19" s="5">
        <f t="shared" si="38"/>
        <v>0.18400637822269744</v>
      </c>
      <c r="CB19" s="5">
        <f t="shared" si="38"/>
        <v>0.17257226045999666</v>
      </c>
      <c r="CC19" s="5">
        <f t="shared" si="38"/>
        <v>0.16001492746064042</v>
      </c>
      <c r="CD19" s="5">
        <f t="shared" si="38"/>
        <v>0.14622452616691631</v>
      </c>
      <c r="CE19" s="5">
        <f t="shared" si="38"/>
        <v>0.13108051991673456</v>
      </c>
      <c r="CF19" s="5">
        <f t="shared" si="38"/>
        <v>0.11445065695780558</v>
      </c>
      <c r="CG19" s="5">
        <f t="shared" si="38"/>
        <v>9.6189840320132378E-2</v>
      </c>
      <c r="CH19" s="5">
        <f t="shared" si="38"/>
        <v>7.6138889733491921E-2</v>
      </c>
      <c r="CI19" s="5">
        <f t="shared" si="38"/>
        <v>5.4123185412574167E-2</v>
      </c>
      <c r="CJ19" s="5">
        <f t="shared" si="38"/>
        <v>2.9951182590265382E-2</v>
      </c>
      <c r="CK19" s="5">
        <f>CK13/CK3</f>
        <v>3.4127846524008923E-3</v>
      </c>
      <c r="CM19" t="s">
        <v>46</v>
      </c>
      <c r="CN19" t="e">
        <f>#REF!-#REF!</f>
        <v>#REF!</v>
      </c>
    </row>
    <row r="20" spans="2:92" x14ac:dyDescent="0.55000000000000004">
      <c r="B20" t="s">
        <v>15</v>
      </c>
      <c r="F20" s="3">
        <f t="shared" ref="F20:Z20" si="39">F12/F11</f>
        <v>0.26184425998080074</v>
      </c>
      <c r="G20" s="3">
        <f t="shared" si="39"/>
        <v>0.26016789694601244</v>
      </c>
      <c r="H20" s="3">
        <f t="shared" si="39"/>
        <v>0.26096909576497518</v>
      </c>
      <c r="I20" s="3">
        <f t="shared" si="39"/>
        <v>0.27263654509163493</v>
      </c>
      <c r="J20" s="3">
        <f t="shared" si="39"/>
        <v>0.26179554390563564</v>
      </c>
      <c r="K20" s="3">
        <f t="shared" si="39"/>
        <v>0.26906916612798965</v>
      </c>
      <c r="L20" s="3">
        <f t="shared" si="39"/>
        <v>0.26228148967042081</v>
      </c>
      <c r="M20" s="3">
        <f t="shared" si="39"/>
        <v>0.26145266232903996</v>
      </c>
      <c r="N20" s="3">
        <f t="shared" si="39"/>
        <v>0.25279778618809262</v>
      </c>
      <c r="O20" s="3">
        <f t="shared" si="39"/>
        <v>0.25639937774006505</v>
      </c>
      <c r="P20" s="3">
        <f t="shared" si="39"/>
        <v>0.25532524596427547</v>
      </c>
      <c r="Q20" s="3">
        <f t="shared" si="39"/>
        <v>0.26042008532983263</v>
      </c>
      <c r="R20" s="3">
        <f t="shared" si="39"/>
        <v>0.26009098428453264</v>
      </c>
      <c r="S20" s="3">
        <f t="shared" si="39"/>
        <v>0.24891037864342141</v>
      </c>
      <c r="T20" s="3">
        <f t="shared" si="39"/>
        <v>0.22912981959674567</v>
      </c>
      <c r="U20" s="3">
        <f t="shared" si="39"/>
        <v>0.23015017604368757</v>
      </c>
      <c r="V20" s="3">
        <f t="shared" si="39"/>
        <v>0.25767665556788755</v>
      </c>
      <c r="W20" s="3">
        <f t="shared" si="39"/>
        <v>0.14510143493320138</v>
      </c>
      <c r="X20" s="3">
        <f t="shared" si="39"/>
        <v>0.13286660644384221</v>
      </c>
      <c r="Y20" s="3">
        <f t="shared" si="39"/>
        <v>0.14888788016341353</v>
      </c>
      <c r="Z20" s="3">
        <f t="shared" si="39"/>
        <v>0.16485401154521878</v>
      </c>
      <c r="AA20" s="3">
        <f t="shared" ref="AA20:AF20" si="40">AA12/AA11</f>
        <v>0.16182121365910243</v>
      </c>
      <c r="AB20" s="3">
        <f t="shared" si="40"/>
        <v>0.15674586516665268</v>
      </c>
      <c r="AC20" s="3">
        <f t="shared" si="40"/>
        <v>9.3428254296321817E-2</v>
      </c>
      <c r="AD20" s="3">
        <f t="shared" si="40"/>
        <v>0.14206343082027933</v>
      </c>
      <c r="AE20" s="3">
        <f t="shared" si="40"/>
        <v>0.14358583936048724</v>
      </c>
      <c r="AF20" s="3">
        <f t="shared" si="40"/>
        <v>0.14341173783968944</v>
      </c>
      <c r="AG20" s="3">
        <f t="shared" ref="AG20:AL20" si="41">AG12/AG11</f>
        <v>0.1344436398744871</v>
      </c>
      <c r="AH20" s="3">
        <f t="shared" si="41"/>
        <v>0.14366121683194855</v>
      </c>
      <c r="AI20" s="3">
        <f t="shared" si="41"/>
        <v>0.1564028417407447</v>
      </c>
      <c r="AJ20" s="3">
        <f t="shared" si="41"/>
        <v>0.10771882309491568</v>
      </c>
      <c r="AK20" s="3">
        <f t="shared" si="41"/>
        <v>0.11603992771706394</v>
      </c>
      <c r="AL20" s="3">
        <f t="shared" si="41"/>
        <v>0.16030164157028201</v>
      </c>
      <c r="BU20" s="5">
        <f>BU12/BU11</f>
        <v>0.66420772011832163</v>
      </c>
      <c r="BV20" s="5">
        <f>BV12/BV11</f>
        <v>0.26368337585327173</v>
      </c>
      <c r="BW20" s="5">
        <f>BW12/BW11</f>
        <v>0.25557257381216192</v>
      </c>
      <c r="BX20" s="5">
        <f t="shared" ref="BX20:CK20" si="42">BX12/BX11</f>
        <v>0.25</v>
      </c>
      <c r="BY20" s="5">
        <f t="shared" si="42"/>
        <v>0.25</v>
      </c>
      <c r="BZ20" s="5">
        <f t="shared" si="42"/>
        <v>0.25</v>
      </c>
      <c r="CA20" s="5">
        <f t="shared" si="42"/>
        <v>0.25</v>
      </c>
      <c r="CB20" s="5">
        <f t="shared" si="42"/>
        <v>0.25</v>
      </c>
      <c r="CC20" s="5">
        <f t="shared" si="42"/>
        <v>0.25</v>
      </c>
      <c r="CD20" s="5">
        <f t="shared" si="42"/>
        <v>0.25</v>
      </c>
      <c r="CE20" s="5">
        <f t="shared" si="42"/>
        <v>0.25</v>
      </c>
      <c r="CF20" s="5">
        <f t="shared" si="42"/>
        <v>0.25</v>
      </c>
      <c r="CG20" s="5">
        <f t="shared" si="42"/>
        <v>0.25</v>
      </c>
      <c r="CH20" s="5">
        <f t="shared" si="42"/>
        <v>0.25</v>
      </c>
      <c r="CI20" s="5">
        <f t="shared" si="42"/>
        <v>0.25</v>
      </c>
      <c r="CJ20" s="5">
        <f t="shared" si="42"/>
        <v>0.25</v>
      </c>
      <c r="CK20" s="5">
        <f t="shared" si="42"/>
        <v>0.25</v>
      </c>
      <c r="CM20" t="s">
        <v>48</v>
      </c>
      <c r="CN20" t="e">
        <f>CN19+CN18</f>
        <v>#REF!</v>
      </c>
    </row>
    <row r="21" spans="2:92" x14ac:dyDescent="0.55000000000000004">
      <c r="I21" s="2"/>
      <c r="J21" s="2"/>
      <c r="K21" s="2"/>
      <c r="L21" s="2"/>
      <c r="M21" s="1"/>
      <c r="N21" s="1"/>
      <c r="O21" s="1"/>
      <c r="P21" s="1"/>
      <c r="Q21" s="1"/>
      <c r="U21" s="1"/>
      <c r="BU21" s="2"/>
      <c r="BV21" s="2"/>
      <c r="BW21" s="2"/>
      <c r="CM21" s="1" t="s">
        <v>49</v>
      </c>
      <c r="CN21" s="1" t="e">
        <f>CN20/#REF!</f>
        <v>#REF!</v>
      </c>
    </row>
    <row r="22" spans="2:92" x14ac:dyDescent="0.55000000000000004">
      <c r="B22" t="s">
        <v>16</v>
      </c>
      <c r="I22" s="3"/>
      <c r="J22" s="3">
        <f t="shared" ref="J22:Z22" si="43">J3/F3-1</f>
        <v>0.29525645032468661</v>
      </c>
      <c r="K22" s="3">
        <f t="shared" si="43"/>
        <v>0.27086710774218981</v>
      </c>
      <c r="L22" s="3">
        <f t="shared" si="43"/>
        <v>0.32520303483650359</v>
      </c>
      <c r="M22" s="3">
        <f t="shared" si="43"/>
        <v>0.22263371554732569</v>
      </c>
      <c r="N22" s="3">
        <f t="shared" si="43"/>
        <v>1.7064571911151516E-2</v>
      </c>
      <c r="O22" s="3">
        <f t="shared" si="43"/>
        <v>-0.12847784864678502</v>
      </c>
      <c r="P22" s="3">
        <f t="shared" si="43"/>
        <v>-0.14609414373551055</v>
      </c>
      <c r="Q22" s="3">
        <f t="shared" si="43"/>
        <v>-9.0270091842876821E-2</v>
      </c>
      <c r="R22" s="3">
        <f t="shared" si="43"/>
        <v>3.2673450021088124E-2</v>
      </c>
      <c r="S22" s="3">
        <f t="shared" si="43"/>
        <v>4.626461221987066E-2</v>
      </c>
      <c r="T22" s="3">
        <f t="shared" si="43"/>
        <v>7.2005288257235955E-2</v>
      </c>
      <c r="U22" s="3">
        <f t="shared" si="43"/>
        <v>0.1222359771194399</v>
      </c>
      <c r="V22" s="3">
        <f t="shared" si="43"/>
        <v>0.12689053107171566</v>
      </c>
      <c r="W22" s="3">
        <f t="shared" si="43"/>
        <v>0.15579627949183306</v>
      </c>
      <c r="X22" s="3">
        <f t="shared" si="43"/>
        <v>0.17303118393234662</v>
      </c>
      <c r="Y22" s="3">
        <f t="shared" si="43"/>
        <v>0.19629509880370488</v>
      </c>
      <c r="Z22" s="3">
        <f t="shared" si="43"/>
        <v>-4.5111163965433243E-2</v>
      </c>
      <c r="AA22" s="3">
        <f t="shared" ref="AA22:AF22" si="44">AA3/V3-1</f>
        <v>-0.34292639280577164</v>
      </c>
      <c r="AB22" s="3">
        <f t="shared" si="44"/>
        <v>-0.11986194939234829</v>
      </c>
      <c r="AC22" s="3">
        <f t="shared" si="44"/>
        <v>0.20229043461935614</v>
      </c>
      <c r="AD22" s="3">
        <f t="shared" si="44"/>
        <v>0.45976152623211441</v>
      </c>
      <c r="AE22" s="3">
        <f t="shared" si="44"/>
        <v>-0.30835013640137587</v>
      </c>
      <c r="AF22" s="3">
        <f t="shared" si="44"/>
        <v>2.8785658881323783E-2</v>
      </c>
      <c r="AG22" s="3">
        <f>AG3/AA3-1</f>
        <v>0.11519434628975267</v>
      </c>
      <c r="AH22" s="3">
        <f>AH3/AB3-1</f>
        <v>1.0710104257652064</v>
      </c>
      <c r="AI22" s="3">
        <f>AI3/AC3-1</f>
        <v>0.3988757026858214</v>
      </c>
      <c r="AJ22" s="3">
        <f>AJ3/AD3-1</f>
        <v>-0.11310295254794756</v>
      </c>
      <c r="AK22" s="3">
        <f>AK3/AE3-1</f>
        <v>0.42952686364961501</v>
      </c>
      <c r="AL22" s="3">
        <f>AL3/AE3-1</f>
        <v>1.1255123214377583</v>
      </c>
      <c r="BU22" s="5"/>
      <c r="BV22" s="5">
        <f>BV3/BU3-1</f>
        <v>0.27856341803659834</v>
      </c>
      <c r="BW22" s="5">
        <f t="shared" ref="BW22:CK22" si="45">BW3/BV3-1</f>
        <v>-7.7342061913013738E-2</v>
      </c>
      <c r="BX22" s="5">
        <f t="shared" si="45"/>
        <v>-9.9999999999999978E-2</v>
      </c>
      <c r="BY22" s="5">
        <f t="shared" si="45"/>
        <v>-0.10000000000000009</v>
      </c>
      <c r="BZ22" s="5">
        <f t="shared" si="45"/>
        <v>-9.9999999999999978E-2</v>
      </c>
      <c r="CA22" s="5">
        <f t="shared" si="45"/>
        <v>-9.9999999999999978E-2</v>
      </c>
      <c r="CB22" s="5">
        <f t="shared" si="45"/>
        <v>-9.9999999999999978E-2</v>
      </c>
      <c r="CC22" s="5">
        <f t="shared" si="45"/>
        <v>-9.9999999999999978E-2</v>
      </c>
      <c r="CD22" s="5">
        <f t="shared" si="45"/>
        <v>-9.9999999999999978E-2</v>
      </c>
      <c r="CE22" s="5">
        <f t="shared" si="45"/>
        <v>-9.9999999999999978E-2</v>
      </c>
      <c r="CF22" s="5">
        <f t="shared" si="45"/>
        <v>-9.9999999999999978E-2</v>
      </c>
      <c r="CG22" s="5">
        <f t="shared" si="45"/>
        <v>-9.9999999999999867E-2</v>
      </c>
      <c r="CH22" s="5">
        <f t="shared" si="45"/>
        <v>-9.9999999999999978E-2</v>
      </c>
      <c r="CI22" s="5">
        <f t="shared" si="45"/>
        <v>-9.9999999999999978E-2</v>
      </c>
      <c r="CJ22" s="5">
        <f t="shared" si="45"/>
        <v>-9.9999999999999978E-2</v>
      </c>
      <c r="CK22" s="5">
        <f t="shared" si="45"/>
        <v>-9.9999999999999978E-2</v>
      </c>
      <c r="CM22" t="s">
        <v>50</v>
      </c>
      <c r="CN22" t="e">
        <f>#REF!</f>
        <v>#REF!</v>
      </c>
    </row>
    <row r="23" spans="2:92" x14ac:dyDescent="0.55000000000000004">
      <c r="CN23" s="3" t="e">
        <f>CN21/CN22-1</f>
        <v>#REF!</v>
      </c>
    </row>
    <row r="25" spans="2:92" x14ac:dyDescent="0.55000000000000004">
      <c r="B25" t="s">
        <v>17</v>
      </c>
    </row>
    <row r="26" spans="2:92" x14ac:dyDescent="0.55000000000000004">
      <c r="B26" t="s">
        <v>18</v>
      </c>
      <c r="F26">
        <f>14077+26634+118131</f>
        <v>158842</v>
      </c>
      <c r="G26">
        <f>18949+22401+109239</f>
        <v>150589</v>
      </c>
      <c r="H26">
        <f>12977+24828+126685</f>
        <v>164490</v>
      </c>
      <c r="I26">
        <f>13844+11233+130162</f>
        <v>155239</v>
      </c>
      <c r="J26">
        <f>21120+20481+164065</f>
        <v>205666</v>
      </c>
      <c r="K26">
        <f>14489+18607+160443</f>
        <v>193539</v>
      </c>
      <c r="L26">
        <f>15319+19384+168145</f>
        <v>202848</v>
      </c>
      <c r="M26">
        <f>21120+20481+164065</f>
        <v>205666</v>
      </c>
      <c r="N26">
        <f>16689+21385+177665</f>
        <v>215739</v>
      </c>
      <c r="O26">
        <f>20484+46671+170430</f>
        <v>237585</v>
      </c>
      <c r="P26" s="9"/>
      <c r="Q26">
        <f>20484+46671+170430</f>
        <v>237585</v>
      </c>
      <c r="R26">
        <f>20289+53892+194714</f>
        <v>268895</v>
      </c>
      <c r="S26">
        <f>15157+51944+189740</f>
        <v>256841</v>
      </c>
      <c r="T26">
        <f>18571+58188+184757</f>
        <v>261516</v>
      </c>
      <c r="U26">
        <f>20289+53892+194714</f>
        <v>268895</v>
      </c>
      <c r="V26">
        <f>27491+49662+207944</f>
        <v>285097</v>
      </c>
      <c r="W26">
        <f>25913+40388+170799</f>
        <v>237100</v>
      </c>
      <c r="Y26">
        <f>25913+40388+170799</f>
        <v>237100</v>
      </c>
      <c r="Z26">
        <f>48844+51713+105341</f>
        <v>205898</v>
      </c>
      <c r="AA26">
        <f>37988+42104+145319</f>
        <v>225411</v>
      </c>
      <c r="AB26">
        <f>50530+44084+115996</f>
        <v>210610</v>
      </c>
      <c r="AC26">
        <f>48844+51713+105341</f>
        <v>205898</v>
      </c>
      <c r="AD26">
        <f>39771+67391+99899</f>
        <v>207061</v>
      </c>
      <c r="AG26">
        <f>38016+52927+100887</f>
        <v>191830</v>
      </c>
      <c r="AI26">
        <f>38466+31368+134539</f>
        <v>204373</v>
      </c>
      <c r="AJ26">
        <f>34050+27646+131948</f>
        <v>193644</v>
      </c>
      <c r="AK26">
        <f>34940+27699+127877</f>
        <v>190516</v>
      </c>
      <c r="AL26">
        <f>37119+26794+138683</f>
        <v>202596</v>
      </c>
    </row>
    <row r="27" spans="2:92" x14ac:dyDescent="0.55000000000000004">
      <c r="B27" t="s">
        <v>19</v>
      </c>
      <c r="F27">
        <v>14200</v>
      </c>
      <c r="G27">
        <v>9700</v>
      </c>
      <c r="H27">
        <v>10788</v>
      </c>
      <c r="I27">
        <v>17460</v>
      </c>
      <c r="J27">
        <v>16849</v>
      </c>
      <c r="K27">
        <v>10905</v>
      </c>
      <c r="L27">
        <v>10370</v>
      </c>
      <c r="M27">
        <v>16849</v>
      </c>
      <c r="N27">
        <v>12953</v>
      </c>
      <c r="O27">
        <v>15754</v>
      </c>
      <c r="P27" s="9"/>
      <c r="Q27">
        <v>15754</v>
      </c>
      <c r="R27">
        <v>17874</v>
      </c>
      <c r="S27">
        <v>11579</v>
      </c>
      <c r="T27">
        <v>12399</v>
      </c>
      <c r="U27">
        <v>17874</v>
      </c>
      <c r="V27">
        <v>23440</v>
      </c>
      <c r="W27">
        <v>23186</v>
      </c>
      <c r="Y27">
        <v>23186</v>
      </c>
      <c r="Z27">
        <v>22926</v>
      </c>
      <c r="AA27">
        <v>15085</v>
      </c>
      <c r="AB27">
        <v>14148</v>
      </c>
      <c r="AC27">
        <v>22926</v>
      </c>
      <c r="AD27">
        <v>20970</v>
      </c>
      <c r="AG27">
        <v>16120</v>
      </c>
      <c r="AI27">
        <v>18503</v>
      </c>
      <c r="AJ27">
        <v>17475</v>
      </c>
      <c r="AK27">
        <v>26278</v>
      </c>
      <c r="AL27">
        <v>30213</v>
      </c>
    </row>
    <row r="28" spans="2:92" x14ac:dyDescent="0.55000000000000004">
      <c r="B28" t="s">
        <v>20</v>
      </c>
      <c r="F28">
        <v>2122</v>
      </c>
      <c r="G28">
        <v>1829</v>
      </c>
      <c r="H28">
        <v>1594</v>
      </c>
      <c r="I28">
        <v>2111</v>
      </c>
      <c r="J28">
        <v>2349</v>
      </c>
      <c r="K28">
        <v>2396</v>
      </c>
      <c r="L28">
        <v>2042</v>
      </c>
      <c r="M28">
        <v>2349</v>
      </c>
      <c r="N28">
        <v>2451</v>
      </c>
      <c r="O28">
        <v>2132</v>
      </c>
      <c r="P28" s="9"/>
      <c r="Q28">
        <v>2132</v>
      </c>
      <c r="R28">
        <v>4855</v>
      </c>
      <c r="S28">
        <v>2910</v>
      </c>
      <c r="T28">
        <v>3146</v>
      </c>
      <c r="U28">
        <v>4855</v>
      </c>
      <c r="V28">
        <v>4421</v>
      </c>
      <c r="W28">
        <v>3956</v>
      </c>
      <c r="Y28">
        <v>3956</v>
      </c>
      <c r="Z28">
        <v>4106</v>
      </c>
      <c r="AA28">
        <v>4884</v>
      </c>
      <c r="AB28">
        <v>3355</v>
      </c>
      <c r="AC28">
        <v>4106</v>
      </c>
      <c r="AD28">
        <v>4097</v>
      </c>
      <c r="AG28">
        <v>4061</v>
      </c>
      <c r="AI28">
        <v>5219</v>
      </c>
      <c r="AJ28">
        <v>5178</v>
      </c>
      <c r="AK28">
        <v>6580</v>
      </c>
      <c r="AL28">
        <v>5876</v>
      </c>
    </row>
    <row r="29" spans="2:92" x14ac:dyDescent="0.55000000000000004">
      <c r="B29" t="s">
        <v>21</v>
      </c>
      <c r="F29">
        <v>10998</v>
      </c>
      <c r="G29">
        <v>6120</v>
      </c>
      <c r="H29">
        <v>6053</v>
      </c>
      <c r="I29">
        <v>9759</v>
      </c>
      <c r="J29">
        <v>13494</v>
      </c>
      <c r="K29">
        <v>7259</v>
      </c>
      <c r="L29">
        <v>9537</v>
      </c>
      <c r="M29">
        <v>13494</v>
      </c>
      <c r="N29">
        <v>11668</v>
      </c>
      <c r="O29">
        <v>13545</v>
      </c>
      <c r="P29" s="9"/>
      <c r="Q29">
        <v>13545</v>
      </c>
      <c r="R29">
        <v>17799</v>
      </c>
      <c r="S29">
        <f>9033</f>
        <v>9033</v>
      </c>
      <c r="T29">
        <v>10233</v>
      </c>
      <c r="U29">
        <v>17799</v>
      </c>
      <c r="V29">
        <v>27459</v>
      </c>
      <c r="W29">
        <v>25809</v>
      </c>
      <c r="Y29">
        <v>25809</v>
      </c>
      <c r="Z29">
        <v>22878</v>
      </c>
      <c r="AA29">
        <v>11193</v>
      </c>
      <c r="AB29">
        <v>12326</v>
      </c>
      <c r="AC29">
        <v>22878</v>
      </c>
      <c r="AD29">
        <v>18976</v>
      </c>
      <c r="AG29">
        <v>21325</v>
      </c>
      <c r="AI29">
        <v>14533</v>
      </c>
      <c r="AJ29">
        <v>16433</v>
      </c>
      <c r="AK29">
        <v>25228</v>
      </c>
      <c r="AL29">
        <v>35040</v>
      </c>
    </row>
    <row r="30" spans="2:92" x14ac:dyDescent="0.55000000000000004">
      <c r="B30" t="s">
        <v>22</v>
      </c>
      <c r="F30">
        <v>8574</v>
      </c>
      <c r="G30">
        <v>7528</v>
      </c>
      <c r="H30">
        <v>7825</v>
      </c>
      <c r="I30">
        <v>9806</v>
      </c>
      <c r="J30">
        <v>15085</v>
      </c>
      <c r="K30">
        <v>9094</v>
      </c>
      <c r="L30">
        <v>9291</v>
      </c>
      <c r="M30">
        <v>9539</v>
      </c>
      <c r="N30">
        <v>11073</v>
      </c>
      <c r="O30">
        <v>8283</v>
      </c>
      <c r="P30" s="9"/>
      <c r="Q30">
        <v>8283</v>
      </c>
      <c r="R30">
        <v>13936</v>
      </c>
      <c r="S30">
        <v>11367</v>
      </c>
      <c r="T30">
        <v>10338</v>
      </c>
      <c r="U30">
        <v>13936</v>
      </c>
      <c r="V30">
        <v>11337</v>
      </c>
      <c r="W30">
        <v>12087</v>
      </c>
      <c r="Y30">
        <v>12087</v>
      </c>
      <c r="Z30">
        <v>12352</v>
      </c>
      <c r="AA30">
        <v>12092</v>
      </c>
      <c r="AB30">
        <v>10530</v>
      </c>
      <c r="AC30">
        <v>12352</v>
      </c>
      <c r="AD30">
        <v>12026</v>
      </c>
      <c r="AG30">
        <v>11264</v>
      </c>
      <c r="AI30">
        <v>13376</v>
      </c>
      <c r="AJ30">
        <v>13641</v>
      </c>
      <c r="AK30">
        <v>14111</v>
      </c>
      <c r="AL30">
        <v>18112</v>
      </c>
    </row>
    <row r="31" spans="2:92" x14ac:dyDescent="0.55000000000000004">
      <c r="B31" t="s">
        <v>23</v>
      </c>
      <c r="F31">
        <v>15488</v>
      </c>
      <c r="G31">
        <v>15120</v>
      </c>
      <c r="H31">
        <v>17585</v>
      </c>
      <c r="I31">
        <v>20624</v>
      </c>
      <c r="J31">
        <v>22471</v>
      </c>
      <c r="K31">
        <v>20151</v>
      </c>
      <c r="L31">
        <v>21149</v>
      </c>
      <c r="M31">
        <v>22471</v>
      </c>
      <c r="N31">
        <v>22300</v>
      </c>
      <c r="O31">
        <v>27010</v>
      </c>
      <c r="P31" s="9"/>
      <c r="Q31">
        <v>27010</v>
      </c>
      <c r="R31">
        <v>33783</v>
      </c>
      <c r="S31">
        <v>27163</v>
      </c>
      <c r="T31">
        <v>29286</v>
      </c>
      <c r="U31">
        <v>33783</v>
      </c>
      <c r="V31">
        <v>33679</v>
      </c>
      <c r="W31">
        <v>41304</v>
      </c>
      <c r="Y31">
        <v>41304</v>
      </c>
      <c r="Z31">
        <v>37378</v>
      </c>
      <c r="AA31">
        <v>38746</v>
      </c>
      <c r="AB31">
        <v>37636</v>
      </c>
      <c r="AC31">
        <v>37378</v>
      </c>
      <c r="AD31">
        <v>37031</v>
      </c>
      <c r="AG31">
        <v>36766</v>
      </c>
      <c r="AI31">
        <v>37815</v>
      </c>
      <c r="AJ31">
        <v>38615</v>
      </c>
      <c r="AK31">
        <v>39440</v>
      </c>
      <c r="AL31">
        <v>39245</v>
      </c>
    </row>
    <row r="32" spans="2:92" x14ac:dyDescent="0.55000000000000004">
      <c r="B32" t="s">
        <v>24</v>
      </c>
      <c r="F32">
        <f>2022+4105</f>
        <v>6127</v>
      </c>
      <c r="G32">
        <f>3928+2055</f>
        <v>5983</v>
      </c>
      <c r="H32">
        <f>2374+3767</f>
        <v>6141</v>
      </c>
      <c r="I32">
        <f>4616+4142</f>
        <v>8758</v>
      </c>
      <c r="J32">
        <f>5116+3893</f>
        <v>9009</v>
      </c>
      <c r="K32">
        <f>4711+4061</f>
        <v>8772</v>
      </c>
      <c r="L32">
        <f>5044+3779</f>
        <v>8823</v>
      </c>
      <c r="M32">
        <f>5116+3893</f>
        <v>9009</v>
      </c>
      <c r="N32">
        <f>5202+3924</f>
        <v>9126</v>
      </c>
      <c r="O32">
        <f>3206+5414</f>
        <v>8620</v>
      </c>
      <c r="P32" s="9"/>
      <c r="Q32">
        <f>3206+5414</f>
        <v>8620</v>
      </c>
      <c r="R32">
        <f>5717+2298</f>
        <v>8015</v>
      </c>
      <c r="S32">
        <f>5473+2617</f>
        <v>8090</v>
      </c>
      <c r="T32">
        <f>2661+2444</f>
        <v>5105</v>
      </c>
      <c r="U32">
        <f>5717+2298</f>
        <v>8015</v>
      </c>
      <c r="V32">
        <f>5889+2149</f>
        <v>8038</v>
      </c>
      <c r="W32">
        <v>45</v>
      </c>
      <c r="Y32">
        <v>0</v>
      </c>
      <c r="Z32">
        <v>0</v>
      </c>
      <c r="AA32">
        <v>0</v>
      </c>
      <c r="AB32">
        <v>0</v>
      </c>
      <c r="AC32">
        <v>0</v>
      </c>
      <c r="AD32">
        <v>0</v>
      </c>
      <c r="AG32">
        <v>0</v>
      </c>
      <c r="AI32">
        <v>0</v>
      </c>
      <c r="AJ32">
        <v>0</v>
      </c>
      <c r="AK32">
        <v>0</v>
      </c>
      <c r="AL32">
        <v>0</v>
      </c>
    </row>
    <row r="33" spans="2:74" x14ac:dyDescent="0.55000000000000004">
      <c r="B33" t="s">
        <v>25</v>
      </c>
      <c r="F33">
        <f>3742+5091</f>
        <v>8833</v>
      </c>
      <c r="G33">
        <f>5106+4014</f>
        <v>9120</v>
      </c>
      <c r="H33">
        <f>4160+3884</f>
        <v>8044</v>
      </c>
      <c r="I33">
        <f>3764+4318</f>
        <v>8082</v>
      </c>
      <c r="J33">
        <v>5556</v>
      </c>
      <c r="K33">
        <f>3937+5141</f>
        <v>9078</v>
      </c>
      <c r="L33">
        <f>4081+5010</f>
        <v>9091</v>
      </c>
      <c r="M33">
        <f>5556+5546</f>
        <v>11102</v>
      </c>
      <c r="N33">
        <v>7974</v>
      </c>
      <c r="O33">
        <v>8757</v>
      </c>
      <c r="P33" s="9"/>
      <c r="Q33">
        <v>8757</v>
      </c>
      <c r="R33">
        <v>10162</v>
      </c>
      <c r="S33">
        <v>7549</v>
      </c>
      <c r="T33">
        <v>10150</v>
      </c>
      <c r="U33">
        <v>10162</v>
      </c>
      <c r="V33">
        <v>13323</v>
      </c>
      <c r="W33">
        <v>22238</v>
      </c>
      <c r="Y33">
        <v>22283</v>
      </c>
      <c r="Z33">
        <v>32978</v>
      </c>
      <c r="AA33">
        <v>34587</v>
      </c>
      <c r="AB33">
        <v>33634</v>
      </c>
      <c r="AC33">
        <v>32978</v>
      </c>
      <c r="AD33">
        <v>40457</v>
      </c>
      <c r="AG33">
        <v>42522</v>
      </c>
      <c r="AI33">
        <v>43339</v>
      </c>
      <c r="AJ33">
        <v>44854</v>
      </c>
      <c r="AK33">
        <v>48849</v>
      </c>
      <c r="AL33">
        <v>50109</v>
      </c>
    </row>
    <row r="34" spans="2:74" x14ac:dyDescent="0.55000000000000004">
      <c r="B34" t="s">
        <v>26</v>
      </c>
      <c r="F34" s="1">
        <f t="shared" ref="F34:Q34" si="46">SUM(F26:F33)</f>
        <v>225184</v>
      </c>
      <c r="G34" s="1">
        <f t="shared" si="46"/>
        <v>205989</v>
      </c>
      <c r="H34" s="1">
        <f t="shared" si="46"/>
        <v>222520</v>
      </c>
      <c r="I34" s="1">
        <f t="shared" si="46"/>
        <v>231839</v>
      </c>
      <c r="J34" s="1">
        <f t="shared" si="46"/>
        <v>290479</v>
      </c>
      <c r="K34" s="1">
        <f t="shared" si="46"/>
        <v>261194</v>
      </c>
      <c r="L34" s="1">
        <f t="shared" si="46"/>
        <v>273151</v>
      </c>
      <c r="M34" s="1">
        <f t="shared" si="46"/>
        <v>290479</v>
      </c>
      <c r="N34" s="1">
        <f t="shared" si="46"/>
        <v>293284</v>
      </c>
      <c r="O34" s="1">
        <f t="shared" si="46"/>
        <v>321686</v>
      </c>
      <c r="P34" s="9"/>
      <c r="Q34" s="1">
        <f t="shared" si="46"/>
        <v>321686</v>
      </c>
      <c r="R34" s="1">
        <f t="shared" ref="R34:W34" si="47">SUM(R26:R33)</f>
        <v>375319</v>
      </c>
      <c r="S34" s="1">
        <f t="shared" si="47"/>
        <v>334532</v>
      </c>
      <c r="T34" s="1">
        <f t="shared" si="47"/>
        <v>342173</v>
      </c>
      <c r="U34" s="1">
        <f t="shared" si="47"/>
        <v>375319</v>
      </c>
      <c r="V34" s="1">
        <f t="shared" si="47"/>
        <v>406794</v>
      </c>
      <c r="W34" s="1">
        <f t="shared" si="47"/>
        <v>365725</v>
      </c>
      <c r="Y34" s="1">
        <f t="shared" ref="Y34:AD34" si="48">SUM(Y26:Y33)</f>
        <v>365725</v>
      </c>
      <c r="Z34" s="1">
        <f t="shared" si="48"/>
        <v>338516</v>
      </c>
      <c r="AA34" s="1">
        <f t="shared" si="48"/>
        <v>341998</v>
      </c>
      <c r="AB34" s="1">
        <f t="shared" si="48"/>
        <v>322239</v>
      </c>
      <c r="AC34" s="1">
        <f t="shared" si="48"/>
        <v>338516</v>
      </c>
      <c r="AD34" s="1">
        <f t="shared" si="48"/>
        <v>340618</v>
      </c>
      <c r="AE34" s="1"/>
      <c r="AF34" s="1"/>
      <c r="AG34" s="1">
        <f>SUM(AG26:AG33)</f>
        <v>323888</v>
      </c>
      <c r="AI34" s="1">
        <f>SUM(AI26:AI33)</f>
        <v>337158</v>
      </c>
      <c r="AJ34" s="1">
        <f>SUM(AJ26:AJ33)</f>
        <v>329840</v>
      </c>
      <c r="AK34" s="1">
        <f>SUM(AK26:AK33)</f>
        <v>351002</v>
      </c>
      <c r="AL34" s="1">
        <f>SUM(AL26:AL33)</f>
        <v>381191</v>
      </c>
      <c r="BU34" s="1"/>
      <c r="BV34" s="1"/>
    </row>
    <row r="35" spans="2:74" x14ac:dyDescent="0.55000000000000004">
      <c r="P35" s="9"/>
    </row>
    <row r="36" spans="2:74" x14ac:dyDescent="0.55000000000000004">
      <c r="B36" t="s">
        <v>27</v>
      </c>
      <c r="F36">
        <v>29588</v>
      </c>
      <c r="G36">
        <v>18914</v>
      </c>
      <c r="H36">
        <v>20535</v>
      </c>
      <c r="I36">
        <v>30196</v>
      </c>
      <c r="J36">
        <v>35490</v>
      </c>
      <c r="K36">
        <v>23159</v>
      </c>
      <c r="L36">
        <v>26474</v>
      </c>
      <c r="M36">
        <v>35490</v>
      </c>
      <c r="N36">
        <v>33312</v>
      </c>
      <c r="O36">
        <v>37294</v>
      </c>
      <c r="P36" s="9"/>
      <c r="Q36">
        <v>37294</v>
      </c>
      <c r="R36">
        <v>49049</v>
      </c>
      <c r="S36">
        <v>28573</v>
      </c>
      <c r="T36">
        <v>31915</v>
      </c>
      <c r="U36">
        <v>49049</v>
      </c>
      <c r="V36">
        <v>62985</v>
      </c>
      <c r="W36">
        <v>55888</v>
      </c>
      <c r="Y36">
        <v>55888</v>
      </c>
      <c r="Z36">
        <v>46236</v>
      </c>
      <c r="AA36">
        <v>30443</v>
      </c>
      <c r="AB36">
        <v>29115</v>
      </c>
      <c r="AC36">
        <v>46236</v>
      </c>
      <c r="AD36">
        <v>45111</v>
      </c>
      <c r="AG36">
        <v>42296</v>
      </c>
      <c r="AI36">
        <v>40127</v>
      </c>
      <c r="AJ36">
        <v>40409</v>
      </c>
      <c r="AK36">
        <v>54764</v>
      </c>
      <c r="AL36">
        <v>74362</v>
      </c>
    </row>
    <row r="37" spans="2:74" x14ac:dyDescent="0.55000000000000004">
      <c r="B37" t="s">
        <v>28</v>
      </c>
      <c r="F37">
        <v>15824</v>
      </c>
      <c r="G37">
        <v>15984</v>
      </c>
      <c r="H37">
        <v>15264</v>
      </c>
      <c r="I37">
        <v>18453</v>
      </c>
      <c r="J37">
        <v>25181</v>
      </c>
      <c r="K37">
        <v>22827</v>
      </c>
      <c r="L37">
        <v>22724</v>
      </c>
      <c r="M37">
        <v>25181</v>
      </c>
      <c r="N37">
        <v>24032</v>
      </c>
      <c r="O37">
        <v>22027</v>
      </c>
      <c r="P37" s="9"/>
      <c r="Q37">
        <v>22027</v>
      </c>
      <c r="R37">
        <v>25744</v>
      </c>
      <c r="S37">
        <v>23096</v>
      </c>
      <c r="T37">
        <v>23304</v>
      </c>
      <c r="U37">
        <v>25744</v>
      </c>
      <c r="V37">
        <v>26281</v>
      </c>
      <c r="W37">
        <v>33327</v>
      </c>
      <c r="Y37">
        <v>33327</v>
      </c>
      <c r="Z37">
        <v>33327</v>
      </c>
      <c r="AA37">
        <v>35368</v>
      </c>
      <c r="AB37">
        <v>31673</v>
      </c>
      <c r="AC37">
        <v>37720</v>
      </c>
      <c r="AD37">
        <v>36263</v>
      </c>
      <c r="AG37">
        <v>42684</v>
      </c>
      <c r="AI37">
        <v>45660</v>
      </c>
      <c r="AJ37">
        <v>43625</v>
      </c>
      <c r="AK37">
        <v>47493</v>
      </c>
      <c r="AL37">
        <v>49167</v>
      </c>
    </row>
    <row r="38" spans="2:74" x14ac:dyDescent="0.55000000000000004">
      <c r="B38" t="s">
        <v>29</v>
      </c>
      <c r="F38">
        <f>8357+3071</f>
        <v>11428</v>
      </c>
      <c r="G38">
        <f>8310+3164</f>
        <v>11474</v>
      </c>
      <c r="H38">
        <f>8396+3058</f>
        <v>11454</v>
      </c>
      <c r="I38">
        <f>8491+3031</f>
        <v>11522</v>
      </c>
      <c r="J38">
        <f>8940+3624</f>
        <v>12564</v>
      </c>
      <c r="K38">
        <f>8944+3571</f>
        <v>12515</v>
      </c>
      <c r="L38">
        <f>9088+3474</f>
        <v>12562</v>
      </c>
      <c r="M38">
        <f>8940+3624</f>
        <v>12564</v>
      </c>
      <c r="N38">
        <f>8989+3546</f>
        <v>12535</v>
      </c>
      <c r="O38">
        <f>8080+2930</f>
        <v>11010</v>
      </c>
      <c r="P38" s="9"/>
      <c r="Q38">
        <f>8080+2930</f>
        <v>11010</v>
      </c>
      <c r="R38">
        <f>7548+2836</f>
        <v>10384</v>
      </c>
      <c r="S38">
        <f>7682+3107</f>
        <v>10789</v>
      </c>
      <c r="T38">
        <f>7608+2984</f>
        <v>10592</v>
      </c>
      <c r="U38">
        <f>7548+2836</f>
        <v>10384</v>
      </c>
      <c r="V38">
        <f>8044+3131</f>
        <v>11175</v>
      </c>
      <c r="W38">
        <f>5966</f>
        <v>5966</v>
      </c>
      <c r="Y38">
        <v>5966</v>
      </c>
      <c r="Z38">
        <v>5966</v>
      </c>
      <c r="AA38">
        <v>5532</v>
      </c>
      <c r="AB38">
        <v>5434</v>
      </c>
      <c r="AC38">
        <v>5522</v>
      </c>
      <c r="AD38">
        <v>5573</v>
      </c>
      <c r="AG38">
        <v>6643</v>
      </c>
      <c r="AI38">
        <v>7595</v>
      </c>
      <c r="AJ38">
        <v>7681</v>
      </c>
      <c r="AK38">
        <v>7612</v>
      </c>
      <c r="AL38">
        <v>7876</v>
      </c>
    </row>
    <row r="39" spans="2:74" x14ac:dyDescent="0.55000000000000004">
      <c r="B39" t="s">
        <v>30</v>
      </c>
      <c r="F39">
        <v>16961</v>
      </c>
      <c r="G39">
        <v>16962</v>
      </c>
      <c r="H39">
        <f>2010+29030</f>
        <v>31040</v>
      </c>
      <c r="I39">
        <f>28987+6308</f>
        <v>35295</v>
      </c>
      <c r="J39">
        <f>8499+2500+53463</f>
        <v>64462</v>
      </c>
      <c r="K39">
        <f>3799+40072</f>
        <v>43871</v>
      </c>
      <c r="L39">
        <f>47419+4499+2500</f>
        <v>54418</v>
      </c>
      <c r="M39">
        <f>53463+2500+8499</f>
        <v>64462</v>
      </c>
      <c r="N39">
        <f>7259+2500+53204</f>
        <v>62963</v>
      </c>
      <c r="O39">
        <f>8105+3500+75427</f>
        <v>87032</v>
      </c>
      <c r="P39" s="9"/>
      <c r="Q39">
        <f>8105+3500+75427</f>
        <v>87032</v>
      </c>
      <c r="R39">
        <f>11977+6496+97207</f>
        <v>115680</v>
      </c>
      <c r="S39">
        <f>9992+3999+84531</f>
        <v>98522</v>
      </c>
      <c r="T39">
        <f>11980+6495+89864</f>
        <v>108339</v>
      </c>
      <c r="U39">
        <f>11977+6496+97207</f>
        <v>115680</v>
      </c>
      <c r="V39">
        <f>11980+6498+103922</f>
        <v>122400</v>
      </c>
      <c r="W39">
        <f>11964+8784+93735</f>
        <v>114483</v>
      </c>
      <c r="Y39">
        <f>11964+8784+93735</f>
        <v>114483</v>
      </c>
      <c r="Z39">
        <f>11964+8784+93735</f>
        <v>114483</v>
      </c>
      <c r="AA39">
        <f>11924+10505+90201</f>
        <v>112630</v>
      </c>
      <c r="AB39">
        <f>13529+84936+9953</f>
        <v>108418</v>
      </c>
      <c r="AC39">
        <f>5980+10260+91807</f>
        <v>108047</v>
      </c>
      <c r="AD39">
        <f>4990+10224+93078</f>
        <v>108292</v>
      </c>
      <c r="AG39">
        <f>4996+8773+98667</f>
        <v>112436</v>
      </c>
      <c r="AI39">
        <f>8003+5000+108642</f>
        <v>121645</v>
      </c>
      <c r="AJ39">
        <f>8000+9039+105752</f>
        <v>122791</v>
      </c>
      <c r="AK39">
        <f>6000+9613+109106</f>
        <v>124719</v>
      </c>
      <c r="AL39">
        <f>5000+11169+106629</f>
        <v>122798</v>
      </c>
    </row>
    <row r="40" spans="2:74" x14ac:dyDescent="0.55000000000000004">
      <c r="B40" t="s">
        <v>31</v>
      </c>
      <c r="F40">
        <v>21699</v>
      </c>
      <c r="G40">
        <v>22476</v>
      </c>
      <c r="H40">
        <f>23287</f>
        <v>23287</v>
      </c>
      <c r="I40">
        <v>24826</v>
      </c>
      <c r="J40">
        <v>33427</v>
      </c>
      <c r="K40">
        <v>29816</v>
      </c>
      <c r="L40">
        <v>31296</v>
      </c>
      <c r="M40">
        <v>33427</v>
      </c>
      <c r="N40">
        <f>32175</f>
        <v>32175</v>
      </c>
      <c r="O40">
        <v>36074</v>
      </c>
      <c r="P40" s="9"/>
      <c r="Q40">
        <v>36074</v>
      </c>
      <c r="R40">
        <v>40415</v>
      </c>
      <c r="S40">
        <v>39470</v>
      </c>
      <c r="T40">
        <v>38598</v>
      </c>
      <c r="U40">
        <v>40415</v>
      </c>
      <c r="V40">
        <v>43754</v>
      </c>
      <c r="W40">
        <v>48914</v>
      </c>
      <c r="Y40">
        <v>48914</v>
      </c>
      <c r="Z40">
        <v>48914</v>
      </c>
      <c r="AA40">
        <v>52165</v>
      </c>
      <c r="AB40">
        <v>51143</v>
      </c>
      <c r="AC40">
        <v>50503</v>
      </c>
      <c r="AD40">
        <v>55848</v>
      </c>
      <c r="AG40">
        <v>54490</v>
      </c>
      <c r="AI40">
        <v>52953</v>
      </c>
      <c r="AJ40">
        <v>52054</v>
      </c>
      <c r="AK40">
        <v>53325</v>
      </c>
      <c r="AL40">
        <v>55056</v>
      </c>
    </row>
    <row r="41" spans="2:74" x14ac:dyDescent="0.55000000000000004">
      <c r="B41" t="s">
        <v>32</v>
      </c>
      <c r="F41" s="1">
        <f t="shared" ref="F41:Q41" si="49">SUM(F36:F40)</f>
        <v>95500</v>
      </c>
      <c r="G41" s="1">
        <f t="shared" si="49"/>
        <v>85810</v>
      </c>
      <c r="H41" s="1">
        <f t="shared" si="49"/>
        <v>101580</v>
      </c>
      <c r="I41" s="1">
        <f t="shared" si="49"/>
        <v>120292</v>
      </c>
      <c r="J41" s="1">
        <f t="shared" si="49"/>
        <v>171124</v>
      </c>
      <c r="K41" s="1">
        <f t="shared" si="49"/>
        <v>132188</v>
      </c>
      <c r="L41" s="1">
        <f t="shared" si="49"/>
        <v>147474</v>
      </c>
      <c r="M41" s="1">
        <f t="shared" si="49"/>
        <v>171124</v>
      </c>
      <c r="N41" s="1">
        <f t="shared" si="49"/>
        <v>165017</v>
      </c>
      <c r="O41" s="1">
        <f t="shared" si="49"/>
        <v>193437</v>
      </c>
      <c r="P41" s="9"/>
      <c r="Q41" s="1">
        <f t="shared" si="49"/>
        <v>193437</v>
      </c>
      <c r="R41" s="1">
        <f t="shared" ref="R41:W41" si="50">SUM(R36:R40)</f>
        <v>241272</v>
      </c>
      <c r="S41" s="1">
        <f t="shared" si="50"/>
        <v>200450</v>
      </c>
      <c r="T41" s="1">
        <f t="shared" si="50"/>
        <v>212748</v>
      </c>
      <c r="U41" s="1">
        <f t="shared" si="50"/>
        <v>241272</v>
      </c>
      <c r="V41" s="1">
        <f t="shared" si="50"/>
        <v>266595</v>
      </c>
      <c r="W41" s="1">
        <f t="shared" si="50"/>
        <v>258578</v>
      </c>
      <c r="Y41" s="1">
        <f t="shared" ref="Y41:AD41" si="51">SUM(Y36:Y40)</f>
        <v>258578</v>
      </c>
      <c r="Z41" s="1">
        <f t="shared" si="51"/>
        <v>248926</v>
      </c>
      <c r="AA41" s="1">
        <f t="shared" si="51"/>
        <v>236138</v>
      </c>
      <c r="AB41" s="1">
        <f t="shared" si="51"/>
        <v>225783</v>
      </c>
      <c r="AC41" s="1">
        <f t="shared" si="51"/>
        <v>248028</v>
      </c>
      <c r="AD41" s="1">
        <f t="shared" si="51"/>
        <v>251087</v>
      </c>
      <c r="AE41" s="1"/>
      <c r="AF41" s="1"/>
      <c r="AG41" s="1">
        <f>SUM(AG36:AG40)</f>
        <v>258549</v>
      </c>
      <c r="AI41" s="1">
        <f>SUM(AI36:AI40)</f>
        <v>267980</v>
      </c>
      <c r="AJ41" s="1">
        <f>SUM(AJ36:AJ40)</f>
        <v>266560</v>
      </c>
      <c r="AK41" s="1">
        <f>SUM(AK36:AK40)</f>
        <v>287913</v>
      </c>
      <c r="AL41" s="1">
        <f>SUM(AL36:AL40)</f>
        <v>309259</v>
      </c>
      <c r="BU41" s="1"/>
      <c r="BV41" s="1"/>
    </row>
    <row r="42" spans="2:74" x14ac:dyDescent="0.55000000000000004">
      <c r="B42" t="s">
        <v>33</v>
      </c>
    </row>
    <row r="43" spans="2:74" x14ac:dyDescent="0.55000000000000004">
      <c r="B43" t="s">
        <v>34</v>
      </c>
    </row>
  </sheetData>
  <phoneticPr fontId="2" type="noConversion"/>
  <hyperlinks>
    <hyperlink ref="A1" location="Main!A1" display="Main" xr:uid="{DAD5D061-0CD4-4EAF-B698-876CC4482FF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B08E4B-BA58-4859-9EB1-3ED8CBDE2C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MSFT</vt:lpstr>
      <vt:lpstr>AAPL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Wiktor Kacorzyk</dc:creator>
  <cp:lastModifiedBy>Wiktor Kacorzyk</cp:lastModifiedBy>
  <dcterms:created xsi:type="dcterms:W3CDTF">2024-06-13T17:40:02Z</dcterms:created>
  <dcterms:modified xsi:type="dcterms:W3CDTF">2024-08-26T16:29:55Z</dcterms:modified>
</cp:coreProperties>
</file>