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kaco\Desktop\Portfolio\Tech\"/>
    </mc:Choice>
  </mc:AlternateContent>
  <xr:revisionPtr revIDLastSave="0" documentId="13_ncr:1_{073EDADC-4AFE-45E8-B79B-A6D625440AB1}" xr6:coauthVersionLast="47" xr6:coauthVersionMax="47" xr10:uidLastSave="{00000000-0000-0000-0000-000000000000}"/>
  <bookViews>
    <workbookView xWindow="-96" yWindow="-96" windowWidth="30912" windowHeight="17016" activeTab="1" xr2:uid="{51D544D2-0347-49B7-B0E3-71F4C615D9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5" i="2" l="1"/>
  <c r="Z25" i="2"/>
  <c r="AA22" i="2"/>
  <c r="Z22" i="2"/>
  <c r="Y22" i="2"/>
  <c r="AA21" i="2"/>
  <c r="Z21" i="2"/>
  <c r="Y21" i="2"/>
  <c r="AA20" i="2"/>
  <c r="Z20" i="2"/>
  <c r="Y20" i="2"/>
  <c r="AA19" i="2"/>
  <c r="Z19" i="2"/>
  <c r="Y19" i="2"/>
  <c r="AA18" i="2"/>
  <c r="Z18" i="2"/>
  <c r="Y18" i="2"/>
  <c r="Z14" i="2"/>
  <c r="Z15" i="2" s="1"/>
  <c r="AA14" i="2"/>
  <c r="AA12" i="2"/>
  <c r="AA11" i="2"/>
  <c r="AA13" i="2" s="1"/>
  <c r="AA8" i="2"/>
  <c r="AA7" i="2"/>
  <c r="AA9" i="2" s="1"/>
  <c r="AA6" i="2"/>
  <c r="AA4" i="2"/>
  <c r="AA5" i="2" s="1"/>
  <c r="Z12" i="2"/>
  <c r="Z11" i="2"/>
  <c r="Z8" i="2"/>
  <c r="Z7" i="2"/>
  <c r="Z6" i="2"/>
  <c r="Z9" i="2" s="1"/>
  <c r="Z4" i="2"/>
  <c r="Z5" i="2" s="1"/>
  <c r="Y15" i="2"/>
  <c r="Y13" i="2"/>
  <c r="Y10" i="2"/>
  <c r="Y9" i="2"/>
  <c r="Y5" i="2"/>
  <c r="AA3" i="2"/>
  <c r="Z3" i="2"/>
  <c r="Y14" i="2"/>
  <c r="Y12" i="2"/>
  <c r="Y11" i="2"/>
  <c r="Y8" i="2"/>
  <c r="Y7" i="2"/>
  <c r="Y6" i="2"/>
  <c r="Y4" i="2"/>
  <c r="Y3" i="2"/>
  <c r="N39" i="2"/>
  <c r="N35" i="2"/>
  <c r="N37" i="2" s="1"/>
  <c r="N29" i="2"/>
  <c r="N46" i="2"/>
  <c r="N9" i="2"/>
  <c r="N5" i="2"/>
  <c r="M39" i="2"/>
  <c r="M46" i="2"/>
  <c r="M29" i="2"/>
  <c r="M35" i="2"/>
  <c r="M37" i="2"/>
  <c r="M14" i="2"/>
  <c r="M12" i="2"/>
  <c r="M11" i="2"/>
  <c r="M8" i="2"/>
  <c r="M7" i="2"/>
  <c r="M6" i="2"/>
  <c r="M4" i="2"/>
  <c r="M5" i="2" s="1"/>
  <c r="M3" i="2"/>
  <c r="L39" i="2"/>
  <c r="L46" i="2" s="1"/>
  <c r="L35" i="2"/>
  <c r="L29" i="2"/>
  <c r="L37" i="2" s="1"/>
  <c r="L9" i="2"/>
  <c r="L5" i="2"/>
  <c r="L18" i="2" s="1"/>
  <c r="K39" i="2"/>
  <c r="K46" i="2"/>
  <c r="K35" i="2"/>
  <c r="K37" i="2"/>
  <c r="K29" i="2"/>
  <c r="J42" i="2"/>
  <c r="J39" i="2"/>
  <c r="J46" i="2"/>
  <c r="J35" i="2"/>
  <c r="J29" i="2"/>
  <c r="J37" i="2"/>
  <c r="J9" i="2"/>
  <c r="J5" i="2"/>
  <c r="J18" i="2" s="1"/>
  <c r="E14" i="2"/>
  <c r="E12" i="2"/>
  <c r="E11" i="2"/>
  <c r="E8" i="2"/>
  <c r="E7" i="2"/>
  <c r="E6" i="2"/>
  <c r="E4" i="2"/>
  <c r="E3" i="2"/>
  <c r="I14" i="2"/>
  <c r="I12" i="2"/>
  <c r="I11" i="2"/>
  <c r="I8" i="2"/>
  <c r="I7" i="2"/>
  <c r="I6" i="2"/>
  <c r="I5" i="2"/>
  <c r="I4" i="2"/>
  <c r="I3" i="2"/>
  <c r="H44" i="2"/>
  <c r="H43" i="2"/>
  <c r="H39" i="2"/>
  <c r="H35" i="2"/>
  <c r="H32" i="2"/>
  <c r="H29" i="2"/>
  <c r="H37" i="2"/>
  <c r="H9" i="2"/>
  <c r="H5" i="2"/>
  <c r="D9" i="2"/>
  <c r="D5" i="2"/>
  <c r="C9" i="2"/>
  <c r="C5" i="2"/>
  <c r="G9" i="2"/>
  <c r="G5" i="2"/>
  <c r="G44" i="2"/>
  <c r="G39" i="2"/>
  <c r="G32" i="2"/>
  <c r="G35" i="2"/>
  <c r="G37" i="2" s="1"/>
  <c r="G29" i="2"/>
  <c r="F44" i="2"/>
  <c r="F39" i="2"/>
  <c r="F32" i="2"/>
  <c r="F35" i="2"/>
  <c r="F29" i="2"/>
  <c r="F46" i="2"/>
  <c r="B9" i="2"/>
  <c r="B5" i="2"/>
  <c r="B18" i="2" s="1"/>
  <c r="F9" i="2"/>
  <c r="F5" i="2"/>
  <c r="I46" i="2"/>
  <c r="I39" i="2"/>
  <c r="I37" i="2"/>
  <c r="I35" i="2"/>
  <c r="I29" i="2"/>
  <c r="L6" i="1"/>
  <c r="L5" i="1"/>
  <c r="L4" i="1" a="1"/>
  <c r="L4" i="1" s="1"/>
  <c r="L2" i="1" a="1"/>
  <c r="L2" i="1" s="1"/>
  <c r="O46" i="2"/>
  <c r="O39" i="2"/>
  <c r="O37" i="2"/>
  <c r="O35" i="2"/>
  <c r="O29" i="2"/>
  <c r="G22" i="2"/>
  <c r="L25" i="2"/>
  <c r="K25" i="2"/>
  <c r="J25" i="2"/>
  <c r="H25" i="2"/>
  <c r="G25" i="2"/>
  <c r="F25" i="2"/>
  <c r="O25" i="2"/>
  <c r="O18" i="2"/>
  <c r="K18" i="2"/>
  <c r="K9" i="2"/>
  <c r="K5" i="2"/>
  <c r="K22" i="2" s="1"/>
  <c r="O9" i="2"/>
  <c r="O5" i="2"/>
  <c r="AA10" i="2" l="1"/>
  <c r="AA15" i="2" s="1"/>
  <c r="Z10" i="2"/>
  <c r="Z13" i="2" s="1"/>
  <c r="N10" i="2"/>
  <c r="N13" i="2" s="1"/>
  <c r="N15" i="2" s="1"/>
  <c r="N25" i="2"/>
  <c r="N22" i="2"/>
  <c r="M22" i="2"/>
  <c r="M9" i="2"/>
  <c r="M10" i="2" s="1"/>
  <c r="M13" i="2" s="1"/>
  <c r="M18" i="2"/>
  <c r="L22" i="2"/>
  <c r="L10" i="2"/>
  <c r="L13" i="2" s="1"/>
  <c r="J10" i="2"/>
  <c r="J13" i="2" s="1"/>
  <c r="J22" i="2"/>
  <c r="E5" i="2"/>
  <c r="E22" i="2"/>
  <c r="E9" i="2"/>
  <c r="E10" i="2" s="1"/>
  <c r="E13" i="2" s="1"/>
  <c r="E18" i="2"/>
  <c r="I9" i="2"/>
  <c r="I10" i="2" s="1"/>
  <c r="I13" i="2" s="1"/>
  <c r="I22" i="2"/>
  <c r="M25" i="2"/>
  <c r="I25" i="2"/>
  <c r="I18" i="2"/>
  <c r="H46" i="2"/>
  <c r="H18" i="2"/>
  <c r="H22" i="2"/>
  <c r="H10" i="2"/>
  <c r="H13" i="2" s="1"/>
  <c r="D18" i="2"/>
  <c r="D10" i="2"/>
  <c r="D13" i="2" s="1"/>
  <c r="D22" i="2"/>
  <c r="G10" i="2"/>
  <c r="G13" i="2" s="1"/>
  <c r="G21" i="2" s="1"/>
  <c r="G18" i="2"/>
  <c r="C18" i="2"/>
  <c r="C22" i="2"/>
  <c r="C10" i="2"/>
  <c r="C13" i="2" s="1"/>
  <c r="G46" i="2"/>
  <c r="F37" i="2"/>
  <c r="B10" i="2"/>
  <c r="B13" i="2" s="1"/>
  <c r="B22" i="2"/>
  <c r="F18" i="2"/>
  <c r="F22" i="2"/>
  <c r="F10" i="2"/>
  <c r="F13" i="2" s="1"/>
  <c r="L3" i="1"/>
  <c r="L7" i="1" s="1"/>
  <c r="O10" i="2"/>
  <c r="O13" i="2" s="1"/>
  <c r="O22" i="2"/>
  <c r="K10" i="2"/>
  <c r="K13" i="2" s="1"/>
  <c r="N18" i="2" l="1"/>
  <c r="M21" i="2"/>
  <c r="M15" i="2"/>
  <c r="M20" i="2" s="1"/>
  <c r="M19" i="2"/>
  <c r="L19" i="2"/>
  <c r="L15" i="2"/>
  <c r="L20" i="2" s="1"/>
  <c r="L21" i="2"/>
  <c r="J21" i="2"/>
  <c r="J19" i="2"/>
  <c r="J15" i="2"/>
  <c r="J20" i="2" s="1"/>
  <c r="E21" i="2"/>
  <c r="E15" i="2"/>
  <c r="E20" i="2" s="1"/>
  <c r="E19" i="2"/>
  <c r="I15" i="2"/>
  <c r="I20" i="2" s="1"/>
  <c r="I21" i="2"/>
  <c r="I19" i="2"/>
  <c r="H19" i="2"/>
  <c r="H15" i="2"/>
  <c r="H20" i="2" s="1"/>
  <c r="H21" i="2"/>
  <c r="D15" i="2"/>
  <c r="D20" i="2" s="1"/>
  <c r="D21" i="2"/>
  <c r="D19" i="2"/>
  <c r="G19" i="2"/>
  <c r="G15" i="2"/>
  <c r="G20" i="2" s="1"/>
  <c r="C19" i="2"/>
  <c r="C21" i="2"/>
  <c r="C15" i="2"/>
  <c r="C20" i="2" s="1"/>
  <c r="B15" i="2"/>
  <c r="B20" i="2" s="1"/>
  <c r="B21" i="2"/>
  <c r="B19" i="2"/>
  <c r="F21" i="2"/>
  <c r="F15" i="2"/>
  <c r="F20" i="2" s="1"/>
  <c r="F19" i="2"/>
  <c r="O21" i="2"/>
  <c r="O19" i="2"/>
  <c r="O15" i="2"/>
  <c r="O20" i="2" s="1"/>
  <c r="K15" i="2"/>
  <c r="K20" i="2" s="1"/>
  <c r="K21" i="2"/>
  <c r="K19" i="2"/>
  <c r="N21" i="2" l="1"/>
  <c r="N19" i="2"/>
  <c r="N2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<sst xmlns="http://schemas.openxmlformats.org/spreadsheetml/2006/main" count="60" uniqueCount="59">
  <si>
    <t>Cost of Sales</t>
  </si>
  <si>
    <t>R&amp;D</t>
  </si>
  <si>
    <t>MGA</t>
  </si>
  <si>
    <t>Other</t>
  </si>
  <si>
    <t>Operating expenses</t>
  </si>
  <si>
    <t>Operating income</t>
  </si>
  <si>
    <t>Investments</t>
  </si>
  <si>
    <t>Interest</t>
  </si>
  <si>
    <t>Pre tax income</t>
  </si>
  <si>
    <t>Net income</t>
  </si>
  <si>
    <t>Revenue</t>
  </si>
  <si>
    <t>Gross Margin</t>
  </si>
  <si>
    <t>Q121</t>
  </si>
  <si>
    <t>Q221</t>
  </si>
  <si>
    <t>Q321</t>
  </si>
  <si>
    <t>Q421</t>
  </si>
  <si>
    <t>Q122</t>
  </si>
  <si>
    <t>Q222</t>
  </si>
  <si>
    <t>Q322</t>
  </si>
  <si>
    <t>Q422</t>
  </si>
  <si>
    <t>Q123</t>
  </si>
  <si>
    <t>Q223</t>
  </si>
  <si>
    <t>Q323</t>
  </si>
  <si>
    <t>Q423</t>
  </si>
  <si>
    <t>Q124</t>
  </si>
  <si>
    <t>Q224</t>
  </si>
  <si>
    <t>Q324</t>
  </si>
  <si>
    <t>Q424</t>
  </si>
  <si>
    <t>Tax</t>
  </si>
  <si>
    <t>Gross Margin %</t>
  </si>
  <si>
    <t>OperatingMargin %</t>
  </si>
  <si>
    <t>Net Margin %</t>
  </si>
  <si>
    <t>Tax Rate</t>
  </si>
  <si>
    <t>R&amp;D %</t>
  </si>
  <si>
    <t>Revenue Y/Y</t>
  </si>
  <si>
    <t>Balance Sheet</t>
  </si>
  <si>
    <t>Cash</t>
  </si>
  <si>
    <t>A/R</t>
  </si>
  <si>
    <t>Invetories</t>
  </si>
  <si>
    <t>OCA</t>
  </si>
  <si>
    <t>PP&amp;E</t>
  </si>
  <si>
    <t>Goodwill  + intagables</t>
  </si>
  <si>
    <t>ONCA</t>
  </si>
  <si>
    <t>Assets</t>
  </si>
  <si>
    <t>Debt</t>
  </si>
  <si>
    <t>AP</t>
  </si>
  <si>
    <t>Compensation</t>
  </si>
  <si>
    <t>Taxes</t>
  </si>
  <si>
    <t>OL</t>
  </si>
  <si>
    <t>OLTL</t>
  </si>
  <si>
    <t>SE</t>
  </si>
  <si>
    <t>L+SE</t>
  </si>
  <si>
    <t>PRICE</t>
  </si>
  <si>
    <t>SHARES</t>
  </si>
  <si>
    <t>MC</t>
  </si>
  <si>
    <t>milions</t>
  </si>
  <si>
    <t>CASH</t>
  </si>
  <si>
    <t>DEBT</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</si>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</sst>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_);_([$$-409]* \(#,##0\);_([$$-409]* &quot;-&quot;_);_(@_)"/>
    <numFmt numFmtId="166" formatCode="_-[$$-409]* #,##0.00_ ;_-[$$-409]* \-#,##0.00\ ;_-[$$-409]* &quot;-&quot;??_ ;_-@_ "/>
  </numFmts>
  <fonts count="5" x14ac:knownFonts="1">
    <font>
      <sz val="11"/>
      <color theme="1"/>
      <name val="Aptos Narrow"/>
      <family val="2"/>
      <charset val="238"/>
      <scheme val="minor"/>
    </font>
    <font>
      <sz val="11"/>
      <color theme="1"/>
      <name val="Aptos Narrow"/>
      <family val="2"/>
      <charset val="238"/>
      <scheme val="minor"/>
    </font>
    <font>
      <sz val="8"/>
      <name val="Aptos Narrow"/>
      <family val="2"/>
      <charset val="238"/>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1" xfId="0" applyBorder="1"/>
    <xf numFmtId="0" fontId="0" fillId="0" borderId="2" xfId="0" applyBorder="1"/>
    <xf numFmtId="0" fontId="0" fillId="0" borderId="3" xfId="0" applyBorder="1"/>
    <xf numFmtId="0" fontId="3" fillId="0" borderId="1" xfId="0" applyFont="1" applyBorder="1"/>
    <xf numFmtId="0" fontId="3" fillId="0" borderId="0" xfId="0" applyFont="1"/>
    <xf numFmtId="0" fontId="4" fillId="0" borderId="0" xfId="0" applyFont="1"/>
    <xf numFmtId="164" fontId="0" fillId="0" borderId="0" xfId="0" applyNumberFormat="1"/>
    <xf numFmtId="165" fontId="0" fillId="0" borderId="0" xfId="0" applyNumberFormat="1"/>
    <xf numFmtId="166" fontId="0" fillId="0" borderId="0" xfId="0" applyNumberFormat="1"/>
    <xf numFmtId="9" fontId="3"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https://www.bing.com/financeapi/forcetrigger?t=a1vmf2&amp;q=XNAS%3aINTC&amp;form=skydnc</v>
    <v>Learn more on Bing</v>
  </rv>
  <rv s="1">
    <v>en-US</v>
    <v>a1vmf2</v>
    <v>268435456</v>
    <v>1</v>
    <v>Powered by Refinitiv</v>
    <v>0</v>
    <v>INTEL CORPORATION (XNAS:INTC)</v>
    <v>2</v>
    <v>3</v>
    <v>Finance</v>
    <v>4</v>
    <v>51.28</v>
    <v>18.84</v>
    <v>1.0309999999999999</v>
    <v>-4.4999999999999998E-2</v>
    <v>-2.235E-3</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20.260000000000002</v>
    <v>Semiconductors &amp; Semiconductor Equipment</v>
    <v>Stock</v>
    <v>45531.771178286719</v>
    <v>0</v>
    <v>19.84</v>
    <v>85702695000</v>
    <v>INTEL CORPORATION</v>
    <v>INTEL CORPORATION</v>
    <v>20.14</v>
    <v>90.411000000000001</v>
    <v>20.13</v>
    <v>20.085000000000001</v>
    <v>4267000000</v>
    <v>INTC</v>
    <v>INTEL CORPORATION (XNAS:INTC)</v>
    <v>30489620</v>
    <v>79728648</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15D4C-CE36-45E6-B21E-D83FA418C971}">
  <dimension ref="J2:M7"/>
  <sheetViews>
    <sheetView workbookViewId="0">
      <selection activeCell="M18" sqref="M18"/>
    </sheetView>
  </sheetViews>
  <sheetFormatPr defaultRowHeight="14.4" x14ac:dyDescent="0.55000000000000004"/>
  <cols>
    <col min="12" max="12" width="15" bestFit="1" customWidth="1"/>
  </cols>
  <sheetData>
    <row r="2" spans="10:13" x14ac:dyDescent="0.55000000000000004">
      <c r="J2" t="e" vm="1">
        <v>#VALUE!</v>
      </c>
      <c r="K2" t="s">
        <v>52</v>
      </c>
      <c r="L2" s="7" cm="1">
        <f t="array" ref="L2">_FV(J2,"Price")</f>
        <v>20.085000000000001</v>
      </c>
    </row>
    <row r="3" spans="10:13" x14ac:dyDescent="0.55000000000000004">
      <c r="K3" t="s">
        <v>53</v>
      </c>
      <c r="L3">
        <f>(L4/L2)/(1000000)</f>
        <v>4267</v>
      </c>
      <c r="M3" t="s">
        <v>55</v>
      </c>
    </row>
    <row r="4" spans="10:13" x14ac:dyDescent="0.55000000000000004">
      <c r="K4" t="s">
        <v>54</v>
      </c>
      <c r="L4" s="8" cm="1">
        <f t="array" ref="L4">_FV(J2,"Market cap",TRUE)</f>
        <v>85702695000</v>
      </c>
    </row>
    <row r="5" spans="10:13" x14ac:dyDescent="0.55000000000000004">
      <c r="K5" t="s">
        <v>56</v>
      </c>
      <c r="L5">
        <f>11287+17986</f>
        <v>29273</v>
      </c>
    </row>
    <row r="6" spans="10:13" x14ac:dyDescent="0.55000000000000004">
      <c r="K6" t="s">
        <v>57</v>
      </c>
      <c r="L6">
        <f>4695+48334</f>
        <v>53029</v>
      </c>
    </row>
    <row r="7" spans="10:13" x14ac:dyDescent="0.55000000000000004">
      <c r="K7" t="s">
        <v>58</v>
      </c>
      <c r="L7" s="9">
        <f>(L3*L2)-L5+L6</f>
        <v>109458.69500000001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EA9C-3A86-4E49-B3BD-A6BABB4AAFFD}">
  <dimension ref="A2:AB46"/>
  <sheetViews>
    <sheetView tabSelected="1" zoomScale="85" zoomScaleNormal="85" workbookViewId="0">
      <pane xSplit="1" ySplit="2" topLeftCell="B3" activePane="bottomRight" state="frozen"/>
      <selection pane="topRight" activeCell="B1" sqref="B1"/>
      <selection pane="bottomLeft" activeCell="A3" sqref="A3"/>
      <selection pane="bottomRight" activeCell="I3" sqref="I3"/>
    </sheetView>
  </sheetViews>
  <sheetFormatPr defaultRowHeight="14.4" x14ac:dyDescent="0.55000000000000004"/>
  <cols>
    <col min="1" max="1" width="16.1015625" style="1" bestFit="1" customWidth="1"/>
  </cols>
  <sheetData>
    <row r="2" spans="1:28" s="3" customFormat="1" x14ac:dyDescent="0.55000000000000004">
      <c r="A2" s="2"/>
      <c r="B2" s="3" t="s">
        <v>12</v>
      </c>
      <c r="C2" s="3" t="s">
        <v>13</v>
      </c>
      <c r="D2" s="3" t="s">
        <v>14</v>
      </c>
      <c r="E2" s="3" t="s">
        <v>15</v>
      </c>
      <c r="F2" s="3" t="s">
        <v>16</v>
      </c>
      <c r="G2" s="3" t="s">
        <v>17</v>
      </c>
      <c r="H2" s="3" t="s">
        <v>18</v>
      </c>
      <c r="I2" s="3" t="s">
        <v>19</v>
      </c>
      <c r="J2" s="3" t="s">
        <v>20</v>
      </c>
      <c r="K2" s="3" t="s">
        <v>21</v>
      </c>
      <c r="L2" s="3" t="s">
        <v>22</v>
      </c>
      <c r="M2" s="3" t="s">
        <v>23</v>
      </c>
      <c r="N2" s="3" t="s">
        <v>24</v>
      </c>
      <c r="O2" s="3" t="s">
        <v>25</v>
      </c>
      <c r="P2" s="3" t="s">
        <v>26</v>
      </c>
      <c r="Q2" s="3" t="s">
        <v>27</v>
      </c>
      <c r="Y2" s="3">
        <v>2021</v>
      </c>
      <c r="Z2" s="3">
        <v>2022</v>
      </c>
      <c r="AA2" s="3">
        <v>2023</v>
      </c>
      <c r="AB2" s="3">
        <v>2024</v>
      </c>
    </row>
    <row r="3" spans="1:28" s="5" customFormat="1" x14ac:dyDescent="0.55000000000000004">
      <c r="A3" s="4" t="s">
        <v>10</v>
      </c>
      <c r="B3" s="5">
        <v>19673</v>
      </c>
      <c r="C3" s="5">
        <v>19631</v>
      </c>
      <c r="D3" s="5">
        <v>19192</v>
      </c>
      <c r="E3" s="5">
        <f>79024-SUM(B3:D3)</f>
        <v>20528</v>
      </c>
      <c r="F3" s="5">
        <v>18353</v>
      </c>
      <c r="G3" s="5">
        <v>15321</v>
      </c>
      <c r="H3" s="5">
        <v>15338</v>
      </c>
      <c r="I3" s="5">
        <f>63054-SUM(F3:H3)</f>
        <v>14042</v>
      </c>
      <c r="J3" s="5">
        <v>11715</v>
      </c>
      <c r="K3" s="5">
        <v>12949</v>
      </c>
      <c r="L3" s="5">
        <v>14158</v>
      </c>
      <c r="M3" s="5">
        <f>54228-SUM(J3:L3)</f>
        <v>15406</v>
      </c>
      <c r="N3" s="5">
        <v>12724</v>
      </c>
      <c r="O3" s="5">
        <v>12833</v>
      </c>
      <c r="Y3" s="5">
        <f>SUM(B3:E3)</f>
        <v>79024</v>
      </c>
      <c r="Z3" s="5">
        <f>SUM(F3:I3)</f>
        <v>63054</v>
      </c>
      <c r="AA3" s="5">
        <f>SUM(J3:M3)</f>
        <v>54228</v>
      </c>
    </row>
    <row r="4" spans="1:28" x14ac:dyDescent="0.55000000000000004">
      <c r="A4" s="1" t="s">
        <v>0</v>
      </c>
      <c r="B4">
        <v>8819</v>
      </c>
      <c r="C4">
        <v>8425</v>
      </c>
      <c r="D4">
        <v>8446</v>
      </c>
      <c r="E4" s="6">
        <f>35209-SUM(B4:D4)</f>
        <v>9519</v>
      </c>
      <c r="F4">
        <v>9109</v>
      </c>
      <c r="G4">
        <v>9734</v>
      </c>
      <c r="H4">
        <v>8803</v>
      </c>
      <c r="I4" s="6">
        <f>36188-SUM(F4:H4)</f>
        <v>8542</v>
      </c>
      <c r="J4">
        <v>7707</v>
      </c>
      <c r="K4">
        <v>8311</v>
      </c>
      <c r="L4">
        <v>8140</v>
      </c>
      <c r="M4" s="6">
        <f>32517-SUM(J4:L4)</f>
        <v>8359</v>
      </c>
      <c r="N4">
        <v>7507</v>
      </c>
      <c r="O4">
        <v>8286</v>
      </c>
      <c r="Y4" s="6">
        <f t="shared" ref="Y4:Y14" si="0">SUM(B4:E4)</f>
        <v>35209</v>
      </c>
      <c r="Z4" s="6">
        <f>SUM(F4:I4)</f>
        <v>36188</v>
      </c>
      <c r="AA4" s="6">
        <f>SUM(J4:M4)</f>
        <v>32517</v>
      </c>
    </row>
    <row r="5" spans="1:28" s="5" customFormat="1" x14ac:dyDescent="0.55000000000000004">
      <c r="A5" s="4" t="s">
        <v>11</v>
      </c>
      <c r="B5" s="5">
        <f t="shared" ref="B5:O5" si="1">B3-B4</f>
        <v>10854</v>
      </c>
      <c r="C5" s="5">
        <f t="shared" si="1"/>
        <v>11206</v>
      </c>
      <c r="D5" s="5">
        <f t="shared" si="1"/>
        <v>10746</v>
      </c>
      <c r="E5" s="5">
        <f t="shared" si="1"/>
        <v>11009</v>
      </c>
      <c r="F5" s="5">
        <f t="shared" si="1"/>
        <v>9244</v>
      </c>
      <c r="G5" s="5">
        <f t="shared" si="1"/>
        <v>5587</v>
      </c>
      <c r="H5" s="5">
        <f t="shared" si="1"/>
        <v>6535</v>
      </c>
      <c r="I5" s="5">
        <f t="shared" si="1"/>
        <v>5500</v>
      </c>
      <c r="J5" s="5">
        <f t="shared" si="1"/>
        <v>4008</v>
      </c>
      <c r="K5" s="5">
        <f t="shared" si="1"/>
        <v>4638</v>
      </c>
      <c r="L5" s="5">
        <f t="shared" si="1"/>
        <v>6018</v>
      </c>
      <c r="M5" s="5">
        <f t="shared" si="1"/>
        <v>7047</v>
      </c>
      <c r="N5" s="5">
        <f t="shared" si="1"/>
        <v>5217</v>
      </c>
      <c r="O5" s="5">
        <f t="shared" si="1"/>
        <v>4547</v>
      </c>
      <c r="Y5" s="5">
        <f>Y3-Y4</f>
        <v>43815</v>
      </c>
      <c r="Z5" s="5">
        <f t="shared" ref="Z5:AA5" si="2">Z3-Z4</f>
        <v>26866</v>
      </c>
      <c r="AA5" s="5">
        <f t="shared" si="2"/>
        <v>21711</v>
      </c>
    </row>
    <row r="6" spans="1:28" x14ac:dyDescent="0.55000000000000004">
      <c r="A6" s="1" t="s">
        <v>1</v>
      </c>
      <c r="B6">
        <v>3623</v>
      </c>
      <c r="C6">
        <v>3715</v>
      </c>
      <c r="D6">
        <v>3803</v>
      </c>
      <c r="E6" s="6">
        <f>15190-SUM(B6:D6)</f>
        <v>4049</v>
      </c>
      <c r="F6">
        <v>4362</v>
      </c>
      <c r="G6">
        <v>4400</v>
      </c>
      <c r="H6">
        <v>4302</v>
      </c>
      <c r="I6" s="6">
        <f>17528-SUM(F6:H6)</f>
        <v>4464</v>
      </c>
      <c r="J6">
        <v>4109</v>
      </c>
      <c r="K6">
        <v>4080</v>
      </c>
      <c r="L6">
        <v>3870</v>
      </c>
      <c r="M6" s="6">
        <f>16046-SUM(J6:L6)</f>
        <v>3987</v>
      </c>
      <c r="N6">
        <v>4382</v>
      </c>
      <c r="O6">
        <v>4239</v>
      </c>
      <c r="Y6" s="6">
        <f t="shared" si="0"/>
        <v>15190</v>
      </c>
      <c r="Z6" s="6">
        <f t="shared" ref="Z6:Z8" si="3">SUM(F6:I6)</f>
        <v>17528</v>
      </c>
      <c r="AA6" s="6">
        <f t="shared" ref="AA6:AA8" si="4">SUM(J6:M6)</f>
        <v>16046</v>
      </c>
    </row>
    <row r="7" spans="1:28" x14ac:dyDescent="0.55000000000000004">
      <c r="A7" s="1" t="s">
        <v>2</v>
      </c>
      <c r="B7">
        <v>1328</v>
      </c>
      <c r="C7">
        <v>1599</v>
      </c>
      <c r="D7">
        <v>1674</v>
      </c>
      <c r="E7" s="6">
        <f>6543-SUM(B7:D7)</f>
        <v>1942</v>
      </c>
      <c r="F7">
        <v>1752</v>
      </c>
      <c r="G7">
        <v>1800</v>
      </c>
      <c r="H7">
        <v>1744</v>
      </c>
      <c r="I7" s="6">
        <f>7002-SUM(F7:H7)</f>
        <v>1706</v>
      </c>
      <c r="J7">
        <v>1303</v>
      </c>
      <c r="K7">
        <v>1374</v>
      </c>
      <c r="L7">
        <v>1340</v>
      </c>
      <c r="M7" s="6">
        <f>5634-SUM(J7:L7)</f>
        <v>1617</v>
      </c>
      <c r="N7">
        <v>1556</v>
      </c>
      <c r="O7">
        <v>1329</v>
      </c>
      <c r="Y7" s="6">
        <f t="shared" si="0"/>
        <v>6543</v>
      </c>
      <c r="Z7" s="6">
        <f t="shared" si="3"/>
        <v>7002</v>
      </c>
      <c r="AA7" s="6">
        <f t="shared" si="4"/>
        <v>5634</v>
      </c>
    </row>
    <row r="8" spans="1:28" x14ac:dyDescent="0.55000000000000004">
      <c r="A8" s="1" t="s">
        <v>3</v>
      </c>
      <c r="B8">
        <v>2209</v>
      </c>
      <c r="C8">
        <v>346</v>
      </c>
      <c r="D8">
        <v>42</v>
      </c>
      <c r="E8" s="6">
        <f>2626-SUM(B8:D8)</f>
        <v>29</v>
      </c>
      <c r="F8">
        <v>-1211</v>
      </c>
      <c r="G8">
        <v>87</v>
      </c>
      <c r="H8">
        <v>664</v>
      </c>
      <c r="I8" s="6">
        <f>2-SUM(F8:H8)</f>
        <v>462</v>
      </c>
      <c r="J8">
        <v>64</v>
      </c>
      <c r="K8">
        <v>200</v>
      </c>
      <c r="L8">
        <v>816</v>
      </c>
      <c r="M8" s="6">
        <f>-62-SUM(J8:L8)</f>
        <v>-1142</v>
      </c>
      <c r="N8">
        <v>348</v>
      </c>
      <c r="O8">
        <v>943</v>
      </c>
      <c r="Y8" s="6">
        <f t="shared" si="0"/>
        <v>2626</v>
      </c>
      <c r="Z8" s="6">
        <f t="shared" si="3"/>
        <v>2</v>
      </c>
      <c r="AA8" s="6">
        <f t="shared" si="4"/>
        <v>-62</v>
      </c>
    </row>
    <row r="9" spans="1:28" x14ac:dyDescent="0.55000000000000004">
      <c r="A9" s="1" t="s">
        <v>4</v>
      </c>
      <c r="B9">
        <f t="shared" ref="B9:O9" si="5">SUM(B6:B8)</f>
        <v>7160</v>
      </c>
      <c r="C9">
        <f t="shared" si="5"/>
        <v>5660</v>
      </c>
      <c r="D9">
        <f t="shared" si="5"/>
        <v>5519</v>
      </c>
      <c r="E9">
        <f t="shared" si="5"/>
        <v>6020</v>
      </c>
      <c r="F9">
        <f t="shared" si="5"/>
        <v>4903</v>
      </c>
      <c r="G9">
        <f t="shared" si="5"/>
        <v>6287</v>
      </c>
      <c r="H9">
        <f t="shared" si="5"/>
        <v>6710</v>
      </c>
      <c r="I9">
        <f t="shared" si="5"/>
        <v>6632</v>
      </c>
      <c r="J9">
        <f t="shared" si="5"/>
        <v>5476</v>
      </c>
      <c r="K9">
        <f t="shared" si="5"/>
        <v>5654</v>
      </c>
      <c r="L9">
        <f t="shared" si="5"/>
        <v>6026</v>
      </c>
      <c r="M9">
        <f t="shared" si="5"/>
        <v>4462</v>
      </c>
      <c r="N9">
        <f t="shared" si="5"/>
        <v>6286</v>
      </c>
      <c r="O9">
        <f t="shared" si="5"/>
        <v>6511</v>
      </c>
      <c r="Y9">
        <f t="shared" ref="Y9:AA9" si="6">SUM(Y6:Y8)</f>
        <v>24359</v>
      </c>
      <c r="Z9">
        <f t="shared" si="6"/>
        <v>24532</v>
      </c>
      <c r="AA9">
        <f t="shared" si="6"/>
        <v>21618</v>
      </c>
    </row>
    <row r="10" spans="1:28" s="5" customFormat="1" x14ac:dyDescent="0.55000000000000004">
      <c r="A10" s="4" t="s">
        <v>5</v>
      </c>
      <c r="B10" s="5">
        <f t="shared" ref="B10:O10" si="7">B5-B9</f>
        <v>3694</v>
      </c>
      <c r="C10" s="5">
        <f t="shared" si="7"/>
        <v>5546</v>
      </c>
      <c r="D10" s="5">
        <f t="shared" si="7"/>
        <v>5227</v>
      </c>
      <c r="E10" s="5">
        <f t="shared" si="7"/>
        <v>4989</v>
      </c>
      <c r="F10" s="5">
        <f t="shared" si="7"/>
        <v>4341</v>
      </c>
      <c r="G10" s="5">
        <f t="shared" si="7"/>
        <v>-700</v>
      </c>
      <c r="H10" s="5">
        <f t="shared" si="7"/>
        <v>-175</v>
      </c>
      <c r="I10" s="5">
        <f t="shared" si="7"/>
        <v>-1132</v>
      </c>
      <c r="J10" s="5">
        <f t="shared" si="7"/>
        <v>-1468</v>
      </c>
      <c r="K10" s="5">
        <f t="shared" si="7"/>
        <v>-1016</v>
      </c>
      <c r="L10" s="5">
        <f t="shared" si="7"/>
        <v>-8</v>
      </c>
      <c r="M10" s="5">
        <f t="shared" si="7"/>
        <v>2585</v>
      </c>
      <c r="N10" s="5">
        <f t="shared" si="7"/>
        <v>-1069</v>
      </c>
      <c r="O10" s="5">
        <f t="shared" si="7"/>
        <v>-1964</v>
      </c>
      <c r="Y10" s="5">
        <f t="shared" ref="Y10:AA10" si="8">Y5-Y9</f>
        <v>19456</v>
      </c>
      <c r="Z10" s="5">
        <f t="shared" si="8"/>
        <v>2334</v>
      </c>
      <c r="AA10" s="5">
        <f t="shared" si="8"/>
        <v>93</v>
      </c>
    </row>
    <row r="11" spans="1:28" x14ac:dyDescent="0.55000000000000004">
      <c r="A11" s="1" t="s">
        <v>6</v>
      </c>
      <c r="B11">
        <v>368</v>
      </c>
      <c r="C11">
        <v>295</v>
      </c>
      <c r="D11">
        <v>1707</v>
      </c>
      <c r="E11" s="6">
        <f>2729-SUM(B11:D11)</f>
        <v>359</v>
      </c>
      <c r="F11">
        <v>4323</v>
      </c>
      <c r="G11">
        <v>-90</v>
      </c>
      <c r="H11">
        <v>-151</v>
      </c>
      <c r="I11" s="6">
        <f>4268-SUM(F11:H11)</f>
        <v>186</v>
      </c>
      <c r="J11">
        <v>169</v>
      </c>
      <c r="K11">
        <v>-24</v>
      </c>
      <c r="L11">
        <v>-191</v>
      </c>
      <c r="M11" s="6">
        <f>40-SUM(J11:L11)</f>
        <v>86</v>
      </c>
      <c r="N11">
        <v>205</v>
      </c>
      <c r="O11">
        <v>-120</v>
      </c>
      <c r="Y11" s="6">
        <f t="shared" si="0"/>
        <v>2729</v>
      </c>
      <c r="Z11" s="6">
        <f t="shared" ref="Z11:Z14" si="9">SUM(F11:I11)</f>
        <v>4268</v>
      </c>
      <c r="AA11" s="6">
        <f t="shared" ref="AA11:AA14" si="10">SUM(J11:M11)</f>
        <v>40</v>
      </c>
    </row>
    <row r="12" spans="1:28" x14ac:dyDescent="0.55000000000000004">
      <c r="A12" s="1" t="s">
        <v>7</v>
      </c>
      <c r="B12">
        <v>-156</v>
      </c>
      <c r="C12">
        <v>-96</v>
      </c>
      <c r="D12">
        <v>-76</v>
      </c>
      <c r="E12" s="6">
        <f>-482-SUM(B12:D12)</f>
        <v>-154</v>
      </c>
      <c r="F12">
        <v>997</v>
      </c>
      <c r="G12">
        <v>-119</v>
      </c>
      <c r="H12">
        <v>138</v>
      </c>
      <c r="I12" s="6">
        <f>1166-SUM(F12:H12)</f>
        <v>150</v>
      </c>
      <c r="J12">
        <v>141</v>
      </c>
      <c r="K12">
        <v>224</v>
      </c>
      <c r="L12">
        <v>147</v>
      </c>
      <c r="M12" s="6">
        <f>629-SUM(J12:L12)</f>
        <v>117</v>
      </c>
      <c r="N12">
        <v>145</v>
      </c>
      <c r="O12">
        <v>80</v>
      </c>
      <c r="Y12" s="6">
        <f t="shared" si="0"/>
        <v>-482</v>
      </c>
      <c r="Z12" s="6">
        <f t="shared" si="9"/>
        <v>1166</v>
      </c>
      <c r="AA12" s="6">
        <f t="shared" si="10"/>
        <v>629</v>
      </c>
    </row>
    <row r="13" spans="1:28" x14ac:dyDescent="0.55000000000000004">
      <c r="A13" s="1" t="s">
        <v>8</v>
      </c>
      <c r="B13">
        <f t="shared" ref="B13:O13" si="11">B10+SUM(B11:B12)</f>
        <v>3906</v>
      </c>
      <c r="C13">
        <f t="shared" si="11"/>
        <v>5745</v>
      </c>
      <c r="D13">
        <f t="shared" si="11"/>
        <v>6858</v>
      </c>
      <c r="E13">
        <f t="shared" si="11"/>
        <v>5194</v>
      </c>
      <c r="F13">
        <f t="shared" si="11"/>
        <v>9661</v>
      </c>
      <c r="G13">
        <f t="shared" si="11"/>
        <v>-909</v>
      </c>
      <c r="H13">
        <f t="shared" si="11"/>
        <v>-188</v>
      </c>
      <c r="I13">
        <f t="shared" si="11"/>
        <v>-796</v>
      </c>
      <c r="J13">
        <f t="shared" si="11"/>
        <v>-1158</v>
      </c>
      <c r="K13">
        <f t="shared" si="11"/>
        <v>-816</v>
      </c>
      <c r="L13">
        <f t="shared" si="11"/>
        <v>-52</v>
      </c>
      <c r="M13">
        <f t="shared" si="11"/>
        <v>2788</v>
      </c>
      <c r="N13">
        <f t="shared" si="11"/>
        <v>-719</v>
      </c>
      <c r="O13">
        <f t="shared" si="11"/>
        <v>-2004</v>
      </c>
      <c r="Y13">
        <f>Y10+SUM(Y11:Y12)</f>
        <v>21703</v>
      </c>
      <c r="Z13">
        <f t="shared" ref="Z13:AA13" si="12">Z10+SUM(Z11:Z12)</f>
        <v>7768</v>
      </c>
      <c r="AA13">
        <f t="shared" si="12"/>
        <v>762</v>
      </c>
    </row>
    <row r="14" spans="1:28" x14ac:dyDescent="0.55000000000000004">
      <c r="A14" s="1" t="s">
        <v>28</v>
      </c>
      <c r="B14">
        <v>545</v>
      </c>
      <c r="C14">
        <v>684</v>
      </c>
      <c r="D14">
        <v>35</v>
      </c>
      <c r="E14" s="6">
        <f>1835-SUM(B14:D14)</f>
        <v>571</v>
      </c>
      <c r="F14">
        <v>1548</v>
      </c>
      <c r="G14">
        <v>-455</v>
      </c>
      <c r="H14">
        <v>-1207</v>
      </c>
      <c r="I14" s="6">
        <f>-249-SUM(F14:H14)</f>
        <v>-135</v>
      </c>
      <c r="J14">
        <v>1610</v>
      </c>
      <c r="K14">
        <v>-2289</v>
      </c>
      <c r="L14">
        <v>-362</v>
      </c>
      <c r="M14" s="6">
        <f>-913-SUM(J14:L14)</f>
        <v>128</v>
      </c>
      <c r="N14">
        <v>-282</v>
      </c>
      <c r="O14">
        <v>-350</v>
      </c>
      <c r="Y14" s="6">
        <f t="shared" si="0"/>
        <v>1835</v>
      </c>
      <c r="Z14" s="6">
        <f t="shared" si="9"/>
        <v>-249</v>
      </c>
      <c r="AA14" s="6">
        <f t="shared" si="10"/>
        <v>-913</v>
      </c>
    </row>
    <row r="15" spans="1:28" s="5" customFormat="1" x14ac:dyDescent="0.55000000000000004">
      <c r="A15" s="4" t="s">
        <v>9</v>
      </c>
      <c r="B15" s="5">
        <f t="shared" ref="B15:O15" si="13">B13-B14</f>
        <v>3361</v>
      </c>
      <c r="C15" s="5">
        <f t="shared" si="13"/>
        <v>5061</v>
      </c>
      <c r="D15" s="5">
        <f t="shared" si="13"/>
        <v>6823</v>
      </c>
      <c r="E15" s="5">
        <f t="shared" si="13"/>
        <v>4623</v>
      </c>
      <c r="F15" s="5">
        <f t="shared" si="13"/>
        <v>8113</v>
      </c>
      <c r="G15" s="5">
        <f t="shared" si="13"/>
        <v>-454</v>
      </c>
      <c r="H15" s="5">
        <f t="shared" si="13"/>
        <v>1019</v>
      </c>
      <c r="I15" s="5">
        <f t="shared" si="13"/>
        <v>-661</v>
      </c>
      <c r="J15" s="5">
        <f t="shared" si="13"/>
        <v>-2768</v>
      </c>
      <c r="K15" s="5">
        <f t="shared" si="13"/>
        <v>1473</v>
      </c>
      <c r="L15" s="5">
        <f t="shared" si="13"/>
        <v>310</v>
      </c>
      <c r="M15" s="5">
        <f t="shared" si="13"/>
        <v>2660</v>
      </c>
      <c r="N15" s="5">
        <f t="shared" si="13"/>
        <v>-437</v>
      </c>
      <c r="O15" s="5">
        <f t="shared" si="13"/>
        <v>-1654</v>
      </c>
      <c r="Y15" s="5">
        <f t="shared" ref="Y15:AA15" si="14">Y13-Y14</f>
        <v>19868</v>
      </c>
      <c r="Z15" s="5">
        <f t="shared" si="14"/>
        <v>8017</v>
      </c>
      <c r="AA15" s="5">
        <f t="shared" si="14"/>
        <v>1675</v>
      </c>
    </row>
    <row r="18" spans="1:27" x14ac:dyDescent="0.55000000000000004">
      <c r="A18" s="5" t="s">
        <v>29</v>
      </c>
      <c r="B18" s="10">
        <f t="shared" ref="B18:J18" si="15">B5/B3</f>
        <v>0.55172063233873836</v>
      </c>
      <c r="C18" s="10">
        <f t="shared" si="15"/>
        <v>0.57083184758799854</v>
      </c>
      <c r="D18" s="10">
        <f t="shared" si="15"/>
        <v>0.55992080033347225</v>
      </c>
      <c r="E18" s="10">
        <f t="shared" si="15"/>
        <v>0.53629189399844113</v>
      </c>
      <c r="F18" s="10">
        <f t="shared" si="15"/>
        <v>0.50367787282733067</v>
      </c>
      <c r="G18" s="10">
        <f t="shared" si="15"/>
        <v>0.36466288101298872</v>
      </c>
      <c r="H18" s="10">
        <f t="shared" si="15"/>
        <v>0.42606597991915501</v>
      </c>
      <c r="I18" s="10">
        <f t="shared" si="15"/>
        <v>0.39168209656744052</v>
      </c>
      <c r="J18" s="10">
        <f t="shared" si="15"/>
        <v>0.34212548015364919</v>
      </c>
      <c r="K18" s="10">
        <f>K5/K3</f>
        <v>0.35817437639972199</v>
      </c>
      <c r="L18" s="10">
        <f t="shared" ref="L18:O18" si="16">L5/L3</f>
        <v>0.42506003672835146</v>
      </c>
      <c r="M18" s="10">
        <f t="shared" si="16"/>
        <v>0.45741918732961184</v>
      </c>
      <c r="N18" s="10">
        <f t="shared" si="16"/>
        <v>0.41001257466205598</v>
      </c>
      <c r="O18" s="10">
        <f t="shared" si="16"/>
        <v>0.35432089145172602</v>
      </c>
      <c r="Y18" s="10">
        <f t="shared" ref="Y18:AA18" si="17">Y5/Y3</f>
        <v>0.5544518121077141</v>
      </c>
      <c r="Z18" s="10">
        <f t="shared" si="17"/>
        <v>0.42607923367272499</v>
      </c>
      <c r="AA18" s="10">
        <f t="shared" si="17"/>
        <v>0.40036512502766097</v>
      </c>
    </row>
    <row r="19" spans="1:27" x14ac:dyDescent="0.55000000000000004">
      <c r="A19" s="5" t="s">
        <v>30</v>
      </c>
      <c r="B19" s="10">
        <f t="shared" ref="B19:N19" si="18">B13/B3</f>
        <v>0.19854623087480303</v>
      </c>
      <c r="C19" s="10">
        <f t="shared" si="18"/>
        <v>0.2926493810809434</v>
      </c>
      <c r="D19" s="10">
        <f t="shared" si="18"/>
        <v>0.35733639016256774</v>
      </c>
      <c r="E19" s="10">
        <f t="shared" si="18"/>
        <v>0.25302026500389713</v>
      </c>
      <c r="F19" s="10">
        <f t="shared" si="18"/>
        <v>0.52639895384950686</v>
      </c>
      <c r="G19" s="10">
        <f t="shared" si="18"/>
        <v>-5.9330330918347364E-2</v>
      </c>
      <c r="H19" s="10">
        <f t="shared" si="18"/>
        <v>-1.2257139131568654E-2</v>
      </c>
      <c r="I19" s="10">
        <f t="shared" si="18"/>
        <v>-5.6687081612305942E-2</v>
      </c>
      <c r="J19" s="10">
        <f t="shared" si="18"/>
        <v>-9.8847631241997441E-2</v>
      </c>
      <c r="K19" s="10">
        <f t="shared" si="18"/>
        <v>-6.3016449146652248E-2</v>
      </c>
      <c r="L19" s="10">
        <f t="shared" si="18"/>
        <v>-3.6728351462070913E-3</v>
      </c>
      <c r="M19" s="10">
        <f t="shared" si="18"/>
        <v>0.18096845384914967</v>
      </c>
      <c r="N19" s="10">
        <f t="shared" si="18"/>
        <v>-5.6507387613957877E-2</v>
      </c>
      <c r="O19" s="10">
        <f>O13/O3</f>
        <v>-0.15615990025714954</v>
      </c>
      <c r="Y19" s="10">
        <f t="shared" ref="Y19:AA19" si="19">Y13/Y3</f>
        <v>0.27463808463251671</v>
      </c>
      <c r="Z19" s="10">
        <f t="shared" si="19"/>
        <v>0.12319599073809751</v>
      </c>
      <c r="AA19" s="10">
        <f t="shared" si="19"/>
        <v>1.4051781367559194E-2</v>
      </c>
    </row>
    <row r="20" spans="1:27" x14ac:dyDescent="0.55000000000000004">
      <c r="A20" s="5" t="s">
        <v>31</v>
      </c>
      <c r="B20" s="10">
        <f t="shared" ref="B20:N20" si="20">B15/B3</f>
        <v>0.17084328775479082</v>
      </c>
      <c r="C20" s="10">
        <f t="shared" si="20"/>
        <v>0.25780653048749425</v>
      </c>
      <c r="D20" s="10">
        <f t="shared" si="20"/>
        <v>0.35551271363067943</v>
      </c>
      <c r="E20" s="10">
        <f t="shared" si="20"/>
        <v>0.2252045985970382</v>
      </c>
      <c r="F20" s="10">
        <f t="shared" si="20"/>
        <v>0.44205307034272329</v>
      </c>
      <c r="G20" s="10">
        <f t="shared" si="20"/>
        <v>-2.9632530513674041E-2</v>
      </c>
      <c r="H20" s="10">
        <f t="shared" si="20"/>
        <v>6.643630199504498E-2</v>
      </c>
      <c r="I20" s="10">
        <f t="shared" si="20"/>
        <v>-4.7073066514741489E-2</v>
      </c>
      <c r="J20" s="10">
        <f t="shared" si="20"/>
        <v>-0.23627827571489543</v>
      </c>
      <c r="K20" s="10">
        <f t="shared" si="20"/>
        <v>0.11375395783458182</v>
      </c>
      <c r="L20" s="10">
        <f t="shared" si="20"/>
        <v>2.1895747987003816E-2</v>
      </c>
      <c r="M20" s="10">
        <f t="shared" si="20"/>
        <v>0.17266000259639103</v>
      </c>
      <c r="N20" s="10">
        <f t="shared" si="20"/>
        <v>-3.4344545740333229E-2</v>
      </c>
      <c r="O20" s="10">
        <f>O15/O3</f>
        <v>-0.12888646458349567</v>
      </c>
      <c r="Y20" s="10">
        <f t="shared" ref="Y20:AA20" si="21">Y15/Y3</f>
        <v>0.25141729094958493</v>
      </c>
      <c r="Z20" s="10">
        <f t="shared" si="21"/>
        <v>0.12714498683667966</v>
      </c>
      <c r="AA20" s="10">
        <f t="shared" si="21"/>
        <v>3.088810208748248E-2</v>
      </c>
    </row>
    <row r="21" spans="1:27" x14ac:dyDescent="0.55000000000000004">
      <c r="A21" s="5" t="s">
        <v>32</v>
      </c>
      <c r="B21" s="10">
        <f t="shared" ref="B21:N21" si="22">B14/B13</f>
        <v>0.1395289298515105</v>
      </c>
      <c r="C21" s="10">
        <f t="shared" si="22"/>
        <v>0.11906005221932114</v>
      </c>
      <c r="D21" s="10">
        <f t="shared" si="22"/>
        <v>5.1035287255759695E-3</v>
      </c>
      <c r="E21" s="10">
        <f t="shared" si="22"/>
        <v>0.10993453985367732</v>
      </c>
      <c r="F21" s="10">
        <f t="shared" si="22"/>
        <v>0.16023186005589485</v>
      </c>
      <c r="G21" s="10">
        <f t="shared" si="22"/>
        <v>0.50055005500550054</v>
      </c>
      <c r="H21" s="10">
        <f t="shared" si="22"/>
        <v>6.4202127659574471</v>
      </c>
      <c r="I21" s="10">
        <f t="shared" si="22"/>
        <v>0.16959798994974876</v>
      </c>
      <c r="J21" s="10">
        <f t="shared" si="22"/>
        <v>-1.390328151986183</v>
      </c>
      <c r="K21" s="10">
        <f t="shared" si="22"/>
        <v>2.8051470588235294</v>
      </c>
      <c r="L21" s="10">
        <f t="shared" si="22"/>
        <v>6.9615384615384617</v>
      </c>
      <c r="M21" s="10">
        <f t="shared" si="22"/>
        <v>4.5911047345767578E-2</v>
      </c>
      <c r="N21" s="10">
        <f t="shared" si="22"/>
        <v>0.39221140472878996</v>
      </c>
      <c r="O21" s="10">
        <f>O14/O13</f>
        <v>0.17465069860279442</v>
      </c>
      <c r="Y21" s="10">
        <f t="shared" ref="Y21:AA21" si="23">Y14/Y13</f>
        <v>8.4550522969174771E-2</v>
      </c>
      <c r="Z21" s="10">
        <f t="shared" si="23"/>
        <v>-3.2054582904222452E-2</v>
      </c>
      <c r="AA21" s="10">
        <f t="shared" si="23"/>
        <v>-1.1981627296587927</v>
      </c>
    </row>
    <row r="22" spans="1:27" x14ac:dyDescent="0.55000000000000004">
      <c r="A22" s="5" t="s">
        <v>33</v>
      </c>
      <c r="B22" s="10">
        <f t="shared" ref="B22:N22" si="24">B6/B5</f>
        <v>0.33379399299797308</v>
      </c>
      <c r="C22" s="10">
        <f t="shared" si="24"/>
        <v>0.33151882919864356</v>
      </c>
      <c r="D22" s="10">
        <f t="shared" si="24"/>
        <v>0.35389912525590916</v>
      </c>
      <c r="E22" s="10">
        <f t="shared" si="24"/>
        <v>0.36778999000817514</v>
      </c>
      <c r="F22" s="10">
        <f t="shared" si="24"/>
        <v>0.47187364777152746</v>
      </c>
      <c r="G22" s="10">
        <f t="shared" si="24"/>
        <v>0.78754250939681403</v>
      </c>
      <c r="H22" s="10">
        <f t="shared" si="24"/>
        <v>0.65830145371078808</v>
      </c>
      <c r="I22" s="10">
        <f t="shared" si="24"/>
        <v>0.8116363636363636</v>
      </c>
      <c r="J22" s="10">
        <f t="shared" si="24"/>
        <v>1.0251996007984032</v>
      </c>
      <c r="K22" s="10">
        <f t="shared" si="24"/>
        <v>0.87968952134540745</v>
      </c>
      <c r="L22" s="10">
        <f t="shared" si="24"/>
        <v>0.64307078763708869</v>
      </c>
      <c r="M22" s="10">
        <f t="shared" si="24"/>
        <v>0.56577266922094505</v>
      </c>
      <c r="N22" s="10">
        <f t="shared" si="24"/>
        <v>0.83994632930803148</v>
      </c>
      <c r="O22" s="10">
        <f>O6/O5</f>
        <v>0.93226303056960635</v>
      </c>
      <c r="Y22" s="10">
        <f t="shared" ref="Y22:AA22" si="25">Y6/Y5</f>
        <v>0.34668492525390848</v>
      </c>
      <c r="Z22" s="10">
        <f t="shared" si="25"/>
        <v>0.65242313705054711</v>
      </c>
      <c r="AA22" s="10">
        <f t="shared" si="25"/>
        <v>0.73907235963336559</v>
      </c>
    </row>
    <row r="23" spans="1:27" x14ac:dyDescent="0.55000000000000004">
      <c r="A23"/>
    </row>
    <row r="24" spans="1:27" x14ac:dyDescent="0.55000000000000004">
      <c r="Z24" s="10"/>
      <c r="AA24" s="10"/>
    </row>
    <row r="25" spans="1:27" s="5" customFormat="1" x14ac:dyDescent="0.55000000000000004">
      <c r="A25" s="5" t="s">
        <v>34</v>
      </c>
      <c r="B25" s="10"/>
      <c r="C25" s="10"/>
      <c r="D25" s="10"/>
      <c r="E25" s="10"/>
      <c r="F25" s="10">
        <f t="shared" ref="F25:N25" si="26">F3/B3-1</f>
        <v>-6.7097036547552502E-2</v>
      </c>
      <c r="G25" s="10">
        <f t="shared" si="26"/>
        <v>-0.2195507106107687</v>
      </c>
      <c r="H25" s="10">
        <f t="shared" si="26"/>
        <v>-0.20081283868278454</v>
      </c>
      <c r="I25" s="10">
        <f t="shared" si="26"/>
        <v>-0.31595869056897896</v>
      </c>
      <c r="J25" s="10">
        <f t="shared" si="26"/>
        <v>-0.36168473818994173</v>
      </c>
      <c r="K25" s="10">
        <f t="shared" si="26"/>
        <v>-0.15482018145029697</v>
      </c>
      <c r="L25" s="10">
        <f t="shared" si="26"/>
        <v>-7.6933107315164895E-2</v>
      </c>
      <c r="M25" s="10">
        <f t="shared" si="26"/>
        <v>9.7137159948725182E-2</v>
      </c>
      <c r="N25" s="10">
        <f t="shared" si="26"/>
        <v>8.6128894579598825E-2</v>
      </c>
      <c r="O25" s="10">
        <f>O3/K3-1</f>
        <v>-8.9582207120241231E-3</v>
      </c>
      <c r="Z25" s="10">
        <f>Z3/Y3-1</f>
        <v>-0.20209050415063778</v>
      </c>
      <c r="AA25" s="10">
        <f>AA3/Z3-1</f>
        <v>-0.13997525930155108</v>
      </c>
    </row>
    <row r="28" spans="1:27" x14ac:dyDescent="0.55000000000000004">
      <c r="A28" t="s">
        <v>35</v>
      </c>
    </row>
    <row r="29" spans="1:27" x14ac:dyDescent="0.55000000000000004">
      <c r="A29" t="s">
        <v>36</v>
      </c>
      <c r="F29">
        <f>6215+32481</f>
        <v>38696</v>
      </c>
      <c r="G29">
        <f>4390+22654</f>
        <v>27044</v>
      </c>
      <c r="H29">
        <f>4529+18030</f>
        <v>22559</v>
      </c>
      <c r="I29">
        <f>7079+17955</f>
        <v>25034</v>
      </c>
      <c r="J29">
        <f>8232+19302</f>
        <v>27534</v>
      </c>
      <c r="K29">
        <f>8349+15908</f>
        <v>24257</v>
      </c>
      <c r="L29">
        <f>7621+17409</f>
        <v>25030</v>
      </c>
      <c r="M29">
        <f>7079+17955</f>
        <v>25034</v>
      </c>
      <c r="N29">
        <f>6923+14388</f>
        <v>21311</v>
      </c>
      <c r="O29">
        <f>11287+17986</f>
        <v>29273</v>
      </c>
    </row>
    <row r="30" spans="1:27" x14ac:dyDescent="0.55000000000000004">
      <c r="A30" t="s">
        <v>37</v>
      </c>
      <c r="F30">
        <v>7074</v>
      </c>
      <c r="G30">
        <v>6063</v>
      </c>
      <c r="H30">
        <v>7469</v>
      </c>
      <c r="I30">
        <v>3402</v>
      </c>
      <c r="J30">
        <v>3847</v>
      </c>
      <c r="K30">
        <v>2996</v>
      </c>
      <c r="L30">
        <v>2843</v>
      </c>
      <c r="M30">
        <v>3402</v>
      </c>
      <c r="N30">
        <v>3323</v>
      </c>
      <c r="O30">
        <v>3131</v>
      </c>
    </row>
    <row r="31" spans="1:27" x14ac:dyDescent="0.55000000000000004">
      <c r="A31" t="s">
        <v>38</v>
      </c>
      <c r="F31">
        <v>11935</v>
      </c>
      <c r="G31">
        <v>12174</v>
      </c>
      <c r="H31">
        <v>12831</v>
      </c>
      <c r="I31">
        <v>11127</v>
      </c>
      <c r="J31">
        <v>12993</v>
      </c>
      <c r="K31">
        <v>11984</v>
      </c>
      <c r="L31">
        <v>11466</v>
      </c>
      <c r="M31">
        <v>11127</v>
      </c>
      <c r="N31">
        <v>11494</v>
      </c>
      <c r="O31">
        <v>11244</v>
      </c>
    </row>
    <row r="32" spans="1:27" x14ac:dyDescent="0.55000000000000004">
      <c r="A32" t="s">
        <v>39</v>
      </c>
      <c r="F32">
        <f>4627+236</f>
        <v>4863</v>
      </c>
      <c r="G32">
        <f>5275+32</f>
        <v>5307</v>
      </c>
      <c r="H32">
        <f>56+6348</f>
        <v>6404</v>
      </c>
      <c r="I32">
        <v>3706</v>
      </c>
      <c r="J32">
        <v>3940</v>
      </c>
      <c r="K32">
        <v>4119</v>
      </c>
      <c r="L32">
        <v>4472</v>
      </c>
      <c r="M32">
        <v>3706</v>
      </c>
      <c r="N32">
        <v>6480</v>
      </c>
      <c r="O32">
        <v>7181</v>
      </c>
    </row>
    <row r="33" spans="1:15" x14ac:dyDescent="0.55000000000000004">
      <c r="A33" t="s">
        <v>6</v>
      </c>
      <c r="F33">
        <v>6036</v>
      </c>
      <c r="G33">
        <v>5929</v>
      </c>
      <c r="H33">
        <v>5822</v>
      </c>
      <c r="I33">
        <v>5829</v>
      </c>
      <c r="J33">
        <v>6029</v>
      </c>
      <c r="K33">
        <v>5893</v>
      </c>
      <c r="L33">
        <v>5700</v>
      </c>
      <c r="M33">
        <v>5829</v>
      </c>
      <c r="N33">
        <v>6139</v>
      </c>
      <c r="O33">
        <v>5824</v>
      </c>
    </row>
    <row r="34" spans="1:15" x14ac:dyDescent="0.55000000000000004">
      <c r="A34" t="s">
        <v>40</v>
      </c>
      <c r="F34">
        <v>66718</v>
      </c>
      <c r="G34">
        <v>71660</v>
      </c>
      <c r="H34">
        <v>75763</v>
      </c>
      <c r="I34">
        <v>96647</v>
      </c>
      <c r="J34">
        <v>85734</v>
      </c>
      <c r="K34">
        <v>90945</v>
      </c>
      <c r="L34">
        <v>93352</v>
      </c>
      <c r="M34">
        <v>96647</v>
      </c>
      <c r="N34">
        <v>99924</v>
      </c>
      <c r="O34">
        <v>103398</v>
      </c>
    </row>
    <row r="35" spans="1:15" x14ac:dyDescent="0.55000000000000004">
      <c r="A35" t="s">
        <v>41</v>
      </c>
      <c r="F35">
        <f>27011+6813</f>
        <v>33824</v>
      </c>
      <c r="G35">
        <f>27587+6427</f>
        <v>34014</v>
      </c>
      <c r="H35">
        <f>27591+6268</f>
        <v>33859</v>
      </c>
      <c r="I35">
        <f>4589+27591</f>
        <v>32180</v>
      </c>
      <c r="J35">
        <f>27591+5567</f>
        <v>33158</v>
      </c>
      <c r="K35">
        <f>5173+27591</f>
        <v>32764</v>
      </c>
      <c r="L35">
        <f>27591+4970</f>
        <v>32561</v>
      </c>
      <c r="M35">
        <f>27591+4589</f>
        <v>32180</v>
      </c>
      <c r="N35">
        <f>27440+4675</f>
        <v>32115</v>
      </c>
      <c r="O35">
        <f>27442+4383</f>
        <v>31825</v>
      </c>
    </row>
    <row r="36" spans="1:15" x14ac:dyDescent="0.55000000000000004">
      <c r="A36" t="s">
        <v>42</v>
      </c>
      <c r="F36">
        <v>7210</v>
      </c>
      <c r="G36">
        <v>8227</v>
      </c>
      <c r="H36">
        <v>10134</v>
      </c>
      <c r="I36">
        <v>13647</v>
      </c>
      <c r="J36">
        <v>12068</v>
      </c>
      <c r="K36">
        <v>12671</v>
      </c>
      <c r="L36">
        <v>13413</v>
      </c>
      <c r="M36">
        <v>13647</v>
      </c>
      <c r="N36">
        <v>11947</v>
      </c>
      <c r="O36">
        <v>14329</v>
      </c>
    </row>
    <row r="37" spans="1:15" x14ac:dyDescent="0.55000000000000004">
      <c r="A37" s="5" t="s">
        <v>43</v>
      </c>
      <c r="B37" s="5"/>
      <c r="C37" s="5"/>
      <c r="D37" s="5"/>
      <c r="E37" s="5"/>
      <c r="F37" s="5">
        <f t="shared" ref="F37:O37" si="27">SUM(F29:F36)</f>
        <v>176356</v>
      </c>
      <c r="G37" s="5">
        <f t="shared" si="27"/>
        <v>170418</v>
      </c>
      <c r="H37" s="5">
        <f t="shared" si="27"/>
        <v>174841</v>
      </c>
      <c r="I37" s="5">
        <f t="shared" si="27"/>
        <v>191572</v>
      </c>
      <c r="J37" s="5">
        <f t="shared" si="27"/>
        <v>185303</v>
      </c>
      <c r="K37" s="5">
        <f t="shared" si="27"/>
        <v>185629</v>
      </c>
      <c r="L37" s="5">
        <f t="shared" si="27"/>
        <v>188837</v>
      </c>
      <c r="M37" s="5">
        <f t="shared" si="27"/>
        <v>191572</v>
      </c>
      <c r="N37" s="5">
        <f t="shared" si="27"/>
        <v>192733</v>
      </c>
      <c r="O37" s="5">
        <f t="shared" si="27"/>
        <v>206205</v>
      </c>
    </row>
    <row r="38" spans="1:15" x14ac:dyDescent="0.55000000000000004">
      <c r="A38"/>
    </row>
    <row r="39" spans="1:15" x14ac:dyDescent="0.55000000000000004">
      <c r="A39" t="s">
        <v>44</v>
      </c>
      <c r="F39">
        <f>32788+4459</f>
        <v>37247</v>
      </c>
      <c r="G39">
        <f>2882+32548</f>
        <v>35430</v>
      </c>
      <c r="H39">
        <f>2283+37240</f>
        <v>39523</v>
      </c>
      <c r="I39">
        <f>46978+2288</f>
        <v>49266</v>
      </c>
      <c r="J39">
        <f>1437+48836</f>
        <v>50273</v>
      </c>
      <c r="K39">
        <f>2711+46335</f>
        <v>49046</v>
      </c>
      <c r="L39">
        <f>2288+46591</f>
        <v>48879</v>
      </c>
      <c r="M39">
        <f>2288+46978</f>
        <v>49266</v>
      </c>
      <c r="N39">
        <f>4581+47869</f>
        <v>52450</v>
      </c>
      <c r="O39">
        <f>4695+48334</f>
        <v>53029</v>
      </c>
    </row>
    <row r="40" spans="1:15" x14ac:dyDescent="0.55000000000000004">
      <c r="A40" t="s">
        <v>45</v>
      </c>
      <c r="F40">
        <v>7210</v>
      </c>
      <c r="G40">
        <v>7945</v>
      </c>
      <c r="H40">
        <v>7133</v>
      </c>
      <c r="I40">
        <v>8578</v>
      </c>
      <c r="J40">
        <v>8083</v>
      </c>
      <c r="K40">
        <v>8757</v>
      </c>
      <c r="L40">
        <v>8669</v>
      </c>
      <c r="M40">
        <v>8578</v>
      </c>
      <c r="N40">
        <v>8559</v>
      </c>
      <c r="O40">
        <v>9618</v>
      </c>
    </row>
    <row r="41" spans="1:15" x14ac:dyDescent="0.55000000000000004">
      <c r="A41" t="s">
        <v>46</v>
      </c>
      <c r="F41">
        <v>2731</v>
      </c>
      <c r="G41">
        <v>2730</v>
      </c>
      <c r="H41">
        <v>3421</v>
      </c>
      <c r="I41">
        <v>3655</v>
      </c>
      <c r="J41">
        <v>2497</v>
      </c>
      <c r="K41">
        <v>2887</v>
      </c>
      <c r="L41">
        <v>3115</v>
      </c>
      <c r="M41">
        <v>3655</v>
      </c>
      <c r="N41">
        <v>2506</v>
      </c>
      <c r="O41">
        <v>2651</v>
      </c>
    </row>
    <row r="42" spans="1:15" x14ac:dyDescent="0.55000000000000004">
      <c r="A42" t="s">
        <v>47</v>
      </c>
      <c r="F42">
        <v>4372</v>
      </c>
      <c r="G42">
        <v>3684</v>
      </c>
      <c r="H42">
        <v>3782</v>
      </c>
      <c r="I42">
        <v>1107</v>
      </c>
      <c r="J42">
        <f>3831+4046</f>
        <v>7877</v>
      </c>
      <c r="K42">
        <v>2169</v>
      </c>
      <c r="L42">
        <v>2112</v>
      </c>
      <c r="M42">
        <v>1107</v>
      </c>
      <c r="N42">
        <v>346</v>
      </c>
      <c r="O42">
        <v>1856</v>
      </c>
    </row>
    <row r="43" spans="1:15" x14ac:dyDescent="0.55000000000000004">
      <c r="A43" t="s">
        <v>48</v>
      </c>
      <c r="F43">
        <v>14922</v>
      </c>
      <c r="G43">
        <v>13661</v>
      </c>
      <c r="H43">
        <f>14976</f>
        <v>14976</v>
      </c>
      <c r="I43">
        <v>12425</v>
      </c>
      <c r="J43">
        <v>11330</v>
      </c>
      <c r="K43">
        <v>10656</v>
      </c>
      <c r="L43">
        <v>12430</v>
      </c>
      <c r="M43">
        <v>12425</v>
      </c>
      <c r="N43">
        <v>11221</v>
      </c>
      <c r="O43">
        <v>13207</v>
      </c>
    </row>
    <row r="44" spans="1:15" x14ac:dyDescent="0.55000000000000004">
      <c r="A44" t="s">
        <v>49</v>
      </c>
      <c r="F44">
        <f>5191+1547</f>
        <v>6738</v>
      </c>
      <c r="G44">
        <f>5178+572</f>
        <v>5750</v>
      </c>
      <c r="H44">
        <f>5760+361</f>
        <v>6121</v>
      </c>
      <c r="I44">
        <v>6576</v>
      </c>
      <c r="J44">
        <v>4840</v>
      </c>
      <c r="K44">
        <v>7643</v>
      </c>
      <c r="L44">
        <v>7946</v>
      </c>
      <c r="M44">
        <v>6576</v>
      </c>
      <c r="N44">
        <v>6895</v>
      </c>
      <c r="O44">
        <v>5410</v>
      </c>
    </row>
    <row r="45" spans="1:15" x14ac:dyDescent="0.55000000000000004">
      <c r="A45" t="s">
        <v>50</v>
      </c>
      <c r="F45">
        <v>103136</v>
      </c>
      <c r="G45">
        <v>101218</v>
      </c>
      <c r="H45">
        <v>99885</v>
      </c>
      <c r="I45">
        <v>109965</v>
      </c>
      <c r="J45">
        <v>100403</v>
      </c>
      <c r="K45">
        <v>104471</v>
      </c>
      <c r="L45">
        <v>105686</v>
      </c>
      <c r="M45">
        <v>109965</v>
      </c>
      <c r="N45">
        <v>110756</v>
      </c>
      <c r="O45">
        <v>120434</v>
      </c>
    </row>
    <row r="46" spans="1:15" x14ac:dyDescent="0.55000000000000004">
      <c r="A46" s="5" t="s">
        <v>51</v>
      </c>
      <c r="B46" s="5"/>
      <c r="C46" s="5"/>
      <c r="D46" s="5"/>
      <c r="E46" s="5"/>
      <c r="F46" s="5">
        <f t="shared" ref="F46:O46" si="28">SUM(F39:F45)</f>
        <v>176356</v>
      </c>
      <c r="G46" s="5">
        <f t="shared" si="28"/>
        <v>170418</v>
      </c>
      <c r="H46" s="5">
        <f t="shared" si="28"/>
        <v>174841</v>
      </c>
      <c r="I46" s="5">
        <f t="shared" si="28"/>
        <v>191572</v>
      </c>
      <c r="J46" s="5">
        <f t="shared" si="28"/>
        <v>185303</v>
      </c>
      <c r="K46" s="5">
        <f t="shared" si="28"/>
        <v>185629</v>
      </c>
      <c r="L46" s="5">
        <f t="shared" si="28"/>
        <v>188837</v>
      </c>
      <c r="M46" s="5">
        <f t="shared" si="28"/>
        <v>191572</v>
      </c>
      <c r="N46" s="5">
        <f t="shared" si="28"/>
        <v>192733</v>
      </c>
      <c r="O46" s="5">
        <f t="shared" si="28"/>
        <v>206205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Kacorzyk</dc:creator>
  <cp:lastModifiedBy>Wiktor Kacorzyk</cp:lastModifiedBy>
  <dcterms:created xsi:type="dcterms:W3CDTF">2024-08-25T15:37:41Z</dcterms:created>
  <dcterms:modified xsi:type="dcterms:W3CDTF">2024-08-27T18:33:49Z</dcterms:modified>
</cp:coreProperties>
</file>