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race\Downloads\Excel-Projects!!!\"/>
    </mc:Choice>
  </mc:AlternateContent>
  <xr:revisionPtr revIDLastSave="0" documentId="13_ncr:1_{80504B0F-6E99-41D7-A6DE-9C7C96C833B9}" xr6:coauthVersionLast="47" xr6:coauthVersionMax="47" xr10:uidLastSave="{00000000-0000-0000-0000-000000000000}"/>
  <bookViews>
    <workbookView xWindow="288" yWindow="324" windowWidth="22752" windowHeight="11916" tabRatio="747" firstSheet="5" activeTab="5" xr2:uid="{5FEBD0D2-577D-4CA9-8E6D-097D74364796}"/>
  </bookViews>
  <sheets>
    <sheet name="Base Dataset" sheetId="2" r:id="rId1"/>
    <sheet name="Processed Dataset" sheetId="4" r:id="rId2"/>
    <sheet name="Basic Claculations" sheetId="5" r:id="rId3"/>
    <sheet name="Lookups" sheetId="23" r:id="rId4"/>
    <sheet name="Discriptive Stat" sheetId="13" r:id="rId5"/>
    <sheet name="B&amp;W" sheetId="14" r:id="rId6"/>
    <sheet name="Dropdown Choices" sheetId="3" r:id="rId7"/>
    <sheet name="Pivot-Unit Sold" sheetId="9" r:id="rId8"/>
    <sheet name="Pivot-Profit Generated" sheetId="10" r:id="rId9"/>
    <sheet name="Pivot-Revenue by Month" sheetId="12" r:id="rId10"/>
    <sheet name="Dashboard" sheetId="1" r:id="rId11"/>
    <sheet name="Key Insights" sheetId="25" r:id="rId12"/>
  </sheets>
  <definedNames>
    <definedName name="_xlchart.v1.0" hidden="1">'Base Dataset'!$E$4:$E$13</definedName>
  </definedNames>
  <calcPr calcId="191029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23" l="1"/>
  <c r="I21" i="23"/>
  <c r="I20" i="23"/>
  <c r="I5" i="23"/>
  <c r="I6" i="23"/>
  <c r="L14" i="23"/>
  <c r="H16" i="23" a="1"/>
  <c r="H16" i="23" s="1"/>
  <c r="H14" i="23" a="1"/>
  <c r="H14" i="23" s="1"/>
  <c r="J5" i="3" l="1" a="1"/>
  <c r="J5" i="3" s="1"/>
  <c r="G5" i="3" a="1"/>
  <c r="G5" i="3" s="1"/>
  <c r="F5" i="3" a="1"/>
  <c r="F5" i="3" s="1"/>
  <c r="H7" i="4" l="1"/>
  <c r="S13" i="2"/>
  <c r="P13" i="2"/>
  <c r="H13" i="2"/>
  <c r="F13" i="2"/>
  <c r="T13" i="2" s="1"/>
  <c r="S12" i="2"/>
  <c r="P12" i="2"/>
  <c r="H12" i="2"/>
  <c r="F12" i="2"/>
  <c r="T12" i="2" s="1"/>
  <c r="S11" i="2"/>
  <c r="P11" i="2"/>
  <c r="H11" i="2"/>
  <c r="F11" i="2"/>
  <c r="T11" i="2" s="1"/>
  <c r="S10" i="2"/>
  <c r="P10" i="2"/>
  <c r="H10" i="2"/>
  <c r="F10" i="2"/>
  <c r="T10" i="2" s="1"/>
  <c r="S9" i="2"/>
  <c r="P9" i="2"/>
  <c r="H9" i="2"/>
  <c r="F9" i="2"/>
  <c r="T9" i="2" s="1"/>
  <c r="S8" i="2"/>
  <c r="P8" i="2"/>
  <c r="H8" i="2"/>
  <c r="F8" i="2"/>
  <c r="T8" i="2" s="1"/>
  <c r="S7" i="2"/>
  <c r="P7" i="2"/>
  <c r="H7" i="2"/>
  <c r="F7" i="2"/>
  <c r="T7" i="2" s="1"/>
  <c r="S6" i="2"/>
  <c r="P6" i="2"/>
  <c r="H6" i="2"/>
  <c r="F6" i="2"/>
  <c r="T6" i="2" s="1"/>
  <c r="S5" i="2"/>
  <c r="P5" i="2"/>
  <c r="H5" i="2"/>
  <c r="F5" i="2"/>
  <c r="T5" i="2" s="1"/>
  <c r="S4" i="2"/>
  <c r="P4" i="2"/>
  <c r="H4" i="2"/>
  <c r="F4" i="2"/>
  <c r="T4" i="2" s="1"/>
  <c r="E21" i="5"/>
  <c r="Q4" i="2" l="1"/>
  <c r="Q6" i="2"/>
  <c r="R6" i="2" s="1"/>
  <c r="Q9" i="2"/>
  <c r="R9" i="2" s="1"/>
  <c r="Q11" i="2"/>
  <c r="R11" i="2" s="1"/>
  <c r="Q7" i="2"/>
  <c r="R7" i="2" s="1"/>
  <c r="Q10" i="2"/>
  <c r="R10" i="2" s="1"/>
  <c r="Q13" i="2"/>
  <c r="R13" i="2" s="1"/>
  <c r="Q5" i="2"/>
  <c r="R5" i="2" s="1"/>
  <c r="Q8" i="2"/>
  <c r="R8" i="2" s="1"/>
  <c r="Q12" i="2"/>
  <c r="R12" i="2" s="1"/>
  <c r="E17" i="5"/>
  <c r="E15" i="5"/>
  <c r="S3" i="4"/>
  <c r="G10" i="5"/>
  <c r="E10" i="5"/>
  <c r="G5" i="5"/>
  <c r="E5" i="5"/>
  <c r="S4" i="4"/>
  <c r="S5" i="4"/>
  <c r="S6" i="4"/>
  <c r="S7" i="4"/>
  <c r="S8" i="4"/>
  <c r="S9" i="4"/>
  <c r="S10" i="4"/>
  <c r="S11" i="4"/>
  <c r="S12" i="4"/>
  <c r="H5" i="3" s="1" a="1"/>
  <c r="H5" i="3" s="1"/>
  <c r="R4" i="2" l="1"/>
  <c r="U4" i="4"/>
  <c r="U5" i="4"/>
  <c r="U6" i="4"/>
  <c r="U7" i="4"/>
  <c r="U8" i="4"/>
  <c r="U9" i="4"/>
  <c r="U10" i="4"/>
  <c r="U11" i="4"/>
  <c r="U12" i="4"/>
  <c r="U3" i="4"/>
  <c r="P12" i="4"/>
  <c r="H12" i="4"/>
  <c r="F12" i="4"/>
  <c r="T12" i="4" s="1"/>
  <c r="I5" i="3" s="1" a="1"/>
  <c r="I5" i="3" s="1"/>
  <c r="P11" i="4"/>
  <c r="H11" i="4"/>
  <c r="F11" i="4"/>
  <c r="T11" i="4" s="1"/>
  <c r="P10" i="4"/>
  <c r="H10" i="4"/>
  <c r="F10" i="4"/>
  <c r="T10" i="4" s="1"/>
  <c r="P9" i="4"/>
  <c r="H9" i="4"/>
  <c r="F9" i="4"/>
  <c r="T9" i="4" s="1"/>
  <c r="P8" i="4"/>
  <c r="H8" i="4"/>
  <c r="F8" i="4"/>
  <c r="T8" i="4" s="1"/>
  <c r="P7" i="4"/>
  <c r="F7" i="4"/>
  <c r="T7" i="4" s="1"/>
  <c r="P6" i="4"/>
  <c r="H6" i="4"/>
  <c r="F6" i="4"/>
  <c r="T6" i="4" s="1"/>
  <c r="P5" i="4"/>
  <c r="H5" i="4"/>
  <c r="F5" i="4"/>
  <c r="T5" i="4" s="1"/>
  <c r="P4" i="4"/>
  <c r="H4" i="4"/>
  <c r="F4" i="4"/>
  <c r="T4" i="4" s="1"/>
  <c r="P3" i="4"/>
  <c r="H3" i="4"/>
  <c r="F3" i="4"/>
  <c r="T3" i="4" s="1"/>
  <c r="F10" i="5" l="1"/>
  <c r="F5" i="5"/>
  <c r="H5" i="5"/>
  <c r="H10" i="5"/>
  <c r="Q9" i="4"/>
  <c r="R9" i="4" s="1"/>
  <c r="Q12" i="4"/>
  <c r="R12" i="4" s="1"/>
  <c r="Q10" i="4"/>
  <c r="R10" i="4" s="1"/>
  <c r="Q5" i="4"/>
  <c r="R5" i="4" s="1"/>
  <c r="Q11" i="4"/>
  <c r="R11" i="4" s="1"/>
  <c r="Q6" i="4"/>
  <c r="R6" i="4" s="1"/>
  <c r="Q7" i="4"/>
  <c r="R7" i="4" s="1"/>
  <c r="Q4" i="4"/>
  <c r="R4" i="4" s="1"/>
  <c r="Q3" i="4"/>
  <c r="R3" i="4" s="1"/>
  <c r="Q8" i="4"/>
  <c r="R8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grace</author>
  </authors>
  <commentList>
    <comment ref="F2" authorId="0" shapeId="0" xr:uid="{6F668F15-7E3C-4BF4-8003-D94F88ADCDAD}">
      <text>
        <r>
          <rPr>
            <b/>
            <sz val="9"/>
            <color indexed="81"/>
            <rFont val="Tahoma"/>
            <family val="2"/>
          </rPr>
          <t>Juhi:
Revenue made below 10Cr/-</t>
        </r>
      </text>
    </comment>
    <comment ref="H2" authorId="0" shapeId="0" xr:uid="{E589A2FD-3CE7-4614-B18C-A9D98CD315D9}">
      <text>
        <r>
          <rPr>
            <b/>
            <sz val="9"/>
            <color indexed="81"/>
            <rFont val="Tahoma"/>
            <family val="2"/>
          </rPr>
          <t xml:space="preserve">Juhi:
Cost (INR) above Average
</t>
        </r>
      </text>
    </comment>
    <comment ref="K2" authorId="0" shapeId="0" xr:uid="{67947988-7CDA-4FAD-830C-F65A4641D99F}">
      <text>
        <r>
          <rPr>
            <b/>
            <sz val="9"/>
            <color indexed="81"/>
            <rFont val="Tahoma"/>
            <family val="2"/>
          </rPr>
          <t>Juhi:
Condiotional Formatting for cars being rated above 
4.5</t>
        </r>
      </text>
    </comment>
    <comment ref="M2" authorId="0" shapeId="0" xr:uid="{A345F7D3-977C-45E3-981E-5F34AC9F5FB7}">
      <text>
        <r>
          <rPr>
            <sz val="9"/>
            <color indexed="81"/>
            <rFont val="Tahoma"/>
            <family val="2"/>
          </rPr>
          <t xml:space="preserve">Juhi:
Formatting on The Status of car.
</t>
        </r>
      </text>
    </comment>
    <comment ref="R2" authorId="0" shapeId="0" xr:uid="{FD46D23D-0AF2-493F-9B3D-43685B1FAA74}">
      <text>
        <r>
          <rPr>
            <b/>
            <sz val="9"/>
            <color indexed="81"/>
            <rFont val="Tahoma"/>
            <family val="2"/>
          </rPr>
          <t xml:space="preserve">Juhi:
Top 5 Cars that made the most Margin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grace</author>
  </authors>
  <commentList>
    <comment ref="H5" authorId="0" shapeId="0" xr:uid="{A3FAE91E-5653-484A-8B1A-AFB5D7C5604C}">
      <text>
        <r>
          <rPr>
            <sz val="9"/>
            <color indexed="81"/>
            <rFont val="Tahoma"/>
            <family val="2"/>
          </rPr>
          <t>Values in the left are
Lookup Values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<sst xmlns="http://schemas.openxmlformats.org/spreadsheetml/2006/main" count="310" uniqueCount="131">
  <si>
    <t>Car Model</t>
  </si>
  <si>
    <t>Brand</t>
  </si>
  <si>
    <t>Type</t>
  </si>
  <si>
    <t>Units Sold</t>
  </si>
  <si>
    <t>Revenue (USD)</t>
  </si>
  <si>
    <t>Revenue (INR)</t>
  </si>
  <si>
    <t>Cost (USD)</t>
  </si>
  <si>
    <t>Cost (INR)</t>
  </si>
  <si>
    <t>Month</t>
  </si>
  <si>
    <t>Showroom</t>
  </si>
  <si>
    <t>Status</t>
  </si>
  <si>
    <t>Mustang GT</t>
  </si>
  <si>
    <t>Ford</t>
  </si>
  <si>
    <t>Sports</t>
  </si>
  <si>
    <t>January</t>
  </si>
  <si>
    <t>Speed Motors</t>
  </si>
  <si>
    <t>Sold Out</t>
  </si>
  <si>
    <t>Aventador</t>
  </si>
  <si>
    <t>Lamborghini</t>
  </si>
  <si>
    <t>Super Sports</t>
  </si>
  <si>
    <t>February</t>
  </si>
  <si>
    <t>Exotic Rides</t>
  </si>
  <si>
    <t>Available</t>
  </si>
  <si>
    <t>Camaro ZL1</t>
  </si>
  <si>
    <t>Chevrolet</t>
  </si>
  <si>
    <t>March</t>
  </si>
  <si>
    <t>Prime Auto World</t>
  </si>
  <si>
    <t>911 Turbo S</t>
  </si>
  <si>
    <t>Porsche</t>
  </si>
  <si>
    <t>Luxury Sports</t>
  </si>
  <si>
    <t>April</t>
  </si>
  <si>
    <t>Elite Cars</t>
  </si>
  <si>
    <t>Huracan</t>
  </si>
  <si>
    <t>May</t>
  </si>
  <si>
    <t>M8 Competition</t>
  </si>
  <si>
    <t>BMW</t>
  </si>
  <si>
    <t>June</t>
  </si>
  <si>
    <t>Luxury Wheels</t>
  </si>
  <si>
    <t>F8 Tributo</t>
  </si>
  <si>
    <t>Ferrari</t>
  </si>
  <si>
    <t>Italian Beauties</t>
  </si>
  <si>
    <t>Supra GR</t>
  </si>
  <si>
    <t>Toyota</t>
  </si>
  <si>
    <t>Chiron</t>
  </si>
  <si>
    <t>Bugatti</t>
  </si>
  <si>
    <t>Hyper Sports</t>
  </si>
  <si>
    <t>GT-R Nismo</t>
  </si>
  <si>
    <t>Nissan</t>
  </si>
  <si>
    <t>Location</t>
  </si>
  <si>
    <t>Feedback</t>
  </si>
  <si>
    <t>Los Angeles</t>
  </si>
  <si>
    <t>Excellent</t>
  </si>
  <si>
    <t>New York</t>
  </si>
  <si>
    <t>Good</t>
  </si>
  <si>
    <t>Miami</t>
  </si>
  <si>
    <t>Chicago</t>
  </si>
  <si>
    <t>Average</t>
  </si>
  <si>
    <t>San Francisco</t>
  </si>
  <si>
    <t>Seattle</t>
  </si>
  <si>
    <t>Houston</t>
  </si>
  <si>
    <t>Very Good</t>
  </si>
  <si>
    <t>Las Vegas</t>
  </si>
  <si>
    <t>Limited</t>
  </si>
  <si>
    <t>Outstanding</t>
  </si>
  <si>
    <t>Denver</t>
  </si>
  <si>
    <t>Orlando</t>
  </si>
  <si>
    <t>Customers Rating</t>
  </si>
  <si>
    <t>Car ID</t>
  </si>
  <si>
    <t>Car Brand</t>
  </si>
  <si>
    <t>Profit (USD)</t>
  </si>
  <si>
    <t>Profit (INR)</t>
  </si>
  <si>
    <t>Profit Margin</t>
  </si>
  <si>
    <t>(USD)</t>
  </si>
  <si>
    <t>Model</t>
  </si>
  <si>
    <t>(INR)</t>
  </si>
  <si>
    <t>Sum</t>
  </si>
  <si>
    <t>IF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</si>
  <si>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</si>
  <si>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</si>
  <si>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</si>
  <si>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</si>
  <si>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</si>
  <si>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</si>
  <si>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</si>
  <si>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</si>
  <si>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</si>
  <si>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</si>
  <si>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</si>
  <si>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Count</t>
  </si>
  <si>
    <t>Sum of Units Sold</t>
  </si>
  <si>
    <t>Row Labels</t>
  </si>
  <si>
    <t>TOTAL</t>
  </si>
  <si>
    <t>AVERAGE</t>
  </si>
  <si>
    <t>Cost</t>
  </si>
  <si>
    <t>Cost per Car INR</t>
  </si>
  <si>
    <t>Cost per Car USD</t>
  </si>
  <si>
    <t>Sum of Revenue (INR)</t>
  </si>
  <si>
    <t>Sum of Sports Car</t>
  </si>
  <si>
    <t>SUMIF/SUMIFS</t>
  </si>
  <si>
    <t>Sum of Sports Car that have above 4.5 rating</t>
  </si>
  <si>
    <t>COUNTIF</t>
  </si>
  <si>
    <t>Cars sold by "Speed Motors" showroon</t>
  </si>
  <si>
    <t>Sum of Profit (INR)</t>
  </si>
  <si>
    <t>Sum of Profit Margin</t>
  </si>
  <si>
    <t>VLOOKUP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</si>
  <si>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</si>
  <si>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</si>
  <si>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</si>
  <si>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</si>
  <si>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</si>
  <si>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</si>
  <si>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</si>
  <si>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</si>
  <si>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</si>
  <si>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</si>
  <si>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XLOOKUP</t>
  </si>
  <si>
    <t xml:space="preserve">HLOOKUP </t>
  </si>
  <si>
    <t>Index</t>
  </si>
  <si>
    <t>Index/Match</t>
  </si>
  <si>
    <t>Match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</si>
  <si>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Which car model had the highest units sold?</t>
    </r>
  </si>
  <si>
    <r>
      <t>Chiron</t>
    </r>
    <r>
      <rPr>
        <sz val="11"/>
        <color theme="1"/>
        <rFont val="Calibri"/>
        <family val="2"/>
        <scheme val="minor"/>
      </rPr>
      <t xml:space="preserve"> led in profit generation with </t>
    </r>
    <r>
      <rPr>
        <b/>
        <sz val="11"/>
        <color theme="1"/>
        <rFont val="Calibri"/>
        <family val="2"/>
        <scheme val="minor"/>
      </rPr>
      <t>₹168,000,000</t>
    </r>
    <r>
      <rPr>
        <sz val="11"/>
        <color theme="1"/>
        <rFont val="Calibri"/>
        <family val="2"/>
        <scheme val="minor"/>
      </rPr>
      <t xml:space="preserve">, followed by </t>
    </r>
    <r>
      <rPr>
        <b/>
        <sz val="11"/>
        <color theme="1"/>
        <rFont val="Calibri"/>
        <family val="2"/>
        <scheme val="minor"/>
      </rPr>
      <t>911 Turbo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</si>
  <si>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Which car model generated the most profit?</t>
    </r>
  </si>
  <si>
    <r>
      <t>June</t>
    </r>
    <r>
      <rPr>
        <sz val="11"/>
        <color theme="1"/>
        <rFont val="Calibri"/>
        <family val="2"/>
        <scheme val="minor"/>
      </rPr>
      <t xml:space="preserve"> recorded the highest revenue at </t>
    </r>
    <r>
      <rPr>
        <b/>
        <sz val="11"/>
        <color theme="1"/>
        <rFont val="Calibri"/>
        <family val="2"/>
        <scheme val="minor"/>
      </rPr>
      <t>₹876,960,000</t>
    </r>
    <r>
      <rPr>
        <sz val="11"/>
        <color theme="1"/>
        <rFont val="Calibri"/>
        <family val="2"/>
        <scheme val="minor"/>
      </rPr>
      <t xml:space="preserve"> and had the best profit margin of </t>
    </r>
    <r>
      <rPr>
        <b/>
        <sz val="11"/>
        <color theme="1"/>
        <rFont val="Calibri"/>
        <family val="2"/>
        <scheme val="minor"/>
      </rPr>
      <t>46%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</si>
  <si>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Which month had the highest revenue and best profit margin?</t>
    </r>
  </si>
  <si>
    <t>EXCEL MOTORS (Key Insights)</t>
  </si>
  <si>
    <r>
      <t>The</t>
    </r>
    <r>
      <rPr>
        <b/>
        <sz val="14"/>
        <color theme="1"/>
        <rFont val="Calibri"/>
        <family val="2"/>
        <scheme val="minor"/>
      </rPr>
      <t xml:space="preserve"> box and whisker</t>
    </r>
    <r>
      <rPr>
        <sz val="14"/>
        <color theme="1"/>
        <rFont val="Calibri"/>
        <family val="2"/>
        <scheme val="minor"/>
      </rPr>
      <t xml:space="preserve"> chart provides a clear overview of the revenue distribution in USD.</t>
    </r>
  </si>
  <si>
    <t>Descriptive Statistics: Profit Analysis in INR</t>
  </si>
  <si>
    <r>
      <t xml:space="preserve">The </t>
    </r>
    <r>
      <rPr>
        <b/>
        <sz val="10"/>
        <color theme="1"/>
        <rFont val="Calibri"/>
        <family val="2"/>
        <scheme val="minor"/>
      </rPr>
      <t>descriptive statistics</t>
    </r>
    <r>
      <rPr>
        <sz val="10"/>
        <color theme="1"/>
        <rFont val="Calibri"/>
        <family val="2"/>
        <scheme val="minor"/>
      </rPr>
      <t xml:space="preserve"> table provides a summary of the profit data in INR,</t>
    </r>
  </si>
  <si>
    <t>provides insights into the general performance.</t>
  </si>
  <si>
    <r>
      <t>Supra GR</t>
    </r>
    <r>
      <rPr>
        <sz val="11"/>
        <color theme="1"/>
        <rFont val="Calibri"/>
        <family val="2"/>
        <scheme val="minor"/>
      </rPr>
      <t xml:space="preserve"> had the highest sales with </t>
    </r>
    <r>
      <rPr>
        <b/>
        <sz val="11"/>
        <color theme="1"/>
        <rFont val="Calibri"/>
        <family val="2"/>
        <scheme val="minor"/>
      </rPr>
      <t>35 units</t>
    </r>
    <r>
      <rPr>
        <sz val="11"/>
        <color theme="1"/>
        <rFont val="Calibri"/>
        <family val="2"/>
        <scheme val="minor"/>
      </rPr>
      <t xml:space="preserve">, followed by </t>
    </r>
    <r>
      <rPr>
        <b/>
        <sz val="11"/>
        <color theme="1"/>
        <rFont val="Calibri"/>
        <family val="2"/>
        <scheme val="minor"/>
      </rPr>
      <t>Camaro ZL1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30 units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</si>
</sst>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_ ;_ [$₹-4009]\ * \-#,##0_ ;_ [$₹-4009]\ * &quot;-&quot;??_ ;_ @_ "/>
    <numFmt numFmtId="165" formatCode="_-[$$-409]* #,##0_ ;_-[$$-409]* \-#,##0\ ;_-[$$-409]* &quot;-&quot;??_ ;_-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2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rgb="FF7F7F7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9" fontId="0" fillId="0" borderId="0" xfId="1" applyFont="1" applyAlignment="1">
      <alignment vertical="center" wrapText="1"/>
    </xf>
    <xf numFmtId="164" fontId="0" fillId="0" borderId="0" xfId="0" applyNumberForma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0" fillId="0" borderId="2" xfId="0" applyBorder="1"/>
    <xf numFmtId="165" fontId="0" fillId="0" borderId="2" xfId="0" applyNumberFormat="1" applyBorder="1"/>
    <xf numFmtId="164" fontId="0" fillId="0" borderId="2" xfId="0" applyNumberFormat="1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165" fontId="0" fillId="0" borderId="4" xfId="0" applyNumberFormat="1" applyBorder="1"/>
    <xf numFmtId="164" fontId="0" fillId="0" borderId="4" xfId="0" applyNumberFormat="1" applyBorder="1"/>
    <xf numFmtId="0" fontId="0" fillId="0" borderId="4" xfId="0" applyBorder="1"/>
    <xf numFmtId="0" fontId="0" fillId="0" borderId="4" xfId="0" pivotButton="1" applyBorder="1"/>
    <xf numFmtId="0" fontId="0" fillId="0" borderId="4" xfId="0" applyBorder="1" applyAlignment="1">
      <alignment horizontal="left"/>
    </xf>
    <xf numFmtId="9" fontId="0" fillId="0" borderId="4" xfId="0" applyNumberFormat="1" applyBorder="1"/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65" fontId="0" fillId="0" borderId="4" xfId="0" applyNumberFormat="1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14" fontId="0" fillId="0" borderId="4" xfId="0" applyNumberFormat="1" applyBorder="1" applyAlignment="1">
      <alignment horizontal="left" vertical="center" wrapText="1"/>
    </xf>
    <xf numFmtId="9" fontId="0" fillId="0" borderId="4" xfId="1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9" fontId="0" fillId="0" borderId="1" xfId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0" xfId="0" applyFont="1"/>
    <xf numFmtId="0" fontId="0" fillId="0" borderId="5" xfId="0" applyBorder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0" fillId="2" borderId="4" xfId="0" applyFill="1" applyBorder="1"/>
    <xf numFmtId="9" fontId="0" fillId="2" borderId="4" xfId="1" applyFont="1" applyFill="1" applyBorder="1"/>
    <xf numFmtId="0" fontId="0" fillId="2" borderId="4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3" fillId="0" borderId="0" xfId="2" applyFont="1" applyAlignment="1">
      <alignment horizontal="center"/>
    </xf>
    <xf numFmtId="0" fontId="14" fillId="0" borderId="0" xfId="0" applyFont="1" applyAlignment="1">
      <alignment horizontal="left" indent="3"/>
    </xf>
    <xf numFmtId="0" fontId="14" fillId="0" borderId="0" xfId="0" applyFont="1" applyAlignment="1">
      <alignment horizontal="left" indent="6"/>
    </xf>
    <xf numFmtId="0" fontId="14" fillId="0" borderId="0" xfId="0" applyFont="1" applyAlignment="1">
      <alignment horizontal="left" vertical="top" indent="3"/>
    </xf>
    <xf numFmtId="0" fontId="9" fillId="5" borderId="0" xfId="0" applyFont="1" applyFill="1" applyAlignment="1">
      <alignment vertical="top"/>
    </xf>
    <xf numFmtId="0" fontId="9" fillId="5" borderId="0" xfId="0" applyFont="1" applyFill="1" applyAlignment="1">
      <alignment horizontal="center" vertical="top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9" fontId="9" fillId="4" borderId="1" xfId="1" applyFont="1" applyFill="1" applyBorder="1" applyAlignment="1">
      <alignment horizontal="center" vertical="center"/>
    </xf>
    <xf numFmtId="9" fontId="9" fillId="4" borderId="2" xfId="1" applyFont="1" applyFill="1" applyBorder="1" applyAlignment="1">
      <alignment horizontal="center" vertical="center"/>
    </xf>
    <xf numFmtId="9" fontId="9" fillId="4" borderId="3" xfId="1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15" fillId="0" borderId="0" xfId="0" applyFont="1"/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left"/>
    </xf>
  </cellXfs>
  <cellStyles count="3">
    <cellStyle name="Explanatory Text" xfId="2" builtinId="53"/>
    <cellStyle name="Normal" xfId="0" builtinId="0"/>
    <cellStyle name="Percent" xfId="1" builtinId="5"/>
  </cellStyles>
  <dxfs count="94">
    <dxf>
      <font>
        <color theme="1"/>
      </font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ont>
        <b/>
        <i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 [$₹-4009]\ * #,##0_ ;_ [$₹-4009]\ * \-#,##0_ ;_ [$₹-4009]\ * &quot;-&quot;??_ ;_ @_ "/>
      <alignment horizontal="general" vertical="center" textRotation="0" wrapText="1" indent="0" justifyLastLine="0" shrinkToFit="0" readingOrder="0"/>
    </dxf>
    <dxf>
      <numFmt numFmtId="164" formatCode="_ [$₹-4009]\ * #,##0_ ;_ [$₹-4009]\ * \-#,##0_ ;_ [$₹-4009]\ * &quot;-&quot;??_ ;_ @_ 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 [$₹-4009]\ * #,##0_ ;_ [$₹-4009]\ * \-#,##0_ ;_ [$₹-4009]\ * &quot;-&quot;??_ ;_ @_ "/>
      <alignment horizontal="general" vertical="center" textRotation="0" wrapText="1" indent="0" justifyLastLine="0" shrinkToFit="0" readingOrder="0"/>
    </dxf>
    <dxf>
      <numFmt numFmtId="164" formatCode="_ [$₹-4009]\ * #,##0_ ;_ [$₹-4009]\ * \-#,##0_ ;_ [$₹-4009]\ * &quot;-&quot;??_ ;_ @_ 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[$$-409]* #,##0_ ;_-[$$-409]* \-#,##0\ ;_-[$$-409]* &quot;-&quot;??_ ;_-@_ "/>
      <alignment horizontal="general" vertical="center" textRotation="0" wrapText="1" indent="0" justifyLastLine="0" shrinkToFit="0" readingOrder="0"/>
    </dxf>
    <dxf>
      <numFmt numFmtId="165" formatCode="_-[$$-409]* #,##0_ ;_-[$$-409]* \-#,##0\ ;_-[$$-409]* &quot;-&quot;??_ ;_-@_ 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numFmt numFmtId="164" formatCode="_ [$₹-4009]\ * #,##0_ ;_ [$₹-4009]\ * \-#,##0_ ;_ [$₹-4009]\ * &quot;-&quot;??_ ;_ @_ "/>
      <alignment horizontal="general" vertical="center" textRotation="0" wrapText="1" indent="0" justifyLastLine="0" shrinkToFit="0" readingOrder="0"/>
    </dxf>
    <dxf>
      <numFmt numFmtId="165" formatCode="_-[$$-409]* #,##0_ ;_-[$$-409]* \-#,##0\ ;_-[$$-409]* &quot;-&quot;??_ ;_-@_ "/>
      <alignment horizontal="general" vertical="center" textRotation="0" wrapText="1" indent="0" justifyLastLine="0" shrinkToFit="0" readingOrder="0"/>
    </dxf>
    <dxf>
      <numFmt numFmtId="164" formatCode="_ [$₹-4009]\ * #,##0_ ;_ [$₹-4009]\ * \-#,##0_ ;_ [$₹-4009]\ * &quot;-&quot;??_ ;_ @_ "/>
      <alignment horizontal="general" vertical="center" textRotation="0" wrapText="1" indent="0" justifyLastLine="0" shrinkToFit="0" readingOrder="0"/>
    </dxf>
    <dxf>
      <numFmt numFmtId="165" formatCode="_-[$$-409]* #,##0_ ;_-[$$-409]* \-#,##0\ ;_-[$$-409]* &quot;-&quot;??_ ;_-@_ 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[Excel Motors.xlsx]Pivot-Unit Sold!PivotTable2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Units Sold by Car Model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 cmpd="sng" algn="ctr">
            <a:solidFill>
              <a:schemeClr val="dk1">
                <a:tint val="88500"/>
              </a:schemeClr>
            </a:solidFill>
            <a:round/>
          </a:ln>
          <a:effectLst/>
        </c:spPr>
        <c:marker>
          <c:symbol val="circle"/>
          <c:size val="4"/>
          <c:spPr>
            <a:solidFill>
              <a:schemeClr val="dk1">
                <a:tint val="88500"/>
              </a:schemeClr>
            </a:solidFill>
            <a:ln w="9525" cap="flat" cmpd="sng" algn="ctr">
              <a:solidFill>
                <a:schemeClr val="dk1">
                  <a:tint val="885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'Pivot-Unit Sold'!$B$3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dk1">
                  <a:tint val="88500"/>
                </a:schemeClr>
              </a:solidFill>
              <a:ln w="9525" cap="flat" cmpd="sng" algn="ctr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dk1">
                    <a:tint val="885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'Pivot-Unit Sold'!$A$4:$A$13</c:f>
              <c:strCache>
                <c:ptCount val="10"/>
                <c:pt idx="0">
                  <c:v>Supra GR</c:v>
                </c:pt>
                <c:pt idx="1">
                  <c:v>Camaro ZL1</c:v>
                </c:pt>
                <c:pt idx="2">
                  <c:v>M8 Competition</c:v>
                </c:pt>
                <c:pt idx="3">
                  <c:v>GT-R Nismo</c:v>
                </c:pt>
                <c:pt idx="4">
                  <c:v>Mustang GT</c:v>
                </c:pt>
                <c:pt idx="5">
                  <c:v>Huracan</c:v>
                </c:pt>
                <c:pt idx="6">
                  <c:v>Aventador</c:v>
                </c:pt>
                <c:pt idx="7">
                  <c:v>F8 Tributo</c:v>
                </c:pt>
                <c:pt idx="8">
                  <c:v>911 Turbo S</c:v>
                </c:pt>
                <c:pt idx="9">
                  <c:v>Chiron</c:v>
                </c:pt>
              </c:strCache>
            </c:strRef>
          </c:cat>
          <c:val>
            <c:numRef>
              <c:f>'Pivot-Unit Sold'!$B$4:$B$13</c:f>
              <c:numCache>
                <c:formatCode>General</c:formatCode>
                <c:ptCount val="10"/>
                <c:pt idx="0">
                  <c:v>35</c:v>
                </c:pt>
                <c:pt idx="1">
                  <c:v>30</c:v>
                </c:pt>
                <c:pt idx="2">
                  <c:v>18</c:v>
                </c:pt>
                <c:pt idx="3">
                  <c:v>18</c:v>
                </c:pt>
                <c:pt idx="4">
                  <c:v>15</c:v>
                </c:pt>
                <c:pt idx="5">
                  <c:v>12</c:v>
                </c:pt>
                <c:pt idx="6">
                  <c:v>10</c:v>
                </c:pt>
                <c:pt idx="7">
                  <c:v>8</c:v>
                </c:pt>
                <c:pt idx="8">
                  <c:v>7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A-40B1-BE8D-3CF6EB020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945560112"/>
        <c:axId val="1945574512"/>
      </c:lineChart>
      <c:catAx>
        <c:axId val="194556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574512"/>
        <c:crosses val="autoZero"/>
        <c:auto val="1"/>
        <c:lblAlgn val="ctr"/>
        <c:lblOffset val="100"/>
        <c:noMultiLvlLbl val="0"/>
      </c:catAx>
      <c:valAx>
        <c:axId val="1945574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5601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bg2">
          <a:lumMod val="1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[Excel Motors.xlsx]Pivot-Profit Generated!PivotTable3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generated by each car model (INR)</a:t>
            </a:r>
          </a:p>
        </c:rich>
      </c:tx>
      <c:layout>
        <c:manualLayout>
          <c:xMode val="edge"/>
          <c:yMode val="edge"/>
          <c:x val="0.15295822397200351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dk1">
              <a:tint val="885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dk1">
              <a:tint val="885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dk1">
              <a:tint val="885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dk1">
              <a:tint val="885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dk1">
              <a:tint val="885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dk1">
              <a:tint val="885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dk1">
              <a:tint val="885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dk1">
              <a:tint val="885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dk1">
              <a:tint val="885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>
        <c:manualLayout>
          <c:layoutTarget val="inner"/>
          <c:xMode val="edge"/>
          <c:yMode val="edge"/>
          <c:x val="0.11666666666666667"/>
          <c:y val="0.23550707203266255"/>
          <c:w val="0.43091797900262468"/>
          <c:h val="0.71819663167104109"/>
        </c:manualLayout>
      </c:layout>
      <c:pieChart>
        <c:varyColors val="1"/>
        <c:ser>
          <c:idx val="0"/>
          <c:order val="0"/>
          <c:tx>
            <c:strRef>
              <c:f>'Pivot-Profit Generated'!$B$3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57A-4A87-8BED-FD6E2E1C1987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57A-4A87-8BED-FD6E2E1C1987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57A-4A87-8BED-FD6E2E1C1987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57A-4A87-8BED-FD6E2E1C1987}"/>
              </c:ext>
            </c:extLst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57A-4A87-8BED-FD6E2E1C1987}"/>
              </c:ext>
            </c:extLst>
          </c:dPt>
          <c:dPt>
            <c:idx val="5"/>
            <c:bubble3D val="0"/>
            <c:spPr>
              <a:solidFill>
                <a:schemeClr val="dk1">
                  <a:tint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57A-4A87-8BED-FD6E2E1C1987}"/>
              </c:ext>
            </c:extLst>
          </c:dPt>
          <c:dPt>
            <c:idx val="6"/>
            <c:bubble3D val="0"/>
            <c:spPr>
              <a:solidFill>
                <a:schemeClr val="dk1">
                  <a:tint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A57A-4A87-8BED-FD6E2E1C1987}"/>
              </c:ext>
            </c:extLst>
          </c:dPt>
          <c:dPt>
            <c:idx val="7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A57A-4A87-8BED-FD6E2E1C1987}"/>
              </c:ext>
            </c:extLst>
          </c:dPt>
          <c:dPt>
            <c:idx val="8"/>
            <c:bubble3D val="0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A57A-4A87-8BED-FD6E2E1C1987}"/>
              </c:ext>
            </c:extLst>
          </c:dPt>
          <c:dPt>
            <c:idx val="9"/>
            <c:bubble3D val="0"/>
            <c:spPr>
              <a:solidFill>
                <a:schemeClr val="dk1">
                  <a:tint val="7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A57A-4A87-8BED-FD6E2E1C19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'Pivot-Profit Generated'!$A$4:$A$13</c:f>
              <c:strCache>
                <c:ptCount val="10"/>
                <c:pt idx="0">
                  <c:v>Chiron</c:v>
                </c:pt>
                <c:pt idx="1">
                  <c:v>911 Turbo S</c:v>
                </c:pt>
                <c:pt idx="2">
                  <c:v>F8 Tributo</c:v>
                </c:pt>
                <c:pt idx="3">
                  <c:v>GT-R Nismo</c:v>
                </c:pt>
                <c:pt idx="4">
                  <c:v>M8 Competition</c:v>
                </c:pt>
                <c:pt idx="5">
                  <c:v>Camaro ZL1</c:v>
                </c:pt>
                <c:pt idx="6">
                  <c:v>Aventador</c:v>
                </c:pt>
                <c:pt idx="7">
                  <c:v>Mustang GT</c:v>
                </c:pt>
                <c:pt idx="8">
                  <c:v>Supra GR</c:v>
                </c:pt>
                <c:pt idx="9">
                  <c:v>Huracan</c:v>
                </c:pt>
              </c:strCache>
            </c:strRef>
          </c:cat>
          <c:val>
            <c:numRef>
              <c:f>'Pivot-Profit Generated'!$B$4:$B$13</c:f>
              <c:numCache>
                <c:formatCode>_ [$₹-4009]\ * #,##0_ ;_ [$₹-4009]\ * \-#,##0_ ;_ [$₹-4009]\ * "-"??_ ;_ @_ </c:formatCode>
                <c:ptCount val="10"/>
                <c:pt idx="0">
                  <c:v>168000000</c:v>
                </c:pt>
                <c:pt idx="1">
                  <c:v>58800000</c:v>
                </c:pt>
                <c:pt idx="2">
                  <c:v>33600000</c:v>
                </c:pt>
                <c:pt idx="3">
                  <c:v>28560000</c:v>
                </c:pt>
                <c:pt idx="4">
                  <c:v>25200000</c:v>
                </c:pt>
                <c:pt idx="5">
                  <c:v>16800000</c:v>
                </c:pt>
                <c:pt idx="6">
                  <c:v>16800000</c:v>
                </c:pt>
                <c:pt idx="7">
                  <c:v>4200000</c:v>
                </c:pt>
                <c:pt idx="8">
                  <c:v>-4200000</c:v>
                </c:pt>
                <c:pt idx="9">
                  <c:v>-16800000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57-41F2-8EDE-33B0482111E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>
          <a:lumMod val="1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[Excel Motors.xlsx]Pivot-Revenue by Month!PivotTable4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cap="none" baseline="0"/>
              <a:t>Revenue and Profit Margin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dk1">
                  <a:tint val="88500"/>
                  <a:lumMod val="110000"/>
                  <a:satMod val="105000"/>
                  <a:tint val="67000"/>
                </a:schemeClr>
              </a:gs>
              <a:gs pos="50000">
                <a:schemeClr val="dk1">
                  <a:tint val="88500"/>
                  <a:lumMod val="105000"/>
                  <a:satMod val="103000"/>
                  <a:tint val="73000"/>
                </a:schemeClr>
              </a:gs>
              <a:gs pos="100000">
                <a:schemeClr val="dk1">
                  <a:tint val="88500"/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5875" cap="rnd">
            <a:solidFill>
              <a:schemeClr val="bg2">
                <a:lumMod val="25000"/>
              </a:schemeClr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dk1">
                    <a:tint val="55000"/>
                    <a:lumMod val="110000"/>
                    <a:satMod val="105000"/>
                    <a:tint val="67000"/>
                  </a:schemeClr>
                </a:gs>
                <a:gs pos="50000">
                  <a:schemeClr val="dk1">
                    <a:tint val="55000"/>
                    <a:lumMod val="105000"/>
                    <a:satMod val="103000"/>
                    <a:tint val="73000"/>
                  </a:schemeClr>
                </a:gs>
                <a:gs pos="100000">
                  <a:schemeClr val="dk1">
                    <a:tint val="55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dk1">
                  <a:tint val="55000"/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749759405074365"/>
          <c:y val="0.16444369407394899"/>
          <c:w val="0.36686482939632548"/>
          <c:h val="0.657819335083114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'Pivot-Revenue by Month'!$B$3</c:f>
              <c:strCache>
                <c:ptCount val="1"/>
                <c:pt idx="0">
                  <c:v>Sum of Revenue (INR)</c:v>
                </c:pt>
              </c:strCache>
            </c:strRef>
          </c:tx>
          <c:spPr>
            <a:gradFill rotWithShape="1">
              <a:gsLst>
                <a:gs pos="0">
                  <a:schemeClr val="dk1">
                    <a:tint val="88500"/>
                    <a:lumMod val="110000"/>
                    <a:satMod val="105000"/>
                    <a:tint val="67000"/>
                  </a:schemeClr>
                </a:gs>
                <a:gs pos="50000">
                  <a:schemeClr val="dk1">
                    <a:tint val="88500"/>
                    <a:lumMod val="105000"/>
                    <a:satMod val="103000"/>
                    <a:tint val="73000"/>
                  </a:schemeClr>
                </a:gs>
                <a:gs pos="100000">
                  <a:schemeClr val="dk1">
                    <a:tint val="885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  <c:invertIfNegative val="0"/>
          <c:cat>
            <c:strRef>
              <c:f>'Pivot-Revenue by Month'!$A$4:$A$9</c:f>
              <c:strCache>
                <c:ptCount val="6"/>
                <c:pt idx="0">
                  <c:v>June</c:v>
                </c:pt>
                <c:pt idx="1">
                  <c:v>April</c:v>
                </c:pt>
                <c:pt idx="2">
                  <c:v>May</c:v>
                </c:pt>
                <c:pt idx="3">
                  <c:v>March</c:v>
                </c:pt>
                <c:pt idx="4">
                  <c:v>February</c:v>
                </c:pt>
                <c:pt idx="5">
                  <c:v>January</c:v>
                </c:pt>
              </c:strCache>
            </c:strRef>
          </c:cat>
          <c:val>
            <c:numRef>
              <c:f>'Pivot-Revenue by Month'!$B$4:$B$9</c:f>
              <c:numCache>
                <c:formatCode>_ [$₹-4009]\ * #,##0_ ;_ [$₹-4009]\ * \-#,##0_ ;_ [$₹-4009]\ * "-"??_ ;_ @_ </c:formatCode>
                <c:ptCount val="6"/>
                <c:pt idx="0">
                  <c:v>876960000</c:v>
                </c:pt>
                <c:pt idx="1">
                  <c:v>294000000</c:v>
                </c:pt>
                <c:pt idx="2">
                  <c:v>247800000</c:v>
                </c:pt>
                <c:pt idx="3">
                  <c:v>226800000</c:v>
                </c:pt>
                <c:pt idx="4">
                  <c:v>201600000</c:v>
                </c:pt>
                <c:pt idx="5">
                  <c:v>88200000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26-476E-84F6-71D6E5446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170160"/>
        <c:axId val="83167760"/>
      </c:barChart>
      <c:lineChart>
        <c:grouping val="standard"/>
        <c:varyColors val="0"/>
        <c:ser>
          <c:idx val="1"/>
          <c:order val="1"/>
          <c:tx>
            <c:strRef>
              <c:f>'Pivot-Revenue by Month'!$C$3</c:f>
              <c:strCache>
                <c:ptCount val="1"/>
                <c:pt idx="0">
                  <c:v>Sum of Profit Margin</c:v>
                </c:pt>
              </c:strCache>
            </c:strRef>
          </c:tx>
          <c:spPr>
            <a:ln w="158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dk1">
                      <a:tint val="55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dk1">
                      <a:tint val="55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dk1">
                      <a:tint val="55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dk1">
                    <a:tint val="55000"/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'Pivot-Revenue by Month'!$A$4:$A$9</c:f>
              <c:strCache>
                <c:ptCount val="6"/>
                <c:pt idx="0">
                  <c:v>June</c:v>
                </c:pt>
                <c:pt idx="1">
                  <c:v>April</c:v>
                </c:pt>
                <c:pt idx="2">
                  <c:v>May</c:v>
                </c:pt>
                <c:pt idx="3">
                  <c:v>March</c:v>
                </c:pt>
                <c:pt idx="4">
                  <c:v>February</c:v>
                </c:pt>
                <c:pt idx="5">
                  <c:v>January</c:v>
                </c:pt>
              </c:strCache>
            </c:strRef>
          </c:cat>
          <c:val>
            <c:numRef>
              <c:f>'Pivot-Revenue by Month'!$C$4:$C$9</c:f>
              <c:numCache>
                <c:formatCode>0%</c:formatCode>
                <c:ptCount val="6"/>
                <c:pt idx="0">
                  <c:v>0.45833333333333331</c:v>
                </c:pt>
                <c:pt idx="1">
                  <c:v>8.2236842105263164E-2</c:v>
                </c:pt>
                <c:pt idx="2">
                  <c:v>0.11515151515151516</c:v>
                </c:pt>
                <c:pt idx="3">
                  <c:v>0.25925925925925924</c:v>
                </c:pt>
                <c:pt idx="4">
                  <c:v>0.35555555555555551</c:v>
                </c:pt>
                <c:pt idx="5">
                  <c:v>4.7619047619047616E-2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6-476E-84F6-71D6E5446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86000"/>
        <c:axId val="83182640"/>
      </c:lineChart>
      <c:catAx>
        <c:axId val="8317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7760"/>
        <c:crosses val="autoZero"/>
        <c:auto val="1"/>
        <c:lblAlgn val="ctr"/>
        <c:lblOffset val="100"/>
        <c:noMultiLvlLbl val="0"/>
      </c:catAx>
      <c:valAx>
        <c:axId val="8316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₹-4009]\ * #,##0_ ;_ [$₹-4009]\ * \-#,##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70160"/>
        <c:crosses val="autoZero"/>
        <c:crossBetween val="between"/>
      </c:valAx>
      <c:valAx>
        <c:axId val="83182640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6000"/>
        <c:crosses val="max"/>
        <c:crossBetween val="between"/>
      </c:valAx>
      <c:catAx>
        <c:axId val="83186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3182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37401574803151"/>
          <c:y val="0.3525943207185821"/>
          <c:w val="0.25395931758530182"/>
          <c:h val="0.265444585991606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>
          <a:lumMod val="1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[Excel Motors.xlsx]Pivot-Profit Generated!PivotTable3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bg2">
                    <a:lumMod val="25000"/>
                  </a:schemeClr>
                </a:solidFill>
              </a:rPr>
              <a:t>Profit generated by each car model (INR)</a:t>
            </a:r>
          </a:p>
        </c:rich>
      </c:tx>
      <c:layout>
        <c:manualLayout>
          <c:xMode val="edge"/>
          <c:yMode val="edge"/>
          <c:x val="0.1557360017497812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dk1">
              <a:tint val="885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dk1">
              <a:tint val="885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dk1">
              <a:tint val="885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dk1">
              <a:tint val="885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dk1">
              <a:tint val="885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dk1">
              <a:tint val="885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dk1">
              <a:tint val="885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dk1">
              <a:tint val="885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dk1">
              <a:tint val="885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dk1">
              <a:tint val="885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dk1">
              <a:tint val="885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4850787401574803"/>
          <c:y val="0.20309966462525517"/>
          <c:w val="0.44202909011373581"/>
          <c:h val="0.73671515018955969"/>
        </c:manualLayout>
      </c:layout>
      <c:pieChart>
        <c:varyColors val="1"/>
        <c:ser>
          <c:idx val="0"/>
          <c:order val="0"/>
          <c:tx>
            <c:strRef>
              <c:f>'Pivot-Profit Generated'!$B$3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E40-403B-B0CF-062E8624F8F3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E40-403B-B0CF-062E8624F8F3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E40-403B-B0CF-062E8624F8F3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E40-403B-B0CF-062E8624F8F3}"/>
              </c:ext>
            </c:extLst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E40-403B-B0CF-062E8624F8F3}"/>
              </c:ext>
            </c:extLst>
          </c:dPt>
          <c:dPt>
            <c:idx val="5"/>
            <c:bubble3D val="0"/>
            <c:spPr>
              <a:solidFill>
                <a:schemeClr val="dk1">
                  <a:tint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E40-403B-B0CF-062E8624F8F3}"/>
              </c:ext>
            </c:extLst>
          </c:dPt>
          <c:dPt>
            <c:idx val="6"/>
            <c:bubble3D val="0"/>
            <c:spPr>
              <a:solidFill>
                <a:schemeClr val="dk1">
                  <a:tint val="8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E40-403B-B0CF-062E8624F8F3}"/>
              </c:ext>
            </c:extLst>
          </c:dPt>
          <c:dPt>
            <c:idx val="7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E40-403B-B0CF-062E8624F8F3}"/>
              </c:ext>
            </c:extLst>
          </c:dPt>
          <c:dPt>
            <c:idx val="8"/>
            <c:bubble3D val="0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E40-403B-B0CF-062E8624F8F3}"/>
              </c:ext>
            </c:extLst>
          </c:dPt>
          <c:dPt>
            <c:idx val="9"/>
            <c:bubble3D val="0"/>
            <c:spPr>
              <a:solidFill>
                <a:schemeClr val="dk1">
                  <a:tint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766-45A5-B8D0-08B6F13C405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'Pivot-Profit Generated'!$A$4:$A$13</c:f>
              <c:strCache>
                <c:ptCount val="10"/>
                <c:pt idx="0">
                  <c:v>Chiron</c:v>
                </c:pt>
                <c:pt idx="1">
                  <c:v>911 Turbo S</c:v>
                </c:pt>
                <c:pt idx="2">
                  <c:v>F8 Tributo</c:v>
                </c:pt>
                <c:pt idx="3">
                  <c:v>GT-R Nismo</c:v>
                </c:pt>
                <c:pt idx="4">
                  <c:v>M8 Competition</c:v>
                </c:pt>
                <c:pt idx="5">
                  <c:v>Camaro ZL1</c:v>
                </c:pt>
                <c:pt idx="6">
                  <c:v>Aventador</c:v>
                </c:pt>
                <c:pt idx="7">
                  <c:v>Mustang GT</c:v>
                </c:pt>
                <c:pt idx="8">
                  <c:v>Supra GR</c:v>
                </c:pt>
                <c:pt idx="9">
                  <c:v>Huracan</c:v>
                </c:pt>
              </c:strCache>
            </c:strRef>
          </c:cat>
          <c:val>
            <c:numRef>
              <c:f>'Pivot-Profit Generated'!$B$4:$B$13</c:f>
              <c:numCache>
                <c:formatCode>_ [$₹-4009]\ * #,##0_ ;_ [$₹-4009]\ * \-#,##0_ ;_ [$₹-4009]\ * "-"??_ ;_ @_ </c:formatCode>
                <c:ptCount val="10"/>
                <c:pt idx="0">
                  <c:v>168000000</c:v>
                </c:pt>
                <c:pt idx="1">
                  <c:v>58800000</c:v>
                </c:pt>
                <c:pt idx="2">
                  <c:v>33600000</c:v>
                </c:pt>
                <c:pt idx="3">
                  <c:v>28560000</c:v>
                </c:pt>
                <c:pt idx="4">
                  <c:v>25200000</c:v>
                </c:pt>
                <c:pt idx="5">
                  <c:v>16800000</c:v>
                </c:pt>
                <c:pt idx="6">
                  <c:v>16800000</c:v>
                </c:pt>
                <c:pt idx="7">
                  <c:v>4200000</c:v>
                </c:pt>
                <c:pt idx="8">
                  <c:v>-4200000</c:v>
                </c:pt>
                <c:pt idx="9">
                  <c:v>-16800000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66-45A5-B8D0-08B6F13C405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bg2">
          <a:lumMod val="1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[Excel Motors.xlsx]Pivot-Unit Sold!PivotTable2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IN" sz="1600" b="1" i="0" u="none" strike="noStrike" kern="1200" cap="none" spc="2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rPr>
              <a:t>Units Sold by Car </a:t>
            </a:r>
            <a:r>
              <a:rPr lang="en-IN" sz="1600" b="1" i="0" u="none" strike="noStrike" kern="1200" cap="none" spc="2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rPr>
              <a:t>Model</a:t>
            </a:r>
          </a:p>
        </c:rich>
      </c:tx>
      <c:layout>
        <c:manualLayout>
          <c:xMode val="edge"/>
          <c:yMode val="edge"/>
          <c:x val="0.27680657586030694"/>
          <c:y val="4.11702998105517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IN" sz="1600" b="1" i="0" u="none" strike="noStrike" kern="1200" cap="none" spc="20" baseline="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dk1">
                  <a:tint val="88500"/>
                  <a:lumMod val="110000"/>
                  <a:satMod val="105000"/>
                  <a:tint val="67000"/>
                </a:schemeClr>
              </a:gs>
              <a:gs pos="50000">
                <a:schemeClr val="dk1">
                  <a:tint val="88500"/>
                  <a:lumMod val="105000"/>
                  <a:satMod val="103000"/>
                  <a:tint val="73000"/>
                </a:schemeClr>
              </a:gs>
              <a:gs pos="100000">
                <a:schemeClr val="dk1">
                  <a:tint val="88500"/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dk1">
                <a:tint val="88500"/>
              </a:schemeClr>
            </a:solidFill>
            <a:round/>
          </a:ln>
          <a:effectLst/>
        </c:spPr>
        <c:marker>
          <c:symbol val="circle"/>
          <c:size val="4"/>
          <c:spPr>
            <a:solidFill>
              <a:schemeClr val="dk1">
                <a:tint val="88500"/>
              </a:schemeClr>
            </a:solidFill>
            <a:ln w="9525" cap="flat" cmpd="sng" algn="ctr">
              <a:solidFill>
                <a:schemeClr val="dk1">
                  <a:tint val="885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dk1">
                  <a:tint val="88500"/>
                  <a:lumMod val="110000"/>
                  <a:satMod val="105000"/>
                  <a:tint val="67000"/>
                </a:schemeClr>
              </a:gs>
              <a:gs pos="50000">
                <a:schemeClr val="dk1">
                  <a:tint val="88500"/>
                  <a:lumMod val="105000"/>
                  <a:satMod val="103000"/>
                  <a:tint val="73000"/>
                </a:schemeClr>
              </a:gs>
              <a:gs pos="100000">
                <a:schemeClr val="dk1">
                  <a:tint val="88500"/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dk1">
                <a:tint val="88500"/>
              </a:schemeClr>
            </a:solidFill>
            <a:round/>
          </a:ln>
          <a:effectLst/>
        </c:spPr>
        <c:marker>
          <c:symbol val="circle"/>
          <c:size val="4"/>
          <c:spPr>
            <a:solidFill>
              <a:schemeClr val="dk1">
                <a:tint val="88500"/>
              </a:schemeClr>
            </a:solidFill>
            <a:ln w="9525" cap="flat" cmpd="sng" algn="ctr">
              <a:solidFill>
                <a:schemeClr val="dk1">
                  <a:tint val="885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 cmpd="sng" algn="ctr">
            <a:solidFill>
              <a:schemeClr val="dk1">
                <a:tint val="88500"/>
              </a:schemeClr>
            </a:solidFill>
            <a:round/>
          </a:ln>
          <a:effectLst/>
        </c:spPr>
        <c:marker>
          <c:symbol val="circle"/>
          <c:size val="4"/>
          <c:spPr>
            <a:solidFill>
              <a:schemeClr val="dk1">
                <a:tint val="88500"/>
              </a:schemeClr>
            </a:solidFill>
            <a:ln w="9525" cap="flat" cmpd="sng" algn="ctr">
              <a:solidFill>
                <a:schemeClr val="dk1">
                  <a:tint val="885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'Pivot-Unit Sold'!$B$3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dk1">
                  <a:tint val="88500"/>
                </a:schemeClr>
              </a:solidFill>
              <a:ln w="9525" cap="flat" cmpd="sng" algn="ctr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dk1">
                    <a:tint val="885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'Pivot-Unit Sold'!$A$4:$A$13</c:f>
              <c:strCache>
                <c:ptCount val="10"/>
                <c:pt idx="0">
                  <c:v>Supra GR</c:v>
                </c:pt>
                <c:pt idx="1">
                  <c:v>Camaro ZL1</c:v>
                </c:pt>
                <c:pt idx="2">
                  <c:v>M8 Competition</c:v>
                </c:pt>
                <c:pt idx="3">
                  <c:v>GT-R Nismo</c:v>
                </c:pt>
                <c:pt idx="4">
                  <c:v>Mustang GT</c:v>
                </c:pt>
                <c:pt idx="5">
                  <c:v>Huracan</c:v>
                </c:pt>
                <c:pt idx="6">
                  <c:v>Aventador</c:v>
                </c:pt>
                <c:pt idx="7">
                  <c:v>F8 Tributo</c:v>
                </c:pt>
                <c:pt idx="8">
                  <c:v>911 Turbo S</c:v>
                </c:pt>
                <c:pt idx="9">
                  <c:v>Chiron</c:v>
                </c:pt>
              </c:strCache>
            </c:strRef>
          </c:cat>
          <c:val>
            <c:numRef>
              <c:f>'Pivot-Unit Sold'!$B$4:$B$13</c:f>
              <c:numCache>
                <c:formatCode>General</c:formatCode>
                <c:ptCount val="10"/>
                <c:pt idx="0">
                  <c:v>35</c:v>
                </c:pt>
                <c:pt idx="1">
                  <c:v>30</c:v>
                </c:pt>
                <c:pt idx="2">
                  <c:v>18</c:v>
                </c:pt>
                <c:pt idx="3">
                  <c:v>18</c:v>
                </c:pt>
                <c:pt idx="4">
                  <c:v>15</c:v>
                </c:pt>
                <c:pt idx="5">
                  <c:v>12</c:v>
                </c:pt>
                <c:pt idx="6">
                  <c:v>10</c:v>
                </c:pt>
                <c:pt idx="7">
                  <c:v>8</c:v>
                </c:pt>
                <c:pt idx="8">
                  <c:v>7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4F-45E4-A7B6-5E7B55A41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945560112"/>
        <c:axId val="1945574512"/>
      </c:lineChart>
      <c:catAx>
        <c:axId val="194556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574512"/>
        <c:crosses val="autoZero"/>
        <c:auto val="1"/>
        <c:lblAlgn val="ctr"/>
        <c:lblOffset val="100"/>
        <c:noMultiLvlLbl val="0"/>
      </c:catAx>
      <c:valAx>
        <c:axId val="1945574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5601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bg2">
          <a:lumMod val="1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[Excel Motors.xlsx]Pivot-Revenue by Month!PivotTable4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cap="none" baseline="0">
                <a:solidFill>
                  <a:schemeClr val="bg2">
                    <a:lumMod val="25000"/>
                  </a:schemeClr>
                </a:solidFill>
              </a:rPr>
              <a:t>Revenue and Profit Margin by Month</a:t>
            </a:r>
            <a:endParaRPr lang="en-IN" sz="1600" b="1">
              <a:solidFill>
                <a:schemeClr val="bg2">
                  <a:lumMod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dk1">
                  <a:tint val="88500"/>
                  <a:lumMod val="110000"/>
                  <a:satMod val="105000"/>
                  <a:tint val="67000"/>
                </a:schemeClr>
              </a:gs>
              <a:gs pos="50000">
                <a:schemeClr val="dk1">
                  <a:tint val="88500"/>
                  <a:lumMod val="105000"/>
                  <a:satMod val="103000"/>
                  <a:tint val="73000"/>
                </a:schemeClr>
              </a:gs>
              <a:gs pos="100000">
                <a:schemeClr val="dk1">
                  <a:tint val="88500"/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dk1">
                    <a:tint val="88500"/>
                    <a:lumMod val="110000"/>
                    <a:satMod val="105000"/>
                    <a:tint val="67000"/>
                  </a:schemeClr>
                </a:gs>
                <a:gs pos="50000">
                  <a:schemeClr val="dk1">
                    <a:tint val="88500"/>
                    <a:lumMod val="105000"/>
                    <a:satMod val="103000"/>
                    <a:tint val="73000"/>
                  </a:schemeClr>
                </a:gs>
                <a:gs pos="100000">
                  <a:schemeClr val="dk1">
                    <a:tint val="885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dk1">
                  <a:tint val="88500"/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dk1">
                  <a:tint val="88500"/>
                  <a:lumMod val="110000"/>
                  <a:satMod val="105000"/>
                  <a:tint val="67000"/>
                </a:schemeClr>
              </a:gs>
              <a:gs pos="50000">
                <a:schemeClr val="dk1">
                  <a:tint val="88500"/>
                  <a:lumMod val="105000"/>
                  <a:satMod val="103000"/>
                  <a:tint val="73000"/>
                </a:schemeClr>
              </a:gs>
              <a:gs pos="100000">
                <a:schemeClr val="dk1">
                  <a:tint val="88500"/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15875" cap="rnd" cmpd="sng" algn="ctr">
            <a:solidFill>
              <a:schemeClr val="bg2">
                <a:lumMod val="25000"/>
              </a:schemeClr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dk1">
                    <a:tint val="55000"/>
                    <a:lumMod val="110000"/>
                    <a:satMod val="105000"/>
                    <a:tint val="67000"/>
                  </a:schemeClr>
                </a:gs>
                <a:gs pos="50000">
                  <a:schemeClr val="dk1">
                    <a:tint val="55000"/>
                    <a:lumMod val="105000"/>
                    <a:satMod val="103000"/>
                    <a:tint val="73000"/>
                  </a:schemeClr>
                </a:gs>
                <a:gs pos="100000">
                  <a:schemeClr val="dk1">
                    <a:tint val="55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dk1">
                  <a:tint val="55000"/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dk1">
                  <a:tint val="88500"/>
                  <a:lumMod val="110000"/>
                  <a:satMod val="105000"/>
                  <a:tint val="67000"/>
                </a:schemeClr>
              </a:gs>
              <a:gs pos="50000">
                <a:schemeClr val="dk1">
                  <a:tint val="88500"/>
                  <a:lumMod val="105000"/>
                  <a:satMod val="103000"/>
                  <a:tint val="73000"/>
                </a:schemeClr>
              </a:gs>
              <a:gs pos="100000">
                <a:schemeClr val="dk1">
                  <a:tint val="88500"/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dk1">
                  <a:tint val="88500"/>
                  <a:lumMod val="110000"/>
                  <a:satMod val="105000"/>
                  <a:tint val="67000"/>
                </a:schemeClr>
              </a:gs>
              <a:gs pos="50000">
                <a:schemeClr val="dk1">
                  <a:tint val="88500"/>
                  <a:lumMod val="105000"/>
                  <a:satMod val="103000"/>
                  <a:tint val="73000"/>
                </a:schemeClr>
              </a:gs>
              <a:gs pos="100000">
                <a:schemeClr val="dk1">
                  <a:tint val="88500"/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15875" cap="rnd" cmpd="sng" algn="ctr">
            <a:solidFill>
              <a:schemeClr val="bg2">
                <a:lumMod val="25000"/>
              </a:schemeClr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dk1">
                    <a:tint val="55000"/>
                    <a:lumMod val="110000"/>
                    <a:satMod val="105000"/>
                    <a:tint val="67000"/>
                  </a:schemeClr>
                </a:gs>
                <a:gs pos="50000">
                  <a:schemeClr val="dk1">
                    <a:tint val="55000"/>
                    <a:lumMod val="105000"/>
                    <a:satMod val="103000"/>
                    <a:tint val="73000"/>
                  </a:schemeClr>
                </a:gs>
                <a:gs pos="100000">
                  <a:schemeClr val="dk1">
                    <a:tint val="55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dk1">
                  <a:tint val="55000"/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dk1">
                  <a:tint val="88500"/>
                  <a:lumMod val="110000"/>
                  <a:satMod val="105000"/>
                  <a:tint val="67000"/>
                </a:schemeClr>
              </a:gs>
              <a:gs pos="50000">
                <a:schemeClr val="dk1">
                  <a:tint val="88500"/>
                  <a:lumMod val="105000"/>
                  <a:satMod val="103000"/>
                  <a:tint val="73000"/>
                </a:schemeClr>
              </a:gs>
              <a:gs pos="100000">
                <a:schemeClr val="dk1">
                  <a:tint val="88500"/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15875" cap="rnd">
            <a:solidFill>
              <a:schemeClr val="bg2">
                <a:lumMod val="25000"/>
              </a:schemeClr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dk1">
                    <a:tint val="55000"/>
                    <a:lumMod val="110000"/>
                    <a:satMod val="105000"/>
                    <a:tint val="67000"/>
                  </a:schemeClr>
                </a:gs>
                <a:gs pos="50000">
                  <a:schemeClr val="dk1">
                    <a:tint val="55000"/>
                    <a:lumMod val="105000"/>
                    <a:satMod val="103000"/>
                    <a:tint val="73000"/>
                  </a:schemeClr>
                </a:gs>
                <a:gs pos="100000">
                  <a:schemeClr val="dk1">
                    <a:tint val="55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dk1">
                  <a:tint val="55000"/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001916351507391"/>
          <c:y val="0.16173168208972247"/>
          <c:w val="0.36686482939632548"/>
          <c:h val="0.657819335083114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'Pivot-Revenue by Month'!$B$3</c:f>
              <c:strCache>
                <c:ptCount val="1"/>
                <c:pt idx="0">
                  <c:v>Sum of Revenue (INR)</c:v>
                </c:pt>
              </c:strCache>
            </c:strRef>
          </c:tx>
          <c:spPr>
            <a:gradFill rotWithShape="1">
              <a:gsLst>
                <a:gs pos="0">
                  <a:schemeClr val="dk1">
                    <a:tint val="88500"/>
                    <a:lumMod val="110000"/>
                    <a:satMod val="105000"/>
                    <a:tint val="67000"/>
                  </a:schemeClr>
                </a:gs>
                <a:gs pos="50000">
                  <a:schemeClr val="dk1">
                    <a:tint val="88500"/>
                    <a:lumMod val="105000"/>
                    <a:satMod val="103000"/>
                    <a:tint val="73000"/>
                  </a:schemeClr>
                </a:gs>
                <a:gs pos="100000">
                  <a:schemeClr val="dk1">
                    <a:tint val="885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  <c:invertIfNegative val="0"/>
          <c:cat>
            <c:strRef>
              <c:f>'Pivot-Revenue by Month'!$A$4:$A$9</c:f>
              <c:strCache>
                <c:ptCount val="6"/>
                <c:pt idx="0">
                  <c:v>June</c:v>
                </c:pt>
                <c:pt idx="1">
                  <c:v>April</c:v>
                </c:pt>
                <c:pt idx="2">
                  <c:v>May</c:v>
                </c:pt>
                <c:pt idx="3">
                  <c:v>March</c:v>
                </c:pt>
                <c:pt idx="4">
                  <c:v>February</c:v>
                </c:pt>
                <c:pt idx="5">
                  <c:v>January</c:v>
                </c:pt>
              </c:strCache>
            </c:strRef>
          </c:cat>
          <c:val>
            <c:numRef>
              <c:f>'Pivot-Revenue by Month'!$B$4:$B$9</c:f>
              <c:numCache>
                <c:formatCode>_ [$₹-4009]\ * #,##0_ ;_ [$₹-4009]\ * \-#,##0_ ;_ [$₹-4009]\ * "-"??_ ;_ @_ </c:formatCode>
                <c:ptCount val="6"/>
                <c:pt idx="0">
                  <c:v>876960000</c:v>
                </c:pt>
                <c:pt idx="1">
                  <c:v>294000000</c:v>
                </c:pt>
                <c:pt idx="2">
                  <c:v>247800000</c:v>
                </c:pt>
                <c:pt idx="3">
                  <c:v>226800000</c:v>
                </c:pt>
                <c:pt idx="4">
                  <c:v>201600000</c:v>
                </c:pt>
                <c:pt idx="5">
                  <c:v>88200000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A-4343-982F-126E7F7E4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170160"/>
        <c:axId val="83167760"/>
      </c:barChart>
      <c:lineChart>
        <c:grouping val="standard"/>
        <c:varyColors val="0"/>
        <c:ser>
          <c:idx val="1"/>
          <c:order val="1"/>
          <c:tx>
            <c:strRef>
              <c:f>'Pivot-Revenue by Month'!$C$3</c:f>
              <c:strCache>
                <c:ptCount val="1"/>
                <c:pt idx="0">
                  <c:v>Sum of Profit Margin</c:v>
                </c:pt>
              </c:strCache>
            </c:strRef>
          </c:tx>
          <c:spPr>
            <a:ln w="158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dk1">
                      <a:tint val="55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dk1">
                      <a:tint val="55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dk1">
                      <a:tint val="55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dk1">
                    <a:tint val="55000"/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'Pivot-Revenue by Month'!$A$4:$A$9</c:f>
              <c:strCache>
                <c:ptCount val="6"/>
                <c:pt idx="0">
                  <c:v>June</c:v>
                </c:pt>
                <c:pt idx="1">
                  <c:v>April</c:v>
                </c:pt>
                <c:pt idx="2">
                  <c:v>May</c:v>
                </c:pt>
                <c:pt idx="3">
                  <c:v>March</c:v>
                </c:pt>
                <c:pt idx="4">
                  <c:v>February</c:v>
                </c:pt>
                <c:pt idx="5">
                  <c:v>January</c:v>
                </c:pt>
              </c:strCache>
            </c:strRef>
          </c:cat>
          <c:val>
            <c:numRef>
              <c:f>'Pivot-Revenue by Month'!$C$4:$C$9</c:f>
              <c:numCache>
                <c:formatCode>0%</c:formatCode>
                <c:ptCount val="6"/>
                <c:pt idx="0">
                  <c:v>0.45833333333333331</c:v>
                </c:pt>
                <c:pt idx="1">
                  <c:v>8.2236842105263164E-2</c:v>
                </c:pt>
                <c:pt idx="2">
                  <c:v>0.11515151515151516</c:v>
                </c:pt>
                <c:pt idx="3">
                  <c:v>0.25925925925925924</c:v>
                </c:pt>
                <c:pt idx="4">
                  <c:v>0.35555555555555551</c:v>
                </c:pt>
                <c:pt idx="5">
                  <c:v>4.7619047619047616E-2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1A-4343-982F-126E7F7E4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86000"/>
        <c:axId val="83182640"/>
      </c:lineChart>
      <c:catAx>
        <c:axId val="8317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7760"/>
        <c:crosses val="autoZero"/>
        <c:auto val="1"/>
        <c:lblAlgn val="ctr"/>
        <c:lblOffset val="100"/>
        <c:noMultiLvlLbl val="0"/>
      </c:catAx>
      <c:valAx>
        <c:axId val="8316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₹-4009]\ * #,##0_ ;_ [$₹-4009]\ * \-#,##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70160"/>
        <c:crosses val="autoZero"/>
        <c:crossBetween val="between"/>
      </c:valAx>
      <c:valAx>
        <c:axId val="83182640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6000"/>
        <c:crosses val="max"/>
        <c:crossBetween val="between"/>
      </c:valAx>
      <c:catAx>
        <c:axId val="83186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3182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37401574803151"/>
          <c:y val="0.3525943207185821"/>
          <c:w val="0.25395931758530182"/>
          <c:h val="0.265444585991606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>
          <a:lumMod val="1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Revenue USD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USD</a:t>
          </a:r>
        </a:p>
      </cx:txPr>
    </cx:title>
    <cx:plotArea>
      <cx:plotAreaRegion>
        <cx:series layoutId="boxWhisker" uniqueId="{968515F3-C387-49CD-B81F-1DBBB7C2AD2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spPr>
    <a:ln>
      <a:solidFill>
        <a:schemeClr val="tx1">
          <a:lumMod val="95000"/>
          <a:lumOff val="5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6</xdr:row>
      <xdr:rowOff>60960</xdr:rowOff>
    </xdr:from>
    <xdr:to>
      <xdr:col>14</xdr:col>
      <xdr:colOff>45720</xdr:colOff>
      <xdr:row>21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30B6454-B116-4184-B962-0B1842F11E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08120" y="1173480"/>
              <a:ext cx="4572000" cy="2788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434340</xdr:colOff>
      <xdr:row>1</xdr:row>
      <xdr:rowOff>137160</xdr:rowOff>
    </xdr:from>
    <xdr:to>
      <xdr:col>14</xdr:col>
      <xdr:colOff>7620</xdr:colOff>
      <xdr:row>5</xdr:row>
      <xdr:rowOff>15240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7455D6C-4E55-EC35-4212-1D988D8C33CA}"/>
            </a:ext>
          </a:extLst>
        </xdr:cNvPr>
        <xdr:cNvSpPr txBox="1"/>
      </xdr:nvSpPr>
      <xdr:spPr>
        <a:xfrm>
          <a:off x="4091940" y="320040"/>
          <a:ext cx="4450080" cy="6248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ctr"/>
          <a:r>
            <a:rPr lang="en-IN" sz="1600" b="1"/>
            <a:t>Revenue Distribution in USD</a:t>
          </a:r>
          <a:br>
            <a:rPr lang="en-IN" sz="1600"/>
          </a:br>
          <a:r>
            <a:rPr lang="en-IN" sz="1600" i="1"/>
            <a:t>(Box and Whisker Chart)</a:t>
          </a:r>
          <a:endParaRPr lang="en-IN" sz="1600" kern="1200"/>
        </a:p>
      </xdr:txBody>
    </xdr:sp>
    <xdr:clientData/>
  </xdr:twoCellAnchor>
  <xdr:twoCellAnchor>
    <xdr:from>
      <xdr:col>5</xdr:col>
      <xdr:colOff>220980</xdr:colOff>
      <xdr:row>23</xdr:row>
      <xdr:rowOff>243840</xdr:rowOff>
    </xdr:from>
    <xdr:to>
      <xdr:col>15</xdr:col>
      <xdr:colOff>304800</xdr:colOff>
      <xdr:row>26</xdr:row>
      <xdr:rowOff>137160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565C624-048E-9DA1-FB4A-D66233AD97D3}"/>
            </a:ext>
          </a:extLst>
        </xdr:cNvPr>
        <xdr:cNvSpPr txBox="1"/>
      </xdr:nvSpPr>
      <xdr:spPr>
        <a:xfrm>
          <a:off x="3268980" y="4610100"/>
          <a:ext cx="6179820" cy="617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/>
            <a:t>This </a:t>
          </a:r>
          <a:r>
            <a:rPr lang="en-IN" sz="1200" b="1"/>
            <a:t>box plot</a:t>
          </a:r>
          <a:r>
            <a:rPr lang="en-IN" sz="1200"/>
            <a:t> represents the </a:t>
          </a:r>
          <a:r>
            <a:rPr lang="en-IN" sz="1200" b="1"/>
            <a:t>Revenue in USD</a:t>
          </a:r>
          <a:r>
            <a:rPr lang="en-IN" sz="1200"/>
            <a:t>. It highlights the </a:t>
          </a:r>
          <a:r>
            <a:rPr lang="en-IN" sz="1200" b="1"/>
            <a:t>median revenue</a:t>
          </a:r>
          <a:r>
            <a:rPr lang="en-IN" sz="1200"/>
            <a:t>, the </a:t>
          </a:r>
          <a:r>
            <a:rPr lang="en-IN" sz="1200" b="1"/>
            <a:t>spread of data</a:t>
          </a:r>
          <a:r>
            <a:rPr lang="en-IN" sz="1200"/>
            <a:t>, and an </a:t>
          </a:r>
          <a:r>
            <a:rPr lang="en-IN" sz="1200" b="1"/>
            <a:t>outlier</a:t>
          </a:r>
          <a:r>
            <a:rPr lang="en-IN" sz="1200"/>
            <a:t> above $90,00,000.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135592</xdr:colOff>
      <xdr:row>0</xdr:row>
      <xdr:rowOff>120316</xdr:rowOff>
    </xdr:from>
    <xdr:to>
      <xdr:col>9</xdr:col>
      <xdr:colOff>624497</xdr:colOff>
      <xdr:row>0</xdr:row>
      <xdr:rowOff>447843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565873-CAB4-DCA4-1D9A-4E6D5E5AE1D8}"/>
            </a:ext>
          </a:extLst>
        </xdr:cNvPr>
        <xdr:cNvSpPr txBox="1"/>
      </xdr:nvSpPr>
      <xdr:spPr>
        <a:xfrm>
          <a:off x="3137757" y="120316"/>
          <a:ext cx="4562454" cy="32752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1">
              <a:lumMod val="75000"/>
            </a:schemeClr>
          </a:solidFill>
        </a:ln>
        <a:effectLst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80" b="1" i="1">
              <a:latin typeface="Dubai Light" panose="020B0303030403030204" pitchFamily="34" charset="-78"/>
              <a:cs typeface="Dubai Light" panose="020B0303030403030204" pitchFamily="34" charset="-78"/>
            </a:rPr>
            <a:t>Choose your brand</a:t>
          </a:r>
          <a:r>
            <a:rPr lang="en-IN" sz="1180" b="1" i="1" baseline="0">
              <a:latin typeface="Dubai Light" panose="020B0303030403030204" pitchFamily="34" charset="-78"/>
              <a:cs typeface="Dubai Light" panose="020B0303030403030204" pitchFamily="34" charset="-78"/>
            </a:rPr>
            <a:t> </a:t>
          </a:r>
          <a:r>
            <a:rPr lang="en-IN" sz="1180" b="1" i="1">
              <a:latin typeface="Dubai Light" panose="020B0303030403030204" pitchFamily="34" charset="-78"/>
              <a:cs typeface="Dubai Light" panose="020B0303030403030204" pitchFamily="34" charset="-78"/>
            </a:rPr>
            <a:t>and model, and let the prices, and status unfold!</a:t>
          </a:r>
          <a:endParaRPr lang="en-IN" sz="1180" b="1" i="1" kern="1200">
            <a:latin typeface="Dubai Light" panose="020B0303030403030204" pitchFamily="34" charset="-78"/>
            <a:cs typeface="Dubai Light" panose="020B0303030403030204" pitchFamily="34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9</xdr:col>
      <xdr:colOff>411480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51CDBD-4301-00FD-74E9-81D7793CD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868680</xdr:colOff>
      <xdr:row>2</xdr:row>
      <xdr:rowOff>7620</xdr:rowOff>
    </xdr:from>
    <xdr:to>
      <xdr:col>7</xdr:col>
      <xdr:colOff>876300</xdr:colOff>
      <xdr:row>17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55C2FB-6AB7-EC03-9925-FBABF8375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244929</xdr:colOff>
      <xdr:row>2</xdr:row>
      <xdr:rowOff>0</xdr:rowOff>
    </xdr:from>
    <xdr:to>
      <xdr:col>7</xdr:col>
      <xdr:colOff>798286</xdr:colOff>
      <xdr:row>18</xdr:row>
      <xdr:rowOff>29028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D7944A-294D-ACD4-AD56-5550568D1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530026</xdr:colOff>
      <xdr:row>0</xdr:row>
      <xdr:rowOff>150560</xdr:rowOff>
    </xdr:from>
    <xdr:to>
      <xdr:col>16</xdr:col>
      <xdr:colOff>0</xdr:colOff>
      <xdr:row>2</xdr:row>
      <xdr:rowOff>27213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EB4A9ACE-3B3C-1B0F-D20C-44F00A910B2A}"/>
            </a:ext>
          </a:extLst>
        </xdr:cNvPr>
        <xdr:cNvGrpSpPr/>
      </xdr:nvGrpSpPr>
      <xdr:grpSpPr>
        <a:xfrm>
          <a:off x="6016426" y="150560"/>
          <a:ext cx="3737174" cy="613253"/>
          <a:chOff x="6029031" y="151349"/>
          <a:chExt cx="3740542" cy="622362"/>
        </a:xfrm>
      </xdr:grpSpPr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5EACD53-D193-906D-7A2F-CEFE80D55373}"/>
              </a:ext>
            </a:extLst>
          </xdr:cNvPr>
          <xdr:cNvSpPr txBox="1"/>
        </xdr:nvSpPr>
        <xdr:spPr>
          <a:xfrm>
            <a:off x="6632554" y="279746"/>
            <a:ext cx="3137019" cy="42010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2800" b="1" i="1">
                <a:latin typeface="Copperplate Gothic Bold" panose="020E0705020206020404" pitchFamily="34" charset="0"/>
              </a:rPr>
              <a:t>Excel Motors</a:t>
            </a:r>
            <a:endParaRPr lang="en-IN" sz="1600" b="1" i="1" kern="1200">
              <a:latin typeface="Copperplate Gothic Bold" panose="020E0705020206020404" pitchFamily="34" charset="0"/>
            </a:endParaRPr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E4F1D2FE-791C-14E0-229C-13716EA3597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9778" b="89778" l="5333" r="97778">
                        <a14:foregroundMark x1="40889" y1="40000" x2="51111" y2="34222"/>
                        <a14:foregroundMark x1="83111" y1="31556" x2="83111" y2="31556"/>
                        <a14:foregroundMark x1="75111" y1="77778" x2="75111" y2="77778"/>
                        <a14:foregroundMark x1="75111" y1="77778" x2="75111" y2="77778"/>
                        <a14:foregroundMark x1="75111" y1="77778" x2="75111" y2="77778"/>
                        <a14:foregroundMark x1="75111" y1="77778" x2="85333" y2="70667"/>
                        <a14:foregroundMark x1="94667" y1="52889" x2="84000" y2="62667"/>
                        <a14:foregroundMark x1="86667" y1="68000" x2="76444" y2="76889"/>
                        <a14:foregroundMark x1="21333" y1="72000" x2="14667" y2="71111"/>
                        <a14:foregroundMark x1="16444" y1="72000" x2="9333" y2="69778"/>
                        <a14:foregroundMark x1="45778" y1="39556" x2="69333" y2="34667"/>
                        <a14:foregroundMark x1="69333" y1="34667" x2="37778" y2="28000"/>
                        <a14:foregroundMark x1="37778" y1="28000" x2="62222" y2="29333"/>
                        <a14:foregroundMark x1="62222" y1="29333" x2="40889" y2="30222"/>
                        <a14:foregroundMark x1="98667" y1="37778" x2="74222" y2="39556"/>
                        <a14:foregroundMark x1="74222" y1="39556" x2="97333" y2="37778"/>
                        <a14:foregroundMark x1="97333" y1="37778" x2="97778" y2="37778"/>
                        <a14:foregroundMark x1="81333" y1="74222" x2="19111" y2="79556"/>
                        <a14:foregroundMark x1="19111" y1="79556" x2="54222" y2="74222"/>
                        <a14:foregroundMark x1="54222" y1="74222" x2="51556" y2="44444"/>
                        <a14:foregroundMark x1="51556" y1="44444" x2="74667" y2="59111"/>
                        <a14:foregroundMark x1="74667" y1="59111" x2="28889" y2="55556"/>
                        <a14:foregroundMark x1="28889" y1="55556" x2="81778" y2="55556"/>
                        <a14:foregroundMark x1="81778" y1="55556" x2="41333" y2="33333"/>
                        <a14:foregroundMark x1="41333" y1="33333" x2="80444" y2="60889"/>
                        <a14:foregroundMark x1="80444" y1="60889" x2="37778" y2="32889"/>
                        <a14:foregroundMark x1="37778" y1="32889" x2="40889" y2="65333"/>
                        <a14:foregroundMark x1="40889" y1="65333" x2="45778" y2="19111"/>
                        <a14:foregroundMark x1="45778" y1="19111" x2="54222" y2="58667"/>
                        <a14:foregroundMark x1="54222" y1="58667" x2="68000" y2="30667"/>
                        <a14:foregroundMark x1="68000" y1="30667" x2="48000" y2="74667"/>
                        <a14:foregroundMark x1="48000" y1="74667" x2="61778" y2="33333"/>
                        <a14:foregroundMark x1="61778" y1="33333" x2="36444" y2="59556"/>
                        <a14:foregroundMark x1="36444" y1="59556" x2="69333" y2="32444"/>
                        <a14:foregroundMark x1="69333" y1="32444" x2="24444" y2="42222"/>
                        <a14:foregroundMark x1="24444" y1="42222" x2="16444" y2="56889"/>
                        <a14:foregroundMark x1="21333" y1="50667" x2="12000" y2="70222"/>
                        <a14:foregroundMark x1="12000" y1="70222" x2="19556" y2="48444"/>
                        <a14:foregroundMark x1="19556" y1="48444" x2="5333" y2="68000"/>
                        <a14:foregroundMark x1="5333" y1="68000" x2="6667" y2="7333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t="12133" b="12037"/>
          <a:stretch/>
        </xdr:blipFill>
        <xdr:spPr>
          <a:xfrm>
            <a:off x="6029031" y="151349"/>
            <a:ext cx="806778" cy="62236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190500</xdr:colOff>
      <xdr:row>4</xdr:row>
      <xdr:rowOff>60917</xdr:rowOff>
    </xdr:from>
    <xdr:to>
      <xdr:col>16</xdr:col>
      <xdr:colOff>484623</xdr:colOff>
      <xdr:row>20</xdr:row>
      <xdr:rowOff>176892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F96CB1-838E-4181-BE8F-1F09CE0CA9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250162</xdr:colOff>
      <xdr:row>4</xdr:row>
      <xdr:rowOff>55475</xdr:rowOff>
    </xdr:from>
    <xdr:to>
      <xdr:col>8</xdr:col>
      <xdr:colOff>544286</xdr:colOff>
      <xdr:row>20</xdr:row>
      <xdr:rowOff>157074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A72231-D228-4F02-9C1A-12E5FB4E5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103623</xdr:colOff>
      <xdr:row>4</xdr:row>
      <xdr:rowOff>55476</xdr:rowOff>
    </xdr:from>
    <xdr:to>
      <xdr:col>24</xdr:col>
      <xdr:colOff>389373</xdr:colOff>
      <xdr:row>20</xdr:row>
      <xdr:rowOff>157075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6C02C8-14EE-4580-A0FB-42D8608A11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ace" refreshedDate="45644.751483912034" createdVersion="8" refreshedVersion="8" minRefreshableVersion="3" recordCount="10" xr:uid="{0ADCC0CD-0D90-4C46-8008-DDE6BF234DFF}">
  <cacheSource type="worksheet">
    <worksheetSource name="Table14"/>
  </cacheSource>
  <cacheFields count="21">
    <cacheField name="Car ID" numFmtId="0">
      <sharedItems containsSemiMixedTypes="0" containsString="0" containsNumber="1" containsInteger="1" minValue="1" maxValue="10"/>
    </cacheField>
    <cacheField name="Car Brand" numFmtId="0">
      <sharedItems count="9">
        <s v="Ford"/>
        <s v="Lamborghini"/>
        <s v="Chevrolet"/>
        <s v="Porsche"/>
        <s v="BMW"/>
        <s v="Ferrari"/>
        <s v="Toyota"/>
        <s v="Bugatti"/>
        <s v="Nissan"/>
      </sharedItems>
    </cacheField>
    <cacheField name="Car Model" numFmtId="0">
      <sharedItems count="10">
        <s v="Mustang GT"/>
        <s v="Aventador"/>
        <s v="Camaro ZL1"/>
        <s v="911 Turbo S"/>
        <s v="Huracan"/>
        <s v="M8 Competition"/>
        <s v="F8 Tributo"/>
        <s v="Supra GR"/>
        <s v="Chiron"/>
        <s v="GT-R Nismo"/>
      </sharedItems>
    </cacheField>
    <cacheField name="Type" numFmtId="0">
      <sharedItems/>
    </cacheField>
    <cacheField name="Revenue (USD)" numFmtId="165">
      <sharedItems containsSemiMixedTypes="0" containsString="0" containsNumber="1" containsInteger="1" minValue="750000" maxValue="9000000"/>
    </cacheField>
    <cacheField name="Revenue (INR)" numFmtId="164">
      <sharedItems containsSemiMixedTypes="0" containsString="0" containsNumber="1" containsInteger="1" minValue="63000000" maxValue="756000000"/>
    </cacheField>
    <cacheField name="Cost (USD)" numFmtId="165">
      <sharedItems containsSemiMixedTypes="0" containsString="0" containsNumber="1" containsInteger="1" minValue="700000" maxValue="7000000"/>
    </cacheField>
    <cacheField name="Cost (INR)" numFmtId="164">
      <sharedItems containsSemiMixedTypes="0" containsString="0" containsNumber="1" containsInteger="1" minValue="58800000" maxValue="588000000"/>
    </cacheField>
    <cacheField name="Month" numFmtId="14">
      <sharedItems containsNonDate="0" count="6">
        <s v="January"/>
        <s v="February"/>
        <s v="March"/>
        <s v="April"/>
        <s v="May"/>
        <s v="June"/>
      </sharedItems>
    </cacheField>
    <cacheField name="Showroom" numFmtId="0">
      <sharedItems count="6">
        <s v="Speed Motors"/>
        <s v="Exotic Rides"/>
        <s v="Prime Auto World"/>
        <s v="Elite Cars"/>
        <s v="Luxury Wheels"/>
        <s v="Italian Beauties"/>
      </sharedItems>
    </cacheField>
    <cacheField name="Customers Rating" numFmtId="0">
      <sharedItems containsSemiMixedTypes="0" containsString="0" containsNumber="1" minValue="4" maxValue="4.9000000000000004"/>
    </cacheField>
    <cacheField name="Location" numFmtId="0">
      <sharedItems/>
    </cacheField>
    <cacheField name="Status" numFmtId="0">
      <sharedItems/>
    </cacheField>
    <cacheField name="Feedback" numFmtId="0">
      <sharedItems/>
    </cacheField>
    <cacheField name="Units Sold" numFmtId="0">
      <sharedItems containsSemiMixedTypes="0" containsString="0" containsNumber="1" containsInteger="1" minValue="3" maxValue="35" count="9">
        <n v="15"/>
        <n v="10"/>
        <n v="30"/>
        <n v="7"/>
        <n v="12"/>
        <n v="18"/>
        <n v="8"/>
        <n v="35"/>
        <n v="3"/>
      </sharedItems>
    </cacheField>
    <cacheField name="Profit (USD)" numFmtId="165">
      <sharedItems containsSemiMixedTypes="0" containsString="0" containsNumber="1" containsInteger="1" minValue="-200000" maxValue="2000000"/>
    </cacheField>
    <cacheField name="Profit (INR)" numFmtId="164">
      <sharedItems containsSemiMixedTypes="0" containsString="0" containsNumber="1" containsInteger="1" minValue="-16800000" maxValue="168000000"/>
    </cacheField>
    <cacheField name="Profit Margin" numFmtId="9">
      <sharedItems containsSemiMixedTypes="0" containsString="0" containsNumber="1" minValue="-0.10526315789473684" maxValue="0.25925925925925924"/>
    </cacheField>
    <cacheField name="Cost per Car USD" numFmtId="165">
      <sharedItems containsSemiMixedTypes="0" containsString="0" containsNumber="1" minValue="21428.571428571428" maxValue="3000000"/>
    </cacheField>
    <cacheField name="Cost per Car INR" numFmtId="164">
      <sharedItems containsSemiMixedTypes="0" containsString="0" containsNumber="1" minValue="1800000" maxValue="252000000"/>
    </cacheField>
    <cacheField name="IF" numFmtId="0">
      <sharedItems/>
    </cacheField>
  </cacheFields>
  <extLst>
    <ext xmlns:x14="http://schemas.microsoft.com/office/spreadsheetml/2009/9/main" uri="{725AE2AE-9491-48be-B2B4-4EB974FC3084}">
      <x14:pivotCacheDefinition pivotCacheId="8425787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x v="0"/>
    <s v="Sports"/>
    <n v="1050000"/>
    <n v="88200000"/>
    <n v="1000000"/>
    <n v="84000000"/>
    <x v="0"/>
    <x v="0"/>
    <n v="4.5"/>
    <s v="Los Angeles"/>
    <s v="Sold Out"/>
    <s v="Excellent"/>
    <x v="0"/>
    <n v="50000"/>
    <n v="4200000"/>
    <n v="4.7619047619047616E-2"/>
    <n v="70000"/>
    <n v="5880000"/>
    <s v="PROFIT"/>
  </r>
  <r>
    <n v="2"/>
    <x v="1"/>
    <x v="1"/>
    <s v="Super Sports"/>
    <n v="1500000"/>
    <n v="126000000"/>
    <n v="1300000"/>
    <n v="109200000"/>
    <x v="1"/>
    <x v="1"/>
    <n v="4.2"/>
    <s v="New York"/>
    <s v="Available"/>
    <s v="Good"/>
    <x v="1"/>
    <n v="200000"/>
    <n v="16800000"/>
    <n v="0.13333333333333333"/>
    <n v="150000"/>
    <n v="12600000"/>
    <s v="PROFIT"/>
  </r>
  <r>
    <n v="3"/>
    <x v="2"/>
    <x v="2"/>
    <s v="Sports"/>
    <n v="900000"/>
    <n v="75600000"/>
    <n v="700000"/>
    <n v="58800000"/>
    <x v="1"/>
    <x v="2"/>
    <n v="4"/>
    <s v="Miami"/>
    <s v="Sold Out"/>
    <s v="Excellent"/>
    <x v="2"/>
    <n v="200000"/>
    <n v="16800000"/>
    <n v="0.22222222222222221"/>
    <n v="30000"/>
    <n v="2520000"/>
    <s v="PROFIT"/>
  </r>
  <r>
    <n v="4"/>
    <x v="3"/>
    <x v="3"/>
    <s v="Luxury Sports"/>
    <n v="2700000"/>
    <n v="226800000"/>
    <n v="2000000"/>
    <n v="168000000"/>
    <x v="2"/>
    <x v="3"/>
    <n v="4.5999999999999996"/>
    <s v="Chicago"/>
    <s v="Available"/>
    <s v="Average"/>
    <x v="3"/>
    <n v="700000"/>
    <n v="58800000"/>
    <n v="0.25925925925925924"/>
    <n v="385714.28571428574"/>
    <n v="32400000"/>
    <s v="PROFIT"/>
  </r>
  <r>
    <n v="5"/>
    <x v="1"/>
    <x v="4"/>
    <s v="Sports"/>
    <n v="1900000"/>
    <n v="159600000"/>
    <n v="2100000"/>
    <n v="176400000"/>
    <x v="3"/>
    <x v="1"/>
    <n v="4.0999999999999996"/>
    <s v="San Francisco"/>
    <s v="Sold Out"/>
    <s v="Excellent"/>
    <x v="4"/>
    <n v="-200000"/>
    <n v="-16800000"/>
    <n v="-0.10526315789473684"/>
    <n v="158333.33333333334"/>
    <n v="13300000"/>
    <s v="LOSS"/>
  </r>
  <r>
    <n v="6"/>
    <x v="4"/>
    <x v="5"/>
    <s v="Luxury Sports"/>
    <n v="1600000"/>
    <n v="134400000"/>
    <n v="1300000"/>
    <n v="109200000"/>
    <x v="3"/>
    <x v="4"/>
    <n v="4.4000000000000004"/>
    <s v="Seattle"/>
    <s v="Available"/>
    <s v="Good"/>
    <x v="5"/>
    <n v="300000"/>
    <n v="25200000"/>
    <n v="0.1875"/>
    <n v="88888.888888888891"/>
    <n v="7466666.666666667"/>
    <s v="PROFIT"/>
  </r>
  <r>
    <n v="7"/>
    <x v="5"/>
    <x v="6"/>
    <s v="Super Sports"/>
    <n v="2200000"/>
    <n v="184800000"/>
    <n v="1800000"/>
    <n v="151200000"/>
    <x v="4"/>
    <x v="5"/>
    <n v="4.5999999999999996"/>
    <s v="Houston"/>
    <s v="Sold Out"/>
    <s v="Very Good"/>
    <x v="6"/>
    <n v="400000"/>
    <n v="33600000"/>
    <n v="0.18181818181818182"/>
    <n v="275000"/>
    <n v="23100000"/>
    <s v="PROFIT"/>
  </r>
  <r>
    <n v="8"/>
    <x v="6"/>
    <x v="7"/>
    <s v="Sports"/>
    <n v="750000"/>
    <n v="63000000"/>
    <n v="800000"/>
    <n v="67200000"/>
    <x v="4"/>
    <x v="2"/>
    <n v="4.9000000000000004"/>
    <s v="Las Vegas"/>
    <s v="Limited"/>
    <s v="Outstanding"/>
    <x v="7"/>
    <n v="-50000"/>
    <n v="-4200000"/>
    <n v="-6.6666666666666666E-2"/>
    <n v="21428.571428571428"/>
    <n v="1800000"/>
    <s v="LOSS"/>
  </r>
  <r>
    <n v="9"/>
    <x v="7"/>
    <x v="8"/>
    <s v="Hyper Sports"/>
    <n v="9000000"/>
    <n v="756000000"/>
    <n v="7000000"/>
    <n v="588000000"/>
    <x v="5"/>
    <x v="4"/>
    <n v="4.2"/>
    <s v="Denver"/>
    <s v="Available"/>
    <s v="Good"/>
    <x v="8"/>
    <n v="2000000"/>
    <n v="168000000"/>
    <n v="0.22222222222222221"/>
    <n v="3000000"/>
    <n v="252000000"/>
    <s v="PROFIT"/>
  </r>
  <r>
    <n v="10"/>
    <x v="8"/>
    <x v="9"/>
    <s v="Sports"/>
    <n v="1440000"/>
    <n v="120960000"/>
    <n v="1100000"/>
    <n v="92400000"/>
    <x v="5"/>
    <x v="0"/>
    <n v="4.7"/>
    <s v="Orlando"/>
    <s v="Sold Out"/>
    <s v="Excellent"/>
    <x v="5"/>
    <n v="340000"/>
    <n v="28560000"/>
    <n v="0.2361111111111111"/>
    <n v="80000"/>
    <n v="6720000"/>
    <s v="PROFI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B57C67-6C3C-4DBB-A268-1DB870D9E015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1">
  <location ref="A3:B13" firstHeaderRow="1" firstDataRow="1" firstDataCol="1"/>
  <pivotFields count="21">
    <pivotField showAll="0"/>
    <pivotField showAll="0">
      <items count="10">
        <item x="4"/>
        <item x="7"/>
        <item x="2"/>
        <item x="5"/>
        <item x="0"/>
        <item x="1"/>
        <item x="8"/>
        <item x="3"/>
        <item x="6"/>
        <item t="default"/>
      </items>
    </pivotField>
    <pivotField axis="axisRow" showAll="0" sortType="descending">
      <items count="11">
        <item x="3"/>
        <item x="1"/>
        <item x="2"/>
        <item x="8"/>
        <item x="6"/>
        <item x="9"/>
        <item x="4"/>
        <item x="5"/>
        <item x="0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5" showAll="0"/>
    <pivotField numFmtId="164" showAll="0"/>
    <pivotField numFmtId="165" showAll="0"/>
    <pivotField numFmtId="164" showAll="0"/>
    <pivotField showAll="0"/>
    <pivotField showAll="0"/>
    <pivotField showAll="0"/>
    <pivotField showAll="0"/>
    <pivotField showAll="0"/>
    <pivotField showAll="0"/>
    <pivotField dataField="1" showAll="0"/>
    <pivotField numFmtId="165" showAll="0"/>
    <pivotField numFmtId="164" showAll="0"/>
    <pivotField numFmtId="9" showAll="0"/>
    <pivotField numFmtId="165" showAll="0"/>
    <pivotField numFmtId="164" showAll="0"/>
    <pivotField showAll="0"/>
  </pivotFields>
  <rowFields count="1">
    <field x="2"/>
  </rowFields>
  <rowItems count="10">
    <i>
      <x v="9"/>
    </i>
    <i>
      <x v="2"/>
    </i>
    <i>
      <x v="7"/>
    </i>
    <i>
      <x v="5"/>
    </i>
    <i>
      <x v="8"/>
    </i>
    <i>
      <x v="6"/>
    </i>
    <i>
      <x v="1"/>
    </i>
    <i>
      <x v="4"/>
    </i>
    <i>
      <x/>
    </i>
    <i>
      <x v="3"/>
    </i>
  </rowItems>
  <colItems count="1">
    <i/>
  </colItems>
  <dataFields count="1">
    <dataField name="Sum of Units Sold" fld="14" baseField="0" baseItem="0"/>
  </dataFields>
  <formats count="5"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2" type="button" dataOnly="0" labelOnly="1" outline="0" axis="axisRow" fieldPosition="0"/>
    </format>
    <format dxfId="21">
      <pivotArea dataOnly="0" labelOnly="1" fieldPosition="0">
        <references count="1">
          <reference field="2" count="0"/>
        </references>
      </pivotArea>
    </format>
    <format dxfId="20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A34DA8-5B82-434B-8188-D9CFC75D4C2B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1">
  <location ref="A3:B13" firstHeaderRow="1" firstDataRow="1" firstDataCol="1"/>
  <pivotFields count="21">
    <pivotField showAll="0"/>
    <pivotField showAll="0"/>
    <pivotField axis="axisRow" showAll="0" sortType="descending">
      <items count="11">
        <item x="3"/>
        <item x="1"/>
        <item x="2"/>
        <item x="8"/>
        <item x="6"/>
        <item x="9"/>
        <item x="4"/>
        <item x="5"/>
        <item x="0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5" showAll="0"/>
    <pivotField numFmtId="164" showAll="0"/>
    <pivotField numFmtId="165" showAll="0"/>
    <pivotField numFmtId="164" showAll="0"/>
    <pivotField showAll="0"/>
    <pivotField showAll="0"/>
    <pivotField showAll="0"/>
    <pivotField showAll="0"/>
    <pivotField showAll="0"/>
    <pivotField showAll="0"/>
    <pivotField showAll="0">
      <items count="10">
        <item x="8"/>
        <item x="3"/>
        <item x="6"/>
        <item x="1"/>
        <item x="4"/>
        <item x="0"/>
        <item x="5"/>
        <item x="2"/>
        <item x="7"/>
        <item t="default"/>
      </items>
    </pivotField>
    <pivotField numFmtId="165" showAll="0"/>
    <pivotField dataField="1" numFmtId="164" showAll="0"/>
    <pivotField numFmtId="9" showAll="0"/>
    <pivotField numFmtId="165" showAll="0"/>
    <pivotField numFmtId="164" showAll="0"/>
    <pivotField showAll="0"/>
  </pivotFields>
  <rowFields count="1">
    <field x="2"/>
  </rowFields>
  <rowItems count="10">
    <i>
      <x v="3"/>
    </i>
    <i>
      <x/>
    </i>
    <i>
      <x v="4"/>
    </i>
    <i>
      <x v="5"/>
    </i>
    <i>
      <x v="7"/>
    </i>
    <i>
      <x v="2"/>
    </i>
    <i>
      <x v="1"/>
    </i>
    <i>
      <x v="8"/>
    </i>
    <i>
      <x v="9"/>
    </i>
    <i>
      <x v="6"/>
    </i>
  </rowItems>
  <colItems count="1">
    <i/>
  </colItems>
  <dataFields count="1">
    <dataField name="Sum of Profit (INR)" fld="16" baseField="0" baseItem="0" numFmtId="164"/>
  </dataFields>
  <formats count="5"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2" type="button" dataOnly="0" labelOnly="1" outline="0" axis="axisRow" fieldPosition="0"/>
    </format>
    <format dxfId="16">
      <pivotArea dataOnly="0" labelOnly="1" fieldPosition="0">
        <references count="1">
          <reference field="2" count="0"/>
        </references>
      </pivotArea>
    </format>
    <format dxfId="15">
      <pivotArea dataOnly="0" labelOnly="1" outline="0" axis="axisValues" fieldPosition="0"/>
    </format>
  </formats>
  <chartFormats count="2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9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9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990607-ED37-4B8D-9DF7-BBD666B52873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0">
  <location ref="A3:C9" firstHeaderRow="0" firstDataRow="1" firstDataCol="1"/>
  <pivotFields count="21">
    <pivotField showAll="0"/>
    <pivotField showAll="0">
      <items count="10">
        <item x="4"/>
        <item x="7"/>
        <item x="2"/>
        <item x="5"/>
        <item x="0"/>
        <item x="1"/>
        <item x="8"/>
        <item x="3"/>
        <item x="6"/>
        <item t="default"/>
      </items>
    </pivotField>
    <pivotField showAll="0">
      <items count="11">
        <item x="3"/>
        <item x="1"/>
        <item x="2"/>
        <item x="8"/>
        <item x="6"/>
        <item x="9"/>
        <item x="4"/>
        <item x="5"/>
        <item x="0"/>
        <item x="7"/>
        <item t="default"/>
      </items>
    </pivotField>
    <pivotField showAll="0"/>
    <pivotField numFmtId="165" showAll="0"/>
    <pivotField dataField="1" numFmtId="164" showAll="0"/>
    <pivotField numFmtId="165" showAll="0"/>
    <pivotField numFmtId="164" showAll="0"/>
    <pivotField axis="axisRow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h="1" x="3"/>
        <item h="1" x="1"/>
        <item x="5"/>
        <item h="1" x="4"/>
        <item h="1" x="2"/>
        <item h="1" x="0"/>
        <item t="default"/>
      </items>
    </pivotField>
    <pivotField showAll="0"/>
    <pivotField showAll="0"/>
    <pivotField showAll="0"/>
    <pivotField showAll="0"/>
    <pivotField showAll="0"/>
    <pivotField numFmtId="165" showAll="0"/>
    <pivotField numFmtId="164" showAll="0"/>
    <pivotField dataField="1" numFmtId="9" showAll="0"/>
    <pivotField numFmtId="165" showAll="0"/>
    <pivotField numFmtId="164" showAll="0"/>
    <pivotField showAll="0"/>
  </pivotFields>
  <rowFields count="1">
    <field x="8"/>
  </rowFields>
  <rowItems count="6">
    <i>
      <x v="5"/>
    </i>
    <i>
      <x v="3"/>
    </i>
    <i>
      <x v="4"/>
    </i>
    <i>
      <x v="2"/>
    </i>
    <i>
      <x v="1"/>
    </i>
    <i>
      <x/>
    </i>
  </rowItems>
  <colFields count="1">
    <field x="-2"/>
  </colFields>
  <colItems count="2">
    <i>
      <x/>
    </i>
    <i i="1">
      <x v="1"/>
    </i>
  </colItems>
  <dataFields count="2">
    <dataField name="Sum of Revenue (INR)" fld="5" baseField="0" baseItem="0" numFmtId="164"/>
    <dataField name="Sum of Profit Margin" fld="17" baseField="0" baseItem="0" numFmtId="9"/>
  </dataFields>
  <formats count="8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field="9" type="button" dataOnly="0" labelOnly="1" outline="0"/>
    </format>
    <format dxfId="10">
      <pivotArea type="topRight" dataOnly="0" labelOnly="1" outline="0" fieldPosition="0"/>
    </format>
    <format dxfId="9">
      <pivotArea field="2" type="button" dataOnly="0" labelOnly="1" outline="0"/>
    </format>
    <format dxfId="8">
      <pivotArea dataOnly="0" labelOnly="1" grandRow="1" outline="0" fieldPosition="0"/>
    </format>
    <format dxfId="7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ED4FE6-75DE-4488-9AF3-DC5143D72533}" name="Table143" displayName="Table143" ref="A3:T14" totalsRowCount="1" headerRowDxfId="93" dataDxfId="92">
  <autoFilter ref="A3:T13" xr:uid="{64ED4FE6-75DE-4488-9AF3-DC5143D72533}"/>
  <tableColumns count="20">
    <tableColumn id="1" xr3:uid="{5FA991A4-099E-41F8-A365-83EDFD1F981F}" name="Car ID" dataDxfId="91"/>
    <tableColumn id="3" xr3:uid="{6460FDEB-9F73-48E4-BF28-5F10E51818A9}" name="Car Brand" dataDxfId="90"/>
    <tableColumn id="13" xr3:uid="{9481646B-C617-4B2A-855E-C629E1FADF5A}" name="Car Model" dataDxfId="89"/>
    <tableColumn id="4" xr3:uid="{445EF96E-FD74-44DD-B4FA-05F67B0293E0}" name="Type" dataDxfId="88"/>
    <tableColumn id="6" xr3:uid="{01551155-E774-43C4-8855-EADEE8A2283A}" name="Revenue (USD)" dataDxfId="87"/>
    <tableColumn id="7" xr3:uid="{5012738F-7634-4C39-8F8B-23A3624B4033}" name="Revenue (INR)" dataDxfId="86">
      <calculatedColumnFormula>Table143[[#This Row],[Revenue (USD)]]*84</calculatedColumnFormula>
    </tableColumn>
    <tableColumn id="8" xr3:uid="{0D72E718-714D-407D-AA34-486FDE5C0382}" name="Cost (USD)" dataDxfId="85"/>
    <tableColumn id="9" xr3:uid="{22743770-8B53-4D14-B9F1-9BADFB4DB658}" name="Cost (INR)" dataDxfId="84">
      <calculatedColumnFormula>Table143[[#This Row],[Cost (USD)]]*84</calculatedColumnFormula>
    </tableColumn>
    <tableColumn id="10" xr3:uid="{CB89C3E4-66E8-4C9F-A1F7-06E2210CCAF6}" name="Month" dataDxfId="83"/>
    <tableColumn id="11" xr3:uid="{5AB6F371-77BB-4C35-9B08-85751054397A}" name="Showroom" dataDxfId="82"/>
    <tableColumn id="15" xr3:uid="{CE76F9A8-02E4-4313-A46F-DDEA085DB14B}" name="Customers Rating" dataDxfId="81"/>
    <tableColumn id="16" xr3:uid="{181B78B4-76A4-47A2-9E73-0AC8C89BCECA}" name="Location" dataDxfId="80"/>
    <tableColumn id="17" xr3:uid="{A9465934-18A3-4E8C-8D18-7DF3473789BF}" name="Status" dataDxfId="79"/>
    <tableColumn id="18" xr3:uid="{4B66617C-399C-4844-82E5-CE060760B1EE}" name="Feedback" dataDxfId="78"/>
    <tableColumn id="19" xr3:uid="{C85DFD4B-C4CD-4060-863F-A7A163712F63}" name="Units Sold" dataDxfId="77"/>
    <tableColumn id="20" xr3:uid="{1B0ABA5C-4501-4FAF-BB07-D50D245C88D7}" name="Profit (USD)" dataDxfId="76">
      <calculatedColumnFormula>Table143[[#This Row],[Revenue (USD)]]-Table143[[#This Row],[Cost (USD)]]</calculatedColumnFormula>
    </tableColumn>
    <tableColumn id="21" xr3:uid="{12011EFA-285F-4CFA-9DF5-0624DAF240C6}" name="Profit (INR)" dataDxfId="75">
      <calculatedColumnFormula>Table143[[#This Row],[Revenue (INR)]]-Table143[[#This Row],[Cost (INR)]]</calculatedColumnFormula>
    </tableColumn>
    <tableColumn id="22" xr3:uid="{3E19261D-8D12-44DA-857D-B0415FA6F3BA}" name="Profit Margin" dataDxfId="74">
      <calculatedColumnFormula>Table143[[#This Row],[Profit (INR)]]/Table143[[#This Row],[Revenue (INR)]]</calculatedColumnFormula>
    </tableColumn>
    <tableColumn id="24" xr3:uid="{283C06A7-0600-42B8-A10C-406CA0F1E223}" name="Cost per Car USD" dataDxfId="73">
      <calculatedColumnFormula>Table143[[#This Row],[Revenue (USD)]]/Table143[[#This Row],[Units Sold]]</calculatedColumnFormula>
    </tableColumn>
    <tableColumn id="2" xr3:uid="{3A26D2B8-FD66-443E-A334-E54216130B8F}" name="Cost per Car INR" dataDxfId="72">
      <calculatedColumnFormula>Table143[[#This Row],[Revenue (INR)]]/Table143[[#This Row],[Units Sold]]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129390-C464-45AC-903A-502914A33F52}" name="Table14" displayName="Table14" ref="A2:U12" headerRowDxfId="71" dataDxfId="69" totalsRowDxfId="67" headerRowBorderDxfId="70" tableBorderDxfId="68">
  <autoFilter ref="A2:U12" xr:uid="{12129390-C464-45AC-903A-502914A33F52}"/>
  <tableColumns count="21">
    <tableColumn id="1" xr3:uid="{7839E522-0DE3-4104-87DF-042CB07430F7}" name="Car ID" dataDxfId="66" totalsRowDxfId="65"/>
    <tableColumn id="3" xr3:uid="{BFB0F0A1-3D70-47FE-A1E8-C9D028C64054}" name="Car Brand" dataDxfId="64" totalsRowDxfId="63"/>
    <tableColumn id="13" xr3:uid="{2F873663-5F89-4FAE-AF82-386997C9A1CF}" name="Car Model" dataDxfId="62" totalsRowDxfId="61"/>
    <tableColumn id="4" xr3:uid="{8183A622-FF26-4869-A990-D98176798DD2}" name="Type" dataDxfId="60" totalsRowDxfId="59"/>
    <tableColumn id="6" xr3:uid="{D6C6905F-66CF-4DD9-A31D-4C88BE2BC29E}" name="Revenue (USD)" dataDxfId="58" totalsRowDxfId="57"/>
    <tableColumn id="7" xr3:uid="{F78E3813-7E7E-405E-AA62-AAEA8EF827F2}" name="Revenue (INR)" dataDxfId="56" totalsRowDxfId="55">
      <calculatedColumnFormula>Table14[[#This Row],[Revenue (USD)]]*84</calculatedColumnFormula>
    </tableColumn>
    <tableColumn id="8" xr3:uid="{7C37EBCA-FBF3-4BAF-BFEF-50A034774556}" name="Cost (USD)" dataDxfId="54" totalsRowDxfId="53"/>
    <tableColumn id="9" xr3:uid="{5CAA7E07-F1F4-41B8-97DF-A3E071363FAC}" name="Cost (INR)" dataDxfId="52" totalsRowDxfId="51">
      <calculatedColumnFormula>Table14[[#This Row],[Cost (USD)]]*84</calculatedColumnFormula>
    </tableColumn>
    <tableColumn id="10" xr3:uid="{75AF84EA-DDBB-48D3-9A35-0D2FFFBEB3FA}" name="Month" dataDxfId="50" totalsRowDxfId="49"/>
    <tableColumn id="11" xr3:uid="{5A63DCD9-A35F-45D9-95DD-EDB2DE58CA48}" name="Showroom" dataDxfId="48" totalsRowDxfId="47"/>
    <tableColumn id="15" xr3:uid="{95D37C90-E6BD-4C5D-B2AB-9BEA84D61D92}" name="Customers Rating" dataDxfId="46" totalsRowDxfId="45"/>
    <tableColumn id="16" xr3:uid="{3FB4F053-A5EE-4967-88EA-7031211EAC9C}" name="Location" dataDxfId="44" totalsRowDxfId="43"/>
    <tableColumn id="17" xr3:uid="{8FCADDA8-BC95-4043-AFD4-8BF0DF01E1FB}" name="Status" dataDxfId="42" totalsRowDxfId="41"/>
    <tableColumn id="18" xr3:uid="{6238695E-4002-4538-8AF9-82A8AD7068CB}" name="Feedback" dataDxfId="40" totalsRowDxfId="39"/>
    <tableColumn id="19" xr3:uid="{76AE29FA-51DA-416D-97AD-5E8D2CAD253C}" name="Units Sold" dataDxfId="38" totalsRowDxfId="37"/>
    <tableColumn id="20" xr3:uid="{02E3B067-4FBC-4F66-A02F-EF94C0A2C7E2}" name="Profit (USD)" dataDxfId="36" totalsRowDxfId="35">
      <calculatedColumnFormula>Table14[[#This Row],[Revenue (USD)]]-Table14[[#This Row],[Cost (USD)]]</calculatedColumnFormula>
    </tableColumn>
    <tableColumn id="21" xr3:uid="{A4A6898A-21BC-4A2B-9740-C5AB635CA5A9}" name="Profit (INR)" dataDxfId="34" totalsRowDxfId="33">
      <calculatedColumnFormula>Table14[[#This Row],[Revenue (INR)]]-Table14[[#This Row],[Cost (INR)]]</calculatedColumnFormula>
    </tableColumn>
    <tableColumn id="22" xr3:uid="{3941D685-7449-4AD4-A346-F0B0468C3C28}" name="Profit Margin" dataDxfId="32" totalsRowDxfId="31">
      <calculatedColumnFormula>Table14[[#This Row],[Profit (INR)]]/Table14[[#This Row],[Revenue (INR)]]</calculatedColumnFormula>
    </tableColumn>
    <tableColumn id="24" xr3:uid="{B24ACFB4-CDF9-49EF-BB8E-D2D4EB21F400}" name="Cost per Car USD" dataDxfId="30" totalsRowDxfId="29">
      <calculatedColumnFormula>Table14[[#This Row],[Revenue (USD)]]/Table14[[#This Row],[Units Sold]]</calculatedColumnFormula>
    </tableColumn>
    <tableColumn id="2" xr3:uid="{840D169C-FF9B-4B4A-8E86-3312520B6204}" name="Cost per Car INR" dataDxfId="28" totalsRowDxfId="27">
      <calculatedColumnFormula>Table14[[#This Row],[Revenue (INR)]]/Table14[[#This Row],[Units Sold]]</calculatedColumnFormula>
    </tableColumn>
    <tableColumn id="5" xr3:uid="{3C583341-D726-478A-83F2-9CCD3888EA44}" name="IF" dataDxfId="26" totalsRowDxfId="25">
      <calculatedColumnFormula>IF(Table14[[#This Row],[Revenue (USD)]]&gt;Table14[[#This Row],[Cost (USD)]],"PROFIT","LOSS")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D062-F076-4AC3-863A-8BB846F313A2}">
  <dimension ref="A2:T26"/>
  <sheetViews>
    <sheetView zoomScale="99" workbookViewId="0">
      <pane xSplit="1" topLeftCell="B1" activePane="topRight" state="frozen"/>
      <selection pane="topRight" activeCell="T17" sqref="T17"/>
    </sheetView>
  </sheetViews>
  <sheetFormatPr defaultColWidth="11.88671875" defaultRowHeight="14.4" x14ac:dyDescent="0.3"/>
  <cols>
    <col min="1" max="1" width="10.44140625" customWidth="1"/>
    <col min="2" max="2" width="14.5546875" bestFit="1" customWidth="1"/>
    <col min="3" max="3" width="15.44140625" bestFit="1" customWidth="1"/>
    <col min="4" max="4" width="13.88671875" customWidth="1"/>
    <col min="5" max="5" width="19.33203125" customWidth="1"/>
    <col min="6" max="6" width="19.44140625" customWidth="1"/>
    <col min="7" max="7" width="16.77734375" customWidth="1"/>
    <col min="8" max="8" width="18.44140625" customWidth="1"/>
    <col min="9" max="9" width="13.44140625" style="6" customWidth="1"/>
    <col min="10" max="10" width="15.5546875" bestFit="1" customWidth="1"/>
    <col min="11" max="11" width="14.33203125" bestFit="1" customWidth="1"/>
    <col min="12" max="12" width="13.33203125" bestFit="1" customWidth="1"/>
    <col min="13" max="13" width="12.6640625" customWidth="1"/>
    <col min="14" max="14" width="14.33203125" bestFit="1" customWidth="1"/>
    <col min="15" max="15" width="14.77734375" bestFit="1" customWidth="1"/>
    <col min="16" max="16" width="16.33203125" bestFit="1" customWidth="1"/>
    <col min="17" max="17" width="15.77734375" bestFit="1" customWidth="1"/>
    <col min="18" max="18" width="17.5546875" bestFit="1" customWidth="1"/>
    <col min="19" max="19" width="21" bestFit="1" customWidth="1"/>
    <col min="20" max="20" width="20.44140625" bestFit="1" customWidth="1"/>
  </cols>
  <sheetData>
    <row r="2" spans="1:20" x14ac:dyDescent="0.3">
      <c r="A2" s="2"/>
      <c r="B2" s="2"/>
      <c r="C2" s="2"/>
      <c r="D2" s="2"/>
      <c r="E2" s="2"/>
      <c r="F2" s="2"/>
      <c r="G2" s="2"/>
      <c r="H2" s="2"/>
      <c r="I2" s="7"/>
      <c r="J2" s="2"/>
      <c r="K2" s="2"/>
      <c r="L2" s="2"/>
      <c r="M2" s="2"/>
      <c r="N2" s="2"/>
      <c r="O2" s="2"/>
      <c r="P2" s="2"/>
      <c r="Q2" s="2"/>
      <c r="R2" s="2"/>
    </row>
    <row r="3" spans="1:20" ht="28.8" x14ac:dyDescent="0.3">
      <c r="A3" s="2" t="s">
        <v>67</v>
      </c>
      <c r="B3" s="2" t="s">
        <v>68</v>
      </c>
      <c r="C3" s="2" t="s">
        <v>0</v>
      </c>
      <c r="D3" s="2" t="s">
        <v>2</v>
      </c>
      <c r="E3" s="2" t="s">
        <v>4</v>
      </c>
      <c r="F3" s="2" t="s">
        <v>5</v>
      </c>
      <c r="G3" s="2" t="s">
        <v>6</v>
      </c>
      <c r="H3" s="2" t="s">
        <v>7</v>
      </c>
      <c r="I3" s="7" t="s">
        <v>8</v>
      </c>
      <c r="J3" s="2" t="s">
        <v>9</v>
      </c>
      <c r="K3" s="2" t="s">
        <v>66</v>
      </c>
      <c r="L3" s="2" t="s">
        <v>48</v>
      </c>
      <c r="M3" s="2" t="s">
        <v>10</v>
      </c>
      <c r="N3" s="2" t="s">
        <v>49</v>
      </c>
      <c r="O3" s="2" t="s">
        <v>3</v>
      </c>
      <c r="P3" s="2" t="s">
        <v>69</v>
      </c>
      <c r="Q3" s="2" t="s">
        <v>70</v>
      </c>
      <c r="R3" s="2" t="s">
        <v>71</v>
      </c>
      <c r="S3" s="2" t="s">
        <v>95</v>
      </c>
      <c r="T3" s="2" t="s">
        <v>94</v>
      </c>
    </row>
    <row r="4" spans="1:20" x14ac:dyDescent="0.3">
      <c r="A4" s="22" t="s">
        <v>105</v>
      </c>
      <c r="B4" s="3" t="s">
        <v>12</v>
      </c>
      <c r="C4" s="3" t="s">
        <v>11</v>
      </c>
      <c r="D4" s="3" t="s">
        <v>13</v>
      </c>
      <c r="E4" s="5">
        <v>1050000</v>
      </c>
      <c r="F4" s="4">
        <f>Table143[[#This Row],[Revenue (USD)]]*84</f>
        <v>88200000</v>
      </c>
      <c r="G4" s="5">
        <v>1000000</v>
      </c>
      <c r="H4" s="4">
        <f>Table143[[#This Row],[Cost (USD)]]*84</f>
        <v>84000000</v>
      </c>
      <c r="I4" s="8" t="s">
        <v>14</v>
      </c>
      <c r="J4" s="3" t="s">
        <v>15</v>
      </c>
      <c r="K4" s="3">
        <v>4.5</v>
      </c>
      <c r="L4" s="3" t="s">
        <v>50</v>
      </c>
      <c r="M4" s="3" t="s">
        <v>16</v>
      </c>
      <c r="N4" s="3" t="s">
        <v>51</v>
      </c>
      <c r="O4" s="3">
        <v>15</v>
      </c>
      <c r="P4" s="5">
        <f>Table143[[#This Row],[Revenue (USD)]]-Table143[[#This Row],[Cost (USD)]]</f>
        <v>50000</v>
      </c>
      <c r="Q4" s="4">
        <f>Table143[[#This Row],[Revenue (INR)]]-Table143[[#This Row],[Cost (INR)]]</f>
        <v>4200000</v>
      </c>
      <c r="R4" s="9">
        <f>Table143[[#This Row],[Profit (INR)]]/Table143[[#This Row],[Revenue (INR)]]</f>
        <v>4.7619047619047616E-2</v>
      </c>
      <c r="S4" s="5">
        <f>Table143[[#This Row],[Revenue (USD)]]/Table143[[#This Row],[Units Sold]]</f>
        <v>70000</v>
      </c>
      <c r="T4" s="4">
        <f>Table143[[#This Row],[Revenue (INR)]]/Table143[[#This Row],[Units Sold]]</f>
        <v>5880000</v>
      </c>
    </row>
    <row r="5" spans="1:20" x14ac:dyDescent="0.3">
      <c r="A5" s="22" t="s">
        <v>106</v>
      </c>
      <c r="B5" s="3" t="s">
        <v>18</v>
      </c>
      <c r="C5" s="3" t="s">
        <v>17</v>
      </c>
      <c r="D5" s="3" t="s">
        <v>19</v>
      </c>
      <c r="E5" s="5">
        <v>1500000</v>
      </c>
      <c r="F5" s="4">
        <f>Table143[[#This Row],[Revenue (USD)]]*84</f>
        <v>126000000</v>
      </c>
      <c r="G5" s="5">
        <v>1300000</v>
      </c>
      <c r="H5" s="4">
        <f>Table143[[#This Row],[Cost (USD)]]*84</f>
        <v>109200000</v>
      </c>
      <c r="I5" s="8" t="s">
        <v>20</v>
      </c>
      <c r="J5" s="3" t="s">
        <v>21</v>
      </c>
      <c r="K5" s="3">
        <v>4.2</v>
      </c>
      <c r="L5" s="3" t="s">
        <v>52</v>
      </c>
      <c r="M5" s="3" t="s">
        <v>22</v>
      </c>
      <c r="N5" s="3" t="s">
        <v>53</v>
      </c>
      <c r="O5" s="3">
        <v>10</v>
      </c>
      <c r="P5" s="5">
        <f>Table143[[#This Row],[Revenue (USD)]]-Table143[[#This Row],[Cost (USD)]]</f>
        <v>200000</v>
      </c>
      <c r="Q5" s="4">
        <f>Table143[[#This Row],[Revenue (INR)]]-Table143[[#This Row],[Cost (INR)]]</f>
        <v>16800000</v>
      </c>
      <c r="R5" s="9">
        <f>Table143[[#This Row],[Profit (INR)]]/Table143[[#This Row],[Revenue (INR)]]</f>
        <v>0.13333333333333333</v>
      </c>
      <c r="S5" s="5">
        <f>Table143[[#This Row],[Revenue (USD)]]/Table143[[#This Row],[Units Sold]]</f>
        <v>150000</v>
      </c>
      <c r="T5" s="4">
        <f>Table143[[#This Row],[Revenue (INR)]]/Table143[[#This Row],[Units Sold]]</f>
        <v>12600000</v>
      </c>
    </row>
    <row r="6" spans="1:20" x14ac:dyDescent="0.3">
      <c r="A6" s="22" t="s">
        <v>107</v>
      </c>
      <c r="B6" s="3" t="s">
        <v>24</v>
      </c>
      <c r="C6" s="3" t="s">
        <v>23</v>
      </c>
      <c r="D6" s="3" t="s">
        <v>13</v>
      </c>
      <c r="E6" s="5">
        <v>900000</v>
      </c>
      <c r="F6" s="4">
        <f>Table143[[#This Row],[Revenue (USD)]]*84</f>
        <v>75600000</v>
      </c>
      <c r="G6" s="5">
        <v>700000</v>
      </c>
      <c r="H6" s="4">
        <f>Table143[[#This Row],[Cost (USD)]]*84</f>
        <v>58800000</v>
      </c>
      <c r="I6" s="8" t="s">
        <v>20</v>
      </c>
      <c r="J6" s="3" t="s">
        <v>26</v>
      </c>
      <c r="K6" s="3">
        <v>4</v>
      </c>
      <c r="L6" s="3" t="s">
        <v>54</v>
      </c>
      <c r="M6" s="3" t="s">
        <v>16</v>
      </c>
      <c r="N6" s="3" t="s">
        <v>51</v>
      </c>
      <c r="O6" s="3">
        <v>30</v>
      </c>
      <c r="P6" s="5">
        <f>Table143[[#This Row],[Revenue (USD)]]-Table143[[#This Row],[Cost (USD)]]</f>
        <v>200000</v>
      </c>
      <c r="Q6" s="4">
        <f>Table143[[#This Row],[Revenue (INR)]]-Table143[[#This Row],[Cost (INR)]]</f>
        <v>16800000</v>
      </c>
      <c r="R6" s="9">
        <f>Table143[[#This Row],[Profit (INR)]]/Table143[[#This Row],[Revenue (INR)]]</f>
        <v>0.22222222222222221</v>
      </c>
      <c r="S6" s="5">
        <f>Table143[[#This Row],[Revenue (USD)]]/Table143[[#This Row],[Units Sold]]</f>
        <v>30000</v>
      </c>
      <c r="T6" s="4">
        <f>Table143[[#This Row],[Revenue (INR)]]/Table143[[#This Row],[Units Sold]]</f>
        <v>2520000</v>
      </c>
    </row>
    <row r="7" spans="1:20" ht="16.2" customHeight="1" x14ac:dyDescent="0.3">
      <c r="A7" s="22" t="s">
        <v>108</v>
      </c>
      <c r="B7" s="3" t="s">
        <v>28</v>
      </c>
      <c r="C7" s="3" t="s">
        <v>27</v>
      </c>
      <c r="D7" s="3" t="s">
        <v>29</v>
      </c>
      <c r="E7" s="5">
        <v>2700000</v>
      </c>
      <c r="F7" s="4">
        <f>Table143[[#This Row],[Revenue (USD)]]*84</f>
        <v>226800000</v>
      </c>
      <c r="G7" s="5">
        <v>2000000</v>
      </c>
      <c r="H7" s="4">
        <f>Table143[[#This Row],[Cost (USD)]]*84</f>
        <v>168000000</v>
      </c>
      <c r="I7" s="8" t="s">
        <v>25</v>
      </c>
      <c r="J7" s="3" t="s">
        <v>31</v>
      </c>
      <c r="K7" s="3">
        <v>4.5999999999999996</v>
      </c>
      <c r="L7" s="3" t="s">
        <v>55</v>
      </c>
      <c r="M7" s="3" t="s">
        <v>22</v>
      </c>
      <c r="N7" s="3" t="s">
        <v>56</v>
      </c>
      <c r="O7" s="3">
        <v>7</v>
      </c>
      <c r="P7" s="5">
        <f>Table143[[#This Row],[Revenue (USD)]]-Table143[[#This Row],[Cost (USD)]]</f>
        <v>700000</v>
      </c>
      <c r="Q7" s="4">
        <f>Table143[[#This Row],[Revenue (INR)]]-Table143[[#This Row],[Cost (INR)]]</f>
        <v>58800000</v>
      </c>
      <c r="R7" s="9">
        <f>Table143[[#This Row],[Profit (INR)]]/Table143[[#This Row],[Revenue (INR)]]</f>
        <v>0.25925925925925924</v>
      </c>
      <c r="S7" s="5">
        <f>Table143[[#This Row],[Revenue (USD)]]/Table143[[#This Row],[Units Sold]]</f>
        <v>385714.28571428574</v>
      </c>
      <c r="T7" s="4">
        <f>Table143[[#This Row],[Revenue (INR)]]/Table143[[#This Row],[Units Sold]]</f>
        <v>32400000</v>
      </c>
    </row>
    <row r="8" spans="1:20" ht="16.2" customHeight="1" x14ac:dyDescent="0.3">
      <c r="A8" s="22" t="s">
        <v>109</v>
      </c>
      <c r="B8" s="3" t="s">
        <v>18</v>
      </c>
      <c r="C8" s="3" t="s">
        <v>32</v>
      </c>
      <c r="D8" s="3" t="s">
        <v>13</v>
      </c>
      <c r="E8" s="5">
        <v>1900000</v>
      </c>
      <c r="F8" s="4">
        <f>Table143[[#This Row],[Revenue (USD)]]*84</f>
        <v>159600000</v>
      </c>
      <c r="G8" s="5">
        <v>2100000</v>
      </c>
      <c r="H8" s="4">
        <f>Table143[[#This Row],[Cost (USD)]]*84</f>
        <v>176400000</v>
      </c>
      <c r="I8" s="8" t="s">
        <v>30</v>
      </c>
      <c r="J8" s="3" t="s">
        <v>21</v>
      </c>
      <c r="K8" s="3">
        <v>4.0999999999999996</v>
      </c>
      <c r="L8" s="3" t="s">
        <v>57</v>
      </c>
      <c r="M8" s="3" t="s">
        <v>16</v>
      </c>
      <c r="N8" s="3" t="s">
        <v>51</v>
      </c>
      <c r="O8" s="3">
        <v>12</v>
      </c>
      <c r="P8" s="5">
        <f>Table143[[#This Row],[Revenue (USD)]]-Table143[[#This Row],[Cost (USD)]]</f>
        <v>-200000</v>
      </c>
      <c r="Q8" s="4">
        <f>Table143[[#This Row],[Revenue (INR)]]-Table143[[#This Row],[Cost (INR)]]</f>
        <v>-16800000</v>
      </c>
      <c r="R8" s="9">
        <f>Table143[[#This Row],[Profit (INR)]]/Table143[[#This Row],[Revenue (INR)]]</f>
        <v>-0.10526315789473684</v>
      </c>
      <c r="S8" s="5">
        <f>Table143[[#This Row],[Revenue (USD)]]/Table143[[#This Row],[Units Sold]]</f>
        <v>158333.33333333334</v>
      </c>
      <c r="T8" s="4">
        <f>Table143[[#This Row],[Revenue (INR)]]/Table143[[#This Row],[Units Sold]]</f>
        <v>13300000</v>
      </c>
    </row>
    <row r="9" spans="1:20" x14ac:dyDescent="0.3">
      <c r="A9" s="22" t="s">
        <v>110</v>
      </c>
      <c r="B9" s="3" t="s">
        <v>35</v>
      </c>
      <c r="C9" s="3" t="s">
        <v>34</v>
      </c>
      <c r="D9" s="3" t="s">
        <v>29</v>
      </c>
      <c r="E9" s="5">
        <v>1600000</v>
      </c>
      <c r="F9" s="4">
        <f>Table143[[#This Row],[Revenue (USD)]]*84</f>
        <v>134400000</v>
      </c>
      <c r="G9" s="5">
        <v>1300000</v>
      </c>
      <c r="H9" s="4">
        <f>Table143[[#This Row],[Cost (USD)]]*84</f>
        <v>109200000</v>
      </c>
      <c r="I9" s="8" t="s">
        <v>30</v>
      </c>
      <c r="J9" s="3" t="s">
        <v>37</v>
      </c>
      <c r="K9" s="3">
        <v>4.4000000000000004</v>
      </c>
      <c r="L9" s="3" t="s">
        <v>58</v>
      </c>
      <c r="M9" s="3" t="s">
        <v>22</v>
      </c>
      <c r="N9" s="3" t="s">
        <v>53</v>
      </c>
      <c r="O9" s="3">
        <v>18</v>
      </c>
      <c r="P9" s="5">
        <f>Table143[[#This Row],[Revenue (USD)]]-Table143[[#This Row],[Cost (USD)]]</f>
        <v>300000</v>
      </c>
      <c r="Q9" s="4">
        <f>Table143[[#This Row],[Revenue (INR)]]-Table143[[#This Row],[Cost (INR)]]</f>
        <v>25200000</v>
      </c>
      <c r="R9" s="9">
        <f>Table143[[#This Row],[Profit (INR)]]/Table143[[#This Row],[Revenue (INR)]]</f>
        <v>0.1875</v>
      </c>
      <c r="S9" s="5">
        <f>Table143[[#This Row],[Revenue (USD)]]/Table143[[#This Row],[Units Sold]]</f>
        <v>88888.888888888891</v>
      </c>
      <c r="T9" s="4">
        <f>Table143[[#This Row],[Revenue (INR)]]/Table143[[#This Row],[Units Sold]]</f>
        <v>7466666.666666667</v>
      </c>
    </row>
    <row r="10" spans="1:20" x14ac:dyDescent="0.3">
      <c r="A10" s="22" t="s">
        <v>111</v>
      </c>
      <c r="B10" s="3" t="s">
        <v>39</v>
      </c>
      <c r="C10" s="3" t="s">
        <v>38</v>
      </c>
      <c r="D10" s="3" t="s">
        <v>19</v>
      </c>
      <c r="E10" s="5">
        <v>2200000</v>
      </c>
      <c r="F10" s="4">
        <f>Table143[[#This Row],[Revenue (USD)]]*84</f>
        <v>184800000</v>
      </c>
      <c r="G10" s="5">
        <v>1800000</v>
      </c>
      <c r="H10" s="4">
        <f>Table143[[#This Row],[Cost (USD)]]*84</f>
        <v>151200000</v>
      </c>
      <c r="I10" s="8" t="s">
        <v>33</v>
      </c>
      <c r="J10" s="3" t="s">
        <v>40</v>
      </c>
      <c r="K10" s="3">
        <v>4.5999999999999996</v>
      </c>
      <c r="L10" s="3" t="s">
        <v>59</v>
      </c>
      <c r="M10" s="3" t="s">
        <v>16</v>
      </c>
      <c r="N10" s="3" t="s">
        <v>60</v>
      </c>
      <c r="O10" s="3">
        <v>8</v>
      </c>
      <c r="P10" s="5">
        <f>Table143[[#This Row],[Revenue (USD)]]-Table143[[#This Row],[Cost (USD)]]</f>
        <v>400000</v>
      </c>
      <c r="Q10" s="4">
        <f>Table143[[#This Row],[Revenue (INR)]]-Table143[[#This Row],[Cost (INR)]]</f>
        <v>33600000</v>
      </c>
      <c r="R10" s="9">
        <f>Table143[[#This Row],[Profit (INR)]]/Table143[[#This Row],[Revenue (INR)]]</f>
        <v>0.18181818181818182</v>
      </c>
      <c r="S10" s="5">
        <f>Table143[[#This Row],[Revenue (USD)]]/Table143[[#This Row],[Units Sold]]</f>
        <v>275000</v>
      </c>
      <c r="T10" s="4">
        <f>Table143[[#This Row],[Revenue (INR)]]/Table143[[#This Row],[Units Sold]]</f>
        <v>23100000</v>
      </c>
    </row>
    <row r="11" spans="1:20" x14ac:dyDescent="0.3">
      <c r="A11" s="22" t="s">
        <v>112</v>
      </c>
      <c r="B11" s="3" t="s">
        <v>42</v>
      </c>
      <c r="C11" s="3" t="s">
        <v>41</v>
      </c>
      <c r="D11" s="3" t="s">
        <v>13</v>
      </c>
      <c r="E11" s="5">
        <v>750000</v>
      </c>
      <c r="F11" s="4">
        <f>Table143[[#This Row],[Revenue (USD)]]*84</f>
        <v>63000000</v>
      </c>
      <c r="G11" s="5">
        <v>800000</v>
      </c>
      <c r="H11" s="4">
        <f>Table143[[#This Row],[Cost (USD)]]*84</f>
        <v>67200000</v>
      </c>
      <c r="I11" s="8" t="s">
        <v>33</v>
      </c>
      <c r="J11" s="3" t="s">
        <v>26</v>
      </c>
      <c r="K11" s="3">
        <v>4.9000000000000004</v>
      </c>
      <c r="L11" s="3" t="s">
        <v>61</v>
      </c>
      <c r="M11" s="3" t="s">
        <v>62</v>
      </c>
      <c r="N11" s="3" t="s">
        <v>63</v>
      </c>
      <c r="O11" s="3">
        <v>35</v>
      </c>
      <c r="P11" s="5">
        <f>Table143[[#This Row],[Revenue (USD)]]-Table143[[#This Row],[Cost (USD)]]</f>
        <v>-50000</v>
      </c>
      <c r="Q11" s="4">
        <f>Table143[[#This Row],[Revenue (INR)]]-Table143[[#This Row],[Cost (INR)]]</f>
        <v>-4200000</v>
      </c>
      <c r="R11" s="9">
        <f>Table143[[#This Row],[Profit (INR)]]/Table143[[#This Row],[Revenue (INR)]]</f>
        <v>-6.6666666666666666E-2</v>
      </c>
      <c r="S11" s="5">
        <f>Table143[[#This Row],[Revenue (USD)]]/Table143[[#This Row],[Units Sold]]</f>
        <v>21428.571428571428</v>
      </c>
      <c r="T11" s="4">
        <f>Table143[[#This Row],[Revenue (INR)]]/Table143[[#This Row],[Units Sold]]</f>
        <v>1800000</v>
      </c>
    </row>
    <row r="12" spans="1:20" x14ac:dyDescent="0.3">
      <c r="A12" s="22" t="s">
        <v>113</v>
      </c>
      <c r="B12" s="3" t="s">
        <v>44</v>
      </c>
      <c r="C12" s="3" t="s">
        <v>43</v>
      </c>
      <c r="D12" s="3" t="s">
        <v>45</v>
      </c>
      <c r="E12" s="5">
        <v>9000000</v>
      </c>
      <c r="F12" s="4">
        <f>Table143[[#This Row],[Revenue (USD)]]*84</f>
        <v>756000000</v>
      </c>
      <c r="G12" s="5">
        <v>7000000</v>
      </c>
      <c r="H12" s="4">
        <f>Table143[[#This Row],[Cost (USD)]]*84</f>
        <v>588000000</v>
      </c>
      <c r="I12" s="8" t="s">
        <v>36</v>
      </c>
      <c r="J12" s="3" t="s">
        <v>37</v>
      </c>
      <c r="K12" s="3">
        <v>4.2</v>
      </c>
      <c r="L12" s="3" t="s">
        <v>64</v>
      </c>
      <c r="M12" s="3" t="s">
        <v>22</v>
      </c>
      <c r="N12" s="3" t="s">
        <v>53</v>
      </c>
      <c r="O12" s="3">
        <v>3</v>
      </c>
      <c r="P12" s="5">
        <f>Table143[[#This Row],[Revenue (USD)]]-Table143[[#This Row],[Cost (USD)]]</f>
        <v>2000000</v>
      </c>
      <c r="Q12" s="4">
        <f>Table143[[#This Row],[Revenue (INR)]]-Table143[[#This Row],[Cost (INR)]]</f>
        <v>168000000</v>
      </c>
      <c r="R12" s="9">
        <f>Table143[[#This Row],[Profit (INR)]]/Table143[[#This Row],[Revenue (INR)]]</f>
        <v>0.22222222222222221</v>
      </c>
      <c r="S12" s="5">
        <f>Table143[[#This Row],[Revenue (USD)]]/Table143[[#This Row],[Units Sold]]</f>
        <v>3000000</v>
      </c>
      <c r="T12" s="4">
        <f>Table143[[#This Row],[Revenue (INR)]]/Table143[[#This Row],[Units Sold]]</f>
        <v>252000000</v>
      </c>
    </row>
    <row r="13" spans="1:20" x14ac:dyDescent="0.3">
      <c r="A13" s="22" t="s">
        <v>114</v>
      </c>
      <c r="B13" s="3" t="s">
        <v>47</v>
      </c>
      <c r="C13" s="3" t="s">
        <v>46</v>
      </c>
      <c r="D13" s="3" t="s">
        <v>13</v>
      </c>
      <c r="E13" s="5">
        <v>1440000</v>
      </c>
      <c r="F13" s="4">
        <f>Table143[[#This Row],[Revenue (USD)]]*84</f>
        <v>120960000</v>
      </c>
      <c r="G13" s="5">
        <v>1100000</v>
      </c>
      <c r="H13" s="4">
        <f>Table143[[#This Row],[Cost (USD)]]*84</f>
        <v>92400000</v>
      </c>
      <c r="I13" s="8" t="s">
        <v>36</v>
      </c>
      <c r="J13" s="3" t="s">
        <v>15</v>
      </c>
      <c r="K13" s="3">
        <v>4.7</v>
      </c>
      <c r="L13" s="3" t="s">
        <v>65</v>
      </c>
      <c r="M13" s="3" t="s">
        <v>16</v>
      </c>
      <c r="N13" s="3" t="s">
        <v>51</v>
      </c>
      <c r="O13" s="3">
        <v>18</v>
      </c>
      <c r="P13" s="5">
        <f>Table143[[#This Row],[Revenue (USD)]]-Table143[[#This Row],[Cost (USD)]]</f>
        <v>340000</v>
      </c>
      <c r="Q13" s="4">
        <f>Table143[[#This Row],[Revenue (INR)]]-Table143[[#This Row],[Cost (INR)]]</f>
        <v>28560000</v>
      </c>
      <c r="R13" s="9">
        <f>Table143[[#This Row],[Profit (INR)]]/Table143[[#This Row],[Revenue (INR)]]</f>
        <v>0.2361111111111111</v>
      </c>
      <c r="S13" s="5">
        <f>Table143[[#This Row],[Revenue (USD)]]/Table143[[#This Row],[Units Sold]]</f>
        <v>80000</v>
      </c>
      <c r="T13" s="4">
        <f>Table143[[#This Row],[Revenue (INR)]]/Table143[[#This Row],[Units Sold]]</f>
        <v>6720000</v>
      </c>
    </row>
    <row r="14" spans="1:20" x14ac:dyDescent="0.3">
      <c r="I14"/>
    </row>
    <row r="15" spans="1:20" x14ac:dyDescent="0.3">
      <c r="I15"/>
    </row>
    <row r="16" spans="1:20" x14ac:dyDescent="0.3">
      <c r="Q16" s="10"/>
    </row>
    <row r="25" spans="4:9" x14ac:dyDescent="0.3">
      <c r="I25"/>
    </row>
    <row r="26" spans="4:9" x14ac:dyDescent="0.3">
      <c r="D26" s="48"/>
      <c r="E26" s="48"/>
      <c r="I26"/>
    </row>
  </sheetData>
  <phoneticPr fontId="3" type="noConversion"/>
  <dataValidations count="1">
    <dataValidation type="list" showDropDown="1" showInputMessage="1" showErrorMessage="1" sqref="M4:M13 M15" xr:uid="{9BA22EF4-B800-4A8E-8469-78B502E986A8}">
      <formula1>"Sold Out,Available,Limited"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F247-4427-4C00-9C41-5F99627A773D}">
  <dimension ref="A2:U12"/>
  <sheetViews>
    <sheetView showGridLines="0" zoomScale="83" workbookViewId="0">
      <pane xSplit="1" topLeftCell="B1" activePane="topRight" state="frozen"/>
      <selection pane="topRight" activeCell="E29" sqref="E29"/>
    </sheetView>
  </sheetViews>
  <sheetFormatPr defaultColWidth="16.33203125" defaultRowHeight="14.4" x14ac:dyDescent="0.3"/>
  <cols>
    <col min="1" max="1" width="12.88671875" style="1" customWidth="1"/>
    <col min="5" max="5" width="19" bestFit="1" customWidth="1"/>
    <col min="6" max="6" width="18.44140625" bestFit="1" customWidth="1"/>
    <col min="11" max="11" width="20.88671875" bestFit="1" customWidth="1"/>
    <col min="19" max="19" width="19.44140625" customWidth="1"/>
    <col min="20" max="20" width="19.6640625" bestFit="1" customWidth="1"/>
    <col min="21" max="21" width="12.88671875" customWidth="1"/>
  </cols>
  <sheetData>
    <row r="2" spans="1:21" x14ac:dyDescent="0.3">
      <c r="A2" s="30" t="s">
        <v>67</v>
      </c>
      <c r="B2" s="31" t="s">
        <v>68</v>
      </c>
      <c r="C2" s="31" t="s">
        <v>0</v>
      </c>
      <c r="D2" s="31" t="s">
        <v>2</v>
      </c>
      <c r="E2" s="31" t="s">
        <v>4</v>
      </c>
      <c r="F2" s="31" t="s">
        <v>5</v>
      </c>
      <c r="G2" s="31" t="s">
        <v>6</v>
      </c>
      <c r="H2" s="31" t="s">
        <v>7</v>
      </c>
      <c r="I2" s="32" t="s">
        <v>8</v>
      </c>
      <c r="J2" s="31" t="s">
        <v>9</v>
      </c>
      <c r="K2" s="31" t="s">
        <v>66</v>
      </c>
      <c r="L2" s="31" t="s">
        <v>48</v>
      </c>
      <c r="M2" s="31" t="s">
        <v>10</v>
      </c>
      <c r="N2" s="31" t="s">
        <v>49</v>
      </c>
      <c r="O2" s="31" t="s">
        <v>3</v>
      </c>
      <c r="P2" s="31" t="s">
        <v>69</v>
      </c>
      <c r="Q2" s="31" t="s">
        <v>70</v>
      </c>
      <c r="R2" s="31" t="s">
        <v>71</v>
      </c>
      <c r="S2" s="31" t="s">
        <v>95</v>
      </c>
      <c r="T2" s="31" t="s">
        <v>94</v>
      </c>
      <c r="U2" s="33" t="s">
        <v>76</v>
      </c>
    </row>
    <row r="3" spans="1:21" x14ac:dyDescent="0.3">
      <c r="A3" s="34" t="s">
        <v>105</v>
      </c>
      <c r="B3" s="35" t="s">
        <v>12</v>
      </c>
      <c r="C3" s="35" t="s">
        <v>11</v>
      </c>
      <c r="D3" s="35" t="s">
        <v>13</v>
      </c>
      <c r="E3" s="36">
        <v>1050000</v>
      </c>
      <c r="F3" s="37">
        <f>Table14[[#This Row],[Revenue (USD)]]*84</f>
        <v>88200000</v>
      </c>
      <c r="G3" s="36">
        <v>1000000</v>
      </c>
      <c r="H3" s="37">
        <f>Table14[[#This Row],[Cost (USD)]]*84</f>
        <v>84000000</v>
      </c>
      <c r="I3" s="38" t="s">
        <v>14</v>
      </c>
      <c r="J3" s="35" t="s">
        <v>15</v>
      </c>
      <c r="K3" s="35">
        <v>4.5</v>
      </c>
      <c r="L3" s="35" t="s">
        <v>50</v>
      </c>
      <c r="M3" s="35" t="s">
        <v>16</v>
      </c>
      <c r="N3" s="35" t="s">
        <v>51</v>
      </c>
      <c r="O3" s="35">
        <v>15</v>
      </c>
      <c r="P3" s="36">
        <f>Table14[[#This Row],[Revenue (USD)]]-Table14[[#This Row],[Cost (USD)]]</f>
        <v>50000</v>
      </c>
      <c r="Q3" s="37">
        <f>Table14[[#This Row],[Revenue (INR)]]-Table14[[#This Row],[Cost (INR)]]</f>
        <v>4200000</v>
      </c>
      <c r="R3" s="39">
        <f>Table14[[#This Row],[Profit (INR)]]/Table14[[#This Row],[Revenue (INR)]]</f>
        <v>4.7619047619047616E-2</v>
      </c>
      <c r="S3" s="36">
        <f>Table14[[#This Row],[Revenue (USD)]]/Table14[[#This Row],[Units Sold]]</f>
        <v>70000</v>
      </c>
      <c r="T3" s="37">
        <f>Table14[[#This Row],[Revenue (INR)]]/Table14[[#This Row],[Units Sold]]</f>
        <v>5880000</v>
      </c>
      <c r="U3" s="40" t="str">
        <f>IF(Table14[[#This Row],[Revenue (USD)]]&gt;Table14[[#This Row],[Cost (USD)]],"PROFIT","LOSS")</f>
        <v>PROFIT</v>
      </c>
    </row>
    <row r="4" spans="1:21" x14ac:dyDescent="0.3">
      <c r="A4" s="34" t="s">
        <v>106</v>
      </c>
      <c r="B4" s="35" t="s">
        <v>18</v>
      </c>
      <c r="C4" s="35" t="s">
        <v>17</v>
      </c>
      <c r="D4" s="35" t="s">
        <v>19</v>
      </c>
      <c r="E4" s="36">
        <v>1500000</v>
      </c>
      <c r="F4" s="37">
        <f>Table14[[#This Row],[Revenue (USD)]]*84</f>
        <v>126000000</v>
      </c>
      <c r="G4" s="36">
        <v>1300000</v>
      </c>
      <c r="H4" s="37">
        <f>Table14[[#This Row],[Cost (USD)]]*84</f>
        <v>109200000</v>
      </c>
      <c r="I4" s="38" t="s">
        <v>20</v>
      </c>
      <c r="J4" s="35" t="s">
        <v>21</v>
      </c>
      <c r="K4" s="35">
        <v>4.2</v>
      </c>
      <c r="L4" s="35" t="s">
        <v>52</v>
      </c>
      <c r="M4" s="35" t="s">
        <v>22</v>
      </c>
      <c r="N4" s="35" t="s">
        <v>53</v>
      </c>
      <c r="O4" s="35">
        <v>10</v>
      </c>
      <c r="P4" s="36">
        <f>Table14[[#This Row],[Revenue (USD)]]-Table14[[#This Row],[Cost (USD)]]</f>
        <v>200000</v>
      </c>
      <c r="Q4" s="37">
        <f>Table14[[#This Row],[Revenue (INR)]]-Table14[[#This Row],[Cost (INR)]]</f>
        <v>16800000</v>
      </c>
      <c r="R4" s="39">
        <f>Table14[[#This Row],[Profit (INR)]]/Table14[[#This Row],[Revenue (INR)]]</f>
        <v>0.13333333333333333</v>
      </c>
      <c r="S4" s="36">
        <f>Table14[[#This Row],[Revenue (USD)]]/Table14[[#This Row],[Units Sold]]</f>
        <v>150000</v>
      </c>
      <c r="T4" s="37">
        <f>Table14[[#This Row],[Revenue (INR)]]/Table14[[#This Row],[Units Sold]]</f>
        <v>12600000</v>
      </c>
      <c r="U4" s="40" t="str">
        <f>IF(Table14[[#This Row],[Revenue (USD)]]&gt;Table14[[#This Row],[Cost (USD)]],"PROFIT","LOSS")</f>
        <v>PROFIT</v>
      </c>
    </row>
    <row r="5" spans="1:21" x14ac:dyDescent="0.3">
      <c r="A5" s="34" t="s">
        <v>107</v>
      </c>
      <c r="B5" s="35" t="s">
        <v>24</v>
      </c>
      <c r="C5" s="35" t="s">
        <v>23</v>
      </c>
      <c r="D5" s="35" t="s">
        <v>13</v>
      </c>
      <c r="E5" s="36">
        <v>900000</v>
      </c>
      <c r="F5" s="37">
        <f>Table14[[#This Row],[Revenue (USD)]]*84</f>
        <v>75600000</v>
      </c>
      <c r="G5" s="36">
        <v>700000</v>
      </c>
      <c r="H5" s="37">
        <f>Table14[[#This Row],[Cost (USD)]]*84</f>
        <v>58800000</v>
      </c>
      <c r="I5" s="38" t="s">
        <v>20</v>
      </c>
      <c r="J5" s="35" t="s">
        <v>26</v>
      </c>
      <c r="K5" s="35">
        <v>4</v>
      </c>
      <c r="L5" s="35" t="s">
        <v>54</v>
      </c>
      <c r="M5" s="35" t="s">
        <v>16</v>
      </c>
      <c r="N5" s="35" t="s">
        <v>51</v>
      </c>
      <c r="O5" s="35">
        <v>30</v>
      </c>
      <c r="P5" s="36">
        <f>Table14[[#This Row],[Revenue (USD)]]-Table14[[#This Row],[Cost (USD)]]</f>
        <v>200000</v>
      </c>
      <c r="Q5" s="37">
        <f>Table14[[#This Row],[Revenue (INR)]]-Table14[[#This Row],[Cost (INR)]]</f>
        <v>16800000</v>
      </c>
      <c r="R5" s="39">
        <f>Table14[[#This Row],[Profit (INR)]]/Table14[[#This Row],[Revenue (INR)]]</f>
        <v>0.22222222222222221</v>
      </c>
      <c r="S5" s="36">
        <f>Table14[[#This Row],[Revenue (USD)]]/Table14[[#This Row],[Units Sold]]</f>
        <v>30000</v>
      </c>
      <c r="T5" s="37">
        <f>Table14[[#This Row],[Revenue (INR)]]/Table14[[#This Row],[Units Sold]]</f>
        <v>2520000</v>
      </c>
      <c r="U5" s="40" t="str">
        <f>IF(Table14[[#This Row],[Revenue (USD)]]&gt;Table14[[#This Row],[Cost (USD)]],"PROFIT","LOSS")</f>
        <v>PROFIT</v>
      </c>
    </row>
    <row r="6" spans="1:21" x14ac:dyDescent="0.3">
      <c r="A6" s="34" t="s">
        <v>108</v>
      </c>
      <c r="B6" s="35" t="s">
        <v>28</v>
      </c>
      <c r="C6" s="35" t="s">
        <v>27</v>
      </c>
      <c r="D6" s="35" t="s">
        <v>29</v>
      </c>
      <c r="E6" s="36">
        <v>2700000</v>
      </c>
      <c r="F6" s="37">
        <f>Table14[[#This Row],[Revenue (USD)]]*84</f>
        <v>226800000</v>
      </c>
      <c r="G6" s="36">
        <v>2000000</v>
      </c>
      <c r="H6" s="37">
        <f>Table14[[#This Row],[Cost (USD)]]*84</f>
        <v>168000000</v>
      </c>
      <c r="I6" s="38" t="s">
        <v>25</v>
      </c>
      <c r="J6" s="35" t="s">
        <v>31</v>
      </c>
      <c r="K6" s="35">
        <v>4.5999999999999996</v>
      </c>
      <c r="L6" s="35" t="s">
        <v>55</v>
      </c>
      <c r="M6" s="35" t="s">
        <v>22</v>
      </c>
      <c r="N6" s="35" t="s">
        <v>56</v>
      </c>
      <c r="O6" s="35">
        <v>7</v>
      </c>
      <c r="P6" s="36">
        <f>Table14[[#This Row],[Revenue (USD)]]-Table14[[#This Row],[Cost (USD)]]</f>
        <v>700000</v>
      </c>
      <c r="Q6" s="37">
        <f>Table14[[#This Row],[Revenue (INR)]]-Table14[[#This Row],[Cost (INR)]]</f>
        <v>58800000</v>
      </c>
      <c r="R6" s="39">
        <f>Table14[[#This Row],[Profit (INR)]]/Table14[[#This Row],[Revenue (INR)]]</f>
        <v>0.25925925925925924</v>
      </c>
      <c r="S6" s="36">
        <f>Table14[[#This Row],[Revenue (USD)]]/Table14[[#This Row],[Units Sold]]</f>
        <v>385714.28571428574</v>
      </c>
      <c r="T6" s="37">
        <f>Table14[[#This Row],[Revenue (INR)]]/Table14[[#This Row],[Units Sold]]</f>
        <v>32400000</v>
      </c>
      <c r="U6" s="40" t="str">
        <f>IF(Table14[[#This Row],[Revenue (USD)]]&gt;Table14[[#This Row],[Cost (USD)]],"PROFIT","LOSS")</f>
        <v>PROFIT</v>
      </c>
    </row>
    <row r="7" spans="1:21" x14ac:dyDescent="0.3">
      <c r="A7" s="34" t="s">
        <v>109</v>
      </c>
      <c r="B7" s="35" t="s">
        <v>18</v>
      </c>
      <c r="C7" s="35" t="s">
        <v>32</v>
      </c>
      <c r="D7" s="35" t="s">
        <v>13</v>
      </c>
      <c r="E7" s="36">
        <v>1900000</v>
      </c>
      <c r="F7" s="37">
        <f>Table14[[#This Row],[Revenue (USD)]]*84</f>
        <v>159600000</v>
      </c>
      <c r="G7" s="36">
        <v>2100000</v>
      </c>
      <c r="H7" s="37">
        <f>Table14[[#This Row],[Cost (USD)]]*84</f>
        <v>176400000</v>
      </c>
      <c r="I7" s="38" t="s">
        <v>30</v>
      </c>
      <c r="J7" s="35" t="s">
        <v>21</v>
      </c>
      <c r="K7" s="35">
        <v>4.0999999999999996</v>
      </c>
      <c r="L7" s="35" t="s">
        <v>57</v>
      </c>
      <c r="M7" s="35" t="s">
        <v>16</v>
      </c>
      <c r="N7" s="35" t="s">
        <v>51</v>
      </c>
      <c r="O7" s="35">
        <v>12</v>
      </c>
      <c r="P7" s="36">
        <f>Table14[[#This Row],[Revenue (USD)]]-Table14[[#This Row],[Cost (USD)]]</f>
        <v>-200000</v>
      </c>
      <c r="Q7" s="37">
        <f>Table14[[#This Row],[Revenue (INR)]]-Table14[[#This Row],[Cost (INR)]]</f>
        <v>-16800000</v>
      </c>
      <c r="R7" s="39">
        <f>Table14[[#This Row],[Profit (INR)]]/Table14[[#This Row],[Revenue (INR)]]</f>
        <v>-0.10526315789473684</v>
      </c>
      <c r="S7" s="36">
        <f>Table14[[#This Row],[Revenue (USD)]]/Table14[[#This Row],[Units Sold]]</f>
        <v>158333.33333333334</v>
      </c>
      <c r="T7" s="37">
        <f>Table14[[#This Row],[Revenue (INR)]]/Table14[[#This Row],[Units Sold]]</f>
        <v>13300000</v>
      </c>
      <c r="U7" s="40" t="str">
        <f>IF(Table14[[#This Row],[Revenue (USD)]]&gt;Table14[[#This Row],[Cost (USD)]],"PROFIT","LOSS")</f>
        <v>LOSS</v>
      </c>
    </row>
    <row r="8" spans="1:21" x14ac:dyDescent="0.3">
      <c r="A8" s="34" t="s">
        <v>110</v>
      </c>
      <c r="B8" s="35" t="s">
        <v>35</v>
      </c>
      <c r="C8" s="35" t="s">
        <v>34</v>
      </c>
      <c r="D8" s="35" t="s">
        <v>29</v>
      </c>
      <c r="E8" s="36">
        <v>1600000</v>
      </c>
      <c r="F8" s="37">
        <f>Table14[[#This Row],[Revenue (USD)]]*84</f>
        <v>134400000</v>
      </c>
      <c r="G8" s="36">
        <v>1300000</v>
      </c>
      <c r="H8" s="37">
        <f>Table14[[#This Row],[Cost (USD)]]*84</f>
        <v>109200000</v>
      </c>
      <c r="I8" s="38" t="s">
        <v>30</v>
      </c>
      <c r="J8" s="35" t="s">
        <v>37</v>
      </c>
      <c r="K8" s="35">
        <v>4.4000000000000004</v>
      </c>
      <c r="L8" s="35" t="s">
        <v>58</v>
      </c>
      <c r="M8" s="35" t="s">
        <v>22</v>
      </c>
      <c r="N8" s="35" t="s">
        <v>53</v>
      </c>
      <c r="O8" s="35">
        <v>18</v>
      </c>
      <c r="P8" s="36">
        <f>Table14[[#This Row],[Revenue (USD)]]-Table14[[#This Row],[Cost (USD)]]</f>
        <v>300000</v>
      </c>
      <c r="Q8" s="37">
        <f>Table14[[#This Row],[Revenue (INR)]]-Table14[[#This Row],[Cost (INR)]]</f>
        <v>25200000</v>
      </c>
      <c r="R8" s="39">
        <f>Table14[[#This Row],[Profit (INR)]]/Table14[[#This Row],[Revenue (INR)]]</f>
        <v>0.1875</v>
      </c>
      <c r="S8" s="36">
        <f>Table14[[#This Row],[Revenue (USD)]]/Table14[[#This Row],[Units Sold]]</f>
        <v>88888.888888888891</v>
      </c>
      <c r="T8" s="37">
        <f>Table14[[#This Row],[Revenue (INR)]]/Table14[[#This Row],[Units Sold]]</f>
        <v>7466666.666666667</v>
      </c>
      <c r="U8" s="40" t="str">
        <f>IF(Table14[[#This Row],[Revenue (USD)]]&gt;Table14[[#This Row],[Cost (USD)]],"PROFIT","LOSS")</f>
        <v>PROFIT</v>
      </c>
    </row>
    <row r="9" spans="1:21" x14ac:dyDescent="0.3">
      <c r="A9" s="34" t="s">
        <v>111</v>
      </c>
      <c r="B9" s="35" t="s">
        <v>39</v>
      </c>
      <c r="C9" s="35" t="s">
        <v>38</v>
      </c>
      <c r="D9" s="35" t="s">
        <v>19</v>
      </c>
      <c r="E9" s="36">
        <v>2200000</v>
      </c>
      <c r="F9" s="37">
        <f>Table14[[#This Row],[Revenue (USD)]]*84</f>
        <v>184800000</v>
      </c>
      <c r="G9" s="36">
        <v>1800000</v>
      </c>
      <c r="H9" s="37">
        <f>Table14[[#This Row],[Cost (USD)]]*84</f>
        <v>151200000</v>
      </c>
      <c r="I9" s="38" t="s">
        <v>33</v>
      </c>
      <c r="J9" s="35" t="s">
        <v>40</v>
      </c>
      <c r="K9" s="35">
        <v>4.5999999999999996</v>
      </c>
      <c r="L9" s="35" t="s">
        <v>59</v>
      </c>
      <c r="M9" s="35" t="s">
        <v>16</v>
      </c>
      <c r="N9" s="35" t="s">
        <v>60</v>
      </c>
      <c r="O9" s="35">
        <v>8</v>
      </c>
      <c r="P9" s="36">
        <f>Table14[[#This Row],[Revenue (USD)]]-Table14[[#This Row],[Cost (USD)]]</f>
        <v>400000</v>
      </c>
      <c r="Q9" s="37">
        <f>Table14[[#This Row],[Revenue (INR)]]-Table14[[#This Row],[Cost (INR)]]</f>
        <v>33600000</v>
      </c>
      <c r="R9" s="39">
        <f>Table14[[#This Row],[Profit (INR)]]/Table14[[#This Row],[Revenue (INR)]]</f>
        <v>0.18181818181818182</v>
      </c>
      <c r="S9" s="36">
        <f>Table14[[#This Row],[Revenue (USD)]]/Table14[[#This Row],[Units Sold]]</f>
        <v>275000</v>
      </c>
      <c r="T9" s="37">
        <f>Table14[[#This Row],[Revenue (INR)]]/Table14[[#This Row],[Units Sold]]</f>
        <v>23100000</v>
      </c>
      <c r="U9" s="40" t="str">
        <f>IF(Table14[[#This Row],[Revenue (USD)]]&gt;Table14[[#This Row],[Cost (USD)]],"PROFIT","LOSS")</f>
        <v>PROFIT</v>
      </c>
    </row>
    <row r="10" spans="1:21" x14ac:dyDescent="0.3">
      <c r="A10" s="34" t="s">
        <v>112</v>
      </c>
      <c r="B10" s="35" t="s">
        <v>42</v>
      </c>
      <c r="C10" s="35" t="s">
        <v>41</v>
      </c>
      <c r="D10" s="35" t="s">
        <v>13</v>
      </c>
      <c r="E10" s="36">
        <v>750000</v>
      </c>
      <c r="F10" s="37">
        <f>Table14[[#This Row],[Revenue (USD)]]*84</f>
        <v>63000000</v>
      </c>
      <c r="G10" s="36">
        <v>800000</v>
      </c>
      <c r="H10" s="37">
        <f>Table14[[#This Row],[Cost (USD)]]*84</f>
        <v>67200000</v>
      </c>
      <c r="I10" s="38" t="s">
        <v>33</v>
      </c>
      <c r="J10" s="35" t="s">
        <v>26</v>
      </c>
      <c r="K10" s="35">
        <v>4.9000000000000004</v>
      </c>
      <c r="L10" s="35" t="s">
        <v>61</v>
      </c>
      <c r="M10" s="35" t="s">
        <v>62</v>
      </c>
      <c r="N10" s="35" t="s">
        <v>63</v>
      </c>
      <c r="O10" s="35">
        <v>35</v>
      </c>
      <c r="P10" s="36">
        <f>Table14[[#This Row],[Revenue (USD)]]-Table14[[#This Row],[Cost (USD)]]</f>
        <v>-50000</v>
      </c>
      <c r="Q10" s="37">
        <f>Table14[[#This Row],[Revenue (INR)]]-Table14[[#This Row],[Cost (INR)]]</f>
        <v>-4200000</v>
      </c>
      <c r="R10" s="39">
        <f>Table14[[#This Row],[Profit (INR)]]/Table14[[#This Row],[Revenue (INR)]]</f>
        <v>-6.6666666666666666E-2</v>
      </c>
      <c r="S10" s="36">
        <f>Table14[[#This Row],[Revenue (USD)]]/Table14[[#This Row],[Units Sold]]</f>
        <v>21428.571428571428</v>
      </c>
      <c r="T10" s="37">
        <f>Table14[[#This Row],[Revenue (INR)]]/Table14[[#This Row],[Units Sold]]</f>
        <v>1800000</v>
      </c>
      <c r="U10" s="40" t="str">
        <f>IF(Table14[[#This Row],[Revenue (USD)]]&gt;Table14[[#This Row],[Cost (USD)]],"PROFIT","LOSS")</f>
        <v>LOSS</v>
      </c>
    </row>
    <row r="11" spans="1:21" x14ac:dyDescent="0.3">
      <c r="A11" s="34" t="s">
        <v>113</v>
      </c>
      <c r="B11" s="35" t="s">
        <v>44</v>
      </c>
      <c r="C11" s="35" t="s">
        <v>43</v>
      </c>
      <c r="D11" s="35" t="s">
        <v>45</v>
      </c>
      <c r="E11" s="36">
        <v>9000000</v>
      </c>
      <c r="F11" s="37">
        <f>Table14[[#This Row],[Revenue (USD)]]*84</f>
        <v>756000000</v>
      </c>
      <c r="G11" s="36">
        <v>7000000</v>
      </c>
      <c r="H11" s="37">
        <f>Table14[[#This Row],[Cost (USD)]]*84</f>
        <v>588000000</v>
      </c>
      <c r="I11" s="38" t="s">
        <v>36</v>
      </c>
      <c r="J11" s="35" t="s">
        <v>37</v>
      </c>
      <c r="K11" s="35">
        <v>4.2</v>
      </c>
      <c r="L11" s="35" t="s">
        <v>64</v>
      </c>
      <c r="M11" s="35" t="s">
        <v>22</v>
      </c>
      <c r="N11" s="35" t="s">
        <v>53</v>
      </c>
      <c r="O11" s="35">
        <v>3</v>
      </c>
      <c r="P11" s="36">
        <f>Table14[[#This Row],[Revenue (USD)]]-Table14[[#This Row],[Cost (USD)]]</f>
        <v>2000000</v>
      </c>
      <c r="Q11" s="37">
        <f>Table14[[#This Row],[Revenue (INR)]]-Table14[[#This Row],[Cost (INR)]]</f>
        <v>168000000</v>
      </c>
      <c r="R11" s="39">
        <f>Table14[[#This Row],[Profit (INR)]]/Table14[[#This Row],[Revenue (INR)]]</f>
        <v>0.22222222222222221</v>
      </c>
      <c r="S11" s="36">
        <f>Table14[[#This Row],[Revenue (USD)]]/Table14[[#This Row],[Units Sold]]</f>
        <v>3000000</v>
      </c>
      <c r="T11" s="37">
        <f>Table14[[#This Row],[Revenue (INR)]]/Table14[[#This Row],[Units Sold]]</f>
        <v>252000000</v>
      </c>
      <c r="U11" s="40" t="str">
        <f>IF(Table14[[#This Row],[Revenue (USD)]]&gt;Table14[[#This Row],[Cost (USD)]],"PROFIT","LOSS")</f>
        <v>PROFIT</v>
      </c>
    </row>
    <row r="12" spans="1:21" x14ac:dyDescent="0.3">
      <c r="A12" s="34" t="s">
        <v>114</v>
      </c>
      <c r="B12" s="41" t="s">
        <v>47</v>
      </c>
      <c r="C12" s="41" t="s">
        <v>46</v>
      </c>
      <c r="D12" s="41" t="s">
        <v>13</v>
      </c>
      <c r="E12" s="42">
        <v>1440000</v>
      </c>
      <c r="F12" s="43">
        <f>Table14[[#This Row],[Revenue (USD)]]*84</f>
        <v>120960000</v>
      </c>
      <c r="G12" s="42">
        <v>1100000</v>
      </c>
      <c r="H12" s="43">
        <f>Table14[[#This Row],[Cost (USD)]]*84</f>
        <v>92400000</v>
      </c>
      <c r="I12" s="44" t="s">
        <v>36</v>
      </c>
      <c r="J12" s="41" t="s">
        <v>15</v>
      </c>
      <c r="K12" s="41">
        <v>4.7</v>
      </c>
      <c r="L12" s="41" t="s">
        <v>65</v>
      </c>
      <c r="M12" s="41" t="s">
        <v>16</v>
      </c>
      <c r="N12" s="41" t="s">
        <v>51</v>
      </c>
      <c r="O12" s="41">
        <v>18</v>
      </c>
      <c r="P12" s="42">
        <f>Table14[[#This Row],[Revenue (USD)]]-Table14[[#This Row],[Cost (USD)]]</f>
        <v>340000</v>
      </c>
      <c r="Q12" s="43">
        <f>Table14[[#This Row],[Revenue (INR)]]-Table14[[#This Row],[Cost (INR)]]</f>
        <v>28560000</v>
      </c>
      <c r="R12" s="45">
        <f>Table14[[#This Row],[Profit (INR)]]/Table14[[#This Row],[Revenue (INR)]]</f>
        <v>0.2361111111111111</v>
      </c>
      <c r="S12" s="42">
        <f>Table14[[#This Row],[Revenue (USD)]]/Table14[[#This Row],[Units Sold]]</f>
        <v>80000</v>
      </c>
      <c r="T12" s="43">
        <f>Table14[[#This Row],[Revenue (INR)]]/Table14[[#This Row],[Units Sold]]</f>
        <v>6720000</v>
      </c>
      <c r="U12" s="46" t="str">
        <f>IF(Table14[[#This Row],[Revenue (USD)]]&gt;Table14[[#This Row],[Cost (USD)]],"PROFIT","LOSS")</f>
        <v>PROFIT</v>
      </c>
    </row>
  </sheetData>
  <phoneticPr fontId="3" type="noConversion"/>
  <conditionalFormatting sqref="F3:F12">
    <cfRule type="cellIs" dxfId="6" priority="2" operator="lessThan">
      <formula>100000000</formula>
    </cfRule>
  </conditionalFormatting>
  <conditionalFormatting sqref="H3:H12">
    <cfRule type="aboveAverage" dxfId="5" priority="1"/>
  </conditionalFormatting>
  <conditionalFormatting sqref="K3:K12">
    <cfRule type="cellIs" dxfId="4" priority="12" operator="greaterThan">
      <formula>4.5</formula>
    </cfRule>
  </conditionalFormatting>
  <conditionalFormatting sqref="M3:M12">
    <cfRule type="containsText" dxfId="3" priority="6" operator="containsText" text="Limited">
      <formula>NOT(ISERROR(SEARCH("Limited",M3)))</formula>
    </cfRule>
    <cfRule type="containsText" dxfId="2" priority="7" operator="containsText" text="Available">
      <formula>NOT(ISERROR(SEARCH("Available",M3)))</formula>
    </cfRule>
    <cfRule type="containsText" dxfId="1" priority="8" operator="containsText" text="Sold Out">
      <formula>NOT(ISERROR(SEARCH("Sold Out",M3)))</formula>
    </cfRule>
  </conditionalFormatting>
  <conditionalFormatting sqref="P3:P1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12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{8A2AA721-5743-482F-865D-05596547DB71}</x14:id>
        </ext>
      </extLst>
    </cfRule>
  </conditionalFormatting>
  <conditionalFormatting sqref="R3:R12">
    <cfRule type="top10" dxfId="0" priority="4" rank="5"/>
  </conditionalFormatting>
  <dataValidations count="1">
    <dataValidation type="list" showDropDown="1" showInputMessage="1" showErrorMessage="1" sqref="M3:M12" xr:uid="{6C2D50C4-E689-4188-B544-CBF4F419F1C9}">
      <formula1>"Sold Out,Available,Limited"</formula1>
    </dataValidation>
  </dataValidations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2AA721-5743-482F-865D-05596547DB7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Q3:Q12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9646-76DE-4BCA-8E3C-B1E75FF62872}">
  <dimension ref="E2:J21"/>
  <sheetViews>
    <sheetView showGridLines="0" zoomScale="115" zoomScaleNormal="115" workbookViewId="0">
      <selection activeCell="N8" sqref="N8"/>
    </sheetView>
  </sheetViews>
  <sheetFormatPr defaultRowHeight="14.4" x14ac:dyDescent="0.3"/>
  <cols>
    <col min="1" max="1" width="14.21875" bestFit="1" customWidth="1"/>
    <col min="2" max="2" width="16" bestFit="1" customWidth="1"/>
    <col min="3" max="3" width="13.77734375" bestFit="1" customWidth="1"/>
    <col min="4" max="4" width="16" bestFit="1" customWidth="1"/>
    <col min="5" max="5" width="13.109375" bestFit="1" customWidth="1"/>
    <col min="6" max="6" width="16" bestFit="1" customWidth="1"/>
    <col min="7" max="7" width="13" bestFit="1" customWidth="1"/>
    <col min="8" max="8" width="16" bestFit="1" customWidth="1"/>
    <col min="9" max="9" width="13.77734375" bestFit="1" customWidth="1"/>
  </cols>
  <sheetData>
    <row r="2" spans="5:10" ht="16.8" customHeight="1" x14ac:dyDescent="0.3">
      <c r="E2" s="62" t="s">
        <v>91</v>
      </c>
      <c r="F2" s="62"/>
      <c r="G2" s="62"/>
      <c r="H2" s="62"/>
    </row>
    <row r="4" spans="5:10" x14ac:dyDescent="0.3">
      <c r="E4" s="23" t="s">
        <v>4</v>
      </c>
      <c r="F4" s="23" t="s">
        <v>5</v>
      </c>
      <c r="G4" s="23" t="s">
        <v>6</v>
      </c>
      <c r="H4" s="23" t="s">
        <v>7</v>
      </c>
    </row>
    <row r="5" spans="5:10" x14ac:dyDescent="0.3">
      <c r="E5" s="24">
        <f>SUM(Table14[Revenue (USD)])</f>
        <v>23040000</v>
      </c>
      <c r="F5" s="25">
        <f>SUM(Table14[Revenue (INR)])</f>
        <v>1935360000</v>
      </c>
      <c r="G5" s="24">
        <f>SUM(Table14[Cost (USD)])</f>
        <v>19100000</v>
      </c>
      <c r="H5" s="25">
        <f>SUM(Table14[Cost (INR)])</f>
        <v>1604400000</v>
      </c>
    </row>
    <row r="6" spans="5:10" ht="10.8" customHeight="1" x14ac:dyDescent="0.3"/>
    <row r="7" spans="5:10" ht="13.8" customHeight="1" x14ac:dyDescent="0.3">
      <c r="E7" s="62" t="s">
        <v>92</v>
      </c>
      <c r="F7" s="62"/>
      <c r="G7" s="62"/>
      <c r="H7" s="62"/>
    </row>
    <row r="9" spans="5:10" x14ac:dyDescent="0.3">
      <c r="E9" s="23" t="s">
        <v>4</v>
      </c>
      <c r="F9" s="23" t="s">
        <v>5</v>
      </c>
      <c r="G9" s="23" t="s">
        <v>6</v>
      </c>
      <c r="H9" s="23" t="s">
        <v>7</v>
      </c>
    </row>
    <row r="10" spans="5:10" x14ac:dyDescent="0.3">
      <c r="E10" s="24">
        <f>AVERAGE(Table14[Revenue (USD)])</f>
        <v>2304000</v>
      </c>
      <c r="F10" s="25">
        <f>AVERAGE(Table14[Revenue (INR)])</f>
        <v>193536000</v>
      </c>
      <c r="G10" s="24">
        <f>AVERAGE(Table14[Cost (USD)])</f>
        <v>1910000</v>
      </c>
      <c r="H10" s="25">
        <f>AVERAGE(Table14[Cost (INR)])</f>
        <v>160440000</v>
      </c>
    </row>
    <row r="11" spans="5:10" ht="12" customHeight="1" x14ac:dyDescent="0.3"/>
    <row r="12" spans="5:10" ht="17.399999999999999" customHeight="1" x14ac:dyDescent="0.3">
      <c r="E12" s="62" t="s">
        <v>98</v>
      </c>
      <c r="F12" s="62"/>
      <c r="G12" s="62"/>
      <c r="H12" s="62"/>
      <c r="I12" s="61"/>
      <c r="J12" s="61"/>
    </row>
    <row r="13" spans="5:10" ht="11.4" customHeight="1" x14ac:dyDescent="0.3">
      <c r="F13" s="61"/>
      <c r="G13" s="61"/>
      <c r="H13" s="61"/>
    </row>
    <row r="14" spans="5:10" x14ac:dyDescent="0.3">
      <c r="E14" s="63" t="s">
        <v>97</v>
      </c>
      <c r="F14" s="63"/>
      <c r="G14" s="63"/>
      <c r="H14" s="63"/>
    </row>
    <row r="15" spans="5:10" x14ac:dyDescent="0.3">
      <c r="E15" s="65">
        <f>SUMIF(Table14[Type],"Sports",Table14[Revenue (USD)])</f>
        <v>6040000</v>
      </c>
      <c r="F15" s="65"/>
      <c r="G15" s="65"/>
      <c r="H15" s="65"/>
    </row>
    <row r="16" spans="5:10" x14ac:dyDescent="0.3">
      <c r="E16" s="63" t="s">
        <v>99</v>
      </c>
      <c r="F16" s="63"/>
      <c r="G16" s="63"/>
      <c r="H16" s="63"/>
    </row>
    <row r="17" spans="5:8" x14ac:dyDescent="0.3">
      <c r="E17" s="65">
        <f>SUMIFS(Table14[Revenue (USD)],Table14[Type],"Sports",Table14[Customers Rating],"&gt;4.5")</f>
        <v>2190000</v>
      </c>
      <c r="F17" s="65"/>
      <c r="G17" s="65"/>
      <c r="H17" s="65"/>
    </row>
    <row r="18" spans="5:8" ht="9.6" customHeight="1" x14ac:dyDescent="0.3"/>
    <row r="19" spans="5:8" ht="20.399999999999999" customHeight="1" x14ac:dyDescent="0.3">
      <c r="E19" s="62" t="s">
        <v>100</v>
      </c>
      <c r="F19" s="62"/>
      <c r="G19" s="62"/>
      <c r="H19" s="62"/>
    </row>
    <row r="20" spans="5:8" x14ac:dyDescent="0.3">
      <c r="E20" s="63" t="s">
        <v>101</v>
      </c>
      <c r="F20" s="63"/>
      <c r="G20" s="63"/>
      <c r="H20" s="63"/>
    </row>
    <row r="21" spans="5:8" x14ac:dyDescent="0.3">
      <c r="E21" s="64">
        <f>COUNTIF(Table14[Showroom],"Speed Motors")</f>
        <v>2</v>
      </c>
      <c r="F21" s="64"/>
      <c r="G21" s="64"/>
      <c r="H21" s="64"/>
    </row>
  </sheetData>
  <dataConsolidate>
    <dataRefs count="2">
      <dataRef ref="A3:D5" sheet="Basic Claculations"/>
      <dataRef ref="A13:D15" sheet="Basic Claculations"/>
    </dataRefs>
  </dataConsolidate>
  <mergeCells count="10">
    <mergeCell ref="E21:H21"/>
    <mergeCell ref="E14:H14"/>
    <mergeCell ref="E15:H15"/>
    <mergeCell ref="E16:H16"/>
    <mergeCell ref="E17:H17"/>
    <mergeCell ref="E2:H2"/>
    <mergeCell ref="E7:H7"/>
    <mergeCell ref="E19:H19"/>
    <mergeCell ref="E20:H20"/>
    <mergeCell ref="E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A427-5C78-4D2E-B619-791E73798AB2}">
  <dimension ref="H3:N21"/>
  <sheetViews>
    <sheetView showGridLines="0" zoomScale="114" zoomScaleNormal="110" workbookViewId="0">
      <selection activeCell="F13" sqref="F13"/>
    </sheetView>
  </sheetViews>
  <sheetFormatPr defaultColWidth="10.88671875" defaultRowHeight="14.4" x14ac:dyDescent="0.3"/>
  <cols>
    <col min="1" max="1" width="7.77734375" customWidth="1"/>
    <col min="2" max="2" width="8.33203125" customWidth="1"/>
    <col min="3" max="3" width="7.77734375" customWidth="1"/>
    <col min="4" max="4" width="7.6640625" customWidth="1"/>
    <col min="5" max="5" width="8.44140625" customWidth="1"/>
    <col min="8" max="8" width="15.33203125" bestFit="1" customWidth="1"/>
    <col min="9" max="9" width="11.6640625" customWidth="1"/>
    <col min="10" max="10" width="12.5546875" customWidth="1"/>
  </cols>
  <sheetData>
    <row r="3" spans="8:14" ht="15.6" x14ac:dyDescent="0.3">
      <c r="H3" s="69" t="s">
        <v>104</v>
      </c>
      <c r="I3" s="69"/>
      <c r="J3" s="69"/>
      <c r="K3" s="69"/>
      <c r="L3" s="69"/>
      <c r="M3" s="47"/>
      <c r="N3" s="47"/>
    </row>
    <row r="5" spans="8:14" x14ac:dyDescent="0.3">
      <c r="H5" s="54" t="s">
        <v>106</v>
      </c>
      <c r="I5" s="70" t="str">
        <f>VLOOKUP(H5,Table14[],2,FALSE)</f>
        <v>Lamborghini</v>
      </c>
      <c r="J5" s="71"/>
      <c r="K5" s="71"/>
      <c r="L5" s="72"/>
    </row>
    <row r="6" spans="8:14" x14ac:dyDescent="0.3">
      <c r="H6" s="54" t="s">
        <v>18</v>
      </c>
      <c r="I6" s="70">
        <f>VLOOKUP(H6,Table14[[Car Brand]:[Location]],10,FALSE)</f>
        <v>4.2</v>
      </c>
      <c r="J6" s="71"/>
      <c r="K6" s="71"/>
      <c r="L6" s="72"/>
    </row>
    <row r="8" spans="8:14" ht="15.6" x14ac:dyDescent="0.3">
      <c r="H8" s="69" t="s">
        <v>115</v>
      </c>
      <c r="I8" s="69"/>
      <c r="J8" s="69"/>
      <c r="K8" s="69"/>
      <c r="L8" s="69"/>
    </row>
    <row r="10" spans="8:14" x14ac:dyDescent="0.3">
      <c r="H10" s="52" t="s">
        <v>62</v>
      </c>
      <c r="I10" s="70" t="str">
        <f>_xlfn.XLOOKUP(H10,Table14[Status],Table14[Car ID])</f>
        <v>C108</v>
      </c>
      <c r="J10" s="71"/>
      <c r="K10" s="71"/>
      <c r="L10" s="72"/>
    </row>
    <row r="12" spans="8:14" ht="15.6" x14ac:dyDescent="0.3">
      <c r="H12" s="69" t="s">
        <v>116</v>
      </c>
      <c r="I12" s="69"/>
      <c r="J12" s="69"/>
      <c r="K12" s="69"/>
      <c r="L12" s="69"/>
    </row>
    <row r="14" spans="8:14" ht="14.4" customHeight="1" x14ac:dyDescent="0.3">
      <c r="H14" s="52" t="str" cm="1">
        <f t="array" ref="H14:K15">TRANSPOSE('Processed Dataset'!A2:B5)</f>
        <v>Car ID</v>
      </c>
      <c r="I14" s="52" t="str">
        <v>C101</v>
      </c>
      <c r="J14" s="52" t="str">
        <v>C102</v>
      </c>
      <c r="K14" s="52" t="str">
        <v>C103</v>
      </c>
      <c r="L14" s="66">
        <f>HLOOKUP(J14,J14:J16,3,FALSE)</f>
        <v>0.13333333333333333</v>
      </c>
    </row>
    <row r="15" spans="8:14" ht="15.6" customHeight="1" x14ac:dyDescent="0.3">
      <c r="H15" s="52" t="str">
        <v>Car Brand</v>
      </c>
      <c r="I15" s="52" t="str">
        <v>Ford</v>
      </c>
      <c r="J15" s="52" t="str">
        <v>Lamborghini</v>
      </c>
      <c r="K15" s="52" t="str">
        <v>Chevrolet</v>
      </c>
      <c r="L15" s="67"/>
    </row>
    <row r="16" spans="8:14" ht="14.4" customHeight="1" x14ac:dyDescent="0.3">
      <c r="H16" s="52" t="str" cm="1">
        <f t="array" ref="H16:K16">TRANSPOSE('Processed Dataset'!R2:R5)</f>
        <v>Profit Margin</v>
      </c>
      <c r="I16" s="53">
        <v>4.7619047619047616E-2</v>
      </c>
      <c r="J16" s="53">
        <v>0.13333333333333333</v>
      </c>
      <c r="K16" s="53">
        <v>0.22222222222222221</v>
      </c>
      <c r="L16" s="68"/>
    </row>
    <row r="18" spans="8:12" ht="15.6" x14ac:dyDescent="0.3">
      <c r="H18" s="69" t="s">
        <v>118</v>
      </c>
      <c r="I18" s="69"/>
      <c r="J18" s="69"/>
      <c r="K18" s="69"/>
      <c r="L18" s="69"/>
    </row>
    <row r="20" spans="8:12" x14ac:dyDescent="0.3">
      <c r="H20" s="54" t="s">
        <v>117</v>
      </c>
      <c r="I20" s="70" t="str">
        <f>INDEX(Table14[[#All],[Car Brand]],6)</f>
        <v>Lamborghini</v>
      </c>
      <c r="J20" s="71"/>
      <c r="K20" s="71"/>
      <c r="L20" s="72"/>
    </row>
    <row r="21" spans="8:12" x14ac:dyDescent="0.3">
      <c r="H21" s="54" t="s">
        <v>119</v>
      </c>
      <c r="I21" s="70">
        <f>MATCH(I20,Table14[Car Brand],0)</f>
        <v>2</v>
      </c>
      <c r="J21" s="71"/>
      <c r="K21" s="71"/>
      <c r="L21" s="72"/>
    </row>
  </sheetData>
  <mergeCells count="10">
    <mergeCell ref="L14:L16"/>
    <mergeCell ref="H18:L18"/>
    <mergeCell ref="I20:L20"/>
    <mergeCell ref="I21:L21"/>
    <mergeCell ref="H3:L3"/>
    <mergeCell ref="H8:L8"/>
    <mergeCell ref="I5:L5"/>
    <mergeCell ref="I6:L6"/>
    <mergeCell ref="H12:L12"/>
    <mergeCell ref="I10:L10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730F-DC7D-4148-AAEB-1D94DBD77D74}">
  <dimension ref="D2:H18"/>
  <sheetViews>
    <sheetView showGridLines="0" zoomScale="120" zoomScaleNormal="120" workbookViewId="0">
      <selection activeCell="I18" sqref="I18"/>
    </sheetView>
  </sheetViews>
  <sheetFormatPr defaultColWidth="13.5546875" defaultRowHeight="14.4" x14ac:dyDescent="0.3"/>
  <cols>
    <col min="1" max="1" width="16.5546875" bestFit="1" customWidth="1"/>
    <col min="2" max="2" width="23.44140625" customWidth="1"/>
    <col min="3" max="3" width="7.44140625" customWidth="1"/>
    <col min="4" max="4" width="8.109375" customWidth="1"/>
    <col min="5" max="5" width="20.44140625" customWidth="1"/>
    <col min="6" max="6" width="22.6640625" customWidth="1"/>
  </cols>
  <sheetData>
    <row r="2" spans="4:8" ht="24.6" customHeight="1" x14ac:dyDescent="0.3">
      <c r="E2" s="73" t="s">
        <v>127</v>
      </c>
      <c r="F2" s="74"/>
    </row>
    <row r="3" spans="4:8" x14ac:dyDescent="0.3">
      <c r="D3" s="50"/>
      <c r="E3" s="26" t="s">
        <v>77</v>
      </c>
      <c r="F3" s="25">
        <v>33096000</v>
      </c>
      <c r="H3" s="49"/>
    </row>
    <row r="4" spans="4:8" x14ac:dyDescent="0.3">
      <c r="D4" s="51"/>
      <c r="E4" s="26" t="s">
        <v>78</v>
      </c>
      <c r="F4" s="25">
        <v>16394328.775524786</v>
      </c>
      <c r="H4" s="49"/>
    </row>
    <row r="5" spans="4:8" x14ac:dyDescent="0.3">
      <c r="D5" s="50"/>
      <c r="E5" s="26" t="s">
        <v>79</v>
      </c>
      <c r="F5" s="26">
        <v>21000000</v>
      </c>
      <c r="H5" s="49"/>
    </row>
    <row r="6" spans="4:8" x14ac:dyDescent="0.3">
      <c r="D6" s="50"/>
      <c r="E6" s="26" t="s">
        <v>80</v>
      </c>
      <c r="F6" s="26">
        <v>16800000</v>
      </c>
      <c r="H6" s="49"/>
    </row>
    <row r="7" spans="4:8" x14ac:dyDescent="0.3">
      <c r="D7" s="50"/>
      <c r="E7" s="26" t="s">
        <v>81</v>
      </c>
      <c r="F7" s="26">
        <v>51843419.640297651</v>
      </c>
      <c r="H7" s="49"/>
    </row>
    <row r="8" spans="4:8" x14ac:dyDescent="0.3">
      <c r="D8" s="50"/>
      <c r="E8" s="26" t="s">
        <v>82</v>
      </c>
      <c r="F8" s="26">
        <v>2687740160000000</v>
      </c>
      <c r="H8" s="49"/>
    </row>
    <row r="9" spans="4:8" x14ac:dyDescent="0.3">
      <c r="D9" s="50"/>
      <c r="E9" s="26" t="s">
        <v>83</v>
      </c>
      <c r="F9" s="26">
        <v>5.9516856276061416</v>
      </c>
      <c r="H9" s="49"/>
    </row>
    <row r="10" spans="4:8" x14ac:dyDescent="0.3">
      <c r="D10" s="50"/>
      <c r="E10" s="26" t="s">
        <v>84</v>
      </c>
      <c r="F10" s="26">
        <v>2.255292411806344</v>
      </c>
      <c r="H10" s="49"/>
    </row>
    <row r="11" spans="4:8" x14ac:dyDescent="0.3">
      <c r="D11" s="50"/>
      <c r="E11" s="26" t="s">
        <v>85</v>
      </c>
      <c r="F11" s="26">
        <v>184800000</v>
      </c>
      <c r="H11" s="49"/>
    </row>
    <row r="12" spans="4:8" x14ac:dyDescent="0.3">
      <c r="D12" s="50"/>
      <c r="E12" s="26" t="s">
        <v>86</v>
      </c>
      <c r="F12" s="26">
        <v>-16800000</v>
      </c>
      <c r="H12" s="49"/>
    </row>
    <row r="13" spans="4:8" x14ac:dyDescent="0.3">
      <c r="D13" s="50"/>
      <c r="E13" s="26" t="s">
        <v>87</v>
      </c>
      <c r="F13" s="26">
        <v>168000000</v>
      </c>
    </row>
    <row r="14" spans="4:8" x14ac:dyDescent="0.3">
      <c r="D14" s="50"/>
      <c r="E14" s="26" t="s">
        <v>75</v>
      </c>
      <c r="F14" s="26">
        <v>330960000</v>
      </c>
    </row>
    <row r="15" spans="4:8" x14ac:dyDescent="0.3">
      <c r="D15" s="50"/>
      <c r="E15" s="26" t="s">
        <v>88</v>
      </c>
      <c r="F15" s="26">
        <v>10</v>
      </c>
      <c r="H15" s="47"/>
    </row>
    <row r="16" spans="4:8" x14ac:dyDescent="0.3">
      <c r="H16" s="47"/>
    </row>
    <row r="17" spans="5:8" x14ac:dyDescent="0.3">
      <c r="E17" s="75" t="s">
        <v>128</v>
      </c>
      <c r="F17" s="75"/>
      <c r="G17" s="75"/>
      <c r="H17" s="75"/>
    </row>
    <row r="18" spans="5:8" x14ac:dyDescent="0.3">
      <c r="E18" s="76" t="s">
        <v>129</v>
      </c>
      <c r="F18" s="76"/>
    </row>
  </sheetData>
  <mergeCells count="3">
    <mergeCell ref="E2:F2"/>
    <mergeCell ref="E17:H17"/>
    <mergeCell ref="E18:F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1B14-B37C-4624-A385-4DD614E38503}">
  <dimension ref="B2:J26"/>
  <sheetViews>
    <sheetView showGridLines="0" tabSelected="1" topLeftCell="A8" workbookViewId="0">
      <selection activeCell="S25" sqref="S25"/>
    </sheetView>
  </sheetViews>
  <sheetFormatPr defaultRowHeight="14.4" x14ac:dyDescent="0.3"/>
  <cols>
    <col min="1" max="16384" width="8.88671875" style="1"/>
  </cols>
  <sheetData>
    <row r="2" spans="2:10" ht="15.6" x14ac:dyDescent="0.3">
      <c r="B2" s="56"/>
      <c r="C2" s="56"/>
    </row>
    <row r="8" spans="2:10" ht="18" x14ac:dyDescent="0.35">
      <c r="J8" s="57"/>
    </row>
    <row r="23" spans="4:8" ht="22.2" customHeight="1" x14ac:dyDescent="0.3"/>
    <row r="24" spans="4:8" ht="21" customHeight="1" x14ac:dyDescent="0.3">
      <c r="F24" s="60" t="s">
        <v>126</v>
      </c>
    </row>
    <row r="25" spans="4:8" ht="18" x14ac:dyDescent="0.35">
      <c r="F25" s="58"/>
    </row>
    <row r="26" spans="4:8" ht="18" x14ac:dyDescent="0.35">
      <c r="D26" s="59"/>
      <c r="E26" s="59"/>
      <c r="F26" s="58"/>
      <c r="G26" s="58"/>
      <c r="H26" s="5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1CF8-5084-4C48-8D10-F87ABE1597C9}">
  <dimension ref="E1:K14"/>
  <sheetViews>
    <sheetView showGridLines="0" topLeftCell="B1" zoomScale="133" workbookViewId="0">
      <selection activeCell="O10" sqref="O10"/>
    </sheetView>
  </sheetViews>
  <sheetFormatPr defaultRowHeight="14.4" x14ac:dyDescent="0.3"/>
  <cols>
    <col min="5" max="5" width="8.33203125" customWidth="1"/>
    <col min="6" max="6" width="12.44140625" customWidth="1"/>
    <col min="7" max="7" width="14.77734375" bestFit="1" customWidth="1"/>
    <col min="8" max="8" width="15.77734375" bestFit="1" customWidth="1"/>
    <col min="9" max="9" width="16.33203125" bestFit="1" customWidth="1"/>
    <col min="10" max="10" width="10.21875" customWidth="1"/>
  </cols>
  <sheetData>
    <row r="1" spans="5:11" ht="44.4" customHeight="1" x14ac:dyDescent="0.3">
      <c r="E1" s="11"/>
    </row>
    <row r="2" spans="5:11" ht="25.2" customHeight="1" x14ac:dyDescent="0.3">
      <c r="F2" s="13" t="s">
        <v>1</v>
      </c>
      <c r="G2" s="13" t="s">
        <v>73</v>
      </c>
      <c r="H2" s="77" t="s">
        <v>93</v>
      </c>
      <c r="I2" s="77"/>
      <c r="J2" s="13" t="s">
        <v>10</v>
      </c>
    </row>
    <row r="3" spans="5:11" s="12" customFormat="1" ht="7.2" customHeight="1" x14ac:dyDescent="0.3">
      <c r="F3" s="14"/>
      <c r="G3" s="14"/>
      <c r="H3" s="14"/>
      <c r="I3" s="14"/>
      <c r="J3" s="14"/>
      <c r="K3"/>
    </row>
    <row r="4" spans="5:11" x14ac:dyDescent="0.3">
      <c r="F4" s="15" t="s">
        <v>28</v>
      </c>
      <c r="G4" s="15" t="s">
        <v>27</v>
      </c>
      <c r="H4" s="15" t="s">
        <v>72</v>
      </c>
      <c r="I4" s="15" t="s">
        <v>74</v>
      </c>
      <c r="J4" s="16"/>
    </row>
    <row r="5" spans="5:11" x14ac:dyDescent="0.3">
      <c r="F5" s="17" t="str" cm="1">
        <f t="array" ref="F5:F13">_xlfn.UNIQUE(Table14[Car Brand])</f>
        <v>Ford</v>
      </c>
      <c r="G5" s="17" t="str" cm="1">
        <f t="array" ref="G5">_xlfn._xlws.FILTER(Table14[Car Model],Table14[Car Brand]='Dropdown Choices'!F4)</f>
        <v>911 Turbo S</v>
      </c>
      <c r="H5" s="18" cm="1">
        <f t="array" ref="H5">_xlfn._xlws.FILTER(Table14[Cost per Car USD],Table14[Car Model]='Dropdown Choices'!G4)</f>
        <v>385714.28571428574</v>
      </c>
      <c r="I5" s="19" cm="1">
        <f t="array" ref="I5">_xlfn._xlws.FILTER(Table14[Cost per Car INR],Table14[Car Model]='Dropdown Choices'!G4)</f>
        <v>32400000</v>
      </c>
      <c r="J5" s="21" t="str" cm="1">
        <f t="array" ref="J5">_xlfn._xlws.FILTER(Table14[Status],Table14[Car Model]='Dropdown Choices'!G4)</f>
        <v>Available</v>
      </c>
    </row>
    <row r="6" spans="5:11" x14ac:dyDescent="0.3">
      <c r="F6" s="17" t="str">
        <v>Lamborghini</v>
      </c>
      <c r="G6" s="17"/>
      <c r="H6" s="17"/>
      <c r="I6" s="17"/>
      <c r="J6" s="17"/>
    </row>
    <row r="7" spans="5:11" x14ac:dyDescent="0.3">
      <c r="F7" s="17" t="str">
        <v>Chevrolet</v>
      </c>
      <c r="G7" s="17"/>
      <c r="H7" s="17"/>
      <c r="I7" s="17"/>
      <c r="J7" s="17"/>
    </row>
    <row r="8" spans="5:11" x14ac:dyDescent="0.3">
      <c r="F8" s="17" t="str">
        <v>Porsche</v>
      </c>
      <c r="G8" s="17"/>
      <c r="H8" s="17"/>
      <c r="I8" s="17"/>
      <c r="J8" s="17"/>
    </row>
    <row r="9" spans="5:11" x14ac:dyDescent="0.3">
      <c r="F9" s="17" t="str">
        <v>BMW</v>
      </c>
      <c r="G9" s="17"/>
      <c r="H9" s="17"/>
      <c r="I9" s="17"/>
      <c r="J9" s="17"/>
    </row>
    <row r="10" spans="5:11" x14ac:dyDescent="0.3">
      <c r="F10" s="17" t="str">
        <v>Ferrari</v>
      </c>
      <c r="G10" s="17"/>
      <c r="H10" s="17"/>
      <c r="I10" s="17"/>
      <c r="J10" s="17"/>
    </row>
    <row r="11" spans="5:11" x14ac:dyDescent="0.3">
      <c r="F11" s="17" t="str">
        <v>Toyota</v>
      </c>
      <c r="G11" s="17"/>
      <c r="H11" s="17"/>
      <c r="I11" s="17"/>
      <c r="J11" s="17"/>
    </row>
    <row r="12" spans="5:11" x14ac:dyDescent="0.3">
      <c r="F12" s="17" t="str">
        <v>Bugatti</v>
      </c>
      <c r="G12" s="17"/>
      <c r="H12" s="17"/>
      <c r="I12" s="17"/>
      <c r="J12" s="17"/>
    </row>
    <row r="13" spans="5:11" x14ac:dyDescent="0.3">
      <c r="F13" s="17" t="str">
        <v>Nissan</v>
      </c>
      <c r="G13" s="17"/>
      <c r="H13" s="17"/>
      <c r="I13" s="17"/>
      <c r="J13" s="17"/>
    </row>
    <row r="14" spans="5:11" x14ac:dyDescent="0.3">
      <c r="F14" s="20"/>
      <c r="G14" s="20"/>
      <c r="H14" s="20"/>
      <c r="I14" s="20"/>
      <c r="J14" s="20"/>
    </row>
  </sheetData>
  <mergeCells count="1">
    <mergeCell ref="H2:I2"/>
  </mergeCells>
  <dataValidations count="2">
    <dataValidation type="list" allowBlank="1" showInputMessage="1" showErrorMessage="1" sqref="F4" xr:uid="{66071CE0-E722-41EB-8AA0-CEB432D96AE3}">
      <formula1>$F$5:$F$13</formula1>
    </dataValidation>
    <dataValidation type="list" allowBlank="1" showInputMessage="1" showErrorMessage="1" sqref="G4" xr:uid="{01268E62-A143-4868-8709-C9DD07990F8E}">
      <formula1>_xlfn.ANCHORARRAY($G$5)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7FFB-5D72-422B-9F77-FDB53A9A2566}">
  <dimension ref="A3:B13"/>
  <sheetViews>
    <sheetView showGridLines="0" workbookViewId="0">
      <selection activeCell="B4" sqref="B4"/>
    </sheetView>
  </sheetViews>
  <sheetFormatPr defaultRowHeight="14.4" x14ac:dyDescent="0.3"/>
  <cols>
    <col min="1" max="1" width="14.33203125" bestFit="1" customWidth="1"/>
    <col min="2" max="2" width="16" bestFit="1" customWidth="1"/>
    <col min="3" max="3" width="10.88671875" bestFit="1" customWidth="1"/>
    <col min="4" max="4" width="6.5546875" bestFit="1" customWidth="1"/>
    <col min="5" max="5" width="9.44140625" bestFit="1" customWidth="1"/>
    <col min="6" max="6" width="10.77734375" bestFit="1" customWidth="1"/>
    <col min="7" max="7" width="8" bestFit="1" customWidth="1"/>
    <col min="8" max="8" width="14.77734375" bestFit="1" customWidth="1"/>
    <col min="9" max="9" width="11.109375" bestFit="1" customWidth="1"/>
    <col min="10" max="10" width="8.6640625" bestFit="1" customWidth="1"/>
    <col min="11" max="12" width="13.77734375" bestFit="1" customWidth="1"/>
    <col min="13" max="13" width="12.6640625" bestFit="1" customWidth="1"/>
    <col min="14" max="14" width="13.77734375" bestFit="1" customWidth="1"/>
    <col min="15" max="15" width="12.6640625" bestFit="1" customWidth="1"/>
    <col min="16" max="18" width="13.77734375" bestFit="1" customWidth="1"/>
    <col min="19" max="19" width="12.6640625" bestFit="1" customWidth="1"/>
  </cols>
  <sheetData>
    <row r="3" spans="1:2" x14ac:dyDescent="0.3">
      <c r="A3" s="27" t="s">
        <v>90</v>
      </c>
      <c r="B3" s="26" t="s">
        <v>89</v>
      </c>
    </row>
    <row r="4" spans="1:2" x14ac:dyDescent="0.3">
      <c r="A4" s="28" t="s">
        <v>41</v>
      </c>
      <c r="B4" s="26">
        <v>35</v>
      </c>
    </row>
    <row r="5" spans="1:2" x14ac:dyDescent="0.3">
      <c r="A5" s="28" t="s">
        <v>23</v>
      </c>
      <c r="B5" s="26">
        <v>30</v>
      </c>
    </row>
    <row r="6" spans="1:2" x14ac:dyDescent="0.3">
      <c r="A6" s="28" t="s">
        <v>34</v>
      </c>
      <c r="B6" s="26">
        <v>18</v>
      </c>
    </row>
    <row r="7" spans="1:2" x14ac:dyDescent="0.3">
      <c r="A7" s="28" t="s">
        <v>46</v>
      </c>
      <c r="B7" s="26">
        <v>18</v>
      </c>
    </row>
    <row r="8" spans="1:2" x14ac:dyDescent="0.3">
      <c r="A8" s="28" t="s">
        <v>11</v>
      </c>
      <c r="B8" s="26">
        <v>15</v>
      </c>
    </row>
    <row r="9" spans="1:2" x14ac:dyDescent="0.3">
      <c r="A9" s="28" t="s">
        <v>32</v>
      </c>
      <c r="B9" s="26">
        <v>12</v>
      </c>
    </row>
    <row r="10" spans="1:2" x14ac:dyDescent="0.3">
      <c r="A10" s="28" t="s">
        <v>17</v>
      </c>
      <c r="B10" s="26">
        <v>10</v>
      </c>
    </row>
    <row r="11" spans="1:2" x14ac:dyDescent="0.3">
      <c r="A11" s="28" t="s">
        <v>38</v>
      </c>
      <c r="B11" s="26">
        <v>8</v>
      </c>
    </row>
    <row r="12" spans="1:2" x14ac:dyDescent="0.3">
      <c r="A12" s="28" t="s">
        <v>27</v>
      </c>
      <c r="B12" s="26">
        <v>7</v>
      </c>
    </row>
    <row r="13" spans="1:2" x14ac:dyDescent="0.3">
      <c r="A13" s="28" t="s">
        <v>43</v>
      </c>
      <c r="B13" s="26">
        <v>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1AF3-DA86-4529-969F-09F3B36DADCB}">
  <dimension ref="A3:B13"/>
  <sheetViews>
    <sheetView showGridLines="0" workbookViewId="0">
      <selection activeCell="B4" sqref="B4"/>
    </sheetView>
  </sheetViews>
  <sheetFormatPr defaultRowHeight="14.4" x14ac:dyDescent="0.3"/>
  <cols>
    <col min="1" max="1" width="14.33203125" bestFit="1" customWidth="1"/>
    <col min="2" max="2" width="17" bestFit="1" customWidth="1"/>
    <col min="3" max="4" width="13.109375" bestFit="1" customWidth="1"/>
    <col min="5" max="5" width="14.109375" bestFit="1" customWidth="1"/>
    <col min="6" max="7" width="13.109375" bestFit="1" customWidth="1"/>
    <col min="8" max="8" width="13.77734375" bestFit="1" customWidth="1"/>
    <col min="9" max="9" width="14.77734375" bestFit="1" customWidth="1"/>
    <col min="10" max="10" width="11.44140625" bestFit="1" customWidth="1"/>
    <col min="11" max="11" width="12.109375" bestFit="1" customWidth="1"/>
    <col min="12" max="12" width="14.109375" bestFit="1" customWidth="1"/>
  </cols>
  <sheetData>
    <row r="3" spans="1:2" x14ac:dyDescent="0.3">
      <c r="A3" s="27" t="s">
        <v>90</v>
      </c>
      <c r="B3" s="26" t="s">
        <v>102</v>
      </c>
    </row>
    <row r="4" spans="1:2" x14ac:dyDescent="0.3">
      <c r="A4" s="28" t="s">
        <v>43</v>
      </c>
      <c r="B4" s="25">
        <v>168000000</v>
      </c>
    </row>
    <row r="5" spans="1:2" x14ac:dyDescent="0.3">
      <c r="A5" s="28" t="s">
        <v>27</v>
      </c>
      <c r="B5" s="25">
        <v>58800000</v>
      </c>
    </row>
    <row r="6" spans="1:2" x14ac:dyDescent="0.3">
      <c r="A6" s="28" t="s">
        <v>38</v>
      </c>
      <c r="B6" s="25">
        <v>33600000</v>
      </c>
    </row>
    <row r="7" spans="1:2" x14ac:dyDescent="0.3">
      <c r="A7" s="28" t="s">
        <v>46</v>
      </c>
      <c r="B7" s="25">
        <v>28560000</v>
      </c>
    </row>
    <row r="8" spans="1:2" x14ac:dyDescent="0.3">
      <c r="A8" s="28" t="s">
        <v>34</v>
      </c>
      <c r="B8" s="25">
        <v>25200000</v>
      </c>
    </row>
    <row r="9" spans="1:2" x14ac:dyDescent="0.3">
      <c r="A9" s="28" t="s">
        <v>23</v>
      </c>
      <c r="B9" s="25">
        <v>16800000</v>
      </c>
    </row>
    <row r="10" spans="1:2" x14ac:dyDescent="0.3">
      <c r="A10" s="28" t="s">
        <v>17</v>
      </c>
      <c r="B10" s="25">
        <v>16800000</v>
      </c>
    </row>
    <row r="11" spans="1:2" x14ac:dyDescent="0.3">
      <c r="A11" s="28" t="s">
        <v>11</v>
      </c>
      <c r="B11" s="25">
        <v>4200000</v>
      </c>
    </row>
    <row r="12" spans="1:2" x14ac:dyDescent="0.3">
      <c r="A12" s="28" t="s">
        <v>41</v>
      </c>
      <c r="B12" s="25">
        <v>-4200000</v>
      </c>
    </row>
    <row r="13" spans="1:2" x14ac:dyDescent="0.3">
      <c r="A13" s="28" t="s">
        <v>32</v>
      </c>
      <c r="B13" s="25">
        <v>-16800000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1741-BF16-4E84-8789-BA9FE030E07C}">
  <dimension ref="A3:C9"/>
  <sheetViews>
    <sheetView showGridLines="0" zoomScale="107" workbookViewId="0">
      <selection activeCell="I23" sqref="I23"/>
    </sheetView>
  </sheetViews>
  <sheetFormatPr defaultRowHeight="14.4" x14ac:dyDescent="0.3"/>
  <cols>
    <col min="1" max="1" width="12.77734375" bestFit="1" customWidth="1"/>
    <col min="2" max="2" width="20" bestFit="1" customWidth="1"/>
    <col min="3" max="3" width="19.21875" bestFit="1" customWidth="1"/>
    <col min="4" max="5" width="14.109375" bestFit="1" customWidth="1"/>
    <col min="6" max="6" width="16.109375" bestFit="1" customWidth="1"/>
    <col min="7" max="7" width="14.109375" bestFit="1" customWidth="1"/>
    <col min="8" max="8" width="15.6640625" bestFit="1" customWidth="1"/>
    <col min="9" max="9" width="14.77734375" bestFit="1" customWidth="1"/>
    <col min="10" max="11" width="13.109375" bestFit="1" customWidth="1"/>
    <col min="12" max="12" width="15.6640625" bestFit="1" customWidth="1"/>
  </cols>
  <sheetData>
    <row r="3" spans="1:3" x14ac:dyDescent="0.3">
      <c r="A3" s="27" t="s">
        <v>90</v>
      </c>
      <c r="B3" s="26" t="s">
        <v>96</v>
      </c>
      <c r="C3" s="26" t="s">
        <v>103</v>
      </c>
    </row>
    <row r="4" spans="1:3" x14ac:dyDescent="0.3">
      <c r="A4" s="28" t="s">
        <v>36</v>
      </c>
      <c r="B4" s="25">
        <v>876960000</v>
      </c>
      <c r="C4" s="29">
        <v>0.45833333333333331</v>
      </c>
    </row>
    <row r="5" spans="1:3" x14ac:dyDescent="0.3">
      <c r="A5" s="28" t="s">
        <v>30</v>
      </c>
      <c r="B5" s="25">
        <v>294000000</v>
      </c>
      <c r="C5" s="29">
        <v>8.2236842105263164E-2</v>
      </c>
    </row>
    <row r="6" spans="1:3" x14ac:dyDescent="0.3">
      <c r="A6" s="28" t="s">
        <v>33</v>
      </c>
      <c r="B6" s="25">
        <v>247800000</v>
      </c>
      <c r="C6" s="29">
        <v>0.11515151515151516</v>
      </c>
    </row>
    <row r="7" spans="1:3" x14ac:dyDescent="0.3">
      <c r="A7" s="28" t="s">
        <v>25</v>
      </c>
      <c r="B7" s="25">
        <v>226800000</v>
      </c>
      <c r="C7" s="29">
        <v>0.25925925925925924</v>
      </c>
    </row>
    <row r="8" spans="1:3" x14ac:dyDescent="0.3">
      <c r="A8" s="28" t="s">
        <v>20</v>
      </c>
      <c r="B8" s="25">
        <v>201600000</v>
      </c>
      <c r="C8" s="29">
        <v>0.35555555555555551</v>
      </c>
    </row>
    <row r="9" spans="1:3" x14ac:dyDescent="0.3">
      <c r="A9" s="28" t="s">
        <v>14</v>
      </c>
      <c r="B9" s="25">
        <v>88200000</v>
      </c>
      <c r="C9" s="29">
        <v>4.7619047619047616E-2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5B38-A66A-4FA1-A02D-8F582654C1A5}">
  <dimension ref="A1:A2"/>
  <sheetViews>
    <sheetView showGridLines="0" zoomScale="90" zoomScaleNormal="130" workbookViewId="0">
      <selection activeCell="O51" sqref="O51"/>
    </sheetView>
  </sheetViews>
  <sheetFormatPr defaultRowHeight="14.4" x14ac:dyDescent="0.3"/>
  <sheetData>
    <row r="1" s="78" customFormat="1" ht="30" customHeight="1" x14ac:dyDescent="0.3"/>
    <row r="2" s="78" customFormat="1" ht="28.2" customHeight="1" x14ac:dyDescent="0.3"/>
  </sheetData>
  <mergeCells count="1">
    <mergeCell ref="A1:XFD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CA0E-64A8-41CC-9696-BE2AF82C2B36}">
  <dimension ref="A2:J11"/>
  <sheetViews>
    <sheetView showGridLines="0" zoomScale="142" workbookViewId="0">
      <selection activeCell="B5" sqref="B5"/>
    </sheetView>
  </sheetViews>
  <sheetFormatPr defaultRowHeight="14.4" x14ac:dyDescent="0.3"/>
  <sheetData>
    <row r="2" spans="1:10" ht="21.6" customHeight="1" x14ac:dyDescent="0.35">
      <c r="A2" s="6"/>
      <c r="B2" s="79" t="s">
        <v>125</v>
      </c>
      <c r="C2" s="79"/>
      <c r="D2" s="79"/>
      <c r="E2" s="79"/>
      <c r="F2" s="79"/>
      <c r="G2" s="79"/>
      <c r="H2" s="6"/>
      <c r="I2" s="6"/>
      <c r="J2" s="6"/>
    </row>
    <row r="3" spans="1:10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x14ac:dyDescent="0.3">
      <c r="A4" s="6"/>
      <c r="B4" s="6" t="s">
        <v>120</v>
      </c>
      <c r="C4" s="6"/>
      <c r="D4" s="6"/>
      <c r="E4" s="6"/>
      <c r="F4" s="6"/>
      <c r="G4" s="6"/>
      <c r="H4" s="6"/>
      <c r="I4" s="6"/>
      <c r="J4" s="6"/>
    </row>
    <row r="5" spans="1:10" x14ac:dyDescent="0.3">
      <c r="A5" s="6"/>
      <c r="B5" s="55" t="s">
        <v>130</v>
      </c>
      <c r="C5" s="6"/>
      <c r="D5" s="6"/>
      <c r="E5" s="6"/>
      <c r="F5" s="6"/>
      <c r="G5" s="6"/>
      <c r="H5" s="6"/>
      <c r="I5" s="6"/>
      <c r="J5" s="6"/>
    </row>
    <row r="6" spans="1:10" x14ac:dyDescent="0.3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x14ac:dyDescent="0.3">
      <c r="A7" s="6"/>
      <c r="B7" s="6" t="s">
        <v>122</v>
      </c>
      <c r="C7" s="6"/>
      <c r="D7" s="6"/>
      <c r="E7" s="6"/>
      <c r="F7" s="6"/>
      <c r="G7" s="6"/>
      <c r="H7" s="6"/>
      <c r="I7" s="6"/>
      <c r="J7" s="6"/>
    </row>
    <row r="8" spans="1:10" x14ac:dyDescent="0.3">
      <c r="A8" s="6"/>
      <c r="B8" s="55" t="s">
        <v>121</v>
      </c>
      <c r="C8" s="6"/>
      <c r="D8" s="6"/>
      <c r="E8" s="6"/>
      <c r="F8" s="6"/>
      <c r="G8" s="6"/>
      <c r="H8" s="6"/>
      <c r="I8" s="6"/>
      <c r="J8" s="6"/>
    </row>
    <row r="9" spans="1:10" x14ac:dyDescent="0.3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3">
      <c r="A10" s="6"/>
      <c r="B10" s="6" t="s">
        <v>124</v>
      </c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6"/>
      <c r="B11" s="55" t="s">
        <v>123</v>
      </c>
      <c r="C11" s="6"/>
      <c r="D11" s="6"/>
      <c r="E11" s="6"/>
      <c r="F11" s="6"/>
      <c r="G11" s="6"/>
      <c r="H11" s="6"/>
      <c r="I11" s="6"/>
      <c r="J11" s="6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 Dataset</vt:lpstr>
      <vt:lpstr>Processed Dataset</vt:lpstr>
      <vt:lpstr>Basic Claculations</vt:lpstr>
      <vt:lpstr>Lookups</vt:lpstr>
      <vt:lpstr>Discriptive Stat</vt:lpstr>
      <vt:lpstr>B&amp;W</vt:lpstr>
      <vt:lpstr>Dropdown Choices</vt:lpstr>
      <vt:lpstr>Pivot-Unit Sold</vt:lpstr>
      <vt:lpstr>Pivot-Profit Generated</vt:lpstr>
      <vt:lpstr>Pivot-Revenue by Month</vt:lpstr>
      <vt:lpstr>Dashboard</vt:lpstr>
      <vt:lpstr>Key 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 DINOOO !!!</dc:creator>
  <cp:lastModifiedBy>Hey DINOOO !!!</cp:lastModifiedBy>
  <dcterms:created xsi:type="dcterms:W3CDTF">2024-12-15T17:09:47Z</dcterms:created>
  <dcterms:modified xsi:type="dcterms:W3CDTF">2025-02-06T10:17:06Z</dcterms:modified>
</cp:coreProperties>
</file>