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CB32768A-3E8B-4B72-BDC3-1DC43C2239C6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tables_DetailedSta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13" i="1" l="1"/>
  <c r="AT24" i="1" s="1"/>
  <c r="AP13" i="1"/>
  <c r="AP24" i="1" s="1"/>
  <c r="AL13" i="1"/>
  <c r="AL24" i="1" s="1"/>
  <c r="AH13" i="1"/>
  <c r="AH24" i="1" s="1"/>
  <c r="AD13" i="1"/>
  <c r="AD24" i="1" s="1"/>
  <c r="AD12" i="1"/>
  <c r="AD23" i="1" s="1"/>
  <c r="AB13" i="1"/>
  <c r="AB24" i="1" s="1"/>
  <c r="Y2" i="1"/>
  <c r="AT14" i="1" s="1"/>
  <c r="AT25" i="1" s="1"/>
  <c r="Y3" i="1"/>
  <c r="Y4" i="1"/>
  <c r="AS14" i="1" s="1"/>
  <c r="AS25" i="1" s="1"/>
  <c r="Y5" i="1"/>
  <c r="AU15" i="1" s="1"/>
  <c r="AU26" i="1" s="1"/>
  <c r="Y6" i="1"/>
  <c r="Y7" i="1"/>
  <c r="Y8" i="1"/>
  <c r="AK15" i="1" s="1"/>
  <c r="AK26" i="1" s="1"/>
  <c r="Y9" i="1"/>
  <c r="Y10" i="1"/>
  <c r="Y11" i="1"/>
  <c r="Y12" i="1"/>
  <c r="AT16" i="1" s="1"/>
  <c r="AT27" i="1" s="1"/>
  <c r="Y13" i="1"/>
  <c r="Y14" i="1"/>
  <c r="Y15" i="1"/>
  <c r="AS11" i="1" s="1"/>
  <c r="AS22" i="1" s="1"/>
  <c r="Y16" i="1"/>
  <c r="AT12" i="1" s="1"/>
  <c r="AT23" i="1" s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AN11" i="1" s="1"/>
  <c r="AN22" i="1" s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AU13" i="1" s="1"/>
  <c r="AU24" i="1" s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J92" i="1"/>
  <c r="AB12" i="1" l="1"/>
  <c r="AB23" i="1" s="1"/>
  <c r="AJ11" i="1"/>
  <c r="AJ22" i="1" s="1"/>
  <c r="AC12" i="1"/>
  <c r="AC23" i="1" s="1"/>
  <c r="AO14" i="1"/>
  <c r="AO25" i="1" s="1"/>
  <c r="AC15" i="1"/>
  <c r="AC26" i="1" s="1"/>
  <c r="AP15" i="1"/>
  <c r="AP26" i="1" s="1"/>
  <c r="AC16" i="1"/>
  <c r="AC27" i="1" s="1"/>
  <c r="AO16" i="1"/>
  <c r="AO27" i="1" s="1"/>
  <c r="AB14" i="1"/>
  <c r="AB25" i="1" s="1"/>
  <c r="AD11" i="1"/>
  <c r="AD22" i="1" s="1"/>
  <c r="AH11" i="1"/>
  <c r="AH22" i="1" s="1"/>
  <c r="AL11" i="1"/>
  <c r="AL22" i="1" s="1"/>
  <c r="AP11" i="1"/>
  <c r="AP22" i="1" s="1"/>
  <c r="AT11" i="1"/>
  <c r="AT22" i="1" s="1"/>
  <c r="AE12" i="1"/>
  <c r="AE23" i="1" s="1"/>
  <c r="AI12" i="1"/>
  <c r="AI23" i="1" s="1"/>
  <c r="AM12" i="1"/>
  <c r="AM23" i="1" s="1"/>
  <c r="AQ12" i="1"/>
  <c r="AQ23" i="1" s="1"/>
  <c r="AU12" i="1"/>
  <c r="AU23" i="1" s="1"/>
  <c r="AF13" i="1"/>
  <c r="AF24" i="1" s="1"/>
  <c r="AJ13" i="1"/>
  <c r="AJ24" i="1" s="1"/>
  <c r="AN13" i="1"/>
  <c r="AN24" i="1" s="1"/>
  <c r="AR13" i="1"/>
  <c r="AR24" i="1" s="1"/>
  <c r="AC14" i="1"/>
  <c r="AC25" i="1" s="1"/>
  <c r="AG14" i="1"/>
  <c r="AG25" i="1" s="1"/>
  <c r="AL14" i="1"/>
  <c r="AL25" i="1" s="1"/>
  <c r="AQ14" i="1"/>
  <c r="AQ25" i="1" s="1"/>
  <c r="AU14" i="1"/>
  <c r="AU25" i="1" s="1"/>
  <c r="AE15" i="1"/>
  <c r="AE26" i="1" s="1"/>
  <c r="AI15" i="1"/>
  <c r="AI26" i="1" s="1"/>
  <c r="AM15" i="1"/>
  <c r="AM26" i="1" s="1"/>
  <c r="AR15" i="1"/>
  <c r="AR26" i="1" s="1"/>
  <c r="AN14" i="1"/>
  <c r="AN25" i="1" s="1"/>
  <c r="AE16" i="1"/>
  <c r="AE27" i="1" s="1"/>
  <c r="AI16" i="1"/>
  <c r="AI27" i="1" s="1"/>
  <c r="AM16" i="1"/>
  <c r="AM27" i="1" s="1"/>
  <c r="AQ16" i="1"/>
  <c r="AQ27" i="1" s="1"/>
  <c r="AU16" i="1"/>
  <c r="AU27" i="1" s="1"/>
  <c r="AF11" i="1"/>
  <c r="AR11" i="1"/>
  <c r="AI14" i="1"/>
  <c r="AI25" i="1" s="1"/>
  <c r="AG15" i="1"/>
  <c r="AG26" i="1" s="1"/>
  <c r="AT15" i="1"/>
  <c r="AT26" i="1" s="1"/>
  <c r="AG16" i="1"/>
  <c r="AG27" i="1" s="1"/>
  <c r="AK16" i="1"/>
  <c r="AK27" i="1" s="1"/>
  <c r="AC11" i="1"/>
  <c r="AC22" i="1" s="1"/>
  <c r="AG11" i="1"/>
  <c r="AG22" i="1" s="1"/>
  <c r="AB11" i="1"/>
  <c r="AB15" i="1"/>
  <c r="AB26" i="1" s="1"/>
  <c r="AE11" i="1"/>
  <c r="AE22" i="1" s="1"/>
  <c r="AI11" i="1"/>
  <c r="AI22" i="1" s="1"/>
  <c r="AM11" i="1"/>
  <c r="AM22" i="1" s="1"/>
  <c r="AQ11" i="1"/>
  <c r="AQ22" i="1" s="1"/>
  <c r="AU11" i="1"/>
  <c r="AU22" i="1" s="1"/>
  <c r="AF12" i="1"/>
  <c r="AF23" i="1" s="1"/>
  <c r="AJ12" i="1"/>
  <c r="AJ23" i="1" s="1"/>
  <c r="AN12" i="1"/>
  <c r="AN23" i="1" s="1"/>
  <c r="AR12" i="1"/>
  <c r="AR23" i="1" s="1"/>
  <c r="AC13" i="1"/>
  <c r="AC24" i="1" s="1"/>
  <c r="AG13" i="1"/>
  <c r="AG24" i="1" s="1"/>
  <c r="AK13" i="1"/>
  <c r="AK24" i="1" s="1"/>
  <c r="AO13" i="1"/>
  <c r="AO24" i="1" s="1"/>
  <c r="AS13" i="1"/>
  <c r="AS24" i="1" s="1"/>
  <c r="AD14" i="1"/>
  <c r="AD25" i="1" s="1"/>
  <c r="AH14" i="1"/>
  <c r="AH25" i="1" s="1"/>
  <c r="AM14" i="1"/>
  <c r="AM25" i="1" s="1"/>
  <c r="AR14" i="1"/>
  <c r="AR25" i="1" s="1"/>
  <c r="AK14" i="1"/>
  <c r="AK25" i="1" s="1"/>
  <c r="AF15" i="1"/>
  <c r="AF26" i="1" s="1"/>
  <c r="AJ15" i="1"/>
  <c r="AJ26" i="1" s="1"/>
  <c r="AO15" i="1"/>
  <c r="AO26" i="1" s="1"/>
  <c r="AS15" i="1"/>
  <c r="AS26" i="1" s="1"/>
  <c r="AN15" i="1"/>
  <c r="AN26" i="1" s="1"/>
  <c r="AF16" i="1"/>
  <c r="AF27" i="1" s="1"/>
  <c r="AJ16" i="1"/>
  <c r="AJ27" i="1" s="1"/>
  <c r="AN16" i="1"/>
  <c r="AN27" i="1" s="1"/>
  <c r="AR16" i="1"/>
  <c r="AR27" i="1" s="1"/>
  <c r="AS16" i="1"/>
  <c r="AS27" i="1" s="1"/>
  <c r="AB16" i="1"/>
  <c r="AB27" i="1" s="1"/>
  <c r="AG12" i="1"/>
  <c r="AG23" i="1" s="1"/>
  <c r="AK12" i="1"/>
  <c r="AK23" i="1" s="1"/>
  <c r="AO12" i="1"/>
  <c r="AO23" i="1" s="1"/>
  <c r="AS12" i="1"/>
  <c r="AS23" i="1" s="1"/>
  <c r="AE14" i="1"/>
  <c r="AE25" i="1" s="1"/>
  <c r="AK11" i="1"/>
  <c r="AK22" i="1" s="1"/>
  <c r="AO11" i="1"/>
  <c r="AO22" i="1" s="1"/>
  <c r="AH12" i="1"/>
  <c r="AH23" i="1" s="1"/>
  <c r="AL12" i="1"/>
  <c r="AL23" i="1" s="1"/>
  <c r="AP12" i="1"/>
  <c r="AP23" i="1" s="1"/>
  <c r="AE13" i="1"/>
  <c r="AE24" i="1" s="1"/>
  <c r="AI13" i="1"/>
  <c r="AI24" i="1" s="1"/>
  <c r="AM13" i="1"/>
  <c r="AM24" i="1" s="1"/>
  <c r="AQ13" i="1"/>
  <c r="AQ24" i="1" s="1"/>
  <c r="AF14" i="1"/>
  <c r="AF25" i="1" s="1"/>
  <c r="AJ14" i="1"/>
  <c r="AJ25" i="1" s="1"/>
  <c r="AP14" i="1"/>
  <c r="AP25" i="1" s="1"/>
  <c r="AD15" i="1"/>
  <c r="AD26" i="1" s="1"/>
  <c r="AH15" i="1"/>
  <c r="AH26" i="1" s="1"/>
  <c r="AL15" i="1"/>
  <c r="AL26" i="1" s="1"/>
  <c r="AQ15" i="1"/>
  <c r="AQ26" i="1" s="1"/>
  <c r="AD16" i="1"/>
  <c r="AD27" i="1" s="1"/>
  <c r="AH16" i="1"/>
  <c r="AH27" i="1" s="1"/>
  <c r="AL16" i="1"/>
  <c r="AL27" i="1" s="1"/>
  <c r="AP16" i="1"/>
  <c r="AP27" i="1" s="1"/>
  <c r="AR22" i="1" l="1"/>
  <c r="AU19" i="1"/>
  <c r="AF22" i="1"/>
  <c r="AQ19" i="1"/>
  <c r="AB22" i="1"/>
  <c r="AE19" i="1"/>
</calcChain>
</file>

<file path=xl/sharedStrings.xml><?xml version="1.0" encoding="utf-8"?>
<sst xmlns="http://schemas.openxmlformats.org/spreadsheetml/2006/main" count="485" uniqueCount="221">
  <si>
    <t>Table</t>
  </si>
  <si>
    <t>Duration</t>
  </si>
  <si>
    <t>Birth</t>
  </si>
  <si>
    <t>Death</t>
  </si>
  <si>
    <t>LastKnownVersion</t>
  </si>
  <si>
    <t>BirthDate</t>
  </si>
  <si>
    <t>LKVDate</t>
  </si>
  <si>
    <t>YearOfBirth</t>
  </si>
  <si>
    <t>YearOfLKV</t>
  </si>
  <si>
    <t>DurationDays</t>
  </si>
  <si>
    <t>SchemaSize@Birth</t>
  </si>
  <si>
    <t>SchemaSize@LKV</t>
  </si>
  <si>
    <t>SchemaSizeAvg</t>
  </si>
  <si>
    <t>SchemaSizeResizeRatio</t>
  </si>
  <si>
    <t>SumUpd</t>
  </si>
  <si>
    <t>CountVwUpd</t>
  </si>
  <si>
    <t>ATU</t>
  </si>
  <si>
    <t>UpdRate</t>
  </si>
  <si>
    <t>AvgUpdVolume</t>
  </si>
  <si>
    <t>SurvivalClass</t>
  </si>
  <si>
    <t>ActivityClass</t>
  </si>
  <si>
    <t>LADClass</t>
  </si>
  <si>
    <t>DBCOPY_SOURCE_DATABASE</t>
  </si>
  <si>
    <t>-</t>
  </si>
  <si>
    <t>HLT_HRC_TO_HRP</t>
  </si>
  <si>
    <t>HLT_HRE_TO_HRS</t>
  </si>
  <si>
    <t>HLT_HRS_TO_HRU</t>
  </si>
  <si>
    <t>6.8</t>
  </si>
  <si>
    <t>1.17</t>
  </si>
  <si>
    <t>0.07</t>
  </si>
  <si>
    <t>HLT_HRU_TO_HRC</t>
  </si>
  <si>
    <t>HLT_RULE</t>
  </si>
  <si>
    <t>HLT_RULE_COMPONENT</t>
  </si>
  <si>
    <t>9.6</t>
  </si>
  <si>
    <t>1.25</t>
  </si>
  <si>
    <t>0.13</t>
  </si>
  <si>
    <t>HLT_RULE_PARAMETER</t>
  </si>
  <si>
    <t>HLT_RULE_SET</t>
  </si>
  <si>
    <t>HLT_SMT_TO_HRE</t>
  </si>
  <si>
    <t>hlt_component</t>
  </si>
  <si>
    <t>9.13</t>
  </si>
  <si>
    <t>1.11</t>
  </si>
  <si>
    <t>0.19</t>
  </si>
  <si>
    <t>0.12</t>
  </si>
  <si>
    <t>1.6</t>
  </si>
  <si>
    <t>hlt_cp_to_cp</t>
  </si>
  <si>
    <t>0.21</t>
  </si>
  <si>
    <t>0.05</t>
  </si>
  <si>
    <t>hlt_cp_to_pa</t>
  </si>
  <si>
    <t>6.01</t>
  </si>
  <si>
    <t>hlt_dl_to_en</t>
  </si>
  <si>
    <t>hlt_dll</t>
  </si>
  <si>
    <t>hlt_environment</t>
  </si>
  <si>
    <t>0.09</t>
  </si>
  <si>
    <t>hlt_force_dll</t>
  </si>
  <si>
    <t>6.03</t>
  </si>
  <si>
    <t>0.08</t>
  </si>
  <si>
    <t>hlt_master_table</t>
  </si>
  <si>
    <t>11.34</t>
  </si>
  <si>
    <t>1.2</t>
  </si>
  <si>
    <t>1.57</t>
  </si>
  <si>
    <t>hlt_parameter</t>
  </si>
  <si>
    <t>7.18</t>
  </si>
  <si>
    <t>1.14</t>
  </si>
  <si>
    <t>hlt_prescale</t>
  </si>
  <si>
    <t>8.4</t>
  </si>
  <si>
    <t>1.29</t>
  </si>
  <si>
    <t>0.11</t>
  </si>
  <si>
    <t>1.5</t>
  </si>
  <si>
    <t>hlt_prescale_set</t>
  </si>
  <si>
    <t>hlt_prescale_set_alias</t>
  </si>
  <si>
    <t>0.06</t>
  </si>
  <si>
    <t>0.04</t>
  </si>
  <si>
    <t>hlt_prescale_set_coll</t>
  </si>
  <si>
    <t>3.5</t>
  </si>
  <si>
    <t>1.33</t>
  </si>
  <si>
    <t>0.5</t>
  </si>
  <si>
    <t>hlt_property</t>
  </si>
  <si>
    <t>hlt_re_to_dl</t>
  </si>
  <si>
    <t>hlt_release</t>
  </si>
  <si>
    <t>6.2</t>
  </si>
  <si>
    <t>1.67</t>
  </si>
  <si>
    <t>hlt_setup</t>
  </si>
  <si>
    <t>6.44</t>
  </si>
  <si>
    <t>hlt_so_to_dl</t>
  </si>
  <si>
    <t>hlt_so_to_py</t>
  </si>
  <si>
    <t>hlt_source</t>
  </si>
  <si>
    <t>hlt_st_to_cp</t>
  </si>
  <si>
    <t>hlt_tc_to_st</t>
  </si>
  <si>
    <t>hlt_tc_to_tr</t>
  </si>
  <si>
    <t>6.83</t>
  </si>
  <si>
    <t>0.1</t>
  </si>
  <si>
    <t>hlt_tc_to_ts</t>
  </si>
  <si>
    <t>7.01</t>
  </si>
  <si>
    <t>hlt_tc_to_tt</t>
  </si>
  <si>
    <t>hlt_te_to_cp</t>
  </si>
  <si>
    <t>7.09</t>
  </si>
  <si>
    <t>0.15</t>
  </si>
  <si>
    <t>1.62</t>
  </si>
  <si>
    <t>hlt_te_to_te</t>
  </si>
  <si>
    <t>7.4</t>
  </si>
  <si>
    <t>1.86</t>
  </si>
  <si>
    <t>hlt_tm_to_ps</t>
  </si>
  <si>
    <t>hlt_tm_to_tc</t>
  </si>
  <si>
    <t>6.28</t>
  </si>
  <si>
    <t>0.86</t>
  </si>
  <si>
    <t>hlt_trigger_chain</t>
  </si>
  <si>
    <t>10.55</t>
  </si>
  <si>
    <t>0.14</t>
  </si>
  <si>
    <t>hlt_trigger_element</t>
  </si>
  <si>
    <t>hlt_trigger_group</t>
  </si>
  <si>
    <t>0.02</t>
  </si>
  <si>
    <t>hlt_trigger_menu</t>
  </si>
  <si>
    <t>8.01</t>
  </si>
  <si>
    <t>hlt_trigger_signature</t>
  </si>
  <si>
    <t>5.01</t>
  </si>
  <si>
    <t>hlt_trigger_stream</t>
  </si>
  <si>
    <t>7.8</t>
  </si>
  <si>
    <t>0.39</t>
  </si>
  <si>
    <t>2.91</t>
  </si>
  <si>
    <t>hlt_trigger_streamtag</t>
  </si>
  <si>
    <t>hlt_trigger_type</t>
  </si>
  <si>
    <t>0.41</t>
  </si>
  <si>
    <t>4.67</t>
  </si>
  <si>
    <t>hlt_ts_to_te</t>
  </si>
  <si>
    <t>hlt_tt_to_tr</t>
  </si>
  <si>
    <t>l1_bg_to_b</t>
  </si>
  <si>
    <t>l1_bgs_to_bg</t>
  </si>
  <si>
    <t>l1_bunch_group</t>
  </si>
  <si>
    <t>l1_bunch_group_set</t>
  </si>
  <si>
    <t>6.21</t>
  </si>
  <si>
    <t>l1_calo_info</t>
  </si>
  <si>
    <t>19.01</t>
  </si>
  <si>
    <t>1.12</t>
  </si>
  <si>
    <t>l1_calo_sin_cos</t>
  </si>
  <si>
    <t>18.01</t>
  </si>
  <si>
    <t>l1_ci_to_csc</t>
  </si>
  <si>
    <t>l1_ctp_files</t>
  </si>
  <si>
    <t>12.44</t>
  </si>
  <si>
    <t>0.16</t>
  </si>
  <si>
    <t>2.33</t>
  </si>
  <si>
    <t>l1_ctp_smx</t>
  </si>
  <si>
    <t>13.01</t>
  </si>
  <si>
    <t>l1_dead_time</t>
  </si>
  <si>
    <t>11.01</t>
  </si>
  <si>
    <t>l1_jet_input</t>
  </si>
  <si>
    <t>12.01</t>
  </si>
  <si>
    <t>l1_master_table</t>
  </si>
  <si>
    <t>14.88</t>
  </si>
  <si>
    <t>l1_muctpi_info</t>
  </si>
  <si>
    <t>9.01</t>
  </si>
  <si>
    <t>l1_muon_threshold_set</t>
  </si>
  <si>
    <t>22.25</t>
  </si>
  <si>
    <t>0.83</t>
  </si>
  <si>
    <t>0.81</t>
  </si>
  <si>
    <t>l1_muon_threshold_sets</t>
  </si>
  <si>
    <t>14.02</t>
  </si>
  <si>
    <t>l1_pits</t>
  </si>
  <si>
    <t>l1_prescale_set</t>
  </si>
  <si>
    <t>0.18</t>
  </si>
  <si>
    <t>l1_prescale_set_alias</t>
  </si>
  <si>
    <t>7.02</t>
  </si>
  <si>
    <t>l1_prescaled_clock</t>
  </si>
  <si>
    <t>l1_random</t>
  </si>
  <si>
    <t>10.44</t>
  </si>
  <si>
    <t>1.71</t>
  </si>
  <si>
    <t>l1_random_rates</t>
  </si>
  <si>
    <t>2.98</t>
  </si>
  <si>
    <t>l1_ti_to_tt</t>
  </si>
  <si>
    <t>l1_tm_to_ps</t>
  </si>
  <si>
    <t>l1_tm_to_ti</t>
  </si>
  <si>
    <t>l1_tm_to_tt</t>
  </si>
  <si>
    <t>11.09</t>
  </si>
  <si>
    <t>l1_tm_to_tt_forced</t>
  </si>
  <si>
    <t>l1_tm_to_tt_mon</t>
  </si>
  <si>
    <t>l1_trigger_item</t>
  </si>
  <si>
    <t>11.07</t>
  </si>
  <si>
    <t>l1_trigger_menu</t>
  </si>
  <si>
    <t>10.4</t>
  </si>
  <si>
    <t>0.91</t>
  </si>
  <si>
    <t>l1_trigger_threshold</t>
  </si>
  <si>
    <t>9.59</t>
  </si>
  <si>
    <t>l1_trigger_threshold_value</t>
  </si>
  <si>
    <t>17.01</t>
  </si>
  <si>
    <t>0.24</t>
  </si>
  <si>
    <t>l1_trigger_type</t>
  </si>
  <si>
    <t>l1_tt_to_ttv</t>
  </si>
  <si>
    <t>super_master_table</t>
  </si>
  <si>
    <t>9.42</t>
  </si>
  <si>
    <t>trigger_alias</t>
  </si>
  <si>
    <t>0.88</t>
  </si>
  <si>
    <t>trigger_log</t>
  </si>
  <si>
    <t>3.68</t>
  </si>
  <si>
    <t>trigger_next_run</t>
  </si>
  <si>
    <t>trigger_schema</t>
  </si>
  <si>
    <t>tt_users</t>
  </si>
  <si>
    <t>PctDuration</t>
  </si>
  <si>
    <t>maxdur</t>
  </si>
  <si>
    <t>95-100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</si>
  <si>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</si>
  <si>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</si>
  <si>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</si>
  <si>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</si>
  <si>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</si>
  <si>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</si>
  <si>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</si>
  <si>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</si>
  <si>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</si>
  <si>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</si>
  <si>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</si>
  <si>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</si>
  <si>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</si>
  <si>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</si>
  <si>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</si>
  <si>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</si>
  <si>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</si>
  <si>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</si>
  <si>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</si>
  <si>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sum0-20</t>
  </si>
  <si>
    <t>sum20-80</t>
  </si>
  <si>
    <t>sum80-100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</si>
</sst>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2"/>
  <sheetViews>
    <sheetView tabSelected="1" topLeftCell="W2" zoomScaleNormal="100" workbookViewId="0">
      <selection activeCell="AM32" sqref="AM32"/>
    </sheetView>
  </sheetViews>
  <sheetFormatPr defaultRowHeight="14.3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t="s">
        <v>196</v>
      </c>
    </row>
    <row r="2" spans="1:47" x14ac:dyDescent="0.25">
      <c r="A2" t="s">
        <v>22</v>
      </c>
      <c r="B2">
        <v>5</v>
      </c>
      <c r="C2">
        <v>80</v>
      </c>
      <c r="D2" t="s">
        <v>23</v>
      </c>
      <c r="E2">
        <v>84</v>
      </c>
      <c r="F2" s="1">
        <v>39792.561180555553</v>
      </c>
      <c r="G2" s="1">
        <v>39901.343368055554</v>
      </c>
      <c r="H2">
        <v>3</v>
      </c>
      <c r="I2">
        <v>3</v>
      </c>
      <c r="J2">
        <v>108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T2">
        <v>20</v>
      </c>
      <c r="U2">
        <v>0</v>
      </c>
      <c r="V2">
        <v>20</v>
      </c>
      <c r="Y2">
        <f t="shared" ref="Y2:Y33" si="0" xml:space="preserve"> J2 / 971</f>
        <v>0.11122554067971163</v>
      </c>
    </row>
    <row r="3" spans="1:47" x14ac:dyDescent="0.25">
      <c r="A3" t="s">
        <v>24</v>
      </c>
      <c r="B3">
        <v>15</v>
      </c>
      <c r="C3">
        <v>70</v>
      </c>
      <c r="D3" t="s">
        <v>23</v>
      </c>
      <c r="E3">
        <v>84</v>
      </c>
      <c r="F3" s="1">
        <v>39633.627465277779</v>
      </c>
      <c r="G3" s="1">
        <v>39901.343368055554</v>
      </c>
      <c r="H3">
        <v>2</v>
      </c>
      <c r="I3">
        <v>3</v>
      </c>
      <c r="J3">
        <v>267</v>
      </c>
      <c r="K3">
        <v>6</v>
      </c>
      <c r="L3">
        <v>6</v>
      </c>
      <c r="M3">
        <v>6</v>
      </c>
      <c r="N3">
        <v>1</v>
      </c>
      <c r="O3">
        <v>0</v>
      </c>
      <c r="P3">
        <v>0</v>
      </c>
      <c r="Q3">
        <v>0</v>
      </c>
      <c r="R3">
        <v>0</v>
      </c>
      <c r="T3">
        <v>20</v>
      </c>
      <c r="U3">
        <v>0</v>
      </c>
      <c r="V3">
        <v>20</v>
      </c>
      <c r="Y3">
        <f t="shared" si="0"/>
        <v>0.27497425334706488</v>
      </c>
    </row>
    <row r="4" spans="1:47" x14ac:dyDescent="0.25">
      <c r="A4" t="s">
        <v>25</v>
      </c>
      <c r="B4">
        <v>12</v>
      </c>
      <c r="C4">
        <v>73</v>
      </c>
      <c r="D4" t="s">
        <v>23</v>
      </c>
      <c r="E4">
        <v>84</v>
      </c>
      <c r="F4" s="1">
        <v>39652.576585648145</v>
      </c>
      <c r="G4" s="1">
        <v>39901.343368055554</v>
      </c>
      <c r="H4">
        <v>2</v>
      </c>
      <c r="I4">
        <v>3</v>
      </c>
      <c r="J4">
        <v>248</v>
      </c>
      <c r="K4">
        <v>6</v>
      </c>
      <c r="L4">
        <v>6</v>
      </c>
      <c r="M4">
        <v>6</v>
      </c>
      <c r="N4">
        <v>1</v>
      </c>
      <c r="O4">
        <v>0</v>
      </c>
      <c r="P4">
        <v>0</v>
      </c>
      <c r="Q4">
        <v>0</v>
      </c>
      <c r="R4">
        <v>0</v>
      </c>
      <c r="T4">
        <v>20</v>
      </c>
      <c r="U4">
        <v>0</v>
      </c>
      <c r="V4">
        <v>20</v>
      </c>
      <c r="Y4">
        <f t="shared" si="0"/>
        <v>0.25540679711637487</v>
      </c>
    </row>
    <row r="5" spans="1:47" x14ac:dyDescent="0.25">
      <c r="A5" t="s">
        <v>26</v>
      </c>
      <c r="B5">
        <v>15</v>
      </c>
      <c r="C5">
        <v>70</v>
      </c>
      <c r="D5" t="s">
        <v>23</v>
      </c>
      <c r="E5">
        <v>84</v>
      </c>
      <c r="F5" s="1">
        <v>39633.627465277779</v>
      </c>
      <c r="G5" s="1">
        <v>39901.343368055554</v>
      </c>
      <c r="H5">
        <v>2</v>
      </c>
      <c r="I5">
        <v>3</v>
      </c>
      <c r="J5">
        <v>267</v>
      </c>
      <c r="K5">
        <v>6</v>
      </c>
      <c r="L5">
        <v>7</v>
      </c>
      <c r="M5" t="s">
        <v>27</v>
      </c>
      <c r="N5" t="s">
        <v>28</v>
      </c>
      <c r="O5">
        <v>1</v>
      </c>
      <c r="P5">
        <v>1</v>
      </c>
      <c r="Q5" t="s">
        <v>29</v>
      </c>
      <c r="R5" t="s">
        <v>29</v>
      </c>
      <c r="S5">
        <v>1</v>
      </c>
      <c r="T5">
        <v>20</v>
      </c>
      <c r="U5">
        <v>1</v>
      </c>
      <c r="V5">
        <v>21</v>
      </c>
      <c r="Y5">
        <f t="shared" si="0"/>
        <v>0.27497425334706488</v>
      </c>
    </row>
    <row r="6" spans="1:47" x14ac:dyDescent="0.25">
      <c r="A6" t="s">
        <v>30</v>
      </c>
      <c r="B6">
        <v>15</v>
      </c>
      <c r="C6">
        <v>70</v>
      </c>
      <c r="D6" t="s">
        <v>23</v>
      </c>
      <c r="E6">
        <v>84</v>
      </c>
      <c r="F6" s="1">
        <v>39633.627465277779</v>
      </c>
      <c r="G6" s="1">
        <v>39901.343368055554</v>
      </c>
      <c r="H6">
        <v>2</v>
      </c>
      <c r="I6">
        <v>3</v>
      </c>
      <c r="J6">
        <v>267</v>
      </c>
      <c r="K6">
        <v>7</v>
      </c>
      <c r="L6">
        <v>7</v>
      </c>
      <c r="M6">
        <v>7</v>
      </c>
      <c r="N6">
        <v>1</v>
      </c>
      <c r="O6">
        <v>0</v>
      </c>
      <c r="P6">
        <v>0</v>
      </c>
      <c r="Q6">
        <v>0</v>
      </c>
      <c r="R6">
        <v>0</v>
      </c>
      <c r="T6">
        <v>20</v>
      </c>
      <c r="U6">
        <v>0</v>
      </c>
      <c r="V6">
        <v>20</v>
      </c>
      <c r="Y6">
        <f t="shared" si="0"/>
        <v>0.27497425334706488</v>
      </c>
    </row>
    <row r="7" spans="1:47" x14ac:dyDescent="0.25">
      <c r="A7" t="s">
        <v>31</v>
      </c>
      <c r="B7">
        <v>15</v>
      </c>
      <c r="C7">
        <v>70</v>
      </c>
      <c r="D7" t="s">
        <v>23</v>
      </c>
      <c r="E7">
        <v>84</v>
      </c>
      <c r="F7" s="1">
        <v>39633.627465277779</v>
      </c>
      <c r="G7" s="1">
        <v>39901.343368055554</v>
      </c>
      <c r="H7">
        <v>2</v>
      </c>
      <c r="I7">
        <v>3</v>
      </c>
      <c r="J7">
        <v>267</v>
      </c>
      <c r="K7">
        <v>7</v>
      </c>
      <c r="L7">
        <v>7</v>
      </c>
      <c r="M7">
        <v>7</v>
      </c>
      <c r="N7">
        <v>1</v>
      </c>
      <c r="O7">
        <v>0</v>
      </c>
      <c r="P7">
        <v>0</v>
      </c>
      <c r="Q7">
        <v>0</v>
      </c>
      <c r="R7">
        <v>0</v>
      </c>
      <c r="T7">
        <v>20</v>
      </c>
      <c r="U7">
        <v>0</v>
      </c>
      <c r="V7">
        <v>20</v>
      </c>
      <c r="Y7">
        <f t="shared" si="0"/>
        <v>0.27497425334706488</v>
      </c>
    </row>
    <row r="8" spans="1:47" x14ac:dyDescent="0.25">
      <c r="A8" t="s">
        <v>32</v>
      </c>
      <c r="B8">
        <v>15</v>
      </c>
      <c r="C8">
        <v>70</v>
      </c>
      <c r="D8" t="s">
        <v>23</v>
      </c>
      <c r="E8">
        <v>84</v>
      </c>
      <c r="F8" s="1">
        <v>39633.627465277779</v>
      </c>
      <c r="G8" s="1">
        <v>39901.343368055554</v>
      </c>
      <c r="H8">
        <v>2</v>
      </c>
      <c r="I8">
        <v>3</v>
      </c>
      <c r="J8">
        <v>267</v>
      </c>
      <c r="K8">
        <v>8</v>
      </c>
      <c r="L8">
        <v>10</v>
      </c>
      <c r="M8" t="s">
        <v>33</v>
      </c>
      <c r="N8" t="s">
        <v>34</v>
      </c>
      <c r="O8">
        <v>2</v>
      </c>
      <c r="P8">
        <v>1</v>
      </c>
      <c r="Q8" t="s">
        <v>35</v>
      </c>
      <c r="R8" t="s">
        <v>29</v>
      </c>
      <c r="S8">
        <v>2</v>
      </c>
      <c r="T8">
        <v>20</v>
      </c>
      <c r="U8">
        <v>1</v>
      </c>
      <c r="V8">
        <v>21</v>
      </c>
      <c r="Y8">
        <f t="shared" si="0"/>
        <v>0.27497425334706488</v>
      </c>
    </row>
    <row r="9" spans="1:47" x14ac:dyDescent="0.25">
      <c r="A9" t="s">
        <v>36</v>
      </c>
      <c r="B9">
        <v>15</v>
      </c>
      <c r="C9">
        <v>70</v>
      </c>
      <c r="D9" t="s">
        <v>23</v>
      </c>
      <c r="E9">
        <v>84</v>
      </c>
      <c r="F9" s="1">
        <v>39633.627465277779</v>
      </c>
      <c r="G9" s="1">
        <v>39901.343368055554</v>
      </c>
      <c r="H9">
        <v>2</v>
      </c>
      <c r="I9">
        <v>3</v>
      </c>
      <c r="J9">
        <v>267</v>
      </c>
      <c r="K9">
        <v>7</v>
      </c>
      <c r="L9">
        <v>7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T9">
        <v>20</v>
      </c>
      <c r="U9">
        <v>0</v>
      </c>
      <c r="V9">
        <v>20</v>
      </c>
      <c r="Y9">
        <f t="shared" si="0"/>
        <v>0.27497425334706488</v>
      </c>
    </row>
    <row r="10" spans="1:47" x14ac:dyDescent="0.25">
      <c r="A10" t="s">
        <v>37</v>
      </c>
      <c r="B10">
        <v>15</v>
      </c>
      <c r="C10">
        <v>70</v>
      </c>
      <c r="D10" t="s">
        <v>23</v>
      </c>
      <c r="E10">
        <v>84</v>
      </c>
      <c r="F10" s="1">
        <v>39633.627465277779</v>
      </c>
      <c r="G10" s="1">
        <v>39901.343368055554</v>
      </c>
      <c r="H10">
        <v>2</v>
      </c>
      <c r="I10">
        <v>3</v>
      </c>
      <c r="J10">
        <v>267</v>
      </c>
      <c r="K10">
        <v>6</v>
      </c>
      <c r="L10">
        <v>6</v>
      </c>
      <c r="M10">
        <v>6</v>
      </c>
      <c r="N10">
        <v>1</v>
      </c>
      <c r="O10">
        <v>0</v>
      </c>
      <c r="P10">
        <v>0</v>
      </c>
      <c r="Q10">
        <v>0</v>
      </c>
      <c r="R10">
        <v>0</v>
      </c>
      <c r="T10">
        <v>20</v>
      </c>
      <c r="U10">
        <v>0</v>
      </c>
      <c r="V10">
        <v>20</v>
      </c>
      <c r="Y10">
        <f t="shared" si="0"/>
        <v>0.27497425334706488</v>
      </c>
      <c r="AB10" s="2" t="s">
        <v>199</v>
      </c>
      <c r="AC10" s="2" t="s">
        <v>200</v>
      </c>
      <c r="AD10" s="2" t="s">
        <v>201</v>
      </c>
      <c r="AE10" s="2" t="s">
        <v>202</v>
      </c>
      <c r="AF10" s="2" t="s">
        <v>203</v>
      </c>
      <c r="AG10" s="2" t="s">
        <v>204</v>
      </c>
      <c r="AH10" s="2" t="s">
        <v>205</v>
      </c>
      <c r="AI10" s="2" t="s">
        <v>206</v>
      </c>
      <c r="AJ10" s="2" t="s">
        <v>207</v>
      </c>
      <c r="AK10" s="2" t="s">
        <v>208</v>
      </c>
      <c r="AL10" s="2" t="s">
        <v>209</v>
      </c>
      <c r="AM10" s="2" t="s">
        <v>210</v>
      </c>
      <c r="AN10" s="2" t="s">
        <v>211</v>
      </c>
      <c r="AO10" s="2" t="s">
        <v>212</v>
      </c>
      <c r="AP10" s="2" t="s">
        <v>213</v>
      </c>
      <c r="AQ10" s="2" t="s">
        <v>214</v>
      </c>
      <c r="AR10" s="2" t="s">
        <v>215</v>
      </c>
      <c r="AS10" s="2" t="s">
        <v>216</v>
      </c>
      <c r="AT10" s="2" t="s">
        <v>217</v>
      </c>
      <c r="AU10" s="2" t="s">
        <v>198</v>
      </c>
    </row>
    <row r="11" spans="1:47" x14ac:dyDescent="0.25">
      <c r="A11" t="s">
        <v>38</v>
      </c>
      <c r="B11">
        <v>8</v>
      </c>
      <c r="C11">
        <v>77</v>
      </c>
      <c r="D11" t="s">
        <v>23</v>
      </c>
      <c r="E11">
        <v>84</v>
      </c>
      <c r="F11" s="1">
        <v>39661.356087962966</v>
      </c>
      <c r="G11" s="1">
        <v>39901.343368055554</v>
      </c>
      <c r="H11">
        <v>3</v>
      </c>
      <c r="I11">
        <v>3</v>
      </c>
      <c r="J11">
        <v>239</v>
      </c>
      <c r="K11">
        <v>6</v>
      </c>
      <c r="L11">
        <v>6</v>
      </c>
      <c r="M11">
        <v>6</v>
      </c>
      <c r="N11">
        <v>1</v>
      </c>
      <c r="O11">
        <v>0</v>
      </c>
      <c r="P11">
        <v>0</v>
      </c>
      <c r="Q11">
        <v>0</v>
      </c>
      <c r="R11">
        <v>0</v>
      </c>
      <c r="T11">
        <v>20</v>
      </c>
      <c r="U11">
        <v>0</v>
      </c>
      <c r="V11">
        <v>20</v>
      </c>
      <c r="Y11">
        <f t="shared" si="0"/>
        <v>0.24613800205973224</v>
      </c>
      <c r="AA11" s="2">
        <v>10</v>
      </c>
      <c r="AB11">
        <f xml:space="preserve"> COUNTIFS(V2:V89,10,Y2:Y89,"&lt;0,05")</f>
        <v>4</v>
      </c>
      <c r="AC11">
        <f xml:space="preserve"> COUNTIFS(V2:V89,10,Y2:Y89,"&gt;=0,05",Y2:Y89,"&lt;0,1")</f>
        <v>0</v>
      </c>
      <c r="AD11">
        <f xml:space="preserve"> COUNTIFS(V2:V89,10,Y2:Y89,"&gt;=0,1",Y2:Y89,"&lt;0,15")</f>
        <v>0</v>
      </c>
      <c r="AE11">
        <f xml:space="preserve"> COUNTIFS(V2:V89,10,Y2:Y89,"&gt;=0,15",Y2:Y89,"&lt;0,2")</f>
        <v>0</v>
      </c>
      <c r="AF11">
        <f xml:space="preserve"> COUNTIFS(V2:V89,10,Y2:Y89,"&gt;=0,2",Y2:Y89,"&lt;0,25")</f>
        <v>0</v>
      </c>
      <c r="AG11">
        <f xml:space="preserve"> COUNTIFS(V2:V89,10,Y2:Y89,"&gt;=0,25",Y2:Y89,"&lt;0,3")</f>
        <v>3</v>
      </c>
      <c r="AH11">
        <f xml:space="preserve"> COUNTIFS(V2:V89,10,Y2:Y89,"&gt;=0,3",Y2:Y89,"&lt;0,35")</f>
        <v>0</v>
      </c>
      <c r="AI11">
        <f xml:space="preserve"> COUNTIFS(V2:V89,10,Y2:Y89,"&gt;=0,35",Y2:Y89,"&lt;0,4")</f>
        <v>0</v>
      </c>
      <c r="AJ11">
        <f xml:space="preserve"> COUNTIFS(V2:V89,10,Y2:Y89,"&gt;=0,4",Y2:Y89,"&lt;0,45")</f>
        <v>0</v>
      </c>
      <c r="AK11">
        <f xml:space="preserve"> COUNTIFS(V2:V89,10,Y2:Y89,"&gt;=0,45",Y2:Y89,"&lt;0,5")</f>
        <v>0</v>
      </c>
      <c r="AL11">
        <f xml:space="preserve"> COUNTIFS(V2:V89,10,Y2:Y89,"&gt;=0,5",Y2:Y89,"&lt;0,55")</f>
        <v>0</v>
      </c>
      <c r="AM11">
        <f xml:space="preserve"> COUNTIFS(V2:V89,10,Y2:Y89,"&gt;=0,55",Y2:Y89,"&lt;0,6")</f>
        <v>0</v>
      </c>
      <c r="AN11">
        <f xml:space="preserve"> COUNTIFS(V2:V89,10,Y2:Y89,"&gt;=0,6",Y2:Y89,"&lt;0,65")</f>
        <v>0</v>
      </c>
      <c r="AO11">
        <f xml:space="preserve"> COUNTIFS(V2:V89,10,Y2:Y89,"&gt;=0,65",Y2:Y89,"&lt;0,7")</f>
        <v>0</v>
      </c>
      <c r="AP11">
        <f xml:space="preserve"> COUNTIFS(V2:V89,10,Y2:Y89,"&gt;=0,7",Y2:Y89,"&lt;0,75")</f>
        <v>0</v>
      </c>
      <c r="AQ11">
        <f xml:space="preserve"> COUNTIFS(V2:V89,10,Y2:Y89,"&gt;=0,75",Y2:Y89,"&lt;0,8")</f>
        <v>0</v>
      </c>
      <c r="AR11">
        <f xml:space="preserve"> COUNTIFS(V2:V89,10,Y2:Y89,"&gt;=0,8",Y2:Y89,"&lt;0,85")</f>
        <v>0</v>
      </c>
      <c r="AS11">
        <f xml:space="preserve"> COUNTIFS(V2:V89,10,Y2:Y89,"&gt;=0,85",Y2:Y89,"&lt;0,9")</f>
        <v>0</v>
      </c>
      <c r="AT11">
        <f xml:space="preserve"> COUNTIFS(V2:V89,10,Y2:Y89,"&gt;=0,9",Y2:Y89,"&lt;0,95")</f>
        <v>0</v>
      </c>
      <c r="AU11">
        <f xml:space="preserve"> COUNTIFS(V2:V89,10,Y2:Y89,"&gt;=0,95")</f>
        <v>0</v>
      </c>
    </row>
    <row r="12" spans="1:47" x14ac:dyDescent="0.25">
      <c r="A12" t="s">
        <v>39</v>
      </c>
      <c r="B12">
        <v>85</v>
      </c>
      <c r="C12">
        <v>0</v>
      </c>
      <c r="D12" t="s">
        <v>23</v>
      </c>
      <c r="E12">
        <v>84</v>
      </c>
      <c r="F12" s="1">
        <v>38929.63486111111</v>
      </c>
      <c r="G12" s="1">
        <v>39901.343368055554</v>
      </c>
      <c r="H12">
        <v>0</v>
      </c>
      <c r="I12">
        <v>3</v>
      </c>
      <c r="J12">
        <v>971</v>
      </c>
      <c r="K12">
        <v>9</v>
      </c>
      <c r="L12">
        <v>10</v>
      </c>
      <c r="M12" t="s">
        <v>40</v>
      </c>
      <c r="N12" t="s">
        <v>41</v>
      </c>
      <c r="O12">
        <v>16</v>
      </c>
      <c r="P12">
        <v>10</v>
      </c>
      <c r="Q12" t="s">
        <v>42</v>
      </c>
      <c r="R12" t="s">
        <v>43</v>
      </c>
      <c r="S12" t="s">
        <v>44</v>
      </c>
      <c r="T12">
        <v>20</v>
      </c>
      <c r="U12">
        <v>2</v>
      </c>
      <c r="V12">
        <v>22</v>
      </c>
      <c r="Y12">
        <f t="shared" si="0"/>
        <v>1</v>
      </c>
      <c r="AA12" s="2">
        <v>11</v>
      </c>
      <c r="AB12">
        <f xml:space="preserve"> COUNTIFS(V2:V89,11,Y2:Y89,"&lt;0,05")</f>
        <v>0</v>
      </c>
      <c r="AC12">
        <f xml:space="preserve"> COUNTIFS(V2:V89,11,Y2:Y89,"&gt;=0,05",Y2:Y89,"&lt;0,1")</f>
        <v>0</v>
      </c>
      <c r="AD12">
        <f xml:space="preserve"> COUNTIFS(V2:V89,1,Y2:Y89,"&gt;=0,1",Y2:Y89,"&lt;0,15")</f>
        <v>0</v>
      </c>
      <c r="AE12">
        <f xml:space="preserve"> COUNTIFS(V2:V89,11,Y2:Y89,"&gt;=0,15",Y2:Y89,"&lt;0,2")</f>
        <v>0</v>
      </c>
      <c r="AF12">
        <f xml:space="preserve"> COUNTIFS(V2:V89,11,Y2:Y89,"&gt;=0,2",Y2:Y89,"&lt;0,25")</f>
        <v>0</v>
      </c>
      <c r="AG12">
        <f xml:space="preserve"> COUNTIFS(V2:V89,11,Y2:Y89,"&gt;=0,25",Y2:Y89,"&lt;0,3")</f>
        <v>5</v>
      </c>
      <c r="AH12">
        <f xml:space="preserve"> COUNTIFS(V2:V89,11,Y2:Y89,"&gt;=0,3",Y2:Y89,"&lt;0,35")</f>
        <v>0</v>
      </c>
      <c r="AI12">
        <f xml:space="preserve"> COUNTIFS(V2:V89,11,Y2:Y89,"&gt;=0,35",Y2:Y89,"&lt;0,4")</f>
        <v>1</v>
      </c>
      <c r="AJ12">
        <f xml:space="preserve"> COUNTIFS(V2:V89,11,Y2:Y89,"&gt;=0,4",Y2:Y89,"&lt;0,45")</f>
        <v>0</v>
      </c>
      <c r="AK12">
        <f xml:space="preserve"> COUNTIFS(V2:V89,11,Y2:Y89,"&gt;=0,45",Y2:Y89,"&lt;0,5")</f>
        <v>0</v>
      </c>
      <c r="AL12">
        <f xml:space="preserve"> COUNTIFS(V2:V89,11,Y2:Y89,"&gt;=0,5",Y2:Y89,"&lt;0,55")</f>
        <v>0</v>
      </c>
      <c r="AM12">
        <f xml:space="preserve"> COUNTIFS(V2:V89,11,Y2:Y89,"&gt;=0,55",Y2:Y89,"&lt;0,6")</f>
        <v>0</v>
      </c>
      <c r="AN12">
        <f xml:space="preserve"> COUNTIFS(V2:V89,11,Y2:Y89,"&gt;=0,6",Y2:Y89,"&lt;0,65")</f>
        <v>0</v>
      </c>
      <c r="AO12">
        <f xml:space="preserve"> COUNTIFS(V2:V89,11,Y2:Y89,"&gt;=0,65",Y2:Y89,"&lt;0,7")</f>
        <v>0</v>
      </c>
      <c r="AP12">
        <f xml:space="preserve"> COUNTIFS(V2:V89,11,Y2:Y89,"&gt;=0,7",Y2:Y89,"&lt;0,75")</f>
        <v>0</v>
      </c>
      <c r="AQ12">
        <f xml:space="preserve"> COUNTIFS(V2:V89,11,Y2:Y89,"&gt;=0,75",Y2:Y89,"&lt;0,8")</f>
        <v>0</v>
      </c>
      <c r="AR12">
        <f xml:space="preserve"> COUNTIFS(V2:V89,11,Y2:Y89,"&gt;=0,8",Y2:Y89,"&lt;0,85")</f>
        <v>0</v>
      </c>
      <c r="AS12">
        <f xml:space="preserve"> COUNTIFS(V2:V89,11,Y2:Y89,"&gt;=0,85",Y2:Y89,"&lt;0,9")</f>
        <v>0</v>
      </c>
      <c r="AT12">
        <f xml:space="preserve"> COUNTIFS(V2:V89,11,Y2:Y89,"&gt;=0,9",Y2:Y89,"&lt;0,95")</f>
        <v>0</v>
      </c>
      <c r="AU12">
        <f xml:space="preserve"> COUNTIFS(V2:V89,11,Y2:Y89,"&gt;=0,95")</f>
        <v>0</v>
      </c>
    </row>
    <row r="13" spans="1:47" x14ac:dyDescent="0.25">
      <c r="A13" t="s">
        <v>45</v>
      </c>
      <c r="B13">
        <v>19</v>
      </c>
      <c r="C13">
        <v>66</v>
      </c>
      <c r="D13" t="s">
        <v>23</v>
      </c>
      <c r="E13">
        <v>84</v>
      </c>
      <c r="F13" s="1">
        <v>39595.610879629632</v>
      </c>
      <c r="G13" s="1">
        <v>39901.343368055554</v>
      </c>
      <c r="H13">
        <v>2</v>
      </c>
      <c r="I13">
        <v>3</v>
      </c>
      <c r="J13">
        <v>305</v>
      </c>
      <c r="K13">
        <v>6</v>
      </c>
      <c r="L13">
        <v>6</v>
      </c>
      <c r="M13">
        <v>6</v>
      </c>
      <c r="N13">
        <v>1</v>
      </c>
      <c r="O13">
        <v>4</v>
      </c>
      <c r="P13">
        <v>1</v>
      </c>
      <c r="Q13" t="s">
        <v>46</v>
      </c>
      <c r="R13" t="s">
        <v>47</v>
      </c>
      <c r="S13">
        <v>4</v>
      </c>
      <c r="T13">
        <v>20</v>
      </c>
      <c r="U13">
        <v>1</v>
      </c>
      <c r="V13">
        <v>21</v>
      </c>
      <c r="Y13">
        <f t="shared" si="0"/>
        <v>0.31410916580844489</v>
      </c>
      <c r="AA13" s="2">
        <v>12</v>
      </c>
      <c r="AB13">
        <f xml:space="preserve"> COUNTIFS(V2:V89,12,Y2:Y89,"&lt;0,05")</f>
        <v>0</v>
      </c>
      <c r="AC13">
        <f xml:space="preserve"> COUNTIFS(V2:V89,12,Y2:Y89,"&gt;=0,05",Y2:Y89,"&lt;0,1")</f>
        <v>0</v>
      </c>
      <c r="AD13">
        <f xml:space="preserve"> COUNTIFS(V2:V89,12,Y2:Y89,"&gt;=0,1",Y2:Y89,"&lt;0,15")</f>
        <v>0</v>
      </c>
      <c r="AE13">
        <f xml:space="preserve"> COUNTIFS(V2:V89,12,Y2:Y89,"&gt;=0,15",Y2:Y89,"&lt;0,2")</f>
        <v>0</v>
      </c>
      <c r="AF13">
        <f xml:space="preserve"> COUNTIFS(V2:V89,12,Y2:Y89,"&gt;=0,2",Y2:Y89,"&lt;0,25")</f>
        <v>0</v>
      </c>
      <c r="AG13">
        <f xml:space="preserve"> COUNTIFS(V2:V89,12,Y2:Y89,"&gt;=0,25",Y2:Y89,"&lt;0,3")</f>
        <v>0</v>
      </c>
      <c r="AH13">
        <f xml:space="preserve"> COUNTIFS(V2:V89,12,Y2:Y89,"&gt;=0,3",Y2:Y89,"&lt;0,35")</f>
        <v>0</v>
      </c>
      <c r="AI13">
        <f xml:space="preserve"> COUNTIFS(V2:V89,12,Y2:Y89,"&gt;=0,35",Y2:Y89,"&lt;0,4")</f>
        <v>0</v>
      </c>
      <c r="AJ13">
        <f xml:space="preserve"> COUNTIFS(V2:V89,12,Y2:Y89,"&gt;=0,4",Y2:Y89,"&lt;0,45")</f>
        <v>0</v>
      </c>
      <c r="AK13">
        <f xml:space="preserve"> COUNTIFS(V2:V89,12,Y2:Y89,"&gt;=0,45",Y2:Y89,"&lt;0,5")</f>
        <v>0</v>
      </c>
      <c r="AL13">
        <f xml:space="preserve"> COUNTIFS(V2:V89,12,Y2:Y89,"&gt;=0,5",Y2:Y89,"&lt;0,55")</f>
        <v>0</v>
      </c>
      <c r="AM13">
        <f xml:space="preserve"> COUNTIFS(V2:V89,12,Y2:Y89,"&gt;=0,55",Y2:Y89,"&lt;0,6")</f>
        <v>0</v>
      </c>
      <c r="AN13">
        <f xml:space="preserve"> COUNTIFS(V2:V89,12,Y2:Y89,"&gt;=0,6",Y2:Y89,"&lt;0,65")</f>
        <v>2</v>
      </c>
      <c r="AO13">
        <f xml:space="preserve"> COUNTIFS(V2:V89,12,Y2:Y89,"&gt;=0,65",Y2:Y89,"&lt;0,7")</f>
        <v>0</v>
      </c>
      <c r="AP13">
        <f xml:space="preserve"> COUNTIFS(V2:V89,12,Y2:Y89,"&gt;=0,7",Y2:Y89,"&lt;0,75")</f>
        <v>0</v>
      </c>
      <c r="AQ13">
        <f xml:space="preserve"> COUNTIFS(V2:V89,12,Y2:Y89,"&gt;=0,75",Y2:Y89,"&lt;0,8")</f>
        <v>0</v>
      </c>
      <c r="AR13">
        <f xml:space="preserve"> COUNTIFS(V2:V89,12,Y2:Y89,"&gt;=0,8",Y2:Y89,"&lt;0,85")</f>
        <v>0</v>
      </c>
      <c r="AS13">
        <f xml:space="preserve"> COUNTIFS(V2:V89,12,Y2:Y89,"&gt;=0,85",Y2:Y89,"&lt;0,9")</f>
        <v>0</v>
      </c>
      <c r="AT13">
        <f xml:space="preserve"> COUNTIFS(V2:V89,12,Y2:Y89,"&gt;=0,9",Y2:Y89,"&lt;0,95")</f>
        <v>0</v>
      </c>
      <c r="AU13">
        <f xml:space="preserve"> COUNTIFS(V2:V89,12,Y2:Y89,"&gt;=0,95")</f>
        <v>0</v>
      </c>
    </row>
    <row r="14" spans="1:47" x14ac:dyDescent="0.25">
      <c r="A14" t="s">
        <v>48</v>
      </c>
      <c r="B14">
        <v>85</v>
      </c>
      <c r="C14">
        <v>0</v>
      </c>
      <c r="D14" t="s">
        <v>23</v>
      </c>
      <c r="E14">
        <v>84</v>
      </c>
      <c r="F14" s="1">
        <v>38929.63486111111</v>
      </c>
      <c r="G14" s="1">
        <v>39901.343368055554</v>
      </c>
      <c r="H14">
        <v>0</v>
      </c>
      <c r="I14">
        <v>3</v>
      </c>
      <c r="J14">
        <v>971</v>
      </c>
      <c r="K14">
        <v>6</v>
      </c>
      <c r="L14">
        <v>6</v>
      </c>
      <c r="M14" t="s">
        <v>49</v>
      </c>
      <c r="N14">
        <v>1</v>
      </c>
      <c r="O14">
        <v>4</v>
      </c>
      <c r="P14">
        <v>4</v>
      </c>
      <c r="Q14" t="s">
        <v>47</v>
      </c>
      <c r="R14" t="s">
        <v>47</v>
      </c>
      <c r="S14">
        <v>1</v>
      </c>
      <c r="T14">
        <v>20</v>
      </c>
      <c r="U14">
        <v>1</v>
      </c>
      <c r="V14">
        <v>21</v>
      </c>
      <c r="Y14">
        <f t="shared" si="0"/>
        <v>1</v>
      </c>
      <c r="AA14" s="2">
        <v>20</v>
      </c>
      <c r="AB14">
        <f xml:space="preserve"> COUNTIFS(V2:V89,20,Y2:Y89,"&lt;0,05")</f>
        <v>0</v>
      </c>
      <c r="AC14">
        <f xml:space="preserve"> COUNTIFS(V2:V89,20,Y2:Y89,"&gt;=0,05",Y2:Y89,"&lt;0,1")</f>
        <v>0</v>
      </c>
      <c r="AD14">
        <f xml:space="preserve"> COUNTIFS(V2:V89,20,Y2:Y89,"&gt;=0,1",Y2:Y89,"&lt;0,15")</f>
        <v>1</v>
      </c>
      <c r="AE14">
        <f xml:space="preserve"> COUNTIFS(V2:V89,20,Y2:Y89,"&gt;=0,15",Y2:Y89,"&lt;0,2")</f>
        <v>0</v>
      </c>
      <c r="AF14">
        <f xml:space="preserve"> COUNTIFS(V2:V89,20,Y2:Y89,"&gt;=0,2",Y2:Y89,"&lt;0,25")</f>
        <v>1</v>
      </c>
      <c r="AG14">
        <f xml:space="preserve"> COUNTIFS(V2:V89,20,Y2:Y89,"&gt;=0,25",Y2:Y89,"&lt;0,3")</f>
        <v>8</v>
      </c>
      <c r="AH14">
        <f xml:space="preserve"> COUNTIFS(V2:V89,20,Y2:Y89,"&gt;=0,3",Y2:Y89,"&lt;0,35")</f>
        <v>0</v>
      </c>
      <c r="AI14">
        <f xml:space="preserve"> COUNTIFS(V2:V89,20,Y2:Y89,"&gt;=0,35",Y2:Y89,"&lt;0,4")</f>
        <v>1</v>
      </c>
      <c r="AJ14">
        <f xml:space="preserve"> COUNTIFS(V2:V89,20,Y2:Y89,"&gt;=0,4",Y2:Y89,"&lt;0,45")</f>
        <v>0</v>
      </c>
      <c r="AK14">
        <f xml:space="preserve"> COUNTIFS(V2:V89,20,Y2:Y89,"&gt;=0,45",Y2:Y89,"&lt;0,5")</f>
        <v>0</v>
      </c>
      <c r="AL14">
        <f xml:space="preserve"> COUNTIFS(V2:V89,20,Y2:Y89,"&gt;=0,5",Y2:Y89,"&lt;0,55")</f>
        <v>0</v>
      </c>
      <c r="AM14">
        <f xml:space="preserve"> COUNTIFS(V2:V89,20,Y2:Y89,"&gt;=0,55",Y2:Y89,"&lt;0,6")</f>
        <v>0</v>
      </c>
      <c r="AN14">
        <f xml:space="preserve"> COUNTIFS(V2:V89,20,Y2:Y89,"&gt;=0,6",Y2:Y89,"&lt;0,65")</f>
        <v>0</v>
      </c>
      <c r="AO14">
        <f xml:space="preserve"> COUNTIFS(V2:V89,20,Y2:Y89,"&gt;=0,65",Y2:Y89,"&lt;0,7")</f>
        <v>0</v>
      </c>
      <c r="AP14">
        <f xml:space="preserve"> COUNTIFS(V2:V89,20,Y2:Y89,"&gt;=0,7",Y2:Y89,"&lt;0,75")</f>
        <v>0</v>
      </c>
      <c r="AQ14">
        <f xml:space="preserve"> COUNTIFS(V2:V89,20,Y2:Y89,"&gt;=0,75",Y2:Y89,"&lt;0,8")</f>
        <v>0</v>
      </c>
      <c r="AR14">
        <f xml:space="preserve"> COUNTIFS(V2:V89,20,Y2:Y89,"&gt;=0,8",Y2:Y89,"&lt;0,85")</f>
        <v>0</v>
      </c>
      <c r="AS14">
        <f xml:space="preserve"> COUNTIFS(V2:V89,20,Y2:Y89,"&gt;=0,85",Y2:Y89,"&lt;0,9")</f>
        <v>0</v>
      </c>
      <c r="AT14">
        <f xml:space="preserve"> COUNTIFS(V2:V89,20,Y2:Y89,"&gt;=0,9",Y2:Y89,"&lt;0,95")</f>
        <v>0</v>
      </c>
      <c r="AU14">
        <f xml:space="preserve"> COUNTIFS(V2:V89,20,Y2:Y89,"&gt;=0,95")</f>
        <v>0</v>
      </c>
    </row>
    <row r="15" spans="1:47" x14ac:dyDescent="0.25">
      <c r="A15" t="s">
        <v>50</v>
      </c>
      <c r="B15">
        <v>22</v>
      </c>
      <c r="C15">
        <v>0</v>
      </c>
      <c r="D15">
        <v>21</v>
      </c>
      <c r="E15">
        <v>21</v>
      </c>
      <c r="F15" s="1">
        <v>38929.63486111111</v>
      </c>
      <c r="G15" s="1">
        <v>39195.697627314818</v>
      </c>
      <c r="H15">
        <v>0</v>
      </c>
      <c r="I15">
        <v>1</v>
      </c>
      <c r="J15">
        <v>266</v>
      </c>
      <c r="K15">
        <v>3</v>
      </c>
      <c r="L15">
        <v>3</v>
      </c>
      <c r="M15">
        <v>3</v>
      </c>
      <c r="N15">
        <v>1</v>
      </c>
      <c r="O15">
        <v>0</v>
      </c>
      <c r="P15">
        <v>0</v>
      </c>
      <c r="Q15">
        <v>0</v>
      </c>
      <c r="R15">
        <v>0</v>
      </c>
      <c r="T15">
        <v>10</v>
      </c>
      <c r="U15">
        <v>0</v>
      </c>
      <c r="V15">
        <v>10</v>
      </c>
      <c r="Y15">
        <f t="shared" si="0"/>
        <v>0.27394438722966014</v>
      </c>
      <c r="AA15" s="2">
        <v>21</v>
      </c>
      <c r="AB15">
        <f xml:space="preserve"> COUNTIFS(V2:V89,21,Y2:Y89,"&lt;0,05")</f>
        <v>1</v>
      </c>
      <c r="AC15">
        <f xml:space="preserve"> COUNTIFS(V2:V89,21,Y2:Y89,"&gt;=0,05",Y2:Y89,"&lt;0,1")</f>
        <v>0</v>
      </c>
      <c r="AD15">
        <f xml:space="preserve"> COUNTIFS(V2:V89,21,Y2:Y89,"&gt;=0,1",Y2:Y89,"&lt;0,15")</f>
        <v>0</v>
      </c>
      <c r="AE15">
        <f xml:space="preserve"> COUNTIFS(V2:V89,21,Y2:Y89,"&gt;=0,15",Y2:Y89,"&lt;0,2")</f>
        <v>0</v>
      </c>
      <c r="AF15">
        <f xml:space="preserve"> COUNTIFS(V2:V89,21,Y2:Y89,"&gt;=0,2",Y2:Y89,"&lt;0,25")</f>
        <v>0</v>
      </c>
      <c r="AG15">
        <f xml:space="preserve"> COUNTIFS(V2:V89,21,Y2:Y89,"&gt;=0,25",Y2:Y89,"&lt;0,3")</f>
        <v>2</v>
      </c>
      <c r="AH15">
        <f xml:space="preserve"> COUNTIFS(V2:V89,21,Y2:Y89,"&gt;=0,3",Y2:Y89,"&lt;0,35")</f>
        <v>1</v>
      </c>
      <c r="AI15">
        <f xml:space="preserve"> COUNTIFS(V2:V89,21,Y2:Y89,"&gt;=0,35",Y2:Y89,"&lt;0,4")</f>
        <v>1</v>
      </c>
      <c r="AJ15">
        <f xml:space="preserve"> COUNTIFS(V2:V89,21,Y2:Y89,"&gt;=0,4",Y2:Y89,"&lt;0,45")</f>
        <v>0</v>
      </c>
      <c r="AK15">
        <f xml:space="preserve"> COUNTIFS(V2:V89,21,Y2:Y89,"&gt;=0,45",Y2:Y89,"&lt;0,5")</f>
        <v>0</v>
      </c>
      <c r="AL15">
        <f xml:space="preserve"> COUNTIFS(V2:V89,21,Y2:Y89,"&gt;=0,5",Y2:Y89,"&lt;0,55")</f>
        <v>1</v>
      </c>
      <c r="AM15">
        <f xml:space="preserve"> COUNTIFS(V2:V89,21,Y2:Y89,"&gt;=0,55",Y2:Y89,"&lt;0,6")</f>
        <v>2</v>
      </c>
      <c r="AN15">
        <f xml:space="preserve"> COUNTIFS(V2:V89,21,Y2:Y89,"&gt;=0,6",Y2:Y89,"&lt;0,65")</f>
        <v>1</v>
      </c>
      <c r="AO15">
        <f xml:space="preserve"> COUNTIFS(V2:V89,21,Y2:Y89,"&gt;=0,65",Y2:Y89,"&lt;0,7")</f>
        <v>3</v>
      </c>
      <c r="AP15">
        <f xml:space="preserve"> COUNTIFS(V2:V89,21,Y2:Y89,"&gt;=0,7",Y2:Y89,"&lt;0,75")</f>
        <v>0</v>
      </c>
      <c r="AQ15">
        <f xml:space="preserve"> COUNTIFS(V2:V89,21,Y2:Y89,"&gt;=0,75",Y2:Y89,"&lt;0,8")</f>
        <v>0</v>
      </c>
      <c r="AR15">
        <f xml:space="preserve"> COUNTIFS(V2:V89,21,Y2:Y89,"&gt;=0,8",Y2:Y89,"&lt;0,85")</f>
        <v>0</v>
      </c>
      <c r="AS15">
        <f xml:space="preserve"> COUNTIFS(V2:V89,21,Y2:Y89,"&gt;=0,85",Y2:Y89,"&lt;0,9")</f>
        <v>0</v>
      </c>
      <c r="AT15">
        <f xml:space="preserve"> COUNTIFS(V2:V89,21,Y2:Y89,"&gt;=0,9",Y2:Y89,"&lt;0,95")</f>
        <v>1</v>
      </c>
      <c r="AU15">
        <f xml:space="preserve"> COUNTIFS(V2:V89,21,Y2:Y89,"&gt;=0,95")</f>
        <v>24</v>
      </c>
    </row>
    <row r="16" spans="1:47" x14ac:dyDescent="0.25">
      <c r="A16" t="s">
        <v>51</v>
      </c>
      <c r="B16">
        <v>22</v>
      </c>
      <c r="C16">
        <v>0</v>
      </c>
      <c r="D16">
        <v>21</v>
      </c>
      <c r="E16">
        <v>21</v>
      </c>
      <c r="F16" s="1">
        <v>38929.63486111111</v>
      </c>
      <c r="G16" s="1">
        <v>39195.697627314818</v>
      </c>
      <c r="H16">
        <v>0</v>
      </c>
      <c r="I16">
        <v>1</v>
      </c>
      <c r="J16">
        <v>266</v>
      </c>
      <c r="K16">
        <v>7</v>
      </c>
      <c r="L16">
        <v>7</v>
      </c>
      <c r="M16">
        <v>7</v>
      </c>
      <c r="N16">
        <v>1</v>
      </c>
      <c r="O16">
        <v>1</v>
      </c>
      <c r="P16">
        <v>1</v>
      </c>
      <c r="Q16" t="s">
        <v>47</v>
      </c>
      <c r="R16" t="s">
        <v>47</v>
      </c>
      <c r="S16">
        <v>1</v>
      </c>
      <c r="T16">
        <v>10</v>
      </c>
      <c r="U16">
        <v>1</v>
      </c>
      <c r="V16">
        <v>11</v>
      </c>
      <c r="Y16">
        <f t="shared" si="0"/>
        <v>0.27394438722966014</v>
      </c>
      <c r="AA16" s="2">
        <v>22</v>
      </c>
      <c r="AB16">
        <f xml:space="preserve"> COUNTIFS(V2:V89,22,Y2:Y89,"&lt;0,05")</f>
        <v>0</v>
      </c>
      <c r="AC16">
        <f xml:space="preserve"> COUNTIFS(V2:V89,22,Y2:Y89,"&gt;=0,05",Y2:Y89,"&lt;0,1")</f>
        <v>0</v>
      </c>
      <c r="AD16">
        <f xml:space="preserve"> COUNTIFS(V2:V89,22,Y2:Y89,"&gt;=0,1",Y2:Y89,"&lt;0,15")</f>
        <v>0</v>
      </c>
      <c r="AE16">
        <f xml:space="preserve"> COUNTIFS(V2:V89,22,Y2:Y89,"&gt;=0,15",Y2:Y89,"&lt;0,2")</f>
        <v>0</v>
      </c>
      <c r="AF16">
        <f xml:space="preserve"> COUNTIFS(V2:V89,22,Y2:Y89,"&gt;=0,2",Y2:Y89,"&lt;0,25")</f>
        <v>0</v>
      </c>
      <c r="AG16">
        <f xml:space="preserve"> COUNTIFS(V2:V89,22,Y2:Y89,"&gt;=0,25",Y2:Y89,"&lt;0,3")</f>
        <v>1</v>
      </c>
      <c r="AH16">
        <f xml:space="preserve"> COUNTIFS(V2:V89,22,Y2:Y89,"&gt;=0,3",Y2:Y89,"&lt;0,35")</f>
        <v>0</v>
      </c>
      <c r="AI16">
        <f xml:space="preserve"> COUNTIFS(V2:V89,22,Y2:Y89,"&gt;=0,35",Y2:Y89,"&lt;0,4")</f>
        <v>0</v>
      </c>
      <c r="AJ16">
        <f xml:space="preserve"> COUNTIFS(V2:V89,22,Y2:Y89,"&gt;=0,4",Y2:Y89,"&lt;0,45")</f>
        <v>0</v>
      </c>
      <c r="AK16">
        <f xml:space="preserve"> COUNTIFS(V2:V89,22,Y2:Y89,"&gt;=0,45",Y2:Y89,"&lt;0,5")</f>
        <v>0</v>
      </c>
      <c r="AL16">
        <f xml:space="preserve"> COUNTIFS(V2:V89,22,Y2:Y89,"&gt;=0,5",Y2:Y89,"&lt;0,55")</f>
        <v>0</v>
      </c>
      <c r="AM16">
        <f xml:space="preserve"> COUNTIFS(V2:V89,22,Y2:Y89,"&gt;=0,55",Y2:Y89,"&lt;0,6")</f>
        <v>0</v>
      </c>
      <c r="AN16">
        <f xml:space="preserve"> COUNTIFS(V2:V89,22,Y2:Y89,"&gt;=0,6",Y2:Y89,"&lt;0,65")</f>
        <v>0</v>
      </c>
      <c r="AO16">
        <f xml:space="preserve"> COUNTIFS(V2:V89,22,Y2:Y89,"&gt;=0,65",Y2:Y89,"&lt;0,7")</f>
        <v>0</v>
      </c>
      <c r="AP16">
        <f xml:space="preserve"> COUNTIFS(V2:V89,22,Y2:Y89,"&gt;=0,7",Y2:Y89,"&lt;0,75")</f>
        <v>1</v>
      </c>
      <c r="AQ16">
        <f xml:space="preserve"> COUNTIFS(V2:V89,22,Y2:Y89,"&gt;=0,75",Y2:Y89,"&lt;0,8")</f>
        <v>1</v>
      </c>
      <c r="AR16">
        <f xml:space="preserve"> COUNTIFS(V2:V89,22,Y2:Y89,"&gt;=0,8",Y2:Y89,"&lt;0,85")</f>
        <v>0</v>
      </c>
      <c r="AS16">
        <f xml:space="preserve"> COUNTIFS(V2:V89,22,Y2:Y89,"&gt;=0,85",Y2:Y89,"&lt;0,9")</f>
        <v>0</v>
      </c>
      <c r="AT16">
        <f xml:space="preserve"> COUNTIFS(V2:V89,22,Y2:Y89,"&gt;=0,9",Y2:Y89,"&lt;0,95")</f>
        <v>1</v>
      </c>
      <c r="AU16">
        <f xml:space="preserve"> COUNTIFS(V2:V89,22,Y2:Y89,"&gt;=0,95")</f>
        <v>21</v>
      </c>
    </row>
    <row r="17" spans="1:47" x14ac:dyDescent="0.25">
      <c r="A17" t="s">
        <v>52</v>
      </c>
      <c r="B17">
        <v>22</v>
      </c>
      <c r="C17">
        <v>0</v>
      </c>
      <c r="D17">
        <v>21</v>
      </c>
      <c r="E17">
        <v>21</v>
      </c>
      <c r="F17" s="1">
        <v>38929.63486111111</v>
      </c>
      <c r="G17" s="1">
        <v>39195.697627314818</v>
      </c>
      <c r="H17">
        <v>0</v>
      </c>
      <c r="I17">
        <v>1</v>
      </c>
      <c r="J17">
        <v>266</v>
      </c>
      <c r="K17">
        <v>7</v>
      </c>
      <c r="L17">
        <v>7</v>
      </c>
      <c r="M17">
        <v>7</v>
      </c>
      <c r="N17">
        <v>1</v>
      </c>
      <c r="O17">
        <v>2</v>
      </c>
      <c r="P17">
        <v>2</v>
      </c>
      <c r="Q17" t="s">
        <v>53</v>
      </c>
      <c r="R17" t="s">
        <v>53</v>
      </c>
      <c r="S17">
        <v>1</v>
      </c>
      <c r="T17">
        <v>10</v>
      </c>
      <c r="U17">
        <v>1</v>
      </c>
      <c r="V17">
        <v>11</v>
      </c>
      <c r="Y17">
        <f t="shared" si="0"/>
        <v>0.27394438722966014</v>
      </c>
    </row>
    <row r="18" spans="1:47" x14ac:dyDescent="0.25">
      <c r="A18" t="s">
        <v>54</v>
      </c>
      <c r="B18">
        <v>38</v>
      </c>
      <c r="C18">
        <v>0</v>
      </c>
      <c r="D18">
        <v>37</v>
      </c>
      <c r="E18">
        <v>37</v>
      </c>
      <c r="F18" s="1">
        <v>38929.63486111111</v>
      </c>
      <c r="G18" s="1">
        <v>39315.642627314817</v>
      </c>
      <c r="H18">
        <v>0</v>
      </c>
      <c r="I18">
        <v>2</v>
      </c>
      <c r="J18">
        <v>386</v>
      </c>
      <c r="K18">
        <v>6</v>
      </c>
      <c r="L18">
        <v>6</v>
      </c>
      <c r="M18" t="s">
        <v>55</v>
      </c>
      <c r="N18">
        <v>1</v>
      </c>
      <c r="O18">
        <v>3</v>
      </c>
      <c r="P18">
        <v>3</v>
      </c>
      <c r="Q18" t="s">
        <v>56</v>
      </c>
      <c r="R18" t="s">
        <v>56</v>
      </c>
      <c r="S18">
        <v>1</v>
      </c>
      <c r="T18">
        <v>10</v>
      </c>
      <c r="U18">
        <v>1</v>
      </c>
      <c r="V18">
        <v>11</v>
      </c>
      <c r="Y18">
        <f t="shared" si="0"/>
        <v>0.39752832131822863</v>
      </c>
      <c r="AE18" t="s">
        <v>218</v>
      </c>
      <c r="AQ18" t="s">
        <v>219</v>
      </c>
      <c r="AU18" t="s">
        <v>220</v>
      </c>
    </row>
    <row r="19" spans="1:47" x14ac:dyDescent="0.25">
      <c r="A19" t="s">
        <v>57</v>
      </c>
      <c r="B19">
        <v>85</v>
      </c>
      <c r="C19">
        <v>0</v>
      </c>
      <c r="D19" t="s">
        <v>23</v>
      </c>
      <c r="E19">
        <v>84</v>
      </c>
      <c r="F19" s="1">
        <v>38929.63486111111</v>
      </c>
      <c r="G19" s="1">
        <v>39901.343368055554</v>
      </c>
      <c r="H19">
        <v>0</v>
      </c>
      <c r="I19">
        <v>3</v>
      </c>
      <c r="J19">
        <v>971</v>
      </c>
      <c r="K19">
        <v>10</v>
      </c>
      <c r="L19">
        <v>12</v>
      </c>
      <c r="M19" t="s">
        <v>58</v>
      </c>
      <c r="N19" t="s">
        <v>59</v>
      </c>
      <c r="O19">
        <v>11</v>
      </c>
      <c r="P19">
        <v>7</v>
      </c>
      <c r="Q19" t="s">
        <v>35</v>
      </c>
      <c r="R19" t="s">
        <v>56</v>
      </c>
      <c r="S19" t="s">
        <v>60</v>
      </c>
      <c r="T19">
        <v>20</v>
      </c>
      <c r="U19">
        <v>2</v>
      </c>
      <c r="V19">
        <v>22</v>
      </c>
      <c r="Y19">
        <f t="shared" si="0"/>
        <v>1</v>
      </c>
      <c r="AE19">
        <f>SUM(AB11:AE16)</f>
        <v>6</v>
      </c>
      <c r="AQ19">
        <f>SUM(AF11:AQ16)</f>
        <v>35</v>
      </c>
      <c r="AU19">
        <f>SUM(AR11:AU16)</f>
        <v>47</v>
      </c>
    </row>
    <row r="20" spans="1:47" x14ac:dyDescent="0.25">
      <c r="A20" t="s">
        <v>61</v>
      </c>
      <c r="B20">
        <v>85</v>
      </c>
      <c r="C20">
        <v>0</v>
      </c>
      <c r="D20" t="s">
        <v>23</v>
      </c>
      <c r="E20">
        <v>84</v>
      </c>
      <c r="F20" s="1">
        <v>38929.63486111111</v>
      </c>
      <c r="G20" s="1">
        <v>39901.343368055554</v>
      </c>
      <c r="H20">
        <v>0</v>
      </c>
      <c r="I20">
        <v>3</v>
      </c>
      <c r="J20">
        <v>971</v>
      </c>
      <c r="K20">
        <v>7</v>
      </c>
      <c r="L20">
        <v>8</v>
      </c>
      <c r="M20" t="s">
        <v>62</v>
      </c>
      <c r="N20" t="s">
        <v>63</v>
      </c>
      <c r="O20">
        <v>11</v>
      </c>
      <c r="P20">
        <v>11</v>
      </c>
      <c r="Q20" t="s">
        <v>35</v>
      </c>
      <c r="R20" t="s">
        <v>35</v>
      </c>
      <c r="S20">
        <v>1</v>
      </c>
      <c r="T20">
        <v>20</v>
      </c>
      <c r="U20">
        <v>2</v>
      </c>
      <c r="V20">
        <v>22</v>
      </c>
      <c r="Y20">
        <f t="shared" si="0"/>
        <v>1</v>
      </c>
    </row>
    <row r="21" spans="1:47" x14ac:dyDescent="0.25">
      <c r="A21" t="s">
        <v>64</v>
      </c>
      <c r="B21">
        <v>85</v>
      </c>
      <c r="C21">
        <v>0</v>
      </c>
      <c r="D21" t="s">
        <v>23</v>
      </c>
      <c r="E21">
        <v>84</v>
      </c>
      <c r="F21" s="1">
        <v>38929.63486111111</v>
      </c>
      <c r="G21" s="1">
        <v>39901.343368055554</v>
      </c>
      <c r="H21">
        <v>0</v>
      </c>
      <c r="I21">
        <v>3</v>
      </c>
      <c r="J21">
        <v>971</v>
      </c>
      <c r="K21">
        <v>7</v>
      </c>
      <c r="L21">
        <v>9</v>
      </c>
      <c r="M21" t="s">
        <v>65</v>
      </c>
      <c r="N21" t="s">
        <v>66</v>
      </c>
      <c r="O21">
        <v>9</v>
      </c>
      <c r="P21">
        <v>6</v>
      </c>
      <c r="Q21" t="s">
        <v>67</v>
      </c>
      <c r="R21" t="s">
        <v>29</v>
      </c>
      <c r="S21" t="s">
        <v>68</v>
      </c>
      <c r="T21">
        <v>20</v>
      </c>
      <c r="U21">
        <v>2</v>
      </c>
      <c r="V21">
        <v>22</v>
      </c>
      <c r="Y21">
        <f t="shared" si="0"/>
        <v>1</v>
      </c>
      <c r="AB21" s="2" t="s">
        <v>199</v>
      </c>
      <c r="AC21" s="2" t="s">
        <v>200</v>
      </c>
      <c r="AD21" s="2" t="s">
        <v>201</v>
      </c>
      <c r="AE21" s="2" t="s">
        <v>202</v>
      </c>
      <c r="AF21" s="2" t="s">
        <v>203</v>
      </c>
      <c r="AG21" s="2" t="s">
        <v>204</v>
      </c>
      <c r="AH21" s="2" t="s">
        <v>205</v>
      </c>
      <c r="AI21" s="2" t="s">
        <v>206</v>
      </c>
      <c r="AJ21" s="2" t="s">
        <v>207</v>
      </c>
      <c r="AK21" s="2" t="s">
        <v>208</v>
      </c>
      <c r="AL21" s="2" t="s">
        <v>209</v>
      </c>
      <c r="AM21" s="2" t="s">
        <v>210</v>
      </c>
      <c r="AN21" s="2" t="s">
        <v>211</v>
      </c>
      <c r="AO21" s="2" t="s">
        <v>212</v>
      </c>
      <c r="AP21" s="2" t="s">
        <v>213</v>
      </c>
      <c r="AQ21" s="2" t="s">
        <v>214</v>
      </c>
      <c r="AR21" s="2" t="s">
        <v>215</v>
      </c>
      <c r="AS21" s="2" t="s">
        <v>216</v>
      </c>
      <c r="AT21" s="2" t="s">
        <v>217</v>
      </c>
      <c r="AU21" s="2" t="s">
        <v>198</v>
      </c>
    </row>
    <row r="22" spans="1:47" x14ac:dyDescent="0.25">
      <c r="A22" t="s">
        <v>69</v>
      </c>
      <c r="B22">
        <v>85</v>
      </c>
      <c r="C22">
        <v>0</v>
      </c>
      <c r="D22" t="s">
        <v>23</v>
      </c>
      <c r="E22">
        <v>84</v>
      </c>
      <c r="F22" s="1">
        <v>38929.63486111111</v>
      </c>
      <c r="G22" s="1">
        <v>39901.343368055554</v>
      </c>
      <c r="H22">
        <v>0</v>
      </c>
      <c r="I22">
        <v>3</v>
      </c>
      <c r="J22">
        <v>971</v>
      </c>
      <c r="K22">
        <v>7</v>
      </c>
      <c r="L22">
        <v>7</v>
      </c>
      <c r="M22">
        <v>7</v>
      </c>
      <c r="N22">
        <v>1</v>
      </c>
      <c r="O22">
        <v>9</v>
      </c>
      <c r="P22">
        <v>9</v>
      </c>
      <c r="Q22" t="s">
        <v>67</v>
      </c>
      <c r="R22" t="s">
        <v>67</v>
      </c>
      <c r="S22">
        <v>1</v>
      </c>
      <c r="T22">
        <v>20</v>
      </c>
      <c r="U22">
        <v>2</v>
      </c>
      <c r="V22">
        <v>22</v>
      </c>
      <c r="Y22">
        <f t="shared" si="0"/>
        <v>1</v>
      </c>
      <c r="AA22" s="2">
        <v>10</v>
      </c>
      <c r="AB22">
        <f t="shared" ref="AB22:AU22" si="1" xml:space="preserve"> AB11 / 88</f>
        <v>4.5454545454545456E-2</v>
      </c>
      <c r="AC22">
        <f t="shared" si="1"/>
        <v>0</v>
      </c>
      <c r="AD22">
        <f t="shared" si="1"/>
        <v>0</v>
      </c>
      <c r="AE22">
        <f t="shared" si="1"/>
        <v>0</v>
      </c>
      <c r="AF22">
        <f t="shared" si="1"/>
        <v>0</v>
      </c>
      <c r="AG22">
        <f t="shared" si="1"/>
        <v>3.4090909090909088E-2</v>
      </c>
      <c r="AH22">
        <f t="shared" si="1"/>
        <v>0</v>
      </c>
      <c r="AI22">
        <f t="shared" si="1"/>
        <v>0</v>
      </c>
      <c r="AJ22">
        <f t="shared" si="1"/>
        <v>0</v>
      </c>
      <c r="AK22">
        <f t="shared" si="1"/>
        <v>0</v>
      </c>
      <c r="AL22">
        <f t="shared" si="1"/>
        <v>0</v>
      </c>
      <c r="AM22">
        <f t="shared" si="1"/>
        <v>0</v>
      </c>
      <c r="AN22">
        <f t="shared" si="1"/>
        <v>0</v>
      </c>
      <c r="AO22">
        <f t="shared" si="1"/>
        <v>0</v>
      </c>
      <c r="AP22">
        <f t="shared" si="1"/>
        <v>0</v>
      </c>
      <c r="AQ22">
        <f t="shared" si="1"/>
        <v>0</v>
      </c>
      <c r="AR22">
        <f t="shared" si="1"/>
        <v>0</v>
      </c>
      <c r="AS22">
        <f t="shared" si="1"/>
        <v>0</v>
      </c>
      <c r="AT22">
        <f t="shared" si="1"/>
        <v>0</v>
      </c>
      <c r="AU22">
        <f t="shared" si="1"/>
        <v>0</v>
      </c>
    </row>
    <row r="23" spans="1:47" x14ac:dyDescent="0.25">
      <c r="A23" t="s">
        <v>70</v>
      </c>
      <c r="B23">
        <v>52</v>
      </c>
      <c r="C23">
        <v>33</v>
      </c>
      <c r="D23" t="s">
        <v>23</v>
      </c>
      <c r="E23">
        <v>84</v>
      </c>
      <c r="F23" s="1">
        <v>39266.492118055554</v>
      </c>
      <c r="G23" s="1">
        <v>39901.343368055554</v>
      </c>
      <c r="H23">
        <v>1</v>
      </c>
      <c r="I23">
        <v>3</v>
      </c>
      <c r="J23">
        <v>634</v>
      </c>
      <c r="K23">
        <v>7</v>
      </c>
      <c r="L23">
        <v>7</v>
      </c>
      <c r="M23">
        <v>7</v>
      </c>
      <c r="N23">
        <v>1</v>
      </c>
      <c r="O23">
        <v>3</v>
      </c>
      <c r="P23">
        <v>2</v>
      </c>
      <c r="Q23" t="s">
        <v>71</v>
      </c>
      <c r="R23" t="s">
        <v>72</v>
      </c>
      <c r="S23" t="s">
        <v>68</v>
      </c>
      <c r="T23">
        <v>20</v>
      </c>
      <c r="U23">
        <v>1</v>
      </c>
      <c r="V23">
        <v>21</v>
      </c>
      <c r="Y23">
        <f t="shared" si="0"/>
        <v>0.6529351184346035</v>
      </c>
      <c r="AA23" s="2">
        <v>11</v>
      </c>
      <c r="AB23">
        <f t="shared" ref="AB23:AU23" si="2" xml:space="preserve"> AB12 / 88</f>
        <v>0</v>
      </c>
      <c r="AC23">
        <f t="shared" si="2"/>
        <v>0</v>
      </c>
      <c r="AD23">
        <f t="shared" si="2"/>
        <v>0</v>
      </c>
      <c r="AE23">
        <f t="shared" si="2"/>
        <v>0</v>
      </c>
      <c r="AF23">
        <f t="shared" si="2"/>
        <v>0</v>
      </c>
      <c r="AG23">
        <f t="shared" si="2"/>
        <v>5.6818181818181816E-2</v>
      </c>
      <c r="AH23">
        <f t="shared" si="2"/>
        <v>0</v>
      </c>
      <c r="AI23">
        <f t="shared" si="2"/>
        <v>1.1363636363636364E-2</v>
      </c>
      <c r="AJ23">
        <f t="shared" si="2"/>
        <v>0</v>
      </c>
      <c r="AK23">
        <f t="shared" si="2"/>
        <v>0</v>
      </c>
      <c r="AL23">
        <f t="shared" si="2"/>
        <v>0</v>
      </c>
      <c r="AM23">
        <f t="shared" si="2"/>
        <v>0</v>
      </c>
      <c r="AN23">
        <f t="shared" si="2"/>
        <v>0</v>
      </c>
      <c r="AO23">
        <f t="shared" si="2"/>
        <v>0</v>
      </c>
      <c r="AP23">
        <f t="shared" si="2"/>
        <v>0</v>
      </c>
      <c r="AQ23">
        <f t="shared" si="2"/>
        <v>0</v>
      </c>
      <c r="AR23">
        <f t="shared" si="2"/>
        <v>0</v>
      </c>
      <c r="AS23">
        <f t="shared" si="2"/>
        <v>0</v>
      </c>
      <c r="AT23">
        <f t="shared" si="2"/>
        <v>0</v>
      </c>
      <c r="AU23">
        <f t="shared" si="2"/>
        <v>0</v>
      </c>
    </row>
    <row r="24" spans="1:47" x14ac:dyDescent="0.25">
      <c r="A24" t="s">
        <v>73</v>
      </c>
      <c r="B24">
        <v>2</v>
      </c>
      <c r="C24">
        <v>83</v>
      </c>
      <c r="D24" t="s">
        <v>23</v>
      </c>
      <c r="E24">
        <v>84</v>
      </c>
      <c r="F24" s="1">
        <v>39896.568888888891</v>
      </c>
      <c r="G24" s="1">
        <v>39901.343368055554</v>
      </c>
      <c r="H24">
        <v>3</v>
      </c>
      <c r="I24">
        <v>3</v>
      </c>
      <c r="J24">
        <v>4</v>
      </c>
      <c r="K24">
        <v>3</v>
      </c>
      <c r="L24">
        <v>4</v>
      </c>
      <c r="M24" t="s">
        <v>74</v>
      </c>
      <c r="N24" t="s">
        <v>75</v>
      </c>
      <c r="O24">
        <v>1</v>
      </c>
      <c r="P24">
        <v>1</v>
      </c>
      <c r="Q24" t="s">
        <v>76</v>
      </c>
      <c r="R24" t="s">
        <v>76</v>
      </c>
      <c r="S24">
        <v>1</v>
      </c>
      <c r="T24">
        <v>20</v>
      </c>
      <c r="U24">
        <v>1</v>
      </c>
      <c r="V24">
        <v>21</v>
      </c>
      <c r="Y24">
        <f t="shared" si="0"/>
        <v>4.1194644696189494E-3</v>
      </c>
      <c r="AA24" s="2">
        <v>12</v>
      </c>
      <c r="AB24">
        <f t="shared" ref="AB24:AU24" si="3" xml:space="preserve"> AB13 / 88</f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  <c r="AM24">
        <f t="shared" si="3"/>
        <v>0</v>
      </c>
      <c r="AN24">
        <f t="shared" si="3"/>
        <v>2.2727272727272728E-2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0</v>
      </c>
      <c r="AS24">
        <f t="shared" si="3"/>
        <v>0</v>
      </c>
      <c r="AT24">
        <f t="shared" si="3"/>
        <v>0</v>
      </c>
      <c r="AU24">
        <f t="shared" si="3"/>
        <v>0</v>
      </c>
    </row>
    <row r="25" spans="1:47" x14ac:dyDescent="0.25">
      <c r="A25" t="s">
        <v>77</v>
      </c>
      <c r="B25">
        <v>22</v>
      </c>
      <c r="C25">
        <v>0</v>
      </c>
      <c r="D25">
        <v>21</v>
      </c>
      <c r="E25">
        <v>21</v>
      </c>
      <c r="F25" s="1">
        <v>38929.63486111111</v>
      </c>
      <c r="G25" s="1">
        <v>39195.697627314818</v>
      </c>
      <c r="H25">
        <v>0</v>
      </c>
      <c r="I25">
        <v>1</v>
      </c>
      <c r="J25">
        <v>266</v>
      </c>
      <c r="K25">
        <v>7</v>
      </c>
      <c r="L25">
        <v>7</v>
      </c>
      <c r="M25">
        <v>7</v>
      </c>
      <c r="N25">
        <v>1</v>
      </c>
      <c r="O25">
        <v>1</v>
      </c>
      <c r="P25">
        <v>1</v>
      </c>
      <c r="Q25" t="s">
        <v>47</v>
      </c>
      <c r="R25" t="s">
        <v>47</v>
      </c>
      <c r="S25">
        <v>1</v>
      </c>
      <c r="T25">
        <v>10</v>
      </c>
      <c r="U25">
        <v>1</v>
      </c>
      <c r="V25">
        <v>11</v>
      </c>
      <c r="Y25">
        <f t="shared" si="0"/>
        <v>0.27394438722966014</v>
      </c>
      <c r="AA25" s="2">
        <v>20</v>
      </c>
      <c r="AB25">
        <f t="shared" ref="AB25:AU25" si="4" xml:space="preserve"> AB14 / 88</f>
        <v>0</v>
      </c>
      <c r="AC25">
        <f t="shared" si="4"/>
        <v>0</v>
      </c>
      <c r="AD25">
        <f t="shared" si="4"/>
        <v>1.1363636363636364E-2</v>
      </c>
      <c r="AE25">
        <f t="shared" si="4"/>
        <v>0</v>
      </c>
      <c r="AF25">
        <f t="shared" si="4"/>
        <v>1.1363636363636364E-2</v>
      </c>
      <c r="AG25">
        <f t="shared" si="4"/>
        <v>9.0909090909090912E-2</v>
      </c>
      <c r="AH25">
        <f t="shared" si="4"/>
        <v>0</v>
      </c>
      <c r="AI25">
        <f t="shared" si="4"/>
        <v>1.1363636363636364E-2</v>
      </c>
      <c r="AJ25">
        <f t="shared" si="4"/>
        <v>0</v>
      </c>
      <c r="AK25">
        <f t="shared" si="4"/>
        <v>0</v>
      </c>
      <c r="AL25">
        <f t="shared" si="4"/>
        <v>0</v>
      </c>
      <c r="AM25">
        <f t="shared" si="4"/>
        <v>0</v>
      </c>
      <c r="AN25">
        <f t="shared" si="4"/>
        <v>0</v>
      </c>
      <c r="AO25">
        <f t="shared" si="4"/>
        <v>0</v>
      </c>
      <c r="AP25">
        <f t="shared" si="4"/>
        <v>0</v>
      </c>
      <c r="AQ25">
        <f t="shared" si="4"/>
        <v>0</v>
      </c>
      <c r="AR25">
        <f t="shared" si="4"/>
        <v>0</v>
      </c>
      <c r="AS25">
        <f t="shared" si="4"/>
        <v>0</v>
      </c>
      <c r="AT25">
        <f t="shared" si="4"/>
        <v>0</v>
      </c>
      <c r="AU25">
        <f t="shared" si="4"/>
        <v>0</v>
      </c>
    </row>
    <row r="26" spans="1:47" x14ac:dyDescent="0.25">
      <c r="A26" t="s">
        <v>78</v>
      </c>
      <c r="B26">
        <v>22</v>
      </c>
      <c r="C26">
        <v>0</v>
      </c>
      <c r="D26">
        <v>21</v>
      </c>
      <c r="E26">
        <v>21</v>
      </c>
      <c r="F26" s="1">
        <v>38929.63486111111</v>
      </c>
      <c r="G26" s="1">
        <v>39195.697627314818</v>
      </c>
      <c r="H26">
        <v>0</v>
      </c>
      <c r="I26">
        <v>1</v>
      </c>
      <c r="J26">
        <v>266</v>
      </c>
      <c r="K26">
        <v>6</v>
      </c>
      <c r="L26">
        <v>6</v>
      </c>
      <c r="M26">
        <v>6</v>
      </c>
      <c r="N26">
        <v>1</v>
      </c>
      <c r="O26">
        <v>1</v>
      </c>
      <c r="P26">
        <v>1</v>
      </c>
      <c r="Q26" t="s">
        <v>47</v>
      </c>
      <c r="R26" t="s">
        <v>47</v>
      </c>
      <c r="S26">
        <v>1</v>
      </c>
      <c r="T26">
        <v>10</v>
      </c>
      <c r="U26">
        <v>1</v>
      </c>
      <c r="V26">
        <v>11</v>
      </c>
      <c r="Y26">
        <f t="shared" si="0"/>
        <v>0.27394438722966014</v>
      </c>
      <c r="AA26" s="2">
        <v>21</v>
      </c>
      <c r="AB26">
        <f t="shared" ref="AB26:AU26" si="5" xml:space="preserve"> AB15 / 88</f>
        <v>1.1363636363636364E-2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2.2727272727272728E-2</v>
      </c>
      <c r="AH26">
        <f t="shared" si="5"/>
        <v>1.1363636363636364E-2</v>
      </c>
      <c r="AI26">
        <f t="shared" si="5"/>
        <v>1.1363636363636364E-2</v>
      </c>
      <c r="AJ26">
        <f t="shared" si="5"/>
        <v>0</v>
      </c>
      <c r="AK26">
        <f t="shared" si="5"/>
        <v>0</v>
      </c>
      <c r="AL26">
        <f t="shared" si="5"/>
        <v>1.1363636363636364E-2</v>
      </c>
      <c r="AM26">
        <f t="shared" si="5"/>
        <v>2.2727272727272728E-2</v>
      </c>
      <c r="AN26">
        <f t="shared" si="5"/>
        <v>1.1363636363636364E-2</v>
      </c>
      <c r="AO26">
        <f t="shared" si="5"/>
        <v>3.4090909090909088E-2</v>
      </c>
      <c r="AP26">
        <f t="shared" si="5"/>
        <v>0</v>
      </c>
      <c r="AQ26">
        <f t="shared" si="5"/>
        <v>0</v>
      </c>
      <c r="AR26">
        <f t="shared" si="5"/>
        <v>0</v>
      </c>
      <c r="AS26">
        <f t="shared" si="5"/>
        <v>0</v>
      </c>
      <c r="AT26">
        <f t="shared" si="5"/>
        <v>1.1363636363636364E-2</v>
      </c>
      <c r="AU26">
        <f t="shared" si="5"/>
        <v>0.27272727272727271</v>
      </c>
    </row>
    <row r="27" spans="1:47" x14ac:dyDescent="0.25">
      <c r="A27" t="s">
        <v>79</v>
      </c>
      <c r="B27">
        <v>85</v>
      </c>
      <c r="C27">
        <v>0</v>
      </c>
      <c r="D27" t="s">
        <v>23</v>
      </c>
      <c r="E27">
        <v>84</v>
      </c>
      <c r="F27" s="1">
        <v>38929.63486111111</v>
      </c>
      <c r="G27" s="1">
        <v>39901.343368055554</v>
      </c>
      <c r="H27">
        <v>0</v>
      </c>
      <c r="I27">
        <v>3</v>
      </c>
      <c r="J27">
        <v>971</v>
      </c>
      <c r="K27">
        <v>6</v>
      </c>
      <c r="L27">
        <v>8</v>
      </c>
      <c r="M27" t="s">
        <v>80</v>
      </c>
      <c r="N27" t="s">
        <v>75</v>
      </c>
      <c r="O27">
        <v>10</v>
      </c>
      <c r="P27">
        <v>6</v>
      </c>
      <c r="Q27" t="s">
        <v>43</v>
      </c>
      <c r="R27" t="s">
        <v>29</v>
      </c>
      <c r="S27" t="s">
        <v>81</v>
      </c>
      <c r="T27">
        <v>20</v>
      </c>
      <c r="U27">
        <v>2</v>
      </c>
      <c r="V27">
        <v>22</v>
      </c>
      <c r="Y27">
        <f t="shared" si="0"/>
        <v>1</v>
      </c>
      <c r="AA27" s="2">
        <v>22</v>
      </c>
      <c r="AB27">
        <f t="shared" ref="AB27:AU27" si="6" xml:space="preserve"> AB16 / 88</f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1.1363636363636364E-2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6"/>
        <v>0</v>
      </c>
      <c r="AO27">
        <f t="shared" si="6"/>
        <v>0</v>
      </c>
      <c r="AP27">
        <f t="shared" si="6"/>
        <v>1.1363636363636364E-2</v>
      </c>
      <c r="AQ27">
        <f t="shared" si="6"/>
        <v>1.1363636363636364E-2</v>
      </c>
      <c r="AR27">
        <f t="shared" si="6"/>
        <v>0</v>
      </c>
      <c r="AS27">
        <f t="shared" si="6"/>
        <v>0</v>
      </c>
      <c r="AT27">
        <f t="shared" si="6"/>
        <v>1.1363636363636364E-2</v>
      </c>
      <c r="AU27">
        <f t="shared" si="6"/>
        <v>0.23863636363636365</v>
      </c>
    </row>
    <row r="28" spans="1:47" x14ac:dyDescent="0.25">
      <c r="A28" t="s">
        <v>82</v>
      </c>
      <c r="B28">
        <v>85</v>
      </c>
      <c r="C28">
        <v>0</v>
      </c>
      <c r="D28" t="s">
        <v>23</v>
      </c>
      <c r="E28">
        <v>84</v>
      </c>
      <c r="F28" s="1">
        <v>38929.63486111111</v>
      </c>
      <c r="G28" s="1">
        <v>39901.343368055554</v>
      </c>
      <c r="H28">
        <v>0</v>
      </c>
      <c r="I28">
        <v>3</v>
      </c>
      <c r="J28">
        <v>971</v>
      </c>
      <c r="K28">
        <v>6</v>
      </c>
      <c r="L28">
        <v>7</v>
      </c>
      <c r="M28" t="s">
        <v>83</v>
      </c>
      <c r="N28" t="s">
        <v>28</v>
      </c>
      <c r="O28">
        <v>6</v>
      </c>
      <c r="P28">
        <v>5</v>
      </c>
      <c r="Q28" t="s">
        <v>29</v>
      </c>
      <c r="R28" t="s">
        <v>71</v>
      </c>
      <c r="S28" t="s">
        <v>59</v>
      </c>
      <c r="T28">
        <v>20</v>
      </c>
      <c r="U28">
        <v>1</v>
      </c>
      <c r="V28">
        <v>21</v>
      </c>
      <c r="Y28">
        <f t="shared" si="0"/>
        <v>1</v>
      </c>
    </row>
    <row r="29" spans="1:47" x14ac:dyDescent="0.25">
      <c r="A29" t="s">
        <v>84</v>
      </c>
      <c r="B29">
        <v>22</v>
      </c>
      <c r="C29">
        <v>0</v>
      </c>
      <c r="D29">
        <v>21</v>
      </c>
      <c r="E29">
        <v>21</v>
      </c>
      <c r="F29" s="1">
        <v>38929.63486111111</v>
      </c>
      <c r="G29" s="1">
        <v>39195.697627314818</v>
      </c>
      <c r="H29">
        <v>0</v>
      </c>
      <c r="I29">
        <v>1</v>
      </c>
      <c r="J29">
        <v>266</v>
      </c>
      <c r="K29">
        <v>3</v>
      </c>
      <c r="L29">
        <v>3</v>
      </c>
      <c r="M29">
        <v>3</v>
      </c>
      <c r="N29">
        <v>1</v>
      </c>
      <c r="O29">
        <v>0</v>
      </c>
      <c r="P29">
        <v>0</v>
      </c>
      <c r="Q29">
        <v>0</v>
      </c>
      <c r="R29">
        <v>0</v>
      </c>
      <c r="T29">
        <v>10</v>
      </c>
      <c r="U29">
        <v>0</v>
      </c>
      <c r="V29">
        <v>10</v>
      </c>
      <c r="Y29">
        <f t="shared" si="0"/>
        <v>0.27394438722966014</v>
      </c>
    </row>
    <row r="30" spans="1:47" x14ac:dyDescent="0.25">
      <c r="A30" t="s">
        <v>85</v>
      </c>
      <c r="B30">
        <v>22</v>
      </c>
      <c r="C30">
        <v>0</v>
      </c>
      <c r="D30">
        <v>21</v>
      </c>
      <c r="E30">
        <v>21</v>
      </c>
      <c r="F30" s="1">
        <v>38929.63486111111</v>
      </c>
      <c r="G30" s="1">
        <v>39195.697627314818</v>
      </c>
      <c r="H30">
        <v>0</v>
      </c>
      <c r="I30">
        <v>1</v>
      </c>
      <c r="J30">
        <v>266</v>
      </c>
      <c r="K30">
        <v>3</v>
      </c>
      <c r="L30">
        <v>3</v>
      </c>
      <c r="M30">
        <v>3</v>
      </c>
      <c r="N30">
        <v>1</v>
      </c>
      <c r="O30">
        <v>0</v>
      </c>
      <c r="P30">
        <v>0</v>
      </c>
      <c r="Q30">
        <v>0</v>
      </c>
      <c r="R30">
        <v>0</v>
      </c>
      <c r="T30">
        <v>10</v>
      </c>
      <c r="U30">
        <v>0</v>
      </c>
      <c r="V30">
        <v>10</v>
      </c>
      <c r="Y30">
        <f t="shared" si="0"/>
        <v>0.27394438722966014</v>
      </c>
    </row>
    <row r="31" spans="1:47" x14ac:dyDescent="0.25">
      <c r="A31" t="s">
        <v>86</v>
      </c>
      <c r="B31">
        <v>22</v>
      </c>
      <c r="C31">
        <v>0</v>
      </c>
      <c r="D31">
        <v>21</v>
      </c>
      <c r="E31">
        <v>21</v>
      </c>
      <c r="F31" s="1">
        <v>38929.63486111111</v>
      </c>
      <c r="G31" s="1">
        <v>39195.697627314818</v>
      </c>
      <c r="H31">
        <v>0</v>
      </c>
      <c r="I31">
        <v>1</v>
      </c>
      <c r="J31">
        <v>266</v>
      </c>
      <c r="K31">
        <v>6</v>
      </c>
      <c r="L31">
        <v>6</v>
      </c>
      <c r="M31">
        <v>6</v>
      </c>
      <c r="N31">
        <v>1</v>
      </c>
      <c r="O31">
        <v>1</v>
      </c>
      <c r="P31">
        <v>1</v>
      </c>
      <c r="Q31" t="s">
        <v>47</v>
      </c>
      <c r="R31" t="s">
        <v>47</v>
      </c>
      <c r="S31">
        <v>1</v>
      </c>
      <c r="T31">
        <v>10</v>
      </c>
      <c r="U31">
        <v>1</v>
      </c>
      <c r="V31">
        <v>11</v>
      </c>
      <c r="Y31">
        <f t="shared" si="0"/>
        <v>0.27394438722966014</v>
      </c>
    </row>
    <row r="32" spans="1:47" x14ac:dyDescent="0.25">
      <c r="A32" t="s">
        <v>87</v>
      </c>
      <c r="B32">
        <v>85</v>
      </c>
      <c r="C32">
        <v>0</v>
      </c>
      <c r="D32" t="s">
        <v>23</v>
      </c>
      <c r="E32">
        <v>84</v>
      </c>
      <c r="F32" s="1">
        <v>38929.63486111111</v>
      </c>
      <c r="G32" s="1">
        <v>39901.343368055554</v>
      </c>
      <c r="H32">
        <v>0</v>
      </c>
      <c r="I32">
        <v>3</v>
      </c>
      <c r="J32">
        <v>971</v>
      </c>
      <c r="K32">
        <v>6</v>
      </c>
      <c r="L32">
        <v>6</v>
      </c>
      <c r="M32" t="s">
        <v>49</v>
      </c>
      <c r="N32">
        <v>1</v>
      </c>
      <c r="O32">
        <v>4</v>
      </c>
      <c r="P32">
        <v>4</v>
      </c>
      <c r="Q32" t="s">
        <v>47</v>
      </c>
      <c r="R32" t="s">
        <v>47</v>
      </c>
      <c r="S32">
        <v>1</v>
      </c>
      <c r="T32">
        <v>20</v>
      </c>
      <c r="U32">
        <v>1</v>
      </c>
      <c r="V32">
        <v>21</v>
      </c>
      <c r="Y32">
        <f t="shared" si="0"/>
        <v>1</v>
      </c>
    </row>
    <row r="33" spans="1:25" x14ac:dyDescent="0.25">
      <c r="A33" t="s">
        <v>88</v>
      </c>
      <c r="B33">
        <v>2</v>
      </c>
      <c r="C33">
        <v>0</v>
      </c>
      <c r="D33">
        <v>1</v>
      </c>
      <c r="E33">
        <v>1</v>
      </c>
      <c r="F33" s="1">
        <v>38929.63486111111</v>
      </c>
      <c r="G33" s="1">
        <v>38933.570613425924</v>
      </c>
      <c r="H33">
        <v>0</v>
      </c>
      <c r="I33">
        <v>1</v>
      </c>
      <c r="J33">
        <v>3</v>
      </c>
      <c r="K33">
        <v>6</v>
      </c>
      <c r="L33">
        <v>6</v>
      </c>
      <c r="M33">
        <v>6</v>
      </c>
      <c r="N33">
        <v>1</v>
      </c>
      <c r="O33">
        <v>0</v>
      </c>
      <c r="P33">
        <v>0</v>
      </c>
      <c r="Q33">
        <v>0</v>
      </c>
      <c r="R33">
        <v>0</v>
      </c>
      <c r="T33">
        <v>10</v>
      </c>
      <c r="U33">
        <v>0</v>
      </c>
      <c r="V33">
        <v>10</v>
      </c>
      <c r="Y33">
        <f t="shared" si="0"/>
        <v>3.089598352214212E-3</v>
      </c>
    </row>
    <row r="34" spans="1:25" x14ac:dyDescent="0.25">
      <c r="A34" t="s">
        <v>89</v>
      </c>
      <c r="B34">
        <v>81</v>
      </c>
      <c r="C34">
        <v>3</v>
      </c>
      <c r="D34" t="s">
        <v>23</v>
      </c>
      <c r="E34">
        <v>84</v>
      </c>
      <c r="F34" s="1">
        <v>38987.448252314818</v>
      </c>
      <c r="G34" s="1">
        <v>39901.343368055554</v>
      </c>
      <c r="H34">
        <v>1</v>
      </c>
      <c r="I34">
        <v>3</v>
      </c>
      <c r="J34">
        <v>913</v>
      </c>
      <c r="K34">
        <v>6</v>
      </c>
      <c r="L34">
        <v>7</v>
      </c>
      <c r="M34" t="s">
        <v>90</v>
      </c>
      <c r="N34" t="s">
        <v>28</v>
      </c>
      <c r="O34">
        <v>8</v>
      </c>
      <c r="P34">
        <v>7</v>
      </c>
      <c r="Q34" t="s">
        <v>91</v>
      </c>
      <c r="R34" t="s">
        <v>53</v>
      </c>
      <c r="S34" t="s">
        <v>63</v>
      </c>
      <c r="T34">
        <v>20</v>
      </c>
      <c r="U34">
        <v>1</v>
      </c>
      <c r="V34">
        <v>21</v>
      </c>
      <c r="Y34">
        <f t="shared" ref="Y34:Y65" si="7" xml:space="preserve"> J34 / 971</f>
        <v>0.94026776519052524</v>
      </c>
    </row>
    <row r="35" spans="1:25" x14ac:dyDescent="0.25">
      <c r="A35" t="s">
        <v>92</v>
      </c>
      <c r="B35">
        <v>85</v>
      </c>
      <c r="C35">
        <v>0</v>
      </c>
      <c r="D35" t="s">
        <v>23</v>
      </c>
      <c r="E35">
        <v>84</v>
      </c>
      <c r="F35" s="1">
        <v>38929.63486111111</v>
      </c>
      <c r="G35" s="1">
        <v>39901.343368055554</v>
      </c>
      <c r="H35">
        <v>0</v>
      </c>
      <c r="I35">
        <v>3</v>
      </c>
      <c r="J35">
        <v>971</v>
      </c>
      <c r="K35">
        <v>7</v>
      </c>
      <c r="L35">
        <v>7</v>
      </c>
      <c r="M35" t="s">
        <v>93</v>
      </c>
      <c r="N35">
        <v>1</v>
      </c>
      <c r="O35">
        <v>4</v>
      </c>
      <c r="P35">
        <v>4</v>
      </c>
      <c r="Q35" t="s">
        <v>47</v>
      </c>
      <c r="R35" t="s">
        <v>47</v>
      </c>
      <c r="S35">
        <v>1</v>
      </c>
      <c r="T35">
        <v>20</v>
      </c>
      <c r="U35">
        <v>1</v>
      </c>
      <c r="V35">
        <v>21</v>
      </c>
      <c r="Y35">
        <f t="shared" si="7"/>
        <v>1</v>
      </c>
    </row>
    <row r="36" spans="1:25" x14ac:dyDescent="0.25">
      <c r="A36" t="s">
        <v>94</v>
      </c>
      <c r="B36">
        <v>1</v>
      </c>
      <c r="C36">
        <v>53</v>
      </c>
      <c r="D36">
        <v>53</v>
      </c>
      <c r="E36">
        <v>53</v>
      </c>
      <c r="F36" s="1">
        <v>39546.372696759259</v>
      </c>
      <c r="G36" s="1">
        <v>39546.372696759259</v>
      </c>
      <c r="H36">
        <v>2</v>
      </c>
      <c r="I36">
        <v>2</v>
      </c>
      <c r="J36">
        <v>0</v>
      </c>
      <c r="K36">
        <v>6</v>
      </c>
      <c r="L36">
        <v>6</v>
      </c>
      <c r="M36">
        <v>6</v>
      </c>
      <c r="N36">
        <v>1</v>
      </c>
      <c r="O36">
        <v>0</v>
      </c>
      <c r="P36">
        <v>0</v>
      </c>
      <c r="Q36">
        <v>0</v>
      </c>
      <c r="R36">
        <v>0</v>
      </c>
      <c r="T36">
        <v>10</v>
      </c>
      <c r="U36">
        <v>0</v>
      </c>
      <c r="V36">
        <v>10</v>
      </c>
      <c r="Y36">
        <f t="shared" si="7"/>
        <v>0</v>
      </c>
    </row>
    <row r="37" spans="1:25" x14ac:dyDescent="0.25">
      <c r="A37" t="s">
        <v>95</v>
      </c>
      <c r="B37">
        <v>85</v>
      </c>
      <c r="C37">
        <v>0</v>
      </c>
      <c r="D37" t="s">
        <v>23</v>
      </c>
      <c r="E37">
        <v>84</v>
      </c>
      <c r="F37" s="1">
        <v>38929.63486111111</v>
      </c>
      <c r="G37" s="1">
        <v>39901.343368055554</v>
      </c>
      <c r="H37">
        <v>0</v>
      </c>
      <c r="I37">
        <v>3</v>
      </c>
      <c r="J37">
        <v>971</v>
      </c>
      <c r="K37">
        <v>7</v>
      </c>
      <c r="L37">
        <v>7</v>
      </c>
      <c r="M37" t="s">
        <v>96</v>
      </c>
      <c r="N37">
        <v>1</v>
      </c>
      <c r="O37">
        <v>13</v>
      </c>
      <c r="P37">
        <v>8</v>
      </c>
      <c r="Q37" t="s">
        <v>97</v>
      </c>
      <c r="R37" t="s">
        <v>53</v>
      </c>
      <c r="S37" t="s">
        <v>98</v>
      </c>
      <c r="T37">
        <v>20</v>
      </c>
      <c r="U37">
        <v>2</v>
      </c>
      <c r="V37">
        <v>22</v>
      </c>
      <c r="Y37">
        <f t="shared" si="7"/>
        <v>1</v>
      </c>
    </row>
    <row r="38" spans="1:25" x14ac:dyDescent="0.25">
      <c r="A38" t="s">
        <v>99</v>
      </c>
      <c r="B38">
        <v>85</v>
      </c>
      <c r="C38">
        <v>0</v>
      </c>
      <c r="D38" t="s">
        <v>23</v>
      </c>
      <c r="E38">
        <v>84</v>
      </c>
      <c r="F38" s="1">
        <v>38929.63486111111</v>
      </c>
      <c r="G38" s="1">
        <v>39901.343368055554</v>
      </c>
      <c r="H38">
        <v>0</v>
      </c>
      <c r="I38">
        <v>3</v>
      </c>
      <c r="J38">
        <v>971</v>
      </c>
      <c r="K38">
        <v>6</v>
      </c>
      <c r="L38">
        <v>8</v>
      </c>
      <c r="M38" t="s">
        <v>100</v>
      </c>
      <c r="N38" t="s">
        <v>75</v>
      </c>
      <c r="O38">
        <v>13</v>
      </c>
      <c r="P38">
        <v>7</v>
      </c>
      <c r="Q38" t="s">
        <v>97</v>
      </c>
      <c r="R38" t="s">
        <v>56</v>
      </c>
      <c r="S38" t="s">
        <v>101</v>
      </c>
      <c r="T38">
        <v>20</v>
      </c>
      <c r="U38">
        <v>2</v>
      </c>
      <c r="V38">
        <v>22</v>
      </c>
      <c r="Y38">
        <f t="shared" si="7"/>
        <v>1</v>
      </c>
    </row>
    <row r="39" spans="1:25" x14ac:dyDescent="0.25">
      <c r="A39" t="s">
        <v>102</v>
      </c>
      <c r="B39">
        <v>18</v>
      </c>
      <c r="C39">
        <v>67</v>
      </c>
      <c r="D39" t="s">
        <v>23</v>
      </c>
      <c r="E39">
        <v>84</v>
      </c>
      <c r="F39" s="1">
        <v>39610.68787037037</v>
      </c>
      <c r="G39" s="1">
        <v>39901.343368055554</v>
      </c>
      <c r="H39">
        <v>2</v>
      </c>
      <c r="I39">
        <v>3</v>
      </c>
      <c r="J39">
        <v>290</v>
      </c>
      <c r="K39">
        <v>6</v>
      </c>
      <c r="L39">
        <v>6</v>
      </c>
      <c r="M39">
        <v>6</v>
      </c>
      <c r="N39">
        <v>1</v>
      </c>
      <c r="O39">
        <v>0</v>
      </c>
      <c r="P39">
        <v>0</v>
      </c>
      <c r="Q39">
        <v>0</v>
      </c>
      <c r="R39">
        <v>0</v>
      </c>
      <c r="T39">
        <v>20</v>
      </c>
      <c r="U39">
        <v>0</v>
      </c>
      <c r="V39">
        <v>20</v>
      </c>
      <c r="Y39">
        <f t="shared" si="7"/>
        <v>0.29866117404737386</v>
      </c>
    </row>
    <row r="40" spans="1:25" x14ac:dyDescent="0.25">
      <c r="A40" t="s">
        <v>103</v>
      </c>
      <c r="B40">
        <v>85</v>
      </c>
      <c r="C40">
        <v>0</v>
      </c>
      <c r="D40" t="s">
        <v>23</v>
      </c>
      <c r="E40">
        <v>84</v>
      </c>
      <c r="F40" s="1">
        <v>38929.63486111111</v>
      </c>
      <c r="G40" s="1">
        <v>39901.343368055554</v>
      </c>
      <c r="H40">
        <v>0</v>
      </c>
      <c r="I40">
        <v>3</v>
      </c>
      <c r="J40">
        <v>971</v>
      </c>
      <c r="K40">
        <v>7</v>
      </c>
      <c r="L40">
        <v>6</v>
      </c>
      <c r="M40" t="s">
        <v>104</v>
      </c>
      <c r="N40" t="s">
        <v>105</v>
      </c>
      <c r="O40">
        <v>5</v>
      </c>
      <c r="P40">
        <v>5</v>
      </c>
      <c r="Q40" t="s">
        <v>71</v>
      </c>
      <c r="R40" t="s">
        <v>71</v>
      </c>
      <c r="S40">
        <v>1</v>
      </c>
      <c r="T40">
        <v>20</v>
      </c>
      <c r="U40">
        <v>1</v>
      </c>
      <c r="V40">
        <v>21</v>
      </c>
      <c r="Y40">
        <f t="shared" si="7"/>
        <v>1</v>
      </c>
    </row>
    <row r="41" spans="1:25" x14ac:dyDescent="0.25">
      <c r="A41" t="s">
        <v>106</v>
      </c>
      <c r="B41">
        <v>85</v>
      </c>
      <c r="C41">
        <v>0</v>
      </c>
      <c r="D41" t="s">
        <v>23</v>
      </c>
      <c r="E41">
        <v>84</v>
      </c>
      <c r="F41" s="1">
        <v>38929.63486111111</v>
      </c>
      <c r="G41" s="1">
        <v>39901.343368055554</v>
      </c>
      <c r="H41">
        <v>0</v>
      </c>
      <c r="I41">
        <v>3</v>
      </c>
      <c r="J41">
        <v>971</v>
      </c>
      <c r="K41">
        <v>10</v>
      </c>
      <c r="L41">
        <v>12</v>
      </c>
      <c r="M41" t="s">
        <v>107</v>
      </c>
      <c r="N41" t="s">
        <v>59</v>
      </c>
      <c r="O41">
        <v>16</v>
      </c>
      <c r="P41">
        <v>12</v>
      </c>
      <c r="Q41" t="s">
        <v>42</v>
      </c>
      <c r="R41" t="s">
        <v>108</v>
      </c>
      <c r="S41" t="s">
        <v>75</v>
      </c>
      <c r="T41">
        <v>20</v>
      </c>
      <c r="U41">
        <v>2</v>
      </c>
      <c r="V41">
        <v>22</v>
      </c>
      <c r="Y41">
        <f t="shared" si="7"/>
        <v>1</v>
      </c>
    </row>
    <row r="42" spans="1:25" x14ac:dyDescent="0.25">
      <c r="A42" t="s">
        <v>109</v>
      </c>
      <c r="B42">
        <v>85</v>
      </c>
      <c r="C42">
        <v>0</v>
      </c>
      <c r="D42" t="s">
        <v>23</v>
      </c>
      <c r="E42">
        <v>84</v>
      </c>
      <c r="F42" s="1">
        <v>38929.63486111111</v>
      </c>
      <c r="G42" s="1">
        <v>39901.343368055554</v>
      </c>
      <c r="H42">
        <v>0</v>
      </c>
      <c r="I42">
        <v>3</v>
      </c>
      <c r="J42">
        <v>971</v>
      </c>
      <c r="K42">
        <v>6</v>
      </c>
      <c r="L42">
        <v>6</v>
      </c>
      <c r="M42" t="s">
        <v>49</v>
      </c>
      <c r="N42">
        <v>1</v>
      </c>
      <c r="O42">
        <v>7</v>
      </c>
      <c r="P42">
        <v>7</v>
      </c>
      <c r="Q42" t="s">
        <v>56</v>
      </c>
      <c r="R42" t="s">
        <v>56</v>
      </c>
      <c r="S42">
        <v>1</v>
      </c>
      <c r="T42">
        <v>20</v>
      </c>
      <c r="U42">
        <v>1</v>
      </c>
      <c r="V42">
        <v>21</v>
      </c>
      <c r="Y42">
        <f t="shared" si="7"/>
        <v>1</v>
      </c>
    </row>
    <row r="43" spans="1:25" x14ac:dyDescent="0.25">
      <c r="A43" t="s">
        <v>110</v>
      </c>
      <c r="B43">
        <v>50</v>
      </c>
      <c r="C43">
        <v>35</v>
      </c>
      <c r="D43" t="s">
        <v>23</v>
      </c>
      <c r="E43">
        <v>84</v>
      </c>
      <c r="F43" s="1">
        <v>39276.700266203705</v>
      </c>
      <c r="G43" s="1">
        <v>39901.343368055554</v>
      </c>
      <c r="H43">
        <v>1</v>
      </c>
      <c r="I43">
        <v>3</v>
      </c>
      <c r="J43">
        <v>624</v>
      </c>
      <c r="K43">
        <v>6</v>
      </c>
      <c r="L43">
        <v>6</v>
      </c>
      <c r="M43">
        <v>6</v>
      </c>
      <c r="N43">
        <v>1</v>
      </c>
      <c r="O43">
        <v>2</v>
      </c>
      <c r="P43">
        <v>1</v>
      </c>
      <c r="Q43" t="s">
        <v>72</v>
      </c>
      <c r="R43" t="s">
        <v>111</v>
      </c>
      <c r="S43">
        <v>2</v>
      </c>
      <c r="T43">
        <v>20</v>
      </c>
      <c r="U43">
        <v>1</v>
      </c>
      <c r="V43">
        <v>21</v>
      </c>
      <c r="Y43">
        <f t="shared" si="7"/>
        <v>0.64263645726055618</v>
      </c>
    </row>
    <row r="44" spans="1:25" x14ac:dyDescent="0.25">
      <c r="A44" t="s">
        <v>112</v>
      </c>
      <c r="B44">
        <v>85</v>
      </c>
      <c r="C44">
        <v>0</v>
      </c>
      <c r="D44" t="s">
        <v>23</v>
      </c>
      <c r="E44">
        <v>84</v>
      </c>
      <c r="F44" s="1">
        <v>38929.63486111111</v>
      </c>
      <c r="G44" s="1">
        <v>39901.343368055554</v>
      </c>
      <c r="H44">
        <v>0</v>
      </c>
      <c r="I44">
        <v>3</v>
      </c>
      <c r="J44">
        <v>971</v>
      </c>
      <c r="K44">
        <v>8</v>
      </c>
      <c r="L44">
        <v>8</v>
      </c>
      <c r="M44" t="s">
        <v>113</v>
      </c>
      <c r="N44">
        <v>1</v>
      </c>
      <c r="O44">
        <v>9</v>
      </c>
      <c r="P44">
        <v>6</v>
      </c>
      <c r="Q44" t="s">
        <v>67</v>
      </c>
      <c r="R44" t="s">
        <v>29</v>
      </c>
      <c r="S44" t="s">
        <v>68</v>
      </c>
      <c r="T44">
        <v>20</v>
      </c>
      <c r="U44">
        <v>2</v>
      </c>
      <c r="V44">
        <v>22</v>
      </c>
      <c r="Y44">
        <f t="shared" si="7"/>
        <v>1</v>
      </c>
    </row>
    <row r="45" spans="1:25" x14ac:dyDescent="0.25">
      <c r="A45" t="s">
        <v>114</v>
      </c>
      <c r="B45">
        <v>85</v>
      </c>
      <c r="C45">
        <v>0</v>
      </c>
      <c r="D45" t="s">
        <v>23</v>
      </c>
      <c r="E45">
        <v>84</v>
      </c>
      <c r="F45" s="1">
        <v>38929.63486111111</v>
      </c>
      <c r="G45" s="1">
        <v>39901.343368055554</v>
      </c>
      <c r="H45">
        <v>0</v>
      </c>
      <c r="I45">
        <v>3</v>
      </c>
      <c r="J45">
        <v>971</v>
      </c>
      <c r="K45">
        <v>5</v>
      </c>
      <c r="L45">
        <v>5</v>
      </c>
      <c r="M45" t="s">
        <v>115</v>
      </c>
      <c r="N45">
        <v>1</v>
      </c>
      <c r="O45">
        <v>4</v>
      </c>
      <c r="P45">
        <v>4</v>
      </c>
      <c r="Q45" t="s">
        <v>47</v>
      </c>
      <c r="R45" t="s">
        <v>47</v>
      </c>
      <c r="S45">
        <v>1</v>
      </c>
      <c r="T45">
        <v>20</v>
      </c>
      <c r="U45">
        <v>1</v>
      </c>
      <c r="V45">
        <v>21</v>
      </c>
      <c r="Y45">
        <f t="shared" si="7"/>
        <v>1</v>
      </c>
    </row>
    <row r="46" spans="1:25" x14ac:dyDescent="0.25">
      <c r="A46" t="s">
        <v>116</v>
      </c>
      <c r="B46">
        <v>82</v>
      </c>
      <c r="C46">
        <v>3</v>
      </c>
      <c r="D46" t="s">
        <v>23</v>
      </c>
      <c r="E46">
        <v>84</v>
      </c>
      <c r="F46" s="1">
        <v>38987.448252314818</v>
      </c>
      <c r="G46" s="1">
        <v>39901.343368055554</v>
      </c>
      <c r="H46">
        <v>1</v>
      </c>
      <c r="I46">
        <v>3</v>
      </c>
      <c r="J46">
        <v>913</v>
      </c>
      <c r="K46">
        <v>6</v>
      </c>
      <c r="L46">
        <v>8</v>
      </c>
      <c r="M46" t="s">
        <v>117</v>
      </c>
      <c r="N46" t="s">
        <v>75</v>
      </c>
      <c r="O46">
        <v>32</v>
      </c>
      <c r="P46">
        <v>11</v>
      </c>
      <c r="Q46" t="s">
        <v>118</v>
      </c>
      <c r="R46" t="s">
        <v>35</v>
      </c>
      <c r="S46" t="s">
        <v>119</v>
      </c>
      <c r="T46">
        <v>20</v>
      </c>
      <c r="U46">
        <v>2</v>
      </c>
      <c r="V46">
        <v>22</v>
      </c>
      <c r="Y46">
        <f t="shared" si="7"/>
        <v>0.94026776519052524</v>
      </c>
    </row>
    <row r="47" spans="1:25" x14ac:dyDescent="0.25">
      <c r="A47" t="s">
        <v>120</v>
      </c>
      <c r="B47">
        <v>1</v>
      </c>
      <c r="C47">
        <v>53</v>
      </c>
      <c r="D47">
        <v>53</v>
      </c>
      <c r="E47">
        <v>53</v>
      </c>
      <c r="F47" s="1">
        <v>39546.372696759259</v>
      </c>
      <c r="G47" s="1">
        <v>39546.372696759259</v>
      </c>
      <c r="H47">
        <v>2</v>
      </c>
      <c r="I47">
        <v>2</v>
      </c>
      <c r="J47">
        <v>0</v>
      </c>
      <c r="K47">
        <v>5</v>
      </c>
      <c r="L47">
        <v>5</v>
      </c>
      <c r="M47">
        <v>5</v>
      </c>
      <c r="N47">
        <v>1</v>
      </c>
      <c r="O47">
        <v>0</v>
      </c>
      <c r="P47">
        <v>0</v>
      </c>
      <c r="Q47">
        <v>0</v>
      </c>
      <c r="R47">
        <v>0</v>
      </c>
      <c r="T47">
        <v>10</v>
      </c>
      <c r="U47">
        <v>0</v>
      </c>
      <c r="V47">
        <v>10</v>
      </c>
      <c r="Y47">
        <f t="shared" si="7"/>
        <v>0</v>
      </c>
    </row>
    <row r="48" spans="1:25" x14ac:dyDescent="0.25">
      <c r="A48" t="s">
        <v>121</v>
      </c>
      <c r="B48">
        <v>68</v>
      </c>
      <c r="C48">
        <v>17</v>
      </c>
      <c r="D48" t="s">
        <v>23</v>
      </c>
      <c r="E48">
        <v>84</v>
      </c>
      <c r="F48" s="1">
        <v>39155.529178240744</v>
      </c>
      <c r="G48" s="1">
        <v>39901.343368055554</v>
      </c>
      <c r="H48">
        <v>1</v>
      </c>
      <c r="I48">
        <v>3</v>
      </c>
      <c r="J48">
        <v>745</v>
      </c>
      <c r="K48">
        <v>6</v>
      </c>
      <c r="L48">
        <v>6</v>
      </c>
      <c r="M48" t="s">
        <v>49</v>
      </c>
      <c r="N48">
        <v>1</v>
      </c>
      <c r="O48">
        <v>28</v>
      </c>
      <c r="P48">
        <v>6</v>
      </c>
      <c r="Q48" t="s">
        <v>122</v>
      </c>
      <c r="R48" t="s">
        <v>53</v>
      </c>
      <c r="S48" t="s">
        <v>123</v>
      </c>
      <c r="T48">
        <v>20</v>
      </c>
      <c r="U48">
        <v>2</v>
      </c>
      <c r="V48">
        <v>22</v>
      </c>
      <c r="Y48">
        <f t="shared" si="7"/>
        <v>0.76725025746652931</v>
      </c>
    </row>
    <row r="49" spans="1:25" x14ac:dyDescent="0.25">
      <c r="A49" t="s">
        <v>124</v>
      </c>
      <c r="B49">
        <v>85</v>
      </c>
      <c r="C49">
        <v>0</v>
      </c>
      <c r="D49" t="s">
        <v>23</v>
      </c>
      <c r="E49">
        <v>84</v>
      </c>
      <c r="F49" s="1">
        <v>38929.63486111111</v>
      </c>
      <c r="G49" s="1">
        <v>39901.343368055554</v>
      </c>
      <c r="H49">
        <v>0</v>
      </c>
      <c r="I49">
        <v>3</v>
      </c>
      <c r="J49">
        <v>971</v>
      </c>
      <c r="K49">
        <v>7</v>
      </c>
      <c r="L49">
        <v>7</v>
      </c>
      <c r="M49" t="s">
        <v>93</v>
      </c>
      <c r="N49">
        <v>1</v>
      </c>
      <c r="O49">
        <v>4</v>
      </c>
      <c r="P49">
        <v>4</v>
      </c>
      <c r="Q49" t="s">
        <v>47</v>
      </c>
      <c r="R49" t="s">
        <v>47</v>
      </c>
      <c r="S49">
        <v>1</v>
      </c>
      <c r="T49">
        <v>20</v>
      </c>
      <c r="U49">
        <v>1</v>
      </c>
      <c r="V49">
        <v>21</v>
      </c>
      <c r="Y49">
        <f t="shared" si="7"/>
        <v>1</v>
      </c>
    </row>
    <row r="50" spans="1:25" x14ac:dyDescent="0.25">
      <c r="A50" t="s">
        <v>125</v>
      </c>
      <c r="B50">
        <v>1</v>
      </c>
      <c r="C50">
        <v>53</v>
      </c>
      <c r="D50">
        <v>53</v>
      </c>
      <c r="E50">
        <v>53</v>
      </c>
      <c r="F50" s="1">
        <v>39546.372696759259</v>
      </c>
      <c r="G50" s="1">
        <v>39546.372696759259</v>
      </c>
      <c r="H50">
        <v>2</v>
      </c>
      <c r="I50">
        <v>2</v>
      </c>
      <c r="J50">
        <v>0</v>
      </c>
      <c r="K50">
        <v>7</v>
      </c>
      <c r="L50">
        <v>7</v>
      </c>
      <c r="M50">
        <v>7</v>
      </c>
      <c r="N50">
        <v>1</v>
      </c>
      <c r="O50">
        <v>0</v>
      </c>
      <c r="P50">
        <v>0</v>
      </c>
      <c r="Q50">
        <v>0</v>
      </c>
      <c r="R50">
        <v>0</v>
      </c>
      <c r="T50">
        <v>10</v>
      </c>
      <c r="U50">
        <v>0</v>
      </c>
      <c r="V50">
        <v>10</v>
      </c>
      <c r="Y50">
        <f t="shared" si="7"/>
        <v>0</v>
      </c>
    </row>
    <row r="51" spans="1:25" x14ac:dyDescent="0.25">
      <c r="A51" t="s">
        <v>126</v>
      </c>
      <c r="B51">
        <v>85</v>
      </c>
      <c r="C51">
        <v>0</v>
      </c>
      <c r="D51" t="s">
        <v>23</v>
      </c>
      <c r="E51">
        <v>84</v>
      </c>
      <c r="F51" s="1">
        <v>38929.63486111111</v>
      </c>
      <c r="G51" s="1">
        <v>39901.343368055554</v>
      </c>
      <c r="H51">
        <v>0</v>
      </c>
      <c r="I51">
        <v>3</v>
      </c>
      <c r="J51">
        <v>971</v>
      </c>
      <c r="K51">
        <v>6</v>
      </c>
      <c r="L51">
        <v>6</v>
      </c>
      <c r="M51" t="s">
        <v>49</v>
      </c>
      <c r="N51">
        <v>1</v>
      </c>
      <c r="O51">
        <v>4</v>
      </c>
      <c r="P51">
        <v>4</v>
      </c>
      <c r="Q51" t="s">
        <v>47</v>
      </c>
      <c r="R51" t="s">
        <v>47</v>
      </c>
      <c r="S51">
        <v>1</v>
      </c>
      <c r="T51">
        <v>20</v>
      </c>
      <c r="U51">
        <v>1</v>
      </c>
      <c r="V51">
        <v>21</v>
      </c>
      <c r="Y51">
        <f t="shared" si="7"/>
        <v>1</v>
      </c>
    </row>
    <row r="52" spans="1:25" x14ac:dyDescent="0.25">
      <c r="A52" t="s">
        <v>127</v>
      </c>
      <c r="B52">
        <v>85</v>
      </c>
      <c r="C52">
        <v>0</v>
      </c>
      <c r="D52" t="s">
        <v>23</v>
      </c>
      <c r="E52">
        <v>84</v>
      </c>
      <c r="F52" s="1">
        <v>38929.63486111111</v>
      </c>
      <c r="G52" s="1">
        <v>39901.343368055554</v>
      </c>
      <c r="H52">
        <v>0</v>
      </c>
      <c r="I52">
        <v>3</v>
      </c>
      <c r="J52">
        <v>971</v>
      </c>
      <c r="K52">
        <v>7</v>
      </c>
      <c r="L52">
        <v>7</v>
      </c>
      <c r="M52" t="s">
        <v>93</v>
      </c>
      <c r="N52">
        <v>1</v>
      </c>
      <c r="O52">
        <v>4</v>
      </c>
      <c r="P52">
        <v>4</v>
      </c>
      <c r="Q52" t="s">
        <v>47</v>
      </c>
      <c r="R52" t="s">
        <v>47</v>
      </c>
      <c r="S52">
        <v>1</v>
      </c>
      <c r="T52">
        <v>20</v>
      </c>
      <c r="U52">
        <v>1</v>
      </c>
      <c r="V52">
        <v>21</v>
      </c>
      <c r="Y52">
        <f t="shared" si="7"/>
        <v>1</v>
      </c>
    </row>
    <row r="53" spans="1:25" x14ac:dyDescent="0.25">
      <c r="A53" t="s">
        <v>128</v>
      </c>
      <c r="B53">
        <v>85</v>
      </c>
      <c r="C53">
        <v>0</v>
      </c>
      <c r="D53" t="s">
        <v>23</v>
      </c>
      <c r="E53">
        <v>84</v>
      </c>
      <c r="F53" s="1">
        <v>38929.63486111111</v>
      </c>
      <c r="G53" s="1">
        <v>39901.343368055554</v>
      </c>
      <c r="H53">
        <v>0</v>
      </c>
      <c r="I53">
        <v>3</v>
      </c>
      <c r="J53">
        <v>971</v>
      </c>
      <c r="K53">
        <v>6</v>
      </c>
      <c r="L53">
        <v>7</v>
      </c>
      <c r="M53" t="s">
        <v>80</v>
      </c>
      <c r="N53" t="s">
        <v>28</v>
      </c>
      <c r="O53">
        <v>7</v>
      </c>
      <c r="P53">
        <v>6</v>
      </c>
      <c r="Q53" t="s">
        <v>56</v>
      </c>
      <c r="R53" t="s">
        <v>29</v>
      </c>
      <c r="S53" t="s">
        <v>28</v>
      </c>
      <c r="T53">
        <v>20</v>
      </c>
      <c r="U53">
        <v>1</v>
      </c>
      <c r="V53">
        <v>21</v>
      </c>
      <c r="Y53">
        <f t="shared" si="7"/>
        <v>1</v>
      </c>
    </row>
    <row r="54" spans="1:25" x14ac:dyDescent="0.25">
      <c r="A54" t="s">
        <v>129</v>
      </c>
      <c r="B54">
        <v>85</v>
      </c>
      <c r="C54">
        <v>0</v>
      </c>
      <c r="D54" t="s">
        <v>23</v>
      </c>
      <c r="E54">
        <v>84</v>
      </c>
      <c r="F54" s="1">
        <v>38929.63486111111</v>
      </c>
      <c r="G54" s="1">
        <v>39901.343368055554</v>
      </c>
      <c r="H54">
        <v>0</v>
      </c>
      <c r="I54">
        <v>3</v>
      </c>
      <c r="J54">
        <v>971</v>
      </c>
      <c r="K54">
        <v>6</v>
      </c>
      <c r="L54">
        <v>7</v>
      </c>
      <c r="M54" t="s">
        <v>130</v>
      </c>
      <c r="N54" t="s">
        <v>28</v>
      </c>
      <c r="O54">
        <v>7</v>
      </c>
      <c r="P54">
        <v>6</v>
      </c>
      <c r="Q54" t="s">
        <v>56</v>
      </c>
      <c r="R54" t="s">
        <v>29</v>
      </c>
      <c r="S54" t="s">
        <v>28</v>
      </c>
      <c r="T54">
        <v>20</v>
      </c>
      <c r="U54">
        <v>1</v>
      </c>
      <c r="V54">
        <v>21</v>
      </c>
      <c r="Y54">
        <f t="shared" si="7"/>
        <v>1</v>
      </c>
    </row>
    <row r="55" spans="1:25" x14ac:dyDescent="0.25">
      <c r="A55" t="s">
        <v>131</v>
      </c>
      <c r="B55">
        <v>85</v>
      </c>
      <c r="C55">
        <v>0</v>
      </c>
      <c r="D55" t="s">
        <v>23</v>
      </c>
      <c r="E55">
        <v>84</v>
      </c>
      <c r="F55" s="1">
        <v>38929.63486111111</v>
      </c>
      <c r="G55" s="1">
        <v>39901.343368055554</v>
      </c>
      <c r="H55">
        <v>0</v>
      </c>
      <c r="I55">
        <v>3</v>
      </c>
      <c r="J55">
        <v>971</v>
      </c>
      <c r="K55">
        <v>19</v>
      </c>
      <c r="L55">
        <v>19</v>
      </c>
      <c r="M55" t="s">
        <v>132</v>
      </c>
      <c r="N55">
        <v>1</v>
      </c>
      <c r="O55">
        <v>9</v>
      </c>
      <c r="P55">
        <v>8</v>
      </c>
      <c r="Q55" t="s">
        <v>67</v>
      </c>
      <c r="R55" t="s">
        <v>53</v>
      </c>
      <c r="S55" t="s">
        <v>133</v>
      </c>
      <c r="T55">
        <v>20</v>
      </c>
      <c r="U55">
        <v>2</v>
      </c>
      <c r="V55">
        <v>22</v>
      </c>
      <c r="Y55">
        <f t="shared" si="7"/>
        <v>1</v>
      </c>
    </row>
    <row r="56" spans="1:25" x14ac:dyDescent="0.25">
      <c r="A56" t="s">
        <v>134</v>
      </c>
      <c r="B56">
        <v>85</v>
      </c>
      <c r="C56">
        <v>0</v>
      </c>
      <c r="D56" t="s">
        <v>23</v>
      </c>
      <c r="E56">
        <v>84</v>
      </c>
      <c r="F56" s="1">
        <v>38929.63486111111</v>
      </c>
      <c r="G56" s="1">
        <v>39901.343368055554</v>
      </c>
      <c r="H56">
        <v>0</v>
      </c>
      <c r="I56">
        <v>3</v>
      </c>
      <c r="J56">
        <v>971</v>
      </c>
      <c r="K56">
        <v>18</v>
      </c>
      <c r="L56">
        <v>18</v>
      </c>
      <c r="M56" t="s">
        <v>135</v>
      </c>
      <c r="N56">
        <v>1</v>
      </c>
      <c r="O56">
        <v>6</v>
      </c>
      <c r="P56">
        <v>5</v>
      </c>
      <c r="Q56" t="s">
        <v>29</v>
      </c>
      <c r="R56" t="s">
        <v>71</v>
      </c>
      <c r="S56" t="s">
        <v>59</v>
      </c>
      <c r="T56">
        <v>20</v>
      </c>
      <c r="U56">
        <v>1</v>
      </c>
      <c r="V56">
        <v>21</v>
      </c>
      <c r="Y56">
        <f t="shared" si="7"/>
        <v>1</v>
      </c>
    </row>
    <row r="57" spans="1:25" x14ac:dyDescent="0.25">
      <c r="A57" t="s">
        <v>136</v>
      </c>
      <c r="B57">
        <v>85</v>
      </c>
      <c r="C57">
        <v>0</v>
      </c>
      <c r="D57" t="s">
        <v>23</v>
      </c>
      <c r="E57">
        <v>84</v>
      </c>
      <c r="F57" s="1">
        <v>38929.63486111111</v>
      </c>
      <c r="G57" s="1">
        <v>39901.343368055554</v>
      </c>
      <c r="H57">
        <v>0</v>
      </c>
      <c r="I57">
        <v>3</v>
      </c>
      <c r="J57">
        <v>971</v>
      </c>
      <c r="K57">
        <v>6</v>
      </c>
      <c r="L57">
        <v>6</v>
      </c>
      <c r="M57" t="s">
        <v>49</v>
      </c>
      <c r="N57">
        <v>1</v>
      </c>
      <c r="O57">
        <v>4</v>
      </c>
      <c r="P57">
        <v>4</v>
      </c>
      <c r="Q57" t="s">
        <v>47</v>
      </c>
      <c r="R57" t="s">
        <v>47</v>
      </c>
      <c r="S57">
        <v>1</v>
      </c>
      <c r="T57">
        <v>20</v>
      </c>
      <c r="U57">
        <v>1</v>
      </c>
      <c r="V57">
        <v>21</v>
      </c>
      <c r="Y57">
        <f t="shared" si="7"/>
        <v>1</v>
      </c>
    </row>
    <row r="58" spans="1:25" x14ac:dyDescent="0.25">
      <c r="A58" t="s">
        <v>137</v>
      </c>
      <c r="B58">
        <v>85</v>
      </c>
      <c r="C58">
        <v>0</v>
      </c>
      <c r="D58" t="s">
        <v>23</v>
      </c>
      <c r="E58">
        <v>84</v>
      </c>
      <c r="F58" s="1">
        <v>38929.63486111111</v>
      </c>
      <c r="G58" s="1">
        <v>39901.343368055554</v>
      </c>
      <c r="H58">
        <v>0</v>
      </c>
      <c r="I58">
        <v>3</v>
      </c>
      <c r="J58">
        <v>971</v>
      </c>
      <c r="K58">
        <v>8</v>
      </c>
      <c r="L58">
        <v>16</v>
      </c>
      <c r="M58" t="s">
        <v>138</v>
      </c>
      <c r="N58">
        <v>2</v>
      </c>
      <c r="O58">
        <v>14</v>
      </c>
      <c r="P58">
        <v>6</v>
      </c>
      <c r="Q58" t="s">
        <v>139</v>
      </c>
      <c r="R58" t="s">
        <v>29</v>
      </c>
      <c r="S58" t="s">
        <v>140</v>
      </c>
      <c r="T58">
        <v>20</v>
      </c>
      <c r="U58">
        <v>2</v>
      </c>
      <c r="V58">
        <v>22</v>
      </c>
      <c r="Y58">
        <f t="shared" si="7"/>
        <v>1</v>
      </c>
    </row>
    <row r="59" spans="1:25" x14ac:dyDescent="0.25">
      <c r="A59" t="s">
        <v>141</v>
      </c>
      <c r="B59">
        <v>85</v>
      </c>
      <c r="C59">
        <v>0</v>
      </c>
      <c r="D59" t="s">
        <v>23</v>
      </c>
      <c r="E59">
        <v>84</v>
      </c>
      <c r="F59" s="1">
        <v>38929.63486111111</v>
      </c>
      <c r="G59" s="1">
        <v>39901.343368055554</v>
      </c>
      <c r="H59">
        <v>0</v>
      </c>
      <c r="I59">
        <v>3</v>
      </c>
      <c r="J59">
        <v>971</v>
      </c>
      <c r="K59">
        <v>13</v>
      </c>
      <c r="L59">
        <v>13</v>
      </c>
      <c r="M59" t="s">
        <v>142</v>
      </c>
      <c r="N59">
        <v>1</v>
      </c>
      <c r="O59">
        <v>12</v>
      </c>
      <c r="P59">
        <v>6</v>
      </c>
      <c r="Q59" t="s">
        <v>108</v>
      </c>
      <c r="R59" t="s">
        <v>29</v>
      </c>
      <c r="S59">
        <v>2</v>
      </c>
      <c r="T59">
        <v>20</v>
      </c>
      <c r="U59">
        <v>2</v>
      </c>
      <c r="V59">
        <v>22</v>
      </c>
      <c r="Y59">
        <f t="shared" si="7"/>
        <v>1</v>
      </c>
    </row>
    <row r="60" spans="1:25" x14ac:dyDescent="0.25">
      <c r="A60" t="s">
        <v>143</v>
      </c>
      <c r="B60">
        <v>85</v>
      </c>
      <c r="C60">
        <v>0</v>
      </c>
      <c r="D60" t="s">
        <v>23</v>
      </c>
      <c r="E60">
        <v>84</v>
      </c>
      <c r="F60" s="1">
        <v>38929.63486111111</v>
      </c>
      <c r="G60" s="1">
        <v>39901.343368055554</v>
      </c>
      <c r="H60">
        <v>0</v>
      </c>
      <c r="I60">
        <v>3</v>
      </c>
      <c r="J60">
        <v>971</v>
      </c>
      <c r="K60">
        <v>11</v>
      </c>
      <c r="L60">
        <v>11</v>
      </c>
      <c r="M60" t="s">
        <v>144</v>
      </c>
      <c r="N60">
        <v>1</v>
      </c>
      <c r="O60">
        <v>6</v>
      </c>
      <c r="P60">
        <v>5</v>
      </c>
      <c r="Q60" t="s">
        <v>29</v>
      </c>
      <c r="R60" t="s">
        <v>71</v>
      </c>
      <c r="S60" t="s">
        <v>59</v>
      </c>
      <c r="T60">
        <v>20</v>
      </c>
      <c r="U60">
        <v>1</v>
      </c>
      <c r="V60">
        <v>21</v>
      </c>
      <c r="Y60">
        <f t="shared" si="7"/>
        <v>1</v>
      </c>
    </row>
    <row r="61" spans="1:25" x14ac:dyDescent="0.25">
      <c r="A61" t="s">
        <v>145</v>
      </c>
      <c r="B61">
        <v>85</v>
      </c>
      <c r="C61">
        <v>0</v>
      </c>
      <c r="D61" t="s">
        <v>23</v>
      </c>
      <c r="E61">
        <v>84</v>
      </c>
      <c r="F61" s="1">
        <v>38929.63486111111</v>
      </c>
      <c r="G61" s="1">
        <v>39901.343368055554</v>
      </c>
      <c r="H61">
        <v>0</v>
      </c>
      <c r="I61">
        <v>3</v>
      </c>
      <c r="J61">
        <v>971</v>
      </c>
      <c r="K61">
        <v>12</v>
      </c>
      <c r="L61">
        <v>12</v>
      </c>
      <c r="M61" t="s">
        <v>146</v>
      </c>
      <c r="N61">
        <v>1</v>
      </c>
      <c r="O61">
        <v>6</v>
      </c>
      <c r="P61">
        <v>5</v>
      </c>
      <c r="Q61" t="s">
        <v>29</v>
      </c>
      <c r="R61" t="s">
        <v>71</v>
      </c>
      <c r="S61" t="s">
        <v>59</v>
      </c>
      <c r="T61">
        <v>20</v>
      </c>
      <c r="U61">
        <v>1</v>
      </c>
      <c r="V61">
        <v>21</v>
      </c>
      <c r="Y61">
        <f t="shared" si="7"/>
        <v>1</v>
      </c>
    </row>
    <row r="62" spans="1:25" x14ac:dyDescent="0.25">
      <c r="A62" t="s">
        <v>147</v>
      </c>
      <c r="B62">
        <v>84</v>
      </c>
      <c r="C62">
        <v>0</v>
      </c>
      <c r="D62" t="s">
        <v>23</v>
      </c>
      <c r="E62">
        <v>84</v>
      </c>
      <c r="F62" s="1">
        <v>38929.63486111111</v>
      </c>
      <c r="G62" s="1">
        <v>39901.343368055554</v>
      </c>
      <c r="H62">
        <v>0</v>
      </c>
      <c r="I62">
        <v>3</v>
      </c>
      <c r="J62">
        <v>971</v>
      </c>
      <c r="K62">
        <v>15</v>
      </c>
      <c r="L62">
        <v>15</v>
      </c>
      <c r="M62" t="s">
        <v>148</v>
      </c>
      <c r="N62">
        <v>1</v>
      </c>
      <c r="O62">
        <v>10</v>
      </c>
      <c r="P62">
        <v>8</v>
      </c>
      <c r="Q62" t="s">
        <v>43</v>
      </c>
      <c r="R62" t="s">
        <v>91</v>
      </c>
      <c r="S62" t="s">
        <v>34</v>
      </c>
      <c r="T62">
        <v>20</v>
      </c>
      <c r="U62">
        <v>2</v>
      </c>
      <c r="V62">
        <v>22</v>
      </c>
      <c r="Y62">
        <f t="shared" si="7"/>
        <v>1</v>
      </c>
    </row>
    <row r="63" spans="1:25" x14ac:dyDescent="0.25">
      <c r="A63" t="s">
        <v>149</v>
      </c>
      <c r="B63">
        <v>85</v>
      </c>
      <c r="C63">
        <v>0</v>
      </c>
      <c r="D63" t="s">
        <v>23</v>
      </c>
      <c r="E63">
        <v>84</v>
      </c>
      <c r="F63" s="1">
        <v>38929.63486111111</v>
      </c>
      <c r="G63" s="1">
        <v>39901.343368055554</v>
      </c>
      <c r="H63">
        <v>0</v>
      </c>
      <c r="I63">
        <v>3</v>
      </c>
      <c r="J63">
        <v>971</v>
      </c>
      <c r="K63">
        <v>9</v>
      </c>
      <c r="L63">
        <v>9</v>
      </c>
      <c r="M63" t="s">
        <v>150</v>
      </c>
      <c r="N63">
        <v>1</v>
      </c>
      <c r="O63">
        <v>6</v>
      </c>
      <c r="P63">
        <v>5</v>
      </c>
      <c r="Q63" t="s">
        <v>29</v>
      </c>
      <c r="R63" t="s">
        <v>71</v>
      </c>
      <c r="S63" t="s">
        <v>59</v>
      </c>
      <c r="T63">
        <v>20</v>
      </c>
      <c r="U63">
        <v>1</v>
      </c>
      <c r="V63">
        <v>21</v>
      </c>
      <c r="Y63">
        <f t="shared" si="7"/>
        <v>1</v>
      </c>
    </row>
    <row r="64" spans="1:25" x14ac:dyDescent="0.25">
      <c r="A64" t="s">
        <v>151</v>
      </c>
      <c r="B64">
        <v>16</v>
      </c>
      <c r="C64">
        <v>69</v>
      </c>
      <c r="D64" t="s">
        <v>23</v>
      </c>
      <c r="E64">
        <v>84</v>
      </c>
      <c r="F64" s="1">
        <v>39631.537511574075</v>
      </c>
      <c r="G64" s="1">
        <v>39901.343368055554</v>
      </c>
      <c r="H64">
        <v>2</v>
      </c>
      <c r="I64">
        <v>3</v>
      </c>
      <c r="J64">
        <v>269</v>
      </c>
      <c r="K64">
        <v>24</v>
      </c>
      <c r="L64">
        <v>20</v>
      </c>
      <c r="M64" t="s">
        <v>152</v>
      </c>
      <c r="N64" t="s">
        <v>153</v>
      </c>
      <c r="O64">
        <v>13</v>
      </c>
      <c r="P64">
        <v>1</v>
      </c>
      <c r="Q64" t="s">
        <v>154</v>
      </c>
      <c r="R64" t="s">
        <v>71</v>
      </c>
      <c r="S64">
        <v>13</v>
      </c>
      <c r="T64">
        <v>20</v>
      </c>
      <c r="U64">
        <v>2</v>
      </c>
      <c r="V64">
        <v>22</v>
      </c>
      <c r="Y64">
        <f t="shared" si="7"/>
        <v>0.27703398558187436</v>
      </c>
    </row>
    <row r="65" spans="1:25" x14ac:dyDescent="0.25">
      <c r="A65" t="s">
        <v>155</v>
      </c>
      <c r="B65">
        <v>57</v>
      </c>
      <c r="C65">
        <v>12</v>
      </c>
      <c r="D65">
        <v>68</v>
      </c>
      <c r="E65">
        <v>68</v>
      </c>
      <c r="F65" s="1">
        <v>39028.425729166665</v>
      </c>
      <c r="G65" s="1">
        <v>39617.628321759257</v>
      </c>
      <c r="H65">
        <v>1</v>
      </c>
      <c r="I65">
        <v>2</v>
      </c>
      <c r="J65">
        <v>589</v>
      </c>
      <c r="K65">
        <v>14</v>
      </c>
      <c r="L65">
        <v>14</v>
      </c>
      <c r="M65" t="s">
        <v>156</v>
      </c>
      <c r="N65">
        <v>1</v>
      </c>
      <c r="O65">
        <v>6</v>
      </c>
      <c r="P65">
        <v>5</v>
      </c>
      <c r="Q65" t="s">
        <v>67</v>
      </c>
      <c r="R65" t="s">
        <v>53</v>
      </c>
      <c r="S65" t="s">
        <v>59</v>
      </c>
      <c r="T65">
        <v>10</v>
      </c>
      <c r="U65">
        <v>2</v>
      </c>
      <c r="V65">
        <v>12</v>
      </c>
      <c r="Y65">
        <f t="shared" si="7"/>
        <v>0.60659114315139029</v>
      </c>
    </row>
    <row r="66" spans="1:25" x14ac:dyDescent="0.25">
      <c r="A66" t="s">
        <v>157</v>
      </c>
      <c r="B66">
        <v>45</v>
      </c>
      <c r="C66">
        <v>40</v>
      </c>
      <c r="D66" t="s">
        <v>23</v>
      </c>
      <c r="E66">
        <v>84</v>
      </c>
      <c r="F66" s="1">
        <v>39362.539456018516</v>
      </c>
      <c r="G66" s="1">
        <v>39901.343368055554</v>
      </c>
      <c r="H66">
        <v>2</v>
      </c>
      <c r="I66">
        <v>3</v>
      </c>
      <c r="J66">
        <v>538</v>
      </c>
      <c r="K66">
        <v>7</v>
      </c>
      <c r="L66">
        <v>7</v>
      </c>
      <c r="M66">
        <v>7</v>
      </c>
      <c r="N66">
        <v>1</v>
      </c>
      <c r="O66">
        <v>1</v>
      </c>
      <c r="P66">
        <v>1</v>
      </c>
      <c r="Q66" t="s">
        <v>111</v>
      </c>
      <c r="R66" t="s">
        <v>111</v>
      </c>
      <c r="S66">
        <v>1</v>
      </c>
      <c r="T66">
        <v>20</v>
      </c>
      <c r="U66">
        <v>1</v>
      </c>
      <c r="V66">
        <v>21</v>
      </c>
      <c r="Y66">
        <f t="shared" ref="Y66:Y89" si="8" xml:space="preserve"> J66 / 971</f>
        <v>0.55406797116374873</v>
      </c>
    </row>
    <row r="67" spans="1:25" x14ac:dyDescent="0.25">
      <c r="A67" t="s">
        <v>158</v>
      </c>
      <c r="B67">
        <v>85</v>
      </c>
      <c r="C67">
        <v>0</v>
      </c>
      <c r="D67" t="s">
        <v>23</v>
      </c>
      <c r="E67">
        <v>84</v>
      </c>
      <c r="F67" s="1">
        <v>38929.63486111111</v>
      </c>
      <c r="G67" s="1">
        <v>39901.343368055554</v>
      </c>
      <c r="H67">
        <v>0</v>
      </c>
      <c r="I67">
        <v>3</v>
      </c>
      <c r="J67">
        <v>971</v>
      </c>
      <c r="K67">
        <v>266</v>
      </c>
      <c r="L67">
        <v>266</v>
      </c>
      <c r="M67">
        <v>266</v>
      </c>
      <c r="N67">
        <v>1</v>
      </c>
      <c r="O67">
        <v>15</v>
      </c>
      <c r="P67">
        <v>12</v>
      </c>
      <c r="Q67" t="s">
        <v>159</v>
      </c>
      <c r="R67" t="s">
        <v>108</v>
      </c>
      <c r="S67" t="s">
        <v>34</v>
      </c>
      <c r="T67">
        <v>20</v>
      </c>
      <c r="U67">
        <v>2</v>
      </c>
      <c r="V67">
        <v>22</v>
      </c>
      <c r="Y67">
        <f t="shared" si="8"/>
        <v>1</v>
      </c>
    </row>
    <row r="68" spans="1:25" x14ac:dyDescent="0.25">
      <c r="A68" t="s">
        <v>160</v>
      </c>
      <c r="B68">
        <v>55</v>
      </c>
      <c r="C68">
        <v>30</v>
      </c>
      <c r="D68" t="s">
        <v>23</v>
      </c>
      <c r="E68">
        <v>84</v>
      </c>
      <c r="F68" s="1">
        <v>39232.39340277778</v>
      </c>
      <c r="G68" s="1">
        <v>39901.343368055554</v>
      </c>
      <c r="H68">
        <v>1</v>
      </c>
      <c r="I68">
        <v>3</v>
      </c>
      <c r="J68">
        <v>668</v>
      </c>
      <c r="K68">
        <v>7</v>
      </c>
      <c r="L68">
        <v>7</v>
      </c>
      <c r="M68" t="s">
        <v>161</v>
      </c>
      <c r="N68">
        <v>1</v>
      </c>
      <c r="O68">
        <v>5</v>
      </c>
      <c r="P68">
        <v>4</v>
      </c>
      <c r="Q68" t="s">
        <v>53</v>
      </c>
      <c r="R68" t="s">
        <v>29</v>
      </c>
      <c r="S68" t="s">
        <v>34</v>
      </c>
      <c r="T68">
        <v>20</v>
      </c>
      <c r="U68">
        <v>1</v>
      </c>
      <c r="V68">
        <v>21</v>
      </c>
      <c r="Y68">
        <f t="shared" si="8"/>
        <v>0.68795056642636454</v>
      </c>
    </row>
    <row r="69" spans="1:25" x14ac:dyDescent="0.25">
      <c r="A69" t="s">
        <v>162</v>
      </c>
      <c r="B69">
        <v>85</v>
      </c>
      <c r="C69">
        <v>0</v>
      </c>
      <c r="D69" t="s">
        <v>23</v>
      </c>
      <c r="E69">
        <v>84</v>
      </c>
      <c r="F69" s="1">
        <v>38929.63486111111</v>
      </c>
      <c r="G69" s="1">
        <v>39901.343368055554</v>
      </c>
      <c r="H69">
        <v>0</v>
      </c>
      <c r="I69">
        <v>3</v>
      </c>
      <c r="J69">
        <v>971</v>
      </c>
      <c r="K69">
        <v>8</v>
      </c>
      <c r="L69">
        <v>8</v>
      </c>
      <c r="M69" t="s">
        <v>113</v>
      </c>
      <c r="N69">
        <v>1</v>
      </c>
      <c r="O69">
        <v>6</v>
      </c>
      <c r="P69">
        <v>5</v>
      </c>
      <c r="Q69" t="s">
        <v>29</v>
      </c>
      <c r="R69" t="s">
        <v>71</v>
      </c>
      <c r="S69" t="s">
        <v>59</v>
      </c>
      <c r="T69">
        <v>20</v>
      </c>
      <c r="U69">
        <v>1</v>
      </c>
      <c r="V69">
        <v>21</v>
      </c>
      <c r="Y69">
        <f t="shared" si="8"/>
        <v>1</v>
      </c>
    </row>
    <row r="70" spans="1:25" x14ac:dyDescent="0.25">
      <c r="A70" t="s">
        <v>163</v>
      </c>
      <c r="B70">
        <v>85</v>
      </c>
      <c r="C70">
        <v>0</v>
      </c>
      <c r="D70" t="s">
        <v>23</v>
      </c>
      <c r="E70">
        <v>84</v>
      </c>
      <c r="F70" s="1">
        <v>38929.63486111111</v>
      </c>
      <c r="G70" s="1">
        <v>39901.343368055554</v>
      </c>
      <c r="H70">
        <v>0</v>
      </c>
      <c r="I70">
        <v>3</v>
      </c>
      <c r="J70">
        <v>971</v>
      </c>
      <c r="K70">
        <v>8</v>
      </c>
      <c r="L70">
        <v>12</v>
      </c>
      <c r="M70" t="s">
        <v>164</v>
      </c>
      <c r="N70" t="s">
        <v>68</v>
      </c>
      <c r="O70">
        <v>12</v>
      </c>
      <c r="P70">
        <v>7</v>
      </c>
      <c r="Q70" t="s">
        <v>108</v>
      </c>
      <c r="R70" t="s">
        <v>56</v>
      </c>
      <c r="S70" t="s">
        <v>165</v>
      </c>
      <c r="T70">
        <v>20</v>
      </c>
      <c r="U70">
        <v>2</v>
      </c>
      <c r="V70">
        <v>22</v>
      </c>
      <c r="Y70">
        <f t="shared" si="8"/>
        <v>1</v>
      </c>
    </row>
    <row r="71" spans="1:25" x14ac:dyDescent="0.25">
      <c r="A71" t="s">
        <v>166</v>
      </c>
      <c r="B71">
        <v>52</v>
      </c>
      <c r="C71">
        <v>33</v>
      </c>
      <c r="D71" t="s">
        <v>23</v>
      </c>
      <c r="E71">
        <v>84</v>
      </c>
      <c r="F71" s="1">
        <v>39266.492118055554</v>
      </c>
      <c r="G71" s="1">
        <v>39901.343368055554</v>
      </c>
      <c r="H71">
        <v>1</v>
      </c>
      <c r="I71">
        <v>3</v>
      </c>
      <c r="J71">
        <v>634</v>
      </c>
      <c r="K71">
        <v>2</v>
      </c>
      <c r="L71">
        <v>3</v>
      </c>
      <c r="M71" t="s">
        <v>167</v>
      </c>
      <c r="N71" t="s">
        <v>68</v>
      </c>
      <c r="O71">
        <v>3</v>
      </c>
      <c r="P71">
        <v>1</v>
      </c>
      <c r="Q71" t="s">
        <v>71</v>
      </c>
      <c r="R71" t="s">
        <v>111</v>
      </c>
      <c r="S71">
        <v>3</v>
      </c>
      <c r="T71">
        <v>20</v>
      </c>
      <c r="U71">
        <v>1</v>
      </c>
      <c r="V71">
        <v>21</v>
      </c>
      <c r="Y71">
        <f t="shared" si="8"/>
        <v>0.6529351184346035</v>
      </c>
    </row>
    <row r="72" spans="1:25" x14ac:dyDescent="0.25">
      <c r="A72" t="s">
        <v>168</v>
      </c>
      <c r="B72">
        <v>85</v>
      </c>
      <c r="C72">
        <v>0</v>
      </c>
      <c r="D72" t="s">
        <v>23</v>
      </c>
      <c r="E72">
        <v>84</v>
      </c>
      <c r="F72" s="1">
        <v>38929.63486111111</v>
      </c>
      <c r="G72" s="1">
        <v>39901.343368055554</v>
      </c>
      <c r="H72">
        <v>0</v>
      </c>
      <c r="I72">
        <v>3</v>
      </c>
      <c r="J72">
        <v>971</v>
      </c>
      <c r="K72">
        <v>8</v>
      </c>
      <c r="L72">
        <v>8</v>
      </c>
      <c r="M72" t="s">
        <v>113</v>
      </c>
      <c r="N72">
        <v>1</v>
      </c>
      <c r="O72">
        <v>4</v>
      </c>
      <c r="P72">
        <v>4</v>
      </c>
      <c r="Q72" t="s">
        <v>47</v>
      </c>
      <c r="R72" t="s">
        <v>47</v>
      </c>
      <c r="S72">
        <v>1</v>
      </c>
      <c r="T72">
        <v>20</v>
      </c>
      <c r="U72">
        <v>1</v>
      </c>
      <c r="V72">
        <v>21</v>
      </c>
      <c r="Y72">
        <f t="shared" si="8"/>
        <v>1</v>
      </c>
    </row>
    <row r="73" spans="1:25" x14ac:dyDescent="0.25">
      <c r="A73" t="s">
        <v>169</v>
      </c>
      <c r="B73">
        <v>18</v>
      </c>
      <c r="C73">
        <v>67</v>
      </c>
      <c r="D73" t="s">
        <v>23</v>
      </c>
      <c r="E73">
        <v>84</v>
      </c>
      <c r="F73" s="1">
        <v>39610.68787037037</v>
      </c>
      <c r="G73" s="1">
        <v>39901.343368055554</v>
      </c>
      <c r="H73">
        <v>2</v>
      </c>
      <c r="I73">
        <v>3</v>
      </c>
      <c r="J73">
        <v>290</v>
      </c>
      <c r="K73">
        <v>6</v>
      </c>
      <c r="L73">
        <v>6</v>
      </c>
      <c r="M73">
        <v>6</v>
      </c>
      <c r="N73">
        <v>1</v>
      </c>
      <c r="O73">
        <v>0</v>
      </c>
      <c r="P73">
        <v>0</v>
      </c>
      <c r="Q73">
        <v>0</v>
      </c>
      <c r="R73">
        <v>0</v>
      </c>
      <c r="T73">
        <v>20</v>
      </c>
      <c r="U73">
        <v>0</v>
      </c>
      <c r="V73">
        <v>20</v>
      </c>
      <c r="Y73">
        <f t="shared" si="8"/>
        <v>0.29866117404737386</v>
      </c>
    </row>
    <row r="74" spans="1:25" x14ac:dyDescent="0.25">
      <c r="A74" t="s">
        <v>170</v>
      </c>
      <c r="B74">
        <v>85</v>
      </c>
      <c r="C74">
        <v>0</v>
      </c>
      <c r="D74" t="s">
        <v>23</v>
      </c>
      <c r="E74">
        <v>84</v>
      </c>
      <c r="F74" s="1">
        <v>38929.63486111111</v>
      </c>
      <c r="G74" s="1">
        <v>39901.343368055554</v>
      </c>
      <c r="H74">
        <v>0</v>
      </c>
      <c r="I74">
        <v>3</v>
      </c>
      <c r="J74">
        <v>971</v>
      </c>
      <c r="K74">
        <v>7</v>
      </c>
      <c r="L74">
        <v>6</v>
      </c>
      <c r="M74" t="s">
        <v>104</v>
      </c>
      <c r="N74" t="s">
        <v>105</v>
      </c>
      <c r="O74">
        <v>5</v>
      </c>
      <c r="P74">
        <v>5</v>
      </c>
      <c r="Q74" t="s">
        <v>71</v>
      </c>
      <c r="R74" t="s">
        <v>71</v>
      </c>
      <c r="S74">
        <v>1</v>
      </c>
      <c r="T74">
        <v>20</v>
      </c>
      <c r="U74">
        <v>1</v>
      </c>
      <c r="V74">
        <v>21</v>
      </c>
      <c r="Y74">
        <f t="shared" si="8"/>
        <v>1</v>
      </c>
    </row>
    <row r="75" spans="1:25" x14ac:dyDescent="0.25">
      <c r="A75" t="s">
        <v>171</v>
      </c>
      <c r="B75">
        <v>85</v>
      </c>
      <c r="C75">
        <v>0</v>
      </c>
      <c r="D75" t="s">
        <v>23</v>
      </c>
      <c r="E75">
        <v>84</v>
      </c>
      <c r="F75" s="1">
        <v>38929.63486111111</v>
      </c>
      <c r="G75" s="1">
        <v>39901.343368055554</v>
      </c>
      <c r="H75">
        <v>0</v>
      </c>
      <c r="I75">
        <v>3</v>
      </c>
      <c r="J75">
        <v>971</v>
      </c>
      <c r="K75">
        <v>11</v>
      </c>
      <c r="L75">
        <v>11</v>
      </c>
      <c r="M75" t="s">
        <v>172</v>
      </c>
      <c r="N75">
        <v>1</v>
      </c>
      <c r="O75">
        <v>13</v>
      </c>
      <c r="P75">
        <v>7</v>
      </c>
      <c r="Q75" t="s">
        <v>97</v>
      </c>
      <c r="R75" t="s">
        <v>56</v>
      </c>
      <c r="S75" t="s">
        <v>101</v>
      </c>
      <c r="T75">
        <v>20</v>
      </c>
      <c r="U75">
        <v>2</v>
      </c>
      <c r="V75">
        <v>22</v>
      </c>
      <c r="Y75">
        <f t="shared" si="8"/>
        <v>1</v>
      </c>
    </row>
    <row r="76" spans="1:25" x14ac:dyDescent="0.25">
      <c r="A76" t="s">
        <v>173</v>
      </c>
      <c r="B76">
        <v>85</v>
      </c>
      <c r="C76">
        <v>0</v>
      </c>
      <c r="D76" t="s">
        <v>23</v>
      </c>
      <c r="E76">
        <v>84</v>
      </c>
      <c r="F76" s="1">
        <v>38929.63486111111</v>
      </c>
      <c r="G76" s="1">
        <v>39901.343368055554</v>
      </c>
      <c r="H76">
        <v>0</v>
      </c>
      <c r="I76">
        <v>3</v>
      </c>
      <c r="J76">
        <v>971</v>
      </c>
      <c r="K76">
        <v>6</v>
      </c>
      <c r="L76">
        <v>6</v>
      </c>
      <c r="M76" t="s">
        <v>49</v>
      </c>
      <c r="N76">
        <v>1</v>
      </c>
      <c r="O76">
        <v>4</v>
      </c>
      <c r="P76">
        <v>4</v>
      </c>
      <c r="Q76" t="s">
        <v>47</v>
      </c>
      <c r="R76" t="s">
        <v>47</v>
      </c>
      <c r="S76">
        <v>1</v>
      </c>
      <c r="T76">
        <v>20</v>
      </c>
      <c r="U76">
        <v>1</v>
      </c>
      <c r="V76">
        <v>21</v>
      </c>
      <c r="Y76">
        <f t="shared" si="8"/>
        <v>1</v>
      </c>
    </row>
    <row r="77" spans="1:25" x14ac:dyDescent="0.25">
      <c r="A77" t="s">
        <v>174</v>
      </c>
      <c r="B77">
        <v>45</v>
      </c>
      <c r="C77">
        <v>40</v>
      </c>
      <c r="D77" t="s">
        <v>23</v>
      </c>
      <c r="E77">
        <v>84</v>
      </c>
      <c r="F77" s="1">
        <v>39362.539456018516</v>
      </c>
      <c r="G77" s="1">
        <v>39901.343368055554</v>
      </c>
      <c r="H77">
        <v>2</v>
      </c>
      <c r="I77">
        <v>3</v>
      </c>
      <c r="J77">
        <v>538</v>
      </c>
      <c r="K77">
        <v>11</v>
      </c>
      <c r="L77">
        <v>11</v>
      </c>
      <c r="M77">
        <v>11</v>
      </c>
      <c r="N77">
        <v>1</v>
      </c>
      <c r="O77">
        <v>4</v>
      </c>
      <c r="P77">
        <v>2</v>
      </c>
      <c r="Q77" t="s">
        <v>53</v>
      </c>
      <c r="R77" t="s">
        <v>72</v>
      </c>
      <c r="S77">
        <v>2</v>
      </c>
      <c r="T77">
        <v>20</v>
      </c>
      <c r="U77">
        <v>1</v>
      </c>
      <c r="V77">
        <v>21</v>
      </c>
      <c r="Y77">
        <f t="shared" si="8"/>
        <v>0.55406797116374873</v>
      </c>
    </row>
    <row r="78" spans="1:25" x14ac:dyDescent="0.25">
      <c r="A78" t="s">
        <v>175</v>
      </c>
      <c r="B78">
        <v>85</v>
      </c>
      <c r="C78">
        <v>0</v>
      </c>
      <c r="D78" t="s">
        <v>23</v>
      </c>
      <c r="E78">
        <v>84</v>
      </c>
      <c r="F78" s="1">
        <v>38929.63486111111</v>
      </c>
      <c r="G78" s="1">
        <v>39901.343368055554</v>
      </c>
      <c r="H78">
        <v>0</v>
      </c>
      <c r="I78">
        <v>3</v>
      </c>
      <c r="J78">
        <v>971</v>
      </c>
      <c r="K78">
        <v>9</v>
      </c>
      <c r="L78">
        <v>12</v>
      </c>
      <c r="M78" t="s">
        <v>176</v>
      </c>
      <c r="N78" t="s">
        <v>75</v>
      </c>
      <c r="O78">
        <v>9</v>
      </c>
      <c r="P78">
        <v>9</v>
      </c>
      <c r="Q78" t="s">
        <v>67</v>
      </c>
      <c r="R78" t="s">
        <v>67</v>
      </c>
      <c r="S78">
        <v>1</v>
      </c>
      <c r="T78">
        <v>20</v>
      </c>
      <c r="U78">
        <v>2</v>
      </c>
      <c r="V78">
        <v>22</v>
      </c>
      <c r="Y78">
        <f t="shared" si="8"/>
        <v>1</v>
      </c>
    </row>
    <row r="79" spans="1:25" x14ac:dyDescent="0.25">
      <c r="A79" t="s">
        <v>177</v>
      </c>
      <c r="B79">
        <v>85</v>
      </c>
      <c r="C79">
        <v>0</v>
      </c>
      <c r="D79" t="s">
        <v>23</v>
      </c>
      <c r="E79">
        <v>84</v>
      </c>
      <c r="F79" s="1">
        <v>38929.63486111111</v>
      </c>
      <c r="G79" s="1">
        <v>39901.343368055554</v>
      </c>
      <c r="H79">
        <v>0</v>
      </c>
      <c r="I79">
        <v>3</v>
      </c>
      <c r="J79">
        <v>971</v>
      </c>
      <c r="K79">
        <v>11</v>
      </c>
      <c r="L79">
        <v>10</v>
      </c>
      <c r="M79" t="s">
        <v>178</v>
      </c>
      <c r="N79" t="s">
        <v>179</v>
      </c>
      <c r="O79">
        <v>9</v>
      </c>
      <c r="P79">
        <v>6</v>
      </c>
      <c r="Q79" t="s">
        <v>67</v>
      </c>
      <c r="R79" t="s">
        <v>29</v>
      </c>
      <c r="S79" t="s">
        <v>68</v>
      </c>
      <c r="T79">
        <v>20</v>
      </c>
      <c r="U79">
        <v>2</v>
      </c>
      <c r="V79">
        <v>22</v>
      </c>
      <c r="Y79">
        <f t="shared" si="8"/>
        <v>1</v>
      </c>
    </row>
    <row r="80" spans="1:25" x14ac:dyDescent="0.25">
      <c r="A80" t="s">
        <v>180</v>
      </c>
      <c r="B80">
        <v>85</v>
      </c>
      <c r="C80">
        <v>0</v>
      </c>
      <c r="D80" t="s">
        <v>23</v>
      </c>
      <c r="E80">
        <v>84</v>
      </c>
      <c r="F80" s="1">
        <v>38929.63486111111</v>
      </c>
      <c r="G80" s="1">
        <v>39901.343368055554</v>
      </c>
      <c r="H80">
        <v>0</v>
      </c>
      <c r="I80">
        <v>3</v>
      </c>
      <c r="J80">
        <v>971</v>
      </c>
      <c r="K80">
        <v>8</v>
      </c>
      <c r="L80">
        <v>10</v>
      </c>
      <c r="M80" t="s">
        <v>181</v>
      </c>
      <c r="N80" t="s">
        <v>34</v>
      </c>
      <c r="O80">
        <v>8</v>
      </c>
      <c r="P80">
        <v>6</v>
      </c>
      <c r="Q80" t="s">
        <v>53</v>
      </c>
      <c r="R80" t="s">
        <v>29</v>
      </c>
      <c r="S80" t="s">
        <v>75</v>
      </c>
      <c r="T80">
        <v>20</v>
      </c>
      <c r="U80">
        <v>1</v>
      </c>
      <c r="V80">
        <v>21</v>
      </c>
      <c r="Y80">
        <f t="shared" si="8"/>
        <v>1</v>
      </c>
    </row>
    <row r="81" spans="1:25" x14ac:dyDescent="0.25">
      <c r="A81" t="s">
        <v>182</v>
      </c>
      <c r="B81">
        <v>85</v>
      </c>
      <c r="C81">
        <v>0</v>
      </c>
      <c r="D81" t="s">
        <v>23</v>
      </c>
      <c r="E81">
        <v>84</v>
      </c>
      <c r="F81" s="1">
        <v>38929.63486111111</v>
      </c>
      <c r="G81" s="1">
        <v>39901.343368055554</v>
      </c>
      <c r="H81">
        <v>0</v>
      </c>
      <c r="I81">
        <v>3</v>
      </c>
      <c r="J81">
        <v>971</v>
      </c>
      <c r="K81">
        <v>17</v>
      </c>
      <c r="L81">
        <v>17</v>
      </c>
      <c r="M81" t="s">
        <v>183</v>
      </c>
      <c r="N81">
        <v>1</v>
      </c>
      <c r="O81">
        <v>20</v>
      </c>
      <c r="P81">
        <v>10</v>
      </c>
      <c r="Q81" t="s">
        <v>184</v>
      </c>
      <c r="R81" t="s">
        <v>43</v>
      </c>
      <c r="S81">
        <v>2</v>
      </c>
      <c r="T81">
        <v>20</v>
      </c>
      <c r="U81">
        <v>2</v>
      </c>
      <c r="V81">
        <v>22</v>
      </c>
      <c r="Y81">
        <f t="shared" si="8"/>
        <v>1</v>
      </c>
    </row>
    <row r="82" spans="1:25" x14ac:dyDescent="0.25">
      <c r="A82" t="s">
        <v>185</v>
      </c>
      <c r="B82">
        <v>57</v>
      </c>
      <c r="C82">
        <v>0</v>
      </c>
      <c r="D82">
        <v>56</v>
      </c>
      <c r="E82">
        <v>56</v>
      </c>
      <c r="F82" s="1">
        <v>38929.63486111111</v>
      </c>
      <c r="G82" s="1">
        <v>39547.38585648148</v>
      </c>
      <c r="H82">
        <v>0</v>
      </c>
      <c r="I82">
        <v>2</v>
      </c>
      <c r="J82">
        <v>617</v>
      </c>
      <c r="K82">
        <v>14</v>
      </c>
      <c r="L82">
        <v>14</v>
      </c>
      <c r="M82" t="s">
        <v>156</v>
      </c>
      <c r="N82">
        <v>1</v>
      </c>
      <c r="O82">
        <v>6</v>
      </c>
      <c r="P82">
        <v>5</v>
      </c>
      <c r="Q82" t="s">
        <v>67</v>
      </c>
      <c r="R82" t="s">
        <v>53</v>
      </c>
      <c r="S82" t="s">
        <v>59</v>
      </c>
      <c r="T82">
        <v>10</v>
      </c>
      <c r="U82">
        <v>2</v>
      </c>
      <c r="V82">
        <v>12</v>
      </c>
      <c r="Y82">
        <f t="shared" si="8"/>
        <v>0.63542739443872298</v>
      </c>
    </row>
    <row r="83" spans="1:25" x14ac:dyDescent="0.25">
      <c r="A83" t="s">
        <v>186</v>
      </c>
      <c r="B83">
        <v>85</v>
      </c>
      <c r="C83">
        <v>0</v>
      </c>
      <c r="D83" t="s">
        <v>23</v>
      </c>
      <c r="E83">
        <v>84</v>
      </c>
      <c r="F83" s="1">
        <v>38929.63486111111</v>
      </c>
      <c r="G83" s="1">
        <v>39901.343368055554</v>
      </c>
      <c r="H83">
        <v>0</v>
      </c>
      <c r="I83">
        <v>3</v>
      </c>
      <c r="J83">
        <v>971</v>
      </c>
      <c r="K83">
        <v>6</v>
      </c>
      <c r="L83">
        <v>6</v>
      </c>
      <c r="M83" t="s">
        <v>49</v>
      </c>
      <c r="N83">
        <v>1</v>
      </c>
      <c r="O83">
        <v>4</v>
      </c>
      <c r="P83">
        <v>4</v>
      </c>
      <c r="Q83" t="s">
        <v>47</v>
      </c>
      <c r="R83" t="s">
        <v>47</v>
      </c>
      <c r="S83">
        <v>1</v>
      </c>
      <c r="T83">
        <v>20</v>
      </c>
      <c r="U83">
        <v>1</v>
      </c>
      <c r="V83">
        <v>21</v>
      </c>
      <c r="Y83">
        <f t="shared" si="8"/>
        <v>1</v>
      </c>
    </row>
    <row r="84" spans="1:25" x14ac:dyDescent="0.25">
      <c r="A84" t="s">
        <v>187</v>
      </c>
      <c r="B84">
        <v>85</v>
      </c>
      <c r="C84">
        <v>0</v>
      </c>
      <c r="D84" t="s">
        <v>23</v>
      </c>
      <c r="E84">
        <v>84</v>
      </c>
      <c r="F84" s="1">
        <v>38929.63486111111</v>
      </c>
      <c r="G84" s="1">
        <v>39901.343368055554</v>
      </c>
      <c r="H84">
        <v>0</v>
      </c>
      <c r="I84">
        <v>3</v>
      </c>
      <c r="J84">
        <v>971</v>
      </c>
      <c r="K84">
        <v>8</v>
      </c>
      <c r="L84">
        <v>12</v>
      </c>
      <c r="M84" t="s">
        <v>188</v>
      </c>
      <c r="N84" t="s">
        <v>68</v>
      </c>
      <c r="O84">
        <v>10</v>
      </c>
      <c r="P84">
        <v>9</v>
      </c>
      <c r="Q84" t="s">
        <v>43</v>
      </c>
      <c r="R84" t="s">
        <v>67</v>
      </c>
      <c r="S84" t="s">
        <v>41</v>
      </c>
      <c r="T84">
        <v>20</v>
      </c>
      <c r="U84">
        <v>2</v>
      </c>
      <c r="V84">
        <v>22</v>
      </c>
      <c r="Y84">
        <f t="shared" si="8"/>
        <v>1</v>
      </c>
    </row>
    <row r="85" spans="1:25" x14ac:dyDescent="0.25">
      <c r="A85" t="s">
        <v>189</v>
      </c>
      <c r="B85">
        <v>57</v>
      </c>
      <c r="C85">
        <v>28</v>
      </c>
      <c r="D85" t="s">
        <v>23</v>
      </c>
      <c r="E85">
        <v>84</v>
      </c>
      <c r="F85" s="1">
        <v>39220.563530092593</v>
      </c>
      <c r="G85" s="1">
        <v>39901.343368055554</v>
      </c>
      <c r="H85">
        <v>1</v>
      </c>
      <c r="I85">
        <v>3</v>
      </c>
      <c r="J85">
        <v>680</v>
      </c>
      <c r="K85">
        <v>8</v>
      </c>
      <c r="L85">
        <v>7</v>
      </c>
      <c r="M85" t="s">
        <v>161</v>
      </c>
      <c r="N85" t="s">
        <v>190</v>
      </c>
      <c r="O85">
        <v>8</v>
      </c>
      <c r="P85">
        <v>6</v>
      </c>
      <c r="Q85" t="s">
        <v>108</v>
      </c>
      <c r="R85" t="s">
        <v>67</v>
      </c>
      <c r="S85" t="s">
        <v>75</v>
      </c>
      <c r="T85">
        <v>20</v>
      </c>
      <c r="U85">
        <v>2</v>
      </c>
      <c r="V85">
        <v>22</v>
      </c>
      <c r="Y85">
        <f t="shared" si="8"/>
        <v>0.70030895983522146</v>
      </c>
    </row>
    <row r="86" spans="1:25" x14ac:dyDescent="0.25">
      <c r="A86" t="s">
        <v>191</v>
      </c>
      <c r="B86">
        <v>34</v>
      </c>
      <c r="C86">
        <v>51</v>
      </c>
      <c r="D86" t="s">
        <v>23</v>
      </c>
      <c r="E86">
        <v>84</v>
      </c>
      <c r="F86" s="1">
        <v>39540.676828703705</v>
      </c>
      <c r="G86" s="1">
        <v>39901.343368055554</v>
      </c>
      <c r="H86">
        <v>2</v>
      </c>
      <c r="I86">
        <v>3</v>
      </c>
      <c r="J86">
        <v>360</v>
      </c>
      <c r="K86">
        <v>3</v>
      </c>
      <c r="L86">
        <v>4</v>
      </c>
      <c r="M86" t="s">
        <v>192</v>
      </c>
      <c r="N86" t="s">
        <v>75</v>
      </c>
      <c r="O86">
        <v>5</v>
      </c>
      <c r="P86">
        <v>3</v>
      </c>
      <c r="Q86" t="s">
        <v>97</v>
      </c>
      <c r="R86" t="s">
        <v>53</v>
      </c>
      <c r="S86" t="s">
        <v>81</v>
      </c>
      <c r="T86">
        <v>20</v>
      </c>
      <c r="U86">
        <v>1</v>
      </c>
      <c r="V86">
        <v>21</v>
      </c>
      <c r="Y86">
        <f t="shared" si="8"/>
        <v>0.37075180226570548</v>
      </c>
    </row>
    <row r="87" spans="1:25" x14ac:dyDescent="0.25">
      <c r="A87" t="s">
        <v>193</v>
      </c>
      <c r="B87">
        <v>85</v>
      </c>
      <c r="C87">
        <v>0</v>
      </c>
      <c r="D87" t="s">
        <v>23</v>
      </c>
      <c r="E87">
        <v>84</v>
      </c>
      <c r="F87" s="1">
        <v>38929.63486111111</v>
      </c>
      <c r="G87" s="1">
        <v>39901.343368055554</v>
      </c>
      <c r="H87">
        <v>0</v>
      </c>
      <c r="I87">
        <v>3</v>
      </c>
      <c r="J87">
        <v>971</v>
      </c>
      <c r="K87">
        <v>5</v>
      </c>
      <c r="L87">
        <v>5</v>
      </c>
      <c r="M87" t="s">
        <v>115</v>
      </c>
      <c r="N87">
        <v>1</v>
      </c>
      <c r="O87">
        <v>4</v>
      </c>
      <c r="P87">
        <v>4</v>
      </c>
      <c r="Q87" t="s">
        <v>47</v>
      </c>
      <c r="R87" t="s">
        <v>47</v>
      </c>
      <c r="S87">
        <v>1</v>
      </c>
      <c r="T87">
        <v>20</v>
      </c>
      <c r="U87">
        <v>1</v>
      </c>
      <c r="V87">
        <v>21</v>
      </c>
      <c r="Y87">
        <f t="shared" si="8"/>
        <v>1</v>
      </c>
    </row>
    <row r="88" spans="1:25" x14ac:dyDescent="0.25">
      <c r="A88" t="s">
        <v>194</v>
      </c>
      <c r="B88">
        <v>43</v>
      </c>
      <c r="C88">
        <v>42</v>
      </c>
      <c r="D88" t="s">
        <v>23</v>
      </c>
      <c r="E88">
        <v>84</v>
      </c>
      <c r="F88" s="1">
        <v>39371.598553240743</v>
      </c>
      <c r="G88" s="1">
        <v>39901.343368055554</v>
      </c>
      <c r="H88">
        <v>2</v>
      </c>
      <c r="I88">
        <v>3</v>
      </c>
      <c r="J88">
        <v>529</v>
      </c>
      <c r="K88">
        <v>3</v>
      </c>
      <c r="L88">
        <v>3</v>
      </c>
      <c r="M88">
        <v>3</v>
      </c>
      <c r="N88">
        <v>1</v>
      </c>
      <c r="O88">
        <v>2</v>
      </c>
      <c r="P88">
        <v>1</v>
      </c>
      <c r="Q88" t="s">
        <v>47</v>
      </c>
      <c r="R88" t="s">
        <v>111</v>
      </c>
      <c r="S88">
        <v>2</v>
      </c>
      <c r="T88">
        <v>20</v>
      </c>
      <c r="U88">
        <v>1</v>
      </c>
      <c r="V88">
        <v>21</v>
      </c>
      <c r="Y88">
        <f t="shared" si="8"/>
        <v>0.54479917610710604</v>
      </c>
    </row>
    <row r="89" spans="1:25" x14ac:dyDescent="0.25">
      <c r="A89" t="s">
        <v>195</v>
      </c>
      <c r="B89">
        <v>28</v>
      </c>
      <c r="C89">
        <v>57</v>
      </c>
      <c r="D89" t="s">
        <v>23</v>
      </c>
      <c r="E89">
        <v>84</v>
      </c>
      <c r="F89" s="1">
        <v>39547.548043981478</v>
      </c>
      <c r="G89" s="1">
        <v>39901.343368055554</v>
      </c>
      <c r="H89">
        <v>2</v>
      </c>
      <c r="I89">
        <v>3</v>
      </c>
      <c r="J89">
        <v>353</v>
      </c>
      <c r="K89">
        <v>3</v>
      </c>
      <c r="L89">
        <v>3</v>
      </c>
      <c r="M89">
        <v>3</v>
      </c>
      <c r="N89">
        <v>1</v>
      </c>
      <c r="O89">
        <v>0</v>
      </c>
      <c r="P89">
        <v>0</v>
      </c>
      <c r="Q89">
        <v>0</v>
      </c>
      <c r="R89">
        <v>0</v>
      </c>
      <c r="T89">
        <v>20</v>
      </c>
      <c r="U89">
        <v>0</v>
      </c>
      <c r="V89">
        <v>20</v>
      </c>
      <c r="Y89">
        <f t="shared" si="8"/>
        <v>0.36354273944387228</v>
      </c>
    </row>
    <row r="91" spans="1:25" x14ac:dyDescent="0.25">
      <c r="J91" t="s">
        <v>197</v>
      </c>
    </row>
    <row r="92" spans="1:25" x14ac:dyDescent="0.25">
      <c r="J92">
        <f>MAX(J2:J89)</f>
        <v>971</v>
      </c>
    </row>
  </sheetData>
  <conditionalFormatting sqref="AB22:AU24">
    <cfRule type="colorScale" priority="2">
      <colorScale>
        <cfvo type="min"/>
        <cfvo type="max"/>
        <color rgb="FFFCFCFF"/>
        <color rgb="FFF8696B"/>
      </colorScale>
    </cfRule>
  </conditionalFormatting>
  <conditionalFormatting sqref="AB25:AU27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tables_DetailedStats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2020-02-03T03:33:38Z</dcterms:created>
  <dcterms:modified xsi:type="dcterms:W3CDTF">2020-02-03T04:23:17Z</dcterms:modified>
</cp:coreProperties>
</file>