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104.xml"/>
  <Override ContentType="application/vnd.openxmlformats-officedocument.drawingml.chart+xml" PartName="/xl/charts/chart43.xml"/>
  <Override ContentType="application/vnd.openxmlformats-officedocument.drawingml.chart+xml" PartName="/xl/charts/chart78.xml"/>
  <Override ContentType="application/vnd.openxmlformats-officedocument.drawingml.chart+xml" PartName="/xl/charts/chart35.xml"/>
  <Override ContentType="application/vnd.openxmlformats-officedocument.drawingml.chart+xml" PartName="/xl/charts/chart112.xml"/>
  <Override ContentType="application/vnd.openxmlformats-officedocument.drawingml.chart+xml" PartName="/xl/charts/chart61.xml"/>
  <Override ContentType="application/vnd.openxmlformats-officedocument.drawingml.chart+xml" PartName="/xl/charts/chart94.xml"/>
  <Override ContentType="application/vnd.openxmlformats-officedocument.drawingml.chart+xml" PartName="/xl/charts/chart17.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86.xml"/>
  <Override ContentType="application/vnd.openxmlformats-officedocument.drawingml.chart+xml" PartName="/xl/charts/chart29.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76.xml"/>
  <Override ContentType="application/vnd.openxmlformats-officedocument.drawingml.chart+xml" PartName="/xl/charts/chart114.xml"/>
  <Override ContentType="application/vnd.openxmlformats-officedocument.drawingml.chart+xml" PartName="/xl/charts/chart58.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102.xml"/>
  <Override ContentType="application/vnd.openxmlformats-officedocument.drawingml.chart+xml" PartName="/xl/charts/chart92.xml"/>
  <Override ContentType="application/vnd.openxmlformats-officedocument.drawingml.chart+xml" PartName="/xl/charts/chart5.xml"/>
  <Override ContentType="application/vnd.openxmlformats-officedocument.drawingml.chart+xml" PartName="/xl/charts/chart88.xml"/>
  <Override ContentType="application/vnd.openxmlformats-officedocument.drawingml.chart+xml" PartName="/xl/charts/chart57.xml"/>
  <Override ContentType="application/vnd.openxmlformats-officedocument.drawingml.chart+xml" PartName="/xl/charts/chart109.xml"/>
  <Override ContentType="application/vnd.openxmlformats-officedocument.drawingml.chart+xml" PartName="/xl/charts/chart14.xml"/>
  <Override ContentType="application/vnd.openxmlformats-officedocument.drawingml.chart+xml" PartName="/xl/charts/chart74.xml"/>
  <Override ContentType="application/vnd.openxmlformats-officedocument.drawingml.chart+xml" PartName="/xl/charts/chart31.xml"/>
  <Override ContentType="application/vnd.openxmlformats-officedocument.drawingml.chart+xml" PartName="/xl/charts/chart116.xml"/>
  <Override ContentType="application/vnd.openxmlformats-officedocument.drawingml.chart+xml" PartName="/xl/charts/chart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91.xml"/>
  <Override ContentType="application/vnd.openxmlformats-officedocument.drawingml.chart+xml" PartName="/xl/charts/chart118.xml"/>
  <Override ContentType="application/vnd.openxmlformats-officedocument.drawingml.chart+xml" PartName="/xl/charts/chart55.xml"/>
  <Override ContentType="application/vnd.openxmlformats-officedocument.drawingml.chart+xml" PartName="/xl/charts/chart81.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8.xml"/>
  <Override ContentType="application/vnd.openxmlformats-officedocument.drawingml.chart+xml" PartName="/xl/charts/chart100.xml"/>
  <Override ContentType="application/vnd.openxmlformats-officedocument.drawingml.chart+xml" PartName="/xl/charts/chart98.xml"/>
  <Override ContentType="application/vnd.openxmlformats-officedocument.drawingml.chart+xml" PartName="/xl/charts/chart85.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83.xml"/>
  <Override ContentType="application/vnd.openxmlformats-officedocument.drawingml.chart+xml" PartName="/xl/charts/chart111.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96.xml"/>
  <Override ContentType="application/vnd.openxmlformats-officedocument.drawingml.chart+xml" PartName="/xl/charts/chart107.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7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95.xml"/>
  <Override ContentType="application/vnd.openxmlformats-officedocument.drawingml.chart+xml" PartName="/xl/charts/chart44.xml"/>
  <Override ContentType="application/vnd.openxmlformats-officedocument.drawingml.chart+xml" PartName="/xl/charts/chart87.xml"/>
  <Override ContentType="application/vnd.openxmlformats-officedocument.drawingml.chart+xml" PartName="/xl/charts/chart103.xml"/>
  <Override ContentType="application/vnd.openxmlformats-officedocument.drawingml.chart+xml" PartName="/xl/charts/chart26.xml"/>
  <Override ContentType="application/vnd.openxmlformats-officedocument.drawingml.chart+xml" PartName="/xl/charts/chart77.xml"/>
  <Override ContentType="application/vnd.openxmlformats-officedocument.drawingml.chart+xml" PartName="/xl/charts/chart10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42.xml"/>
  <Override ContentType="application/vnd.openxmlformats-officedocument.drawingml.chart+xml" PartName="/xl/charts/chart113.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89.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93.xml"/>
  <Override ContentType="application/vnd.openxmlformats-officedocument.drawingml.chart+xml" PartName="/xl/charts/chart101.xml"/>
  <Override ContentType="application/vnd.openxmlformats-officedocument.drawingml.chart+xml" PartName="/xl/charts/chart28.xml"/>
  <Override ContentType="application/vnd.openxmlformats-officedocument.drawingml.chart+xml" PartName="/xl/charts/chart6.xml"/>
  <Override ContentType="application/vnd.openxmlformats-officedocument.drawingml.chart+xml" PartName="/xl/charts/chart80.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75.xml"/>
  <Override ContentType="application/vnd.openxmlformats-officedocument.drawingml.chart+xml" PartName="/xl/charts/chart115.xml"/>
  <Override ContentType="application/vnd.openxmlformats-officedocument.drawingml.chart+xml" PartName="/xl/charts/chart65.xml"/>
  <Override ContentType="application/vnd.openxmlformats-officedocument.drawingml.chart+xml" PartName="/xl/charts/chart90.xml"/>
  <Override ContentType="application/vnd.openxmlformats-officedocument.drawingml.chart+xml" PartName="/xl/charts/chart117.xml"/>
  <Override ContentType="application/vnd.openxmlformats-officedocument.drawingml.chart+xml" PartName="/xl/charts/chart82.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2.xml"/>
  <Override ContentType="application/vnd.openxmlformats-officedocument.drawingml.chart+xml" PartName="/xl/charts/chart56.xml"/>
  <Override ContentType="application/vnd.openxmlformats-officedocument.drawingml.chart+xml" PartName="/xl/charts/chart108.xml"/>
  <Override ContentType="application/vnd.openxmlformats-officedocument.drawingml.chart+xml" PartName="/xl/charts/chart99.xml"/>
  <Override ContentType="application/vnd.openxmlformats-officedocument.drawingml.chart+xml" PartName="/xl/charts/chart73.xml"/>
  <Override ContentType="application/vnd.openxmlformats-officedocument.drawingml.chart+xml" PartName="/xl/charts/chart3.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84.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97.xml"/>
  <Override ContentType="application/vnd.openxmlformats-officedocument.drawingml.chart+xml" PartName="/xl/charts/chart106.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110.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119.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Average Validator (Phase 0 - Ge" sheetId="1" r:id="rId4"/>
    <sheet state="hidden" name="Average Validator (Phase 0 - Be" sheetId="2" r:id="rId5"/>
    <sheet state="hidden" name="Copy of Average Validator (Phas" sheetId="3" r:id="rId6"/>
    <sheet state="hidden" name="Epoch Returns" sheetId="4" r:id="rId7"/>
    <sheet state="hidden" name="Average Validator" sheetId="5" r:id="rId8"/>
    <sheet state="hidden" name="Phase 0 Analysis (VPS)" sheetId="6" r:id="rId9"/>
    <sheet state="hidden" name="Phase 0 Analysis (At Home)" sheetId="7" r:id="rId10"/>
    <sheet state="hidden" name="Beyond Phase 0 (Network Level A" sheetId="8" r:id="rId11"/>
    <sheet state="hidden" name="Welcome to the eth2 Calculator!" sheetId="9" r:id="rId12"/>
    <sheet state="hidden" name="Sheet10" sheetId="10" r:id="rId13"/>
    <sheet state="hidden" name="Validator Rewards (Phase 0 - Be" sheetId="11" r:id="rId14"/>
    <sheet state="hidden" name=" Validator Rewards (Staking Opt" sheetId="12" r:id="rId15"/>
    <sheet state="visible" name="Welcome to the eth2 Calculator" sheetId="13" r:id="rId16"/>
    <sheet state="hidden" name="Coin Market Cap" sheetId="14" r:id="rId17"/>
    <sheet state="hidden" name="Oil Price" sheetId="15" r:id="rId18"/>
    <sheet state="hidden" name="Feedback Sheet" sheetId="16" r:id="rId19"/>
    <sheet state="hidden" name="Eth2 Calculator" sheetId="17" r:id="rId20"/>
    <sheet state="visible" name="Eth2 Calculator V2" sheetId="18" r:id="rId21"/>
    <sheet state="hidden" name="Internet Bond (Final)" sheetId="19" r:id="rId22"/>
    <sheet state="visible" name="CoinGecko" sheetId="20" r:id="rId23"/>
  </sheets>
  <definedNames>
    <definedName localSheetId="16" name="DataTable_BJ219BX239">'Eth2 Calculator'!$CD$312:$CR$332</definedName>
    <definedName localSheetId="16" name="DataTable_BA144BK164">#REF!</definedName>
    <definedName localSheetId="10" name="DataTable_L101Y129">#REF!</definedName>
    <definedName localSheetId="9" name="DataTable_AO5BB32">Sheet10!$BN$131:$BO$204</definedName>
    <definedName localSheetId="17" name="DataTable_V184AJ201">'Eth2 Calculator V2'!$BM$261:$CA$278</definedName>
    <definedName localSheetId="11" name="DataTable_I58V81">' Validator Rewards (Staking Opt'!$AA$278:$AM$336</definedName>
    <definedName localSheetId="8" name="DataTable_I6S31">#REF!</definedName>
    <definedName localSheetId="17" name="DataTable_AF159AP179">'Eth2 Calculator V2'!$AI$328:$AS$348</definedName>
    <definedName localSheetId="0" name="DataTable_L58Y81">'Average Validator (Phase 0 - Ge'!$AA$195:$AM$220</definedName>
    <definedName localSheetId="11" name="DataTable_M38Y65">' Validator Rewards (Staking Opt'!$AA$307</definedName>
    <definedName localSheetId="8" name="DataTable_AK161AU178">'Welcome to the eth2 Calculator!'!$AF$159:$AP$176</definedName>
    <definedName localSheetId="1" name="DataTable_I92P109">'Average Validator (Phase 0 - Be'!$AP$202:$AW$219</definedName>
    <definedName localSheetId="12" name="DataTable_BJ42BX62">'Welcome to the eth2 Calculator'!$BJ$101:$BX$121</definedName>
    <definedName localSheetId="11" name="DataTable_I133V160">#REF!</definedName>
    <definedName localSheetId="16" name="DataTable_V93AC112">'Eth2 Calculator'!$Y$310:$AF$329</definedName>
    <definedName localSheetId="2" name="DataTable_L31Y54">'Copy of Average Validator (Phas'!$AT$8:$BG$156</definedName>
    <definedName name="DataTable_AS279BG299">'Validator Rewards (Phase 0 - Be'!$BM$310:$CA$330</definedName>
    <definedName localSheetId="11" name="DataTable_AU66BO74">' Validator Rewards (Staking Opt'!$BZ$178:$CB$186</definedName>
    <definedName localSheetId="1" name="DataTable_I5V32">#REF!</definedName>
    <definedName localSheetId="17" name="DataTable_AK161AU178">'Eth2 Calculator V2'!$AI$260:$AS$277</definedName>
    <definedName localSheetId="18" name="DataTable_V164AC183">'Internet Bond (Final)'!$S$264:$Z$283</definedName>
    <definedName localSheetId="2" name="DataTable_H2Q14">#REF!</definedName>
    <definedName localSheetId="0" name="DataTable_I152AC169">'Average Validator (Phase 0 - Ge'!$V$226:$AP$236</definedName>
    <definedName localSheetId="12" name="DataTable_AQ19BA39">'Welcome to the eth2 Calculator'!$AP$41:$AZ$61</definedName>
    <definedName localSheetId="17" name="DataTable_V164AC183">'Eth2 Calculator V2'!$Y$261:$AF$280</definedName>
    <definedName localSheetId="17" name="DataTable_Eth2Calculator_BZ242">'Eth2 Calculator V2'!$BM$261:$CA$281</definedName>
    <definedName localSheetId="1" name="DataTable_AK161AU178">'Average Validator (Phase 0 - Be'!$AF$100:$AP$117</definedName>
    <definedName localSheetId="9" name="DataTable_H20Z50">#REF!</definedName>
    <definedName localSheetId="4" name="DataTable_AO5BB32">'Average Validator'!$BB$13:$BO$43</definedName>
    <definedName name="DataTable_V161AC178">'Average Validator'!$V$161:$AC$178</definedName>
    <definedName localSheetId="2" name="DataTable_I69V96">'Copy of Average Validator (Phas'!$Z$195:$AM$224</definedName>
    <definedName localSheetId="17" name="DataTable_Eth2Calculator_AI308">'Eth2 Calculator V2'!$AI$328:$AS$348</definedName>
    <definedName localSheetId="11" name="DataTable_I108P125">' Validator Rewards (Staking Opt'!$AP$278:$AW$336</definedName>
    <definedName localSheetId="12" name="DataTable_I5V32">#REF!</definedName>
    <definedName localSheetId="16" name="DataTable_BD240BN260">#REF!</definedName>
    <definedName localSheetId="2" name="DataTable_I4V27">#REF!</definedName>
    <definedName localSheetId="17" name="DataTable_V6AF29">#REF!</definedName>
    <definedName localSheetId="8" name="DataTable_I35P58">#REF!</definedName>
    <definedName localSheetId="1" name="DataTable_AX69BL79">'Average Validator (Phase 0 - Be'!$AS$42:$BG$52</definedName>
    <definedName name="DataTable_BJ219BX239">Sheet10!$BJ$279:$BX$299</definedName>
    <definedName localSheetId="12" name="DataTable_X108AH125">'Welcome to the eth2 Calculator'!$BE$242:$BO$245</definedName>
    <definedName localSheetId="11" name="DataTable_V100AC120">' Validator Rewards (Staking Opt'!$S$240:$Z$260</definedName>
    <definedName localSheetId="18" name="DataTable_V6AF29">#REF!</definedName>
    <definedName localSheetId="16" name="DataTable_I109U126">'Eth2 Calculator'!$AI$310:$AR$327</definedName>
    <definedName localSheetId="9" name="DataTable_L4Y32">#REF!</definedName>
    <definedName localSheetId="18" name="DataTable_I5V32">#REF!</definedName>
    <definedName localSheetId="10" name="DataTable_BJ102BX122">'Validator Rewards (Phase 0 - Be'!$CR$242:$DF$262</definedName>
    <definedName localSheetId="10" name="DataTable_I68U85">'Validator Rewards (Phase 0 - Be'!$Y$309:$AG$326</definedName>
    <definedName localSheetId="16" name="DataTable_AF67AS84">#REF!</definedName>
    <definedName localSheetId="16" name="DataTable_AK93AU112">'Eth2 Calculator'!$AI$310:$AS$329</definedName>
    <definedName localSheetId="10" name="DataTable_AK70AU89">'Validator Rewards (Phase 0 - Be'!$AJ$174:$AT$193</definedName>
    <definedName localSheetId="18" name="DataTable_I131W148">'Internet Bond (Final)'!$BH$334:$BV$351</definedName>
    <definedName localSheetId="18" name="DataTable_V70AC89">#REF!</definedName>
    <definedName localSheetId="2" name="DataTable_AD35AK58">#REF!</definedName>
    <definedName localSheetId="8" name="DataTable_I110V127">'Welcome to the eth2 Calculator!'!$AF$218:$AP$235</definedName>
    <definedName localSheetId="9" name="DataTable_AK72AU89">Sheet10!$AF$158:$AP$175</definedName>
    <definedName name="DataTable_DC242DQ262">'Validator Rewards (Phase 0 - Be'!$DI$242:$DW$262</definedName>
    <definedName localSheetId="9" name="DataTable_BJ102BX122">Sheet10!$BJ$220:$BX$240</definedName>
    <definedName localSheetId="11" name="DataTable_H20Z50">#REF!</definedName>
    <definedName localSheetId="0" name="DataTable_I131V148">'Average Validator (Phase 0 - Ge'!$BE$204:$BO$221</definedName>
    <definedName localSheetId="10" name="DataTable_AF40AP60">'Validator Rewards (Phase 0 - Be'!$AJ$174:$AT$194</definedName>
    <definedName name="DataTable_AF159AP179">'Welcome to the eth2 Calculator!'!$AF$218:$AP$238</definedName>
    <definedName localSheetId="16" name="DataTable_I71P88">'Eth2 Calculator'!$Y$310:$AF$327</definedName>
    <definedName localSheetId="12" name="DataTable_V70AC89">'Welcome to the eth2 Calculator'!$V$99:$AC$118</definedName>
    <definedName localSheetId="16" name="DataTable_V140AJ159">'Eth2 Calculator'!$CD$312:$CR$331</definedName>
    <definedName localSheetId="18" name="DataTable_AS161BG171">'Internet Bond (Final)'!$AP$334:$BE$344</definedName>
    <definedName localSheetId="17" name="DataTable_Eth2NetworkUpdates_AW178">'Eth2 Calculator V2'!$AW$195:$BK$205</definedName>
    <definedName localSheetId="8" name="DataTable_I88U105">'Welcome to the eth2 Calculator!'!$AX$242:$BB$244</definedName>
    <definedName localSheetId="16" name="DataTable_L58Y81">'Eth2 Calculator'!$AG$280:$AS$338</definedName>
    <definedName localSheetId="11" name="DataTable_I69V96">' Validator Rewards (Staking Opt'!$Z$278:$AM$336</definedName>
    <definedName localSheetId="17" name="DataTable_Eth2CalculatorV2_AW179">'Eth2 Calculator V2'!$AW$195:$BK$205</definedName>
    <definedName localSheetId="16" name="DataTable_V139AJ156">'Eth2 Calculator'!$CD$312:$CR$329</definedName>
    <definedName localSheetId="9" name="DataTable_I154P171">Sheet10!$V$218:$AC$235</definedName>
    <definedName localSheetId="16" name="DataTable_I67AC84">'Eth2 Calculator'!$Y$311:$AG$328</definedName>
    <definedName localSheetId="16" name="DataTable_AK161AU178">'Eth2 Calculator'!$AI$242:$AS$259</definedName>
    <definedName localSheetId="17" name="DataTable_H2Q14">#REF!</definedName>
    <definedName localSheetId="8" name="DataTable_V140AJ159">'Welcome to the eth2 Calculator!'!$BJ$220:$BX$239</definedName>
    <definedName localSheetId="18" name="DataTable_BJ219BX239">'Internet Bond (Final)'!$BH$334:$BV$354</definedName>
    <definedName localSheetId="11" name="DataTable_AN139BB158">' Validator Rewards (Staking Opt'!$BH$176:$BV$195</definedName>
    <definedName localSheetId="1" name="DataTable_AF67AS84">#REF!</definedName>
    <definedName localSheetId="18" name="DataTable_L31Y54">'Internet Bond (Final)'!$AT$254:$BH$329</definedName>
    <definedName localSheetId="11" name="DataTable_X87AH104">' Validator Rewards (Staking Opt'!$AC$308:$AM$325</definedName>
    <definedName name="DataTable_BJ102BX122">'Welcome to the eth2 Calculator!'!$BJ$161:$BX$181</definedName>
    <definedName localSheetId="11" name="DataTable_AF158AP178">' Validator Rewards (Staking Opt'!$AC$240:$AM$260</definedName>
    <definedName localSheetId="10" name="DataTable_I5V32">#REF!</definedName>
    <definedName localSheetId="11" name="DataTable_BJ219BX239">' Validator Rewards (Staking Opt'!$BG$310:$BU$330</definedName>
    <definedName localSheetId="17" name="DataTable_BJ279BX299">'Eth2 Calculator V2'!$BO$329:$CC$349</definedName>
    <definedName localSheetId="9" name="DataTable_X65AH82">Sheet10!$AF$158:$AP$175</definedName>
    <definedName localSheetId="17" name="DataTable_I5V32">#REF!</definedName>
    <definedName localSheetId="11" name="DataTable_I109U126">' Validator Rewards (Staking Opt'!$AC$308:$AL$325</definedName>
    <definedName localSheetId="10" name="DataTable_V100AC120">'Validator Rewards (Phase 0 - Be'!$Y$240:$AF$260</definedName>
    <definedName name="DataTable_I154P171">'Average Validator'!$V$161:$AC$178</definedName>
    <definedName localSheetId="17" name="DataTable_ValidatorRewardsPhase0BeyondGenesis_AL109">'Eth2 Calculator V2'!$AL$112:$AS$132</definedName>
    <definedName localSheetId="2" name="DataTable_Y5AL32">#REF!</definedName>
    <definedName localSheetId="12" name="DataTable_AF159AP179">'Welcome to the eth2 Calculator'!$AF$218:$AP$238</definedName>
    <definedName localSheetId="17" name="DataTable_V72AC89">'Eth2 Calculator V2'!$Y$194:$AF$211</definedName>
    <definedName localSheetId="17" name="DataTable_Y5AL32">#REF!</definedName>
    <definedName localSheetId="11" name="DataTable_AK72AU89">' Validator Rewards (Staking Opt'!$AD$174:$AN$191</definedName>
    <definedName localSheetId="17" name="DataTable_AI6AS29">#REF!</definedName>
    <definedName localSheetId="11" name="DataTable_V191AJ210">' Validator Rewards (Staking Opt'!$BG$242:$BU$261</definedName>
    <definedName localSheetId="10" name="DataTable_I88U105">'Validator Rewards (Phase 0 - Be'!$BD$278:$BH$336</definedName>
    <definedName localSheetId="18" name="DataTable_X65AH82">#REF!</definedName>
    <definedName localSheetId="9" name="DataTable_AK94AU111">Sheet10!$AF$277:$AP$294</definedName>
    <definedName localSheetId="12" name="DataTable_Y5AL32">#REF!</definedName>
    <definedName localSheetId="2" name="DataTable_V140AJ159">'Copy of Average Validator (Phas'!$BJ$161:$BX$180</definedName>
    <definedName localSheetId="17" name="DataTable_I154P171">'Eth2 Calculator V2'!$Y$261:$AF$278</definedName>
    <definedName localSheetId="16" name="DataTable_X65AH82">'Eth2 Calculator'!$AJ$176:$AT$193</definedName>
    <definedName localSheetId="17" name="DataTable_AO5BB32">'Eth2 Calculator V2'!$BT$169:$BU$255</definedName>
    <definedName localSheetId="12" name="DataTable_AS161BG171">'Welcome to the eth2 Calculator'!$AS$220:$BG$230</definedName>
    <definedName localSheetId="12" name="DataTable_I130AO147">'Welcome to the eth2 Calculator'!$AK$242:$BB$246</definedName>
    <definedName localSheetId="16" name="DataTable_I58V61">'Eth2 Calculator'!$BI$280:$BI$338</definedName>
    <definedName localSheetId="0" name="DataTable_AU66BO74">'Average Validator (Phase 0 - Ge'!$BT$93:$CB$101</definedName>
    <definedName localSheetId="16" name="DataTable_AS279BG299">'Eth2 Calculator'!$BM$312:$CA$332</definedName>
    <definedName localSheetId="17" name="DataTable_I88U105">'Eth2 Calculator V2'!$BD$296:$BH$354</definedName>
    <definedName localSheetId="9" name="DataTable_V140AJ159">Sheet10!$BJ$279:$BX$298</definedName>
    <definedName localSheetId="8" name="DataTable_AU66BO74">'Welcome to the eth2 Calculator!'!$BZ$117:$CB$125</definedName>
    <definedName localSheetId="8" name="DataTable_I131W148">'Welcome to the eth2 Calculator!'!$BJ$220:$BX$237</definedName>
    <definedName localSheetId="2" name="DataTable_V94AC111">'Copy of Average Validator (Phas'!$V$159:$AC$176</definedName>
    <definedName localSheetId="1" name="DataTable_I58V81">'Average Validator (Phase 0 - Be'!$AA$195:$AM$220</definedName>
    <definedName localSheetId="11" name="DataTable_AQ19BA39">' Validator Rewards (Staking Opt'!$AP$109:$AZ$129</definedName>
    <definedName localSheetId="9" name="DataTable_V184AJ201">Sheet10!$BJ$220:$BX$237</definedName>
    <definedName localSheetId="1" name="DataTable_L86Y109">'Average Validator (Phase 0 - Be'!$V$196:$X$220</definedName>
    <definedName localSheetId="16" name="DataTable_H2Q14">#REF!</definedName>
    <definedName localSheetId="9" name="DataTable_I4V27">#REF!</definedName>
    <definedName localSheetId="9" name="DataTable_I133V160">#REF!</definedName>
    <definedName localSheetId="17" name="DataTable_I32V55">'Eth2 Calculator V2'!$AZ$164:$BM$323</definedName>
    <definedName localSheetId="2" name="DataTable_L4Y32">#REF!</definedName>
    <definedName localSheetId="8" name="DataTable_L4Y27">#REF!</definedName>
    <definedName localSheetId="8" name="DataTable_AN139BB158">'Welcome to the eth2 Calculator!'!$BJ$101:$BX$120</definedName>
    <definedName localSheetId="9" name="DataTable_AS102BG112">Sheet10!$AS$220:$BG$230</definedName>
    <definedName localSheetId="16" name="DataTable_AF40AP60">'Eth2 Calculator'!$AJ$176:$AT$196</definedName>
    <definedName localSheetId="2" name="DataTable_AE55AY63">'Copy of Average Validator (Phas'!$AR$8:$BL$128</definedName>
    <definedName localSheetId="1" name="DataTable_V94AC111">'Average Validator (Phase 0 - Be'!$V$159:$AC$176</definedName>
    <definedName localSheetId="11" name="DataTable_V94AC111">' Validator Rewards (Staking Opt'!$S$308:$Z$325</definedName>
    <definedName localSheetId="12" name="DataTable_I58V81">'Welcome to the eth2 Calculator'!$AA$242:$AM$244</definedName>
    <definedName localSheetId="1" name="DataTable_AK93AU112">'Average Validator (Phase 0 - Be'!$AF$159:$AP$178</definedName>
    <definedName localSheetId="2" name="DataTable_I133V160">'Copy of Average Validator (Phas'!$V$226:$AI$247</definedName>
    <definedName localSheetId="18" name="DataTable_AN139BB158">'Internet Bond (Final)'!$BS$199:$BW$219</definedName>
    <definedName localSheetId="0" name="DataTable_H2Q14">#REF!</definedName>
    <definedName localSheetId="8" name="DataTable_I32V55">'Welcome to the eth2 Calculator!'!$AT$67:$BG$215</definedName>
    <definedName localSheetId="8" name="DataTable_I67AC84">'Welcome to the eth2 Calculator!'!$V$219:$AD$236</definedName>
    <definedName localSheetId="16" name="DataTable_L31Y54">'Eth2 Calculator'!$AZ$148:$BM$307</definedName>
    <definedName localSheetId="11" name="DataTable_AS102BG112">' Validator Rewards (Staking Opt'!$AP$242:$BD$252</definedName>
    <definedName localSheetId="17" name="DataTable_Eth2CalculatorV2_Y310">'Eth2 Calculator V2'!$Y$329:$AF$349</definedName>
    <definedName name="DataTable_I71P88">'Average Validator'!$V$94:$AC$111</definedName>
    <definedName localSheetId="16" name="DataTable_AP308AZ328">'Eth2 Calculator'!$AV$310:$BF$330</definedName>
    <definedName localSheetId="16" name="DataTable_AE55AY63">'Eth2 Calculator'!$AX$148:$BR$284</definedName>
    <definedName localSheetId="12" name="DataTable_V191AJ210">'Welcome to the eth2 Calculator'!$BJ$161:$BX$180</definedName>
    <definedName localSheetId="2" name="DataTable_AN134BB151">'Copy of Average Validator (Phas'!$BJ$42:$BX$59</definedName>
    <definedName localSheetId="11" name="DataTable_L101Y129">#REF!</definedName>
    <definedName localSheetId="11" name="DataTable_I4V27">#REF!</definedName>
    <definedName localSheetId="9" name="DataTable_I69V96">Sheet10!$Z$242:$AM$301</definedName>
    <definedName localSheetId="9" name="DataTable_BJ42BX62">Sheet10!$BJ$160:$BX$180</definedName>
    <definedName localSheetId="4" name="DataTable_L37AF65">#REF!</definedName>
    <definedName localSheetId="17" name="DataTable_X154AH171">'Eth2 Calculator V2'!$AI$260:$AS$277</definedName>
    <definedName name="DataTable_ValidatorRewardsPhase0BeyondGenesis_AL109">'Validator Rewards (Phase 0 - Be'!$AL$109:$AS$129</definedName>
    <definedName localSheetId="9" name="DataTable_AQ19BA39">Sheet10!$AP$100:$AZ$120</definedName>
    <definedName name="DataTable_AK72AU89">'Average Validator'!$AK$72:$AU$89</definedName>
    <definedName localSheetId="2" name="DataTable_S35Z58">#REF!</definedName>
    <definedName localSheetId="18" name="DataTable_I67AC84">'Internet Bond (Final)'!$S$333:$AA$350</definedName>
    <definedName localSheetId="10" name="DataTable_AK94AU111">'Validator Rewards (Phase 0 - Be'!$AI$308:$AS$325</definedName>
    <definedName localSheetId="17" name="DataTable_AN139BB158">'Eth2 Calculator V2'!$BN$196:$CB$215</definedName>
    <definedName localSheetId="8" name="DataTable_AF67AS84">#REF!</definedName>
    <definedName localSheetId="16" name="DataTable_V158AC178">'Eth2 Calculator'!$Y$242:$AF$262</definedName>
    <definedName localSheetId="12" name="DataTable_I32V55">'Welcome to the eth2 Calculator'!$AT$67:$BG$215</definedName>
    <definedName localSheetId="12" name="DataTable_AK72AU89">'Welcome to the eth2 Calculator'!$AF$99:$AP$116</definedName>
    <definedName localSheetId="0" name="DataTable_I109U126">'Average Validator (Phase 0 - Ge'!$AF$159:$AO$176</definedName>
    <definedName localSheetId="17" name="DataTable_AN134BB151">'Eth2 Calculator V2'!$BN$196:$CB$213</definedName>
    <definedName localSheetId="12" name="DataTable_V100AC120">'Welcome to the eth2 Calculator'!$V$159:$AC$179</definedName>
    <definedName localSheetId="17" name="DataTable_X108AH125">'Eth2 Calculator V2'!$BK$296:$BU$354</definedName>
    <definedName localSheetId="16" name="DataTable_AS279BG289">'Eth2 Calculator'!$BM$312:$CA$322</definedName>
    <definedName localSheetId="9" name="DataTable_AX69BL79">Sheet10!$AS$160:$BG$170</definedName>
    <definedName localSheetId="12" name="DataTable_I4V27">#REF!</definedName>
    <definedName localSheetId="11" name="DataTable_V161AC178">' Validator Rewards (Staking Opt'!$S$240:$Z$257</definedName>
    <definedName localSheetId="10" name="DataTable_I92P109">'Validator Rewards (Phase 0 - Be'!$AV$278:$BC$336</definedName>
    <definedName localSheetId="2" name="DataTable_L69Y97">'Copy of Average Validator (Phas'!$W$162:$AI$190</definedName>
    <definedName localSheetId="9" name="DataTable_I31V54">Sheet10!$AT$126:$BG$274</definedName>
    <definedName localSheetId="8" name="DataTable_I92P109">'Welcome to the eth2 Calculator!'!$AP$242:$AW$243</definedName>
    <definedName localSheetId="9" name="DataTable_L4Y27">#REF!</definedName>
    <definedName localSheetId="2" name="DataTable_I152AC169">'Copy of Average Validator (Phas'!$V$226:$AP$236</definedName>
    <definedName localSheetId="0" name="DataTable_AK72AU89">'Average Validator (Phase 0 - Ge'!$AF$40:$AP$57</definedName>
    <definedName localSheetId="4" name="DataTable_I58V81">'Average Validator'!$AA$129:$AM$154</definedName>
    <definedName localSheetId="18" name="DataTable_I131V148">'Internet Bond (Final)'!$BF$302:$BP$360</definedName>
    <definedName localSheetId="4" name="DataTable_L4Y27">'Average Validator'!$V$13:$AF$36</definedName>
    <definedName localSheetId="16" name="DataTable_Eth2Calculator_Y240">'Eth2 Calculator'!$Y$242:$AF$262</definedName>
    <definedName localSheetId="10" name="DataTable_I177W194">'Validator Rewards (Phase 0 - Be'!$CR$242:$DF$259</definedName>
    <definedName localSheetId="11" name="DataTable_BJ102BX122">' Validator Rewards (Staking Opt'!$BG$242:$BU$262</definedName>
    <definedName localSheetId="17" name="DataTable_V140AJ159">'Eth2 Calculator V2'!$BO$329:$CC$348</definedName>
    <definedName name="DataTable_AX69BL79">'Average Validator (Phase 0 - Ge'!$AS$42:$BG$52</definedName>
    <definedName localSheetId="2" name="DataTable_AK164AU183">'Copy of Average Validator (Phas'!$AF$100:$AP$119</definedName>
    <definedName localSheetId="17" name="DataTable_V19AC39">'Eth2 Calculator V2'!$W$85:$AD$105</definedName>
    <definedName localSheetId="10" name="DataTable_S35Z58">#REF!</definedName>
    <definedName localSheetId="18" name="DataTable_I4V27">#REF!</definedName>
    <definedName name="DataTable_AS220BG240">'Validator Rewards (Phase 0 - Be'!$CA$242:$CO$262</definedName>
    <definedName localSheetId="0" name="DataTable_AO5BB32">'Average Validator (Phase 0 - Ge'!$BN$13:$BO$86</definedName>
    <definedName localSheetId="11" name="DataTable_I177W194">' Validator Rewards (Staking Opt'!$BG$242:$BU$259</definedName>
    <definedName localSheetId="16" name="DataTable_H3Q15">#REF!</definedName>
    <definedName localSheetId="12" name="DataTable_V161AC178">'Welcome to the eth2 Calculator'!$V$159:$AC$176</definedName>
    <definedName localSheetId="0" name="DataTable_I37V64">'Average Validator (Phase 0 - Ge'!$Z$195:$AM$224</definedName>
    <definedName localSheetId="16" name="DataTable_BJ102BX122">'Eth2 Calculator'!$BZ$244:$CN$264</definedName>
    <definedName name="DataTable_V158AC178">'Welcome to the eth2 Calculator!'!$V$159:$AC$179</definedName>
    <definedName localSheetId="8" name="DataTable_V139AJ156">'Welcome to the eth2 Calculator!'!$BJ$220:$BX$237</definedName>
    <definedName localSheetId="12" name="DataTable_I131V148">'Welcome to the eth2 Calculator'!$BE$242:$BO$245</definedName>
    <definedName localSheetId="8" name="DataTable_S35Z58">#REF!</definedName>
    <definedName localSheetId="0" name="DataTable_H3Q15">#REF!</definedName>
    <definedName localSheetId="9" name="DataTable_AD35AK58">#REF!</definedName>
    <definedName localSheetId="11" name="DataTable_V277AC297">' Validator Rewards (Staking Opt'!$S$308:$Z$328</definedName>
    <definedName localSheetId="12" name="DataTable_V184AJ201">'Welcome to the eth2 Calculator'!$BJ$161:$BX$178</definedName>
    <definedName localSheetId="8" name="DataTable_AN134BB151">'Welcome to the eth2 Calculator!'!$BJ$101:$BX$118</definedName>
    <definedName localSheetId="16" name="DataTable_I35P58">#REF!</definedName>
    <definedName localSheetId="10" name="DataTable_I58V61">'Validator Rewards (Phase 0 - Be'!$BI$278:$BI$336</definedName>
    <definedName localSheetId="18" name="DataTable_AS102BG112">'Internet Bond (Final)'!$AP$266:$BE$276</definedName>
    <definedName name="DataTable_BD242BR262">'Validator Rewards (Phase 0 - Be'!$CA$242:$CO$262</definedName>
    <definedName localSheetId="17" name="DataTable_I35P58">#REF!</definedName>
    <definedName localSheetId="9" name="DataTable_I92P109">Sheet10!$AP$242:$AW$301</definedName>
    <definedName localSheetId="18" name="DataTable_I65P82">#REF!</definedName>
    <definedName localSheetId="11" name="DataTable_H3Q15">#REF!</definedName>
    <definedName localSheetId="10" name="DataTable_I131W148">'Validator Rewards (Phase 0 - Be'!$CD$310:$CR$327</definedName>
    <definedName localSheetId="0" name="DataTable_I6S31">#REF!</definedName>
    <definedName localSheetId="9" name="DataTable_AE55AY63">Sheet10!$AR$126:$BL$246</definedName>
    <definedName localSheetId="11" name="DataTable_I71P88">' Validator Rewards (Staking Opt'!$S$308:$Z$325</definedName>
    <definedName localSheetId="8" name="DataTable_AK70AU89">'Welcome to the eth2 Calculator!'!$AF$99:$AP$118</definedName>
    <definedName localSheetId="18" name="DataTable_I6S29">#REF!</definedName>
    <definedName localSheetId="18" name="DataTable_V93AC112">'Internet Bond (Final)'!$S$332:$Z$351</definedName>
    <definedName name="DataTable_AS279BG289">'Validator Rewards (Phase 0 - Be'!$BM$310:$CA$320</definedName>
    <definedName localSheetId="16" name="DataTable_AF158AP178">'Eth2 Calculator'!$AI$242:$AS$262</definedName>
    <definedName localSheetId="17" name="DataTable_AK70AU89">'Eth2 Calculator V2'!$AJ$193:$AT$212</definedName>
    <definedName localSheetId="16" name="DataTable_AS161BG171">'Eth2 Calculator'!$BM$312:$CA$322</definedName>
    <definedName localSheetId="4" name="DataTable_H2Q14">#REF!</definedName>
    <definedName localSheetId="1" name="DataTable_I130AO147">'Average Validator (Phase 0 - Be'!$AK$205:$BB$222</definedName>
    <definedName localSheetId="1" name="DataTable_V191AJ210">'Average Validator (Phase 0 - Be'!$BJ$102:$BX$121</definedName>
    <definedName localSheetId="17" name="DataTable_Eth2CalculatorV2_Y242">'Eth2 Calculator V2'!$Y$261:$AF$281</definedName>
    <definedName localSheetId="17" name="DataTable_I109U126">'Eth2 Calculator V2'!$AI$328:$AR$345</definedName>
    <definedName localSheetId="12" name="DataTable_X65AH82">'Welcome to the eth2 Calculator'!$AF$99:$AP$116</definedName>
    <definedName localSheetId="17" name="DataTable_I131W148">'Eth2 Calculator V2'!$BO$329:$CC$346</definedName>
    <definedName localSheetId="16" name="DataTable_L37AF65">#REF!</definedName>
    <definedName localSheetId="2" name="DataTable_I6S29">#REF!</definedName>
    <definedName localSheetId="1" name="DataTable_V72AC89">'Average Validator (Phase 0 - Be'!$V$40:$AC$57</definedName>
    <definedName localSheetId="12" name="DataTable_AI6AS29">#REF!</definedName>
    <definedName localSheetId="17" name="DataTable_I6S31">#REF!</definedName>
    <definedName localSheetId="10" name="DataTable_AK72AU89">'Validator Rewards (Phase 0 - Be'!$AJ$174:$AT$191</definedName>
    <definedName localSheetId="0" name="DataTable_I32V55">'Average Validator (Phase 0 - Ge'!$AT$8:$BG$156</definedName>
    <definedName localSheetId="8" name="DataTable_L69Y97">'Welcome to the eth2 Calculator!'!$W$207:$AI$241</definedName>
    <definedName name="DataTable_I92P109">'Average Validator'!$V$113:$AC$130</definedName>
    <definedName localSheetId="0" name="DataTable_L86Y109">'Average Validator (Phase 0 - Ge'!$V$196:$X$220</definedName>
    <definedName localSheetId="17" name="DataTable_AS279BG299">'Eth2 Calculator V2'!$AX$329:$BL$349</definedName>
    <definedName localSheetId="0" name="DataTable_X65AH82">'Average Validator (Phase 0 - Ge'!$AF$40:$AP$57</definedName>
    <definedName localSheetId="1" name="DataTable_L4Y32">#REF!</definedName>
    <definedName localSheetId="1" name="DataTable_I154P171">'Average Validator (Phase 0 - Be'!$V$100:$AC$117</definedName>
    <definedName localSheetId="16" name="DataTable_I108P125">'Eth2 Calculator'!$AV$280:$BC$338</definedName>
    <definedName localSheetId="9" name="DataTable_I173AC190">#REF!</definedName>
    <definedName localSheetId="18" name="DataTable_I71P88">'Internet Bond (Final)'!$S$332:$Z$349</definedName>
    <definedName name="DataTable_V72AC89">'Average Validator'!$V$72:$AC$89</definedName>
    <definedName localSheetId="0" name="DataTable_I88U105">'Average Validator (Phase 0 - Ge'!$AX$203:$BB$220</definedName>
    <definedName localSheetId="18" name="DataTable_AI6AS29">#REF!</definedName>
    <definedName localSheetId="10" name="DataTable_I37V64">'Validator Rewards (Phase 0 - Be'!$AF$278:$AS$336</definedName>
    <definedName localSheetId="10" name="DataTable_AE55AY63">'Validator Rewards (Phase 0 - Be'!$AX$146:$BR$282</definedName>
    <definedName localSheetId="10" name="DataTable_V277AC297">'Validator Rewards (Phase 0 - Be'!$Y$308:$AF$328</definedName>
    <definedName localSheetId="11" name="DataTable_I67AC84">' Validator Rewards (Staking Opt'!$S$309:$AA$326</definedName>
    <definedName localSheetId="2" name="DataTable_I177W194">'Copy of Average Validator (Phas'!$BJ$102:$BX$119</definedName>
    <definedName localSheetId="2" name="DataTable_I35P58">#REF!</definedName>
    <definedName name="DataTable_AP310BD330">'Validator Rewards (Phase 0 - Be'!$BM$310:$CA$330</definedName>
    <definedName localSheetId="2" name="DataTable_L101Y129">'Copy of Average Validator (Phas'!$V$196:$X$201</definedName>
    <definedName localSheetId="1" name="DataTable_AK94AU111">'Average Validator (Phase 0 - Be'!$AF$159:$AP$176</definedName>
    <definedName localSheetId="1" name="DataTable_I69V96">'Average Validator (Phase 0 - Be'!$Z$195:$AM$224</definedName>
    <definedName localSheetId="1" name="DataTable_AK72AU89">'Average Validator (Phase 0 - Be'!$AF$40:$AP$57</definedName>
    <definedName localSheetId="8" name="DataTable_I133V160">'Welcome to the eth2 Calculator!'!$V$250:$AI$271</definedName>
    <definedName localSheetId="12" name="DataTable_S35Z58">#REF!</definedName>
    <definedName localSheetId="10" name="DataTable_BJ42BX62">'Validator Rewards (Phase 0 - Be'!$BN$176:$CB$196</definedName>
    <definedName name="DataTable_AP308AZ328">'Validator Rewards (Phase 0 - Be'!$AV$308:$BF$328</definedName>
    <definedName localSheetId="9" name="DataTable_V70AC89">Sheet10!$V$158:$AC$177</definedName>
    <definedName localSheetId="11" name="DataTable_BJ280BK299">' Validator Rewards (Staking Opt'!$BG$311:$BH$330</definedName>
    <definedName localSheetId="16" name="DataTable_V72AC89">'Eth2 Calculator'!$Y$176:$AF$193</definedName>
    <definedName localSheetId="0" name="DataTable_V72AC89">'Average Validator (Phase 0 - Ge'!$V$40:$AC$57</definedName>
    <definedName localSheetId="8" name="DataTable_H2Q14">#REF!</definedName>
    <definedName localSheetId="17" name="DataTable_Eth2CalculatorV2_AL111">'Eth2 Calculator V2'!$AL$112:$AS$132</definedName>
    <definedName localSheetId="16" name="DataTable_InternetBond_Y174">'Eth2 Calculator'!$Y$176:$AF$196</definedName>
    <definedName localSheetId="16" name="DataTable_L4Y32">#REF!</definedName>
    <definedName name="DataTable_X65AH82">'Average Validator'!$AK$72:$AU$89</definedName>
    <definedName localSheetId="9" name="DataTable_AF67AS84">#REF!</definedName>
    <definedName name="DataTable_BD240BN260">'Validator Rewards (Phase 0 - Be'!$BJ$240:$BT$260</definedName>
    <definedName localSheetId="9" name="DataTable_I68U85">Sheet10!$V$278:$AD$295</definedName>
    <definedName localSheetId="1" name="DataTable_AO5BB32">'Average Validator (Phase 0 - Be'!$BN$13:$BO$86</definedName>
    <definedName localSheetId="17" name="DataTable_Eth2Calculator_AI242">'Eth2 Calculator V2'!$AI$260:$AS$280</definedName>
    <definedName localSheetId="16" name="DataTable_V277AC297">'Eth2 Calculator'!$Y$310:$AF$330</definedName>
    <definedName localSheetId="16" name="DataTable_V6AF29">#REF!</definedName>
    <definedName localSheetId="10" name="DataTable_I131V148">'Validator Rewards (Phase 0 - Be'!$BK$278:$BU$336</definedName>
    <definedName localSheetId="16" name="DataTable_I131V148">'Eth2 Calculator'!$BK$280:$BU$338</definedName>
    <definedName localSheetId="17" name="DataTable_L4Y32">#REF!</definedName>
    <definedName localSheetId="18" name="DataTable_I88U105">'Internet Bond (Final)'!$AY$302:$BC$360</definedName>
    <definedName localSheetId="16" name="DataTable_BJ42BX62">'Eth2 Calculator'!$BN$178:$CB$198</definedName>
    <definedName localSheetId="16" name="DataTable_AS220BG240">'Eth2 Calculator'!$BI$244:$BW$264</definedName>
    <definedName localSheetId="16" name="DataTable_V161AC178">'Eth2 Calculator'!$Y$242:$AF$259</definedName>
    <definedName localSheetId="8" name="DataTable_I131V148">'Welcome to the eth2 Calculator!'!$BE$242:$BO$245</definedName>
    <definedName localSheetId="16" name="DataTable_V218AC238">'Eth2 Calculator'!$Y$242:$AF$262</definedName>
    <definedName localSheetId="10" name="DataTable_I6S29">#REF!</definedName>
    <definedName localSheetId="8" name="DataTable_I173AC190">#REF!</definedName>
    <definedName localSheetId="4" name="DataTable_Y5AL32">'Average Validator'!$AL$13:$AY$43</definedName>
    <definedName localSheetId="18" name="DataTable_V72AC89">#REF!</definedName>
    <definedName localSheetId="1" name="DataTable_V177AJ194">'Average Validator (Phase 0 - Be'!$BJ$102:$BX$119</definedName>
    <definedName localSheetId="8" name="DataTable_V161AC178">'Welcome to the eth2 Calculator!'!$V$159:$AC$176</definedName>
    <definedName localSheetId="2" name="DataTable_H3Q15">#REF!</definedName>
    <definedName localSheetId="1" name="DataTable_I131W148">'Average Validator (Phase 0 - Be'!$BJ$161:$BX$178</definedName>
    <definedName localSheetId="2" name="DataTable_L4Y27">#REF!</definedName>
    <definedName localSheetId="12" name="DataTable_I133V160">'Welcome to the eth2 Calculator'!$V$250:$AI$271</definedName>
    <definedName localSheetId="11" name="DataTable_V139AJ156">' Validator Rewards (Staking Opt'!$BG$310:$BU$327</definedName>
    <definedName localSheetId="0" name="DataTable_I5V32">#REF!</definedName>
    <definedName localSheetId="0" name="DataTable_I65P82">'Average Validator (Phase 0 - Ge'!$V$40:$AC$57</definedName>
    <definedName localSheetId="10" name="DataTable_AF67AS84">#REF!</definedName>
    <definedName localSheetId="16" name="DataTable_AK70AU89">'Eth2 Calculator'!$AJ$176:$AT$195</definedName>
    <definedName localSheetId="2" name="DataTable_AK161AU178">'Copy of Average Validator (Phas'!$AF$100:$AP$117</definedName>
    <definedName localSheetId="10" name="DataTable_L4Y32">#REF!</definedName>
    <definedName localSheetId="8" name="DataTable_Y5AL32">#REF!</definedName>
    <definedName localSheetId="8" name="DataTable_I58V61">'Welcome to the eth2 Calculator!'!$BC$242:$BC$244</definedName>
    <definedName localSheetId="9" name="DataTable_AN139BB158">Sheet10!$BJ$160:$BX$179</definedName>
    <definedName localSheetId="9" name="DataTable_V164AC183">Sheet10!$V$218:$AC$237</definedName>
    <definedName localSheetId="0" name="DataTable_X108AH125">'Average Validator (Phase 0 - Ge'!$BE$204:$BO$221</definedName>
    <definedName localSheetId="17" name="DataTable_BD242BR262">'Eth2 Calculator V2'!$AV$261:$BJ$281</definedName>
    <definedName localSheetId="12" name="DataTable_L101Y129">#REF!</definedName>
    <definedName localSheetId="10" name="DataTable_AK161AU178">'Validator Rewards (Phase 0 - Be'!$AI$240:$AS$257</definedName>
    <definedName localSheetId="2" name="DataTable_L37AF65">#REF!</definedName>
    <definedName localSheetId="16" name="DataTable_Y5AL32">#REF!</definedName>
    <definedName localSheetId="10" name="DataTable_AN134BB151">'Validator Rewards (Phase 0 - Be'!$BN$176:$CB$193</definedName>
    <definedName localSheetId="11" name="DataTable_L4Y32">#REF!</definedName>
    <definedName localSheetId="8" name="DataTable_I6S29">#REF!</definedName>
    <definedName localSheetId="17" name="DataTable_V218AC238">'Eth2 Calculator V2'!$Y$261:$AF$281</definedName>
    <definedName name="DataTable_X154AH171">'Average Validator'!$AK$161:$AU$178</definedName>
    <definedName localSheetId="16" name="DataTable_L69Y97">'Eth2 Calculator'!$AC$304:$AO$338</definedName>
    <definedName localSheetId="2" name="DataTable_I68U85">'Copy of Average Validator (Phas'!$V$160:$AD$177</definedName>
    <definedName localSheetId="1" name="DataTable_I67AC84">'Average Validator (Phase 0 - Be'!$V$160:$AD$177</definedName>
    <definedName localSheetId="17" name="DataTable_Eth2CalculatorV2_BO312">'Eth2 Calculator V2'!$BO$329:$CC$349</definedName>
    <definedName localSheetId="16" name="DataTable_S35Z58">#REF!</definedName>
    <definedName localSheetId="1" name="DataTable_BJ42BX62">'Average Validator (Phase 0 - Be'!$BJ$42:$BX$62</definedName>
    <definedName localSheetId="18" name="DataTable_V159AC179">'Internet Bond (Final)'!$S$332:$Z$352</definedName>
    <definedName localSheetId="4" name="DataTable_AF67AS84">'Average Validator'!$AV$94:$BF$111</definedName>
    <definedName name="DataTable_V94AC111">'Average Validator'!$V$94:$AC$111</definedName>
    <definedName localSheetId="10" name="DataTable_BJ219BX239">'Validator Rewards (Phase 0 - Be'!$CD$310:$CR$330</definedName>
    <definedName localSheetId="0" name="DataTable_I68U85">'Average Validator (Phase 0 - Ge'!$V$160:$AD$177</definedName>
    <definedName localSheetId="9" name="DataTable_I5V32">#REF!</definedName>
    <definedName name="DataTable_AQ19BA39">'Welcome to the eth2 Calculator!'!$AP$41:$AZ$61</definedName>
    <definedName localSheetId="9" name="DataTable_I130AO147">Sheet10!$AK$242:$BB$301</definedName>
    <definedName localSheetId="12" name="DataTable_I108P125">'Welcome to the eth2 Calculator'!$AP$242:$AW$245</definedName>
    <definedName localSheetId="17" name="DataTable_Eth2Calculator_Y308">'Eth2 Calculator V2'!$Y$329:$AF$349</definedName>
    <definedName name="DataTable_AI6AS29">'Average Validator'!$AV$13:$BF$36</definedName>
    <definedName localSheetId="4" name="DataTable_H20Z50">#REF!</definedName>
    <definedName localSheetId="11" name="DataTable_V177AJ194">' Validator Rewards (Staking Opt'!$BG$242:$BU$259</definedName>
    <definedName localSheetId="12" name="DataTable_H20Z50">#REF!</definedName>
    <definedName localSheetId="8" name="DataTable_AX69BL79">'Welcome to the eth2 Calculator!'!$AS$101:$BG$111</definedName>
    <definedName localSheetId="8" name="DataTable_X154AH171">'Welcome to the eth2 Calculator!'!$AF$159:$AP$176</definedName>
    <definedName localSheetId="11" name="DataTable_BJ279BK299">' Validator Rewards (Staking Opt'!$BG$310:$BH$330</definedName>
    <definedName localSheetId="11" name="DataTable_I37V64">' Validator Rewards (Staking Opt'!$Z$278:$AM$336</definedName>
    <definedName localSheetId="11" name="DataTable_V6AF29">#REF!</definedName>
    <definedName localSheetId="1" name="DataTable_I65P82">'Average Validator (Phase 0 - Be'!$V$40:$AC$57</definedName>
    <definedName localSheetId="4" name="DataTable_AE55AY63">'Average Validator'!$AR$66:$BL$90</definedName>
    <definedName localSheetId="2" name="DataTable_I173AC190">#REF!</definedName>
    <definedName localSheetId="4" name="DataTable_I88U105">'Average Validator'!$V$115:$AH$132</definedName>
    <definedName name="DataTable_B3I20">'Phase 0 Analysis (VPS)'!$B$3:$I$20</definedName>
    <definedName localSheetId="16" name="DataTable_BJ280BK299">'Eth2 Calculator'!$CD$313:$CE$332</definedName>
    <definedName name="DataTable_X108AH125">'Average Validator'!$AK$115:$AU$132</definedName>
    <definedName localSheetId="2" name="DataTable_I65P82">'Copy of Average Validator (Phas'!$V$40:$AC$57</definedName>
    <definedName localSheetId="18" name="DataTable_AF40AP60">#REF!</definedName>
    <definedName localSheetId="11" name="DataTable_L69Y97">' Validator Rewards (Staking Opt'!$W$302:$AI$336</definedName>
    <definedName localSheetId="16" name="DataTable_AP240AZ260">'Eth2 Calculator'!$AV$242:$BF$262</definedName>
    <definedName localSheetId="11" name="DataTable_AF40AP60">' Validator Rewards (Staking Opt'!$AD$174:$AN$194</definedName>
    <definedName localSheetId="17" name="DataTable_V93AC112">'Eth2 Calculator V2'!$Y$329:$AF$348</definedName>
    <definedName localSheetId="18" name="DataTable_AK161AU178">'Internet Bond (Final)'!$AC$264:$AM$281</definedName>
    <definedName localSheetId="10" name="DataTable_I58V81">'Validator Rewards (Phase 0 - Be'!$AG$278:$AS$336</definedName>
    <definedName localSheetId="9" name="DataTable_V159AC179">Sheet10!$V$277:$AC$297</definedName>
    <definedName localSheetId="8" name="DataTable_AK72AU89">'Welcome to the eth2 Calculator!'!$AF$99:$AP$116</definedName>
    <definedName localSheetId="12" name="DataTable_V94AC111">'Welcome to the eth2 Calculator'!$V$218:$AC$235</definedName>
    <definedName localSheetId="10" name="DataTable_X154AH171">'Validator Rewards (Phase 0 - Be'!$AI$240:$AS$257</definedName>
    <definedName localSheetId="8" name="DataTable_M38Y65">'Welcome to the eth2 Calculator!'!$AD$217</definedName>
    <definedName localSheetId="9" name="DataTable_L31Y54">Sheet10!$AT$126:$BG$274</definedName>
    <definedName localSheetId="17" name="DataTable_V94AC111">'Eth2 Calculator V2'!$Y$329:$AF$346</definedName>
    <definedName localSheetId="16" name="DataTable_Eth2Calculator_BZ242">'Eth2 Calculator'!$BZ$244:$CN$264</definedName>
    <definedName localSheetId="18" name="DataTable_AF19AM39">'Internet Bond (Final)'!$AF$249:$AM$260</definedName>
    <definedName localSheetId="0" name="DataTable_L37AF65">#REF!</definedName>
    <definedName localSheetId="2" name="DataTable_X154AH171">'Copy of Average Validator (Phas'!$AF$100:$AP$117</definedName>
    <definedName localSheetId="2" name="DataTable_I31V54">'Copy of Average Validator (Phas'!$AT$8:$BG$156</definedName>
    <definedName localSheetId="11" name="DataTable_AK164AU183">' Validator Rewards (Staking Opt'!$AC$240:$AM$259</definedName>
    <definedName localSheetId="1" name="DataTable_V139AJ156">'Average Validator (Phase 0 - Be'!$BJ$161:$BX$178</definedName>
    <definedName localSheetId="18" name="DataTable_AD35AK58">#REF!</definedName>
    <definedName localSheetId="17" name="DataTable_AP308AZ328">'Eth2 Calculator V2'!$AV$326:$AV$346</definedName>
    <definedName localSheetId="17" name="DataTable_Eth2NetworkUpdates_AV244">'Eth2 Calculator V2'!$AV$261:$BJ$281</definedName>
    <definedName localSheetId="1" name="DataTable_V70AC89">'Average Validator (Phase 0 - Be'!$V$40:$AC$59</definedName>
    <definedName localSheetId="10" name="DataTable_M38Y65">'Validator Rewards (Phase 0 - Be'!$AG$307</definedName>
    <definedName localSheetId="12" name="DataTable_L58Y81">'Welcome to the eth2 Calculator'!$AA$242:$AM$244</definedName>
    <definedName name="DataTable_I6S31">'Average Validator'!$V$13:$AF$38</definedName>
    <definedName name="DataTable_V218AC238">Sheet10!$V$218:$AC$238</definedName>
    <definedName localSheetId="17" name="DataTable_I31V54">'Eth2 Calculator V2'!$AZ$164:$BM$323</definedName>
    <definedName localSheetId="17" name="DataTable_X87AH104">'Eth2 Calculator V2'!$AI$328:$AS$345</definedName>
    <definedName localSheetId="10" name="DataTable_I173AC190">#REF!</definedName>
    <definedName localSheetId="16" name="DataTable_I4V27">#REF!</definedName>
    <definedName localSheetId="2" name="DataTable_I32V55">'Copy of Average Validator (Phas'!$AT$8:$BG$156</definedName>
    <definedName localSheetId="1" name="DataTable_AE55AY63">'Average Validator (Phase 0 - Be'!$AR$8:$BL$128</definedName>
    <definedName localSheetId="10" name="DataTable_L86Y109">'Validator Rewards (Phase 0 - Be'!$AB$278:$AD$336</definedName>
    <definedName name="DataTable_I65P82">'Average Validator'!$V$72:$AC$89</definedName>
    <definedName localSheetId="1" name="DataTable_AI6AS29">#REF!</definedName>
    <definedName localSheetId="16" name="DataTable_S240Z260">'Eth2 Calculator'!$Y$242:$AF$262</definedName>
    <definedName localSheetId="10" name="DataTable_V139AJ156">'Validator Rewards (Phase 0 - Be'!$CD$310:$CR$327</definedName>
    <definedName localSheetId="0" name="DataTable_L69Y97">'Average Validator (Phase 0 - Ge'!$W$162:$AI$190</definedName>
    <definedName localSheetId="11" name="DataTable_H2Q14">#REF!</definedName>
    <definedName localSheetId="12" name="DataTable_AK93AU112">'Welcome to the eth2 Calculator'!$AF$218:$AP$237</definedName>
    <definedName localSheetId="9" name="DataTable_L37AF65">#REF!</definedName>
    <definedName localSheetId="2" name="DataTable_AK70AU89">'Copy of Average Validator (Phas'!$AF$40:$AP$59</definedName>
    <definedName localSheetId="0" name="DataTable_X154AH171">'Average Validator (Phase 0 - Ge'!$AF$100:$AP$117</definedName>
    <definedName localSheetId="0" name="DataTable_I173AC190">#REF!</definedName>
    <definedName localSheetId="12" name="DataTable_V93AC112">'Welcome to the eth2 Calculator'!$V$218:$AC$237</definedName>
    <definedName localSheetId="12" name="DataTable_I92P109">'Welcome to the eth2 Calculator'!$AP$242:$AW$243</definedName>
    <definedName localSheetId="11" name="DataTable_AF19AM39">' Validator Rewards (Staking Opt'!$AF$109:$AM$129</definedName>
    <definedName localSheetId="10" name="DataTable_X108AH125">'Validator Rewards (Phase 0 - Be'!$BK$278:$BU$336</definedName>
    <definedName localSheetId="9" name="DataTable_AK70AU89">Sheet10!$AF$158:$AP$177</definedName>
    <definedName localSheetId="17" name="DataTable_Eth2CalculatorV2_AV113">'Eth2 Calculator V2'!$AV$114:$BF$134</definedName>
    <definedName localSheetId="10" name="DataTable_I69V96">'Validator Rewards (Phase 0 - Be'!$AF$278:$AS$336</definedName>
    <definedName localSheetId="2" name="DataTable_AX69BL79">'Copy of Average Validator (Phas'!$AS$42:$BG$52</definedName>
    <definedName localSheetId="10" name="DataTable_AS102BG112">'Validator Rewards (Phase 0 - Be'!$CA$242:$CO$252</definedName>
    <definedName localSheetId="11" name="DataTable_V93AC112">' Validator Rewards (Staking Opt'!$S$308:$Z$327</definedName>
    <definedName localSheetId="4" name="DataTable_AU66BO74">'Average Validator'!$BT$93:$CB$101</definedName>
    <definedName localSheetId="11" name="DataTable_AF100AP120">' Validator Rewards (Staking Opt'!$AC$240:$AM$260</definedName>
    <definedName localSheetId="1" name="DataTable_H3Q15">#REF!</definedName>
    <definedName localSheetId="12" name="DataTable_V6AF29">#REF!</definedName>
    <definedName localSheetId="16" name="DataTable_V164AC183">'Eth2 Calculator'!$Y$242:$AF$261</definedName>
    <definedName localSheetId="16" name="DataTable_Eth2Calculator_BI242">'Eth2 Calculator'!$BI$244:$BW$264</definedName>
    <definedName name="DataTable_V191AJ210">'Average Validator (Phase 0 - Ge'!$BJ$102:$BX$121</definedName>
    <definedName localSheetId="9" name="DataTable_I88U105">Sheet10!$AX$242:$BB$301</definedName>
    <definedName localSheetId="2" name="DataTable_AK93AU112">'Copy of Average Validator (Phas'!$AF$159:$AP$178</definedName>
    <definedName localSheetId="1" name="DataTable_I6S31">#REF!</definedName>
    <definedName localSheetId="11" name="DataTable_V158AC178">' Validator Rewards (Staking Opt'!$S$240:$Z$260</definedName>
    <definedName localSheetId="18" name="DataTable_L37AF65">#REF!</definedName>
    <definedName localSheetId="17" name="DataTable_Eth2CalculatorV2_AV244">'Eth2 Calculator V2'!$AV$261:$BJ$281</definedName>
    <definedName localSheetId="16" name="DataTable_AC240AM260">'Eth2 Calculator'!$AI$242:$AS$262</definedName>
    <definedName localSheetId="12" name="DataTable_X87AH104">'Welcome to the eth2 Calculator'!$AF$218:$AP$235</definedName>
    <definedName localSheetId="0" name="DataTable_I69V96">'Average Validator (Phase 0 - Ge'!$Z$195:$AM$224</definedName>
    <definedName localSheetId="4" name="DataTable_I31V54">'Average Validator'!$AT$55:$BG$92</definedName>
    <definedName localSheetId="17" name="DataTable_Eth2CalculatorV2_AI310">'Eth2 Calculator V2'!$AI$328:$AS$348</definedName>
    <definedName localSheetId="1" name="DataTable_X65AH82">'Average Validator (Phase 0 - Be'!$AF$40:$AP$57</definedName>
    <definedName localSheetId="12" name="DataTable_I131W148">'Welcome to the eth2 Calculator'!$BJ$220:$BX$237</definedName>
    <definedName localSheetId="11" name="DataTable_I65P82">' Validator Rewards (Staking Opt'!$S$174:$Z$191</definedName>
    <definedName localSheetId="0" name="DataTable_I92P109">'Average Validator (Phase 0 - Ge'!$AP$202:$AW$219</definedName>
    <definedName localSheetId="10" name="DataTable_I71P88">'Validator Rewards (Phase 0 - Be'!$Y$308:$AF$325</definedName>
    <definedName localSheetId="10" name="DataTable_I4V27">#REF!</definedName>
    <definedName localSheetId="0" name="DataTable_AD35AK58">#REF!</definedName>
    <definedName localSheetId="2" name="DataTable_I88U105">'Copy of Average Validator (Phas'!$AX$203:$BB$220</definedName>
    <definedName localSheetId="17" name="DataTable_Eth2CalculatorV2_AJ177">'Eth2 Calculator V2'!$AJ$193:$AT$213</definedName>
    <definedName localSheetId="18" name="DataTable_X108AH125">'Internet Bond (Final)'!$BF$302:$BP$360</definedName>
    <definedName localSheetId="10" name="DataTable_H20Z50">#REF!</definedName>
    <definedName localSheetId="2" name="DataTable_V139AJ156">'Copy of Average Validator (Phas'!$BJ$161:$BX$178</definedName>
    <definedName localSheetId="11" name="DataTable_AS161BG171">' Validator Rewards (Staking Opt'!$AP$310:$BD$320</definedName>
    <definedName localSheetId="17" name="DataTable_I177W194">'Eth2 Calculator V2'!$BM$261:$CA$278</definedName>
    <definedName localSheetId="18" name="DataTable_AE55AY63">'Internet Bond (Final)'!$AR$254:$BM$306</definedName>
    <definedName localSheetId="1" name="DataTable_V184AJ201">'Average Validator (Phase 0 - Be'!$BJ$102:$BX$119</definedName>
    <definedName localSheetId="17" name="DataTable_Eth2Calculator_Y240">'Eth2 Calculator V2'!$Y$261:$AF$281</definedName>
    <definedName localSheetId="18" name="DataTable_AF159AP179">'Internet Bond (Final)'!$AC$332:$AM$352</definedName>
    <definedName localSheetId="18" name="DataTable_I35P58">#REF!</definedName>
    <definedName localSheetId="2" name="DataTable_I109U126">'Copy of Average Validator (Phas'!$AF$159:$AO$176</definedName>
    <definedName localSheetId="16" name="DataTable_AS102BG112">'Eth2 Calculator'!$BI$244:$BW$254</definedName>
    <definedName localSheetId="10" name="DataTable_AS161BG171">'Validator Rewards (Phase 0 - Be'!$BM$310:$CA$320</definedName>
    <definedName localSheetId="11" name="DataTable_I58V61">' Validator Rewards (Staking Opt'!$BC$278:$BC$336</definedName>
    <definedName localSheetId="9" name="DataTable_I6S29">#REF!</definedName>
    <definedName name="DataTable_V159AC179">'Welcome to the eth2 Calculator!'!$V$218:$AC$238</definedName>
    <definedName localSheetId="11" name="DataTable_AK94AU111">' Validator Rewards (Staking Opt'!$AC$308:$AM$325</definedName>
    <definedName localSheetId="2" name="DataTable_I130AO147">'Copy of Average Validator (Phas'!$AK$205:$BB$222</definedName>
    <definedName localSheetId="4" name="DataTable_H3Q15">#REF!</definedName>
    <definedName localSheetId="10" name="DataTable_H2Q14">#REF!</definedName>
    <definedName localSheetId="0" name="DataTable_I110V127">'Average Validator (Phase 0 - Ge'!$AF$159:$AP$176</definedName>
    <definedName localSheetId="10" name="DataTable_L69Y97">'Validator Rewards (Phase 0 - Be'!$AC$302:$AO$336</definedName>
    <definedName localSheetId="12" name="DataTable_AK94AU111">'Welcome to the eth2 Calculator'!$AF$218:$AP$235</definedName>
    <definedName localSheetId="16" name="DataTable_I31V54">'Eth2 Calculator'!$AZ$148:$BM$307</definedName>
    <definedName localSheetId="10" name="DataTable_V19AC39">'Validator Rewards (Phase 0 - Be'!$AB$109:$AI$129</definedName>
    <definedName localSheetId="18" name="DataTable_AS279BG289">'Internet Bond (Final)'!$AP$334:$BE$344</definedName>
    <definedName localSheetId="18" name="DataTable_AK94AU111">'Internet Bond (Final)'!$AC$332:$AM$349</definedName>
    <definedName localSheetId="1" name="DataTable_I68U85">'Average Validator (Phase 0 - Be'!$V$160:$AD$177</definedName>
    <definedName localSheetId="17" name="DataTable_H20Z50">#REF!</definedName>
    <definedName name="DataTable_V6AF29">'Average Validator'!$AI$13:$AS$36</definedName>
    <definedName localSheetId="16" name="DataTable_AD35AK58">#REF!</definedName>
    <definedName localSheetId="2" name="DataTable_V6AF29">#REF!</definedName>
    <definedName localSheetId="8" name="DataTable_I71P88">'Welcome to the eth2 Calculator!'!$V$218:$AC$235</definedName>
    <definedName localSheetId="16" name="DataTable_H20Z50">#REF!</definedName>
    <definedName localSheetId="9" name="DataTable_V94AC111">Sheet10!$V$277:$AC$294</definedName>
    <definedName localSheetId="11" name="DataTable_V19AC39">' Validator Rewards (Staking Opt'!$V$109:$AC$129</definedName>
    <definedName name="DataTable_V177AJ194">'Average Validator'!$V$184:$AJ$201</definedName>
    <definedName localSheetId="8" name="DataTable_I65P82">'Welcome to the eth2 Calculator!'!$V$99:$AC$116</definedName>
    <definedName localSheetId="16" name="DataTable_AU66BO74">'Eth2 Calculator'!$CG$180:$CH$188</definedName>
    <definedName localSheetId="11" name="DataTable_AN134BB151">' Validator Rewards (Staking Opt'!$BH$176:$BV$193</definedName>
    <definedName localSheetId="8" name="DataTable_I154P171">'Welcome to the eth2 Calculator!'!$V$159:$AC$176</definedName>
    <definedName localSheetId="11" name="DataTable_AE55AY63">' Validator Rewards (Staking Opt'!$AR$146:$BL$282</definedName>
    <definedName name="DataTable_AF100AP120">'Welcome to the eth2 Calculator!'!$AF$159:$AP$179</definedName>
    <definedName localSheetId="11" name="DataTable_BJ279BX299">' Validator Rewards (Staking Opt'!$BG$310:$BU$330</definedName>
    <definedName localSheetId="10" name="DataTable_AF100AP120">'Validator Rewards (Phase 0 - Be'!$AI$240:$AS$260</definedName>
    <definedName localSheetId="16" name="DataTable_AQ19BA39">'Eth2 Calculator'!$AV$111:$BF$131</definedName>
    <definedName localSheetId="1" name="DataTable_L31Y54">'Average Validator (Phase 0 - Be'!$AT$8:$BG$156</definedName>
    <definedName localSheetId="17" name="DataTable_Eth2Calculator_BI242">'Eth2 Calculator V2'!$AV$261:$BJ$281</definedName>
    <definedName localSheetId="12" name="DataTable_H3Q15">#REF!</definedName>
    <definedName localSheetId="8" name="DataTable_I109U126">'Welcome to the eth2 Calculator!'!$AF$218:$AO$235</definedName>
    <definedName localSheetId="10" name="DataTable_L4Y27">#REF!</definedName>
    <definedName localSheetId="17" name="DataTable_V177AJ194">'Eth2 Calculator V2'!$BM$261:$CA$278</definedName>
    <definedName localSheetId="17" name="DataTable_AK93AU112">'Eth2 Calculator V2'!$AI$328:$AS$347</definedName>
    <definedName localSheetId="16" name="DataTable_AN134BB151">'Eth2 Calculator'!$BN$178:$CB$195</definedName>
    <definedName name="DataTable_V184AJ201">'Average Validator'!$V$184:$AJ$201</definedName>
    <definedName localSheetId="18" name="DataTable_H20Z50">#REF!</definedName>
    <definedName name="DataTable_I35P58">'Average Validator'!$V$42:$AC$65</definedName>
    <definedName localSheetId="9" name="DataTable_I131V148">Sheet10!$BE$242:$BO$301</definedName>
    <definedName localSheetId="11" name="DataTable_AF67AS84">#REF!</definedName>
    <definedName localSheetId="10" name="DataTable_L31Y54">'Validator Rewards (Phase 0 - Be'!$AZ$146:$BM$305</definedName>
    <definedName localSheetId="17" name="DataTable_AS279BG289">'Eth2 Calculator V2'!$AX$329:$BL$339</definedName>
    <definedName localSheetId="17" name="DataTable_AK72AU89">'Eth2 Calculator V2'!$AJ$193:$AT$210</definedName>
    <definedName localSheetId="12" name="DataTable_L86Y109">'Welcome to the eth2 Calculator'!$V$242:$X$244</definedName>
    <definedName localSheetId="18" name="DataTable_I109U126">'Internet Bond (Final)'!$AC$332:$AL$349</definedName>
    <definedName localSheetId="18" name="DataTable_X87AH104">'Internet Bond (Final)'!$AC$332:$AM$349</definedName>
    <definedName localSheetId="18" name="DataTable_L58Y81">'Internet Bond (Final)'!$AA$302:$AM$360</definedName>
    <definedName localSheetId="9" name="DataTable_AK93AU112">Sheet10!$AF$277:$AP$296</definedName>
    <definedName localSheetId="1" name="DataTable_V93AC112">'Average Validator (Phase 0 - Be'!$V$159:$AC$178</definedName>
    <definedName localSheetId="18" name="DataTable_AU66BO74">'Internet Bond (Final)'!$CA$201:$CC$209</definedName>
    <definedName localSheetId="16" name="DataTable_V70AC89">'Eth2 Calculator'!$Y$176:$AF$195</definedName>
    <definedName localSheetId="10" name="DataTable_AO5BB32">'Validator Rewards (Phase 0 - Be'!$BT$151:$BU$237</definedName>
    <definedName localSheetId="17" name="DataTable_L4Y27">#REF!</definedName>
    <definedName localSheetId="11" name="DataTable_V218AC238">' Validator Rewards (Staking Opt'!$S$240:$Z$260</definedName>
    <definedName localSheetId="11" name="DataTable_AO5BB32">' Validator Rewards (Staking Opt'!$BN$151:$BO$237</definedName>
    <definedName localSheetId="2" name="DataTable_I71P88">'Copy of Average Validator (Phas'!$V$159:$AC$176</definedName>
    <definedName localSheetId="17" name="DataTable_L37AF65">#REF!</definedName>
    <definedName localSheetId="16" name="DataTable_I6S31">#REF!</definedName>
    <definedName localSheetId="17" name="DataTable_BJ280BK299">'Eth2 Calculator V2'!$BO$330:$BP$349</definedName>
    <definedName localSheetId="18" name="DataTable_H3Q15">#REF!</definedName>
    <definedName localSheetId="2" name="DataTable_V93AC112">'Copy of Average Validator (Phas'!$V$159:$AC$178</definedName>
    <definedName localSheetId="1" name="DataTable_I32V55">'Average Validator (Phase 0 - Be'!$AT$8:$BG$156</definedName>
    <definedName localSheetId="17" name="DataTable_I6S29">#REF!</definedName>
    <definedName localSheetId="12" name="DataTable_I68U85">'Welcome to the eth2 Calculator'!$V$219:$AD$236</definedName>
    <definedName localSheetId="2" name="DataTable_AO5BB32">'Copy of Average Validator (Phas'!$BN$13:$BO$86</definedName>
    <definedName localSheetId="11" name="DataTable_I88U105">' Validator Rewards (Staking Opt'!$AX$278:$BB$336</definedName>
    <definedName localSheetId="17" name="DataTable_I108P125">'Eth2 Calculator V2'!$AV$296:$BC$354</definedName>
    <definedName localSheetId="1" name="DataTable_AD35AK58">#REF!</definedName>
    <definedName localSheetId="8" name="DataTable_H20Z50">#REF!</definedName>
    <definedName localSheetId="18" name="DataTable_I6S31">#REF!</definedName>
    <definedName localSheetId="17" name="DataTable_AX69BL79">'Eth2 Calculator V2'!$AW$195:$BK$205</definedName>
    <definedName localSheetId="1" name="DataTable_AK164AU183">'Average Validator (Phase 0 - Be'!$AF$100:$AP$119</definedName>
    <definedName localSheetId="12" name="DataTable_AO5BB32">'Welcome to the eth2 Calculator'!$BN$72:$BO$145</definedName>
    <definedName localSheetId="11" name="DataTable_V184AJ201">' Validator Rewards (Staking Opt'!$BG$242:$BU$259</definedName>
    <definedName localSheetId="9" name="DataTable_L86Y109">Sheet10!$V$242:$X$301</definedName>
    <definedName localSheetId="12" name="DataTable_V40AC60">'Welcome to the eth2 Calculator'!$V$99:$AC$119</definedName>
    <definedName name="DataTable_V70AC89">'Average Validator (Phase 0 - Ge'!$V$40:$AC$59</definedName>
    <definedName localSheetId="8" name="DataTable_I5V32">#REF!</definedName>
    <definedName localSheetId="18" name="DataTable_I110V127">'Internet Bond (Final)'!$AC$332:$AM$349</definedName>
    <definedName localSheetId="12" name="DataTable_AX69BL79">'Welcome to the eth2 Calculator'!$AS$101:$BG$111</definedName>
    <definedName localSheetId="17" name="DataTable_AK94AU111">'Eth2 Calculator V2'!$AI$328:$AS$345</definedName>
    <definedName localSheetId="16" name="DataTable_V191AJ210">'Eth2 Calculator'!$BZ$244:$CN$263</definedName>
    <definedName localSheetId="9" name="DataTable_V100AC120">Sheet10!$V$218:$AC$238</definedName>
    <definedName localSheetId="10" name="DataTable_I32V55">'Validator Rewards (Phase 0 - Be'!$AZ$146:$BM$305</definedName>
    <definedName localSheetId="9" name="DataTable_I71P88">Sheet10!$V$277:$AC$294</definedName>
    <definedName name="DataTable_BJ280BK299">'Validator Rewards (Phase 0 - Be'!$CD$311:$CE$330</definedName>
    <definedName localSheetId="2" name="DataTable_I67AC84">'Copy of Average Validator (Phas'!$V$160:$AD$177</definedName>
    <definedName localSheetId="10" name="DataTable_AF158AP178">'Validator Rewards (Phase 0 - Be'!$AI$240:$AS$260</definedName>
    <definedName localSheetId="17" name="DataTable_V70AC89">'Eth2 Calculator V2'!$Y$194:$AF$213</definedName>
    <definedName localSheetId="16" name="DataTable_Eth2Calculator_AI240">'Eth2 Calculator'!$AI$242:$AS$262</definedName>
    <definedName localSheetId="0" name="DataTable_L4Y32">#REF!</definedName>
    <definedName localSheetId="1" name="DataTable_AF40AP60">'Average Validator (Phase 0 - Be'!$AF$40:$AP$60</definedName>
    <definedName localSheetId="16" name="DataTable_AI6AS29">#REF!</definedName>
    <definedName localSheetId="8" name="DataTable_L37AF65">#REF!</definedName>
    <definedName localSheetId="16" name="DataTable_I133V160">#REF!</definedName>
    <definedName localSheetId="11" name="DataTable_L31Y54">' Validator Rewards (Staking Opt'!$AT$146:$BG$305</definedName>
    <definedName localSheetId="12" name="DataTable_I35P58">#REF!</definedName>
    <definedName localSheetId="16" name="DataTable_I92P109">'Eth2 Calculator'!$AV$280:$BC$338</definedName>
    <definedName localSheetId="17" name="DataTable_I71P88">'Eth2 Calculator V2'!$Y$329:$AF$346</definedName>
    <definedName localSheetId="17" name="DataTable_I58V61">'Eth2 Calculator V2'!$BI$296:$BI$354</definedName>
    <definedName localSheetId="9" name="DataTable_AF40AP60">Sheet10!$AF$158:$AP$178</definedName>
    <definedName localSheetId="12" name="DataTable_I109U126">'Welcome to the eth2 Calculator'!$AF$218:$AO$235</definedName>
    <definedName localSheetId="18" name="DataTable_V191AJ210">'Internet Bond (Final)'!$BH$266:$BV$285</definedName>
    <definedName localSheetId="8" name="DataTable_I58V81">'Welcome to the eth2 Calculator!'!$AA$242:$AM$244</definedName>
    <definedName localSheetId="11" name="DataTable_X108AH125">' Validator Rewards (Staking Opt'!$BE$278:$BO$336</definedName>
    <definedName localSheetId="10" name="DataTable_Y5AL32">#REF!</definedName>
    <definedName localSheetId="16" name="DataTable_I173AC190">#REF!</definedName>
    <definedName localSheetId="17" name="DataTable_BJ42BX62">'Eth2 Calculator V2'!$BN$196:$CB$216</definedName>
    <definedName localSheetId="11" name="DataTable_AS279BG299">' Validator Rewards (Staking Opt'!$AP$310:$BD$330</definedName>
    <definedName localSheetId="0" name="DataTable_H20Z50">#REF!</definedName>
    <definedName localSheetId="17" name="DataTable_Eth2Calculator_AI240">'Eth2 Calculator V2'!$AI$260:$AS$280</definedName>
    <definedName localSheetId="17" name="DataTable_AF158AP178">'Eth2 Calculator V2'!$AI$260:$AS$280</definedName>
    <definedName localSheetId="0" name="DataTable_I177W194">'Average Validator (Phase 0 - Ge'!$BJ$102:$BX$119</definedName>
    <definedName localSheetId="10" name="DataTable_V161AC178">'Validator Rewards (Phase 0 - Be'!$Y$240:$AF$257</definedName>
    <definedName localSheetId="9" name="DataTable_I152AC169">#REF!</definedName>
    <definedName localSheetId="8" name="DataTable_X87AH104">'Welcome to the eth2 Calculator!'!$AF$218:$AP$235</definedName>
    <definedName localSheetId="17" name="DataTable_BD240BN260">#REF!</definedName>
    <definedName localSheetId="0" name="DataTable_AK161AU178">'Average Validator (Phase 0 - Ge'!$AF$100:$AP$117</definedName>
    <definedName localSheetId="18" name="DataTable_AX69BL79">#REF!</definedName>
    <definedName localSheetId="18" name="DataTable_V184AJ201">'Internet Bond (Final)'!$BH$266:$BV$283</definedName>
    <definedName localSheetId="11" name="DataTable_V159AC179">' Validator Rewards (Staking Opt'!$S$308:$Z$328</definedName>
    <definedName localSheetId="2" name="DataTable_AK72AU89">'Copy of Average Validator (Phas'!$AF$40:$AP$57</definedName>
    <definedName localSheetId="12" name="DataTable_I67AC84">'Welcome to the eth2 Calculator'!$V$219:$AD$236</definedName>
    <definedName localSheetId="11" name="DataTable_I35P58">#REF!</definedName>
    <definedName localSheetId="1" name="DataTable_L58Y81">'Average Validator (Phase 0 - Be'!$AA$195:$AM$220</definedName>
    <definedName localSheetId="16" name="DataTable_I88U105">'Eth2 Calculator'!$BD$280:$BH$338</definedName>
    <definedName localSheetId="18" name="DataTable_I154P171">'Internet Bond (Final)'!$S$264:$Z$281</definedName>
    <definedName localSheetId="1" name="DataTable_AS102BG112">'Average Validator (Phase 0 - Be'!$AS$102:$BG$112</definedName>
    <definedName localSheetId="11" name="DataTable_AI6AS29">#REF!</definedName>
    <definedName localSheetId="9" name="DataTable_V139AJ156">Sheet10!$BJ$279:$BX$296</definedName>
    <definedName localSheetId="17" name="DataTable_AS102BG112">'Eth2 Calculator V2'!$AV$261:$BJ$271</definedName>
    <definedName localSheetId="16" name="DataTable_L86Y109">'Eth2 Calculator'!$AB$280:$AD$338</definedName>
    <definedName localSheetId="17" name="DataTable_I4V27">#REF!</definedName>
    <definedName localSheetId="17" name="DataTable_V100AC120">'Eth2 Calculator V2'!$Y$261:$AF$281</definedName>
    <definedName localSheetId="9" name="DataTable_I65P82">Sheet10!$V$158:$AC$175</definedName>
    <definedName localSheetId="2" name="DataTable_L86Y109">'Copy of Average Validator (Phas'!$V$196:$X$220</definedName>
    <definedName localSheetId="8" name="DataTable_V72AC89">'Welcome to the eth2 Calculator!'!$V$99:$AC$116</definedName>
    <definedName localSheetId="4" name="DataTable_I152AC169">'Average Validator'!$V$180:$AP$197</definedName>
    <definedName localSheetId="11" name="DataTable_AX69BL79">' Validator Rewards (Staking Opt'!$AQ$176:$BE$186</definedName>
    <definedName localSheetId="12" name="DataTable_I154P171">'Welcome to the eth2 Calculator'!$V$159:$AC$176</definedName>
    <definedName localSheetId="17" name="DataTable_I92P109">'Eth2 Calculator V2'!$AV$296:$BC$354</definedName>
    <definedName localSheetId="17" name="DataTable_I133V160">#REF!</definedName>
    <definedName localSheetId="9" name="DataTable_AK164AU183">Sheet10!$AF$218:$AP$237</definedName>
    <definedName localSheetId="1" name="DataTable_H2Q14">#REF!</definedName>
    <definedName localSheetId="1" name="DataTable_I58V61">'Average Validator (Phase 0 - Be'!$BC$217:$BC$220</definedName>
    <definedName localSheetId="1" name="DataTable_X87AH104">'Average Validator (Phase 0 - Be'!$AF$159:$AP$176</definedName>
    <definedName localSheetId="16" name="DataTable_BJ279BX299">'Eth2 Calculator'!$CD$312:$CR$332</definedName>
    <definedName localSheetId="11" name="DataTable_I173AC190">#REF!</definedName>
    <definedName localSheetId="17" name="DataTable_BJ102BX122">'Eth2 Calculator V2'!$BM$261:$CA$281</definedName>
    <definedName localSheetId="2" name="DataTable_I154P171">'Copy of Average Validator (Phas'!$V$100:$AC$117</definedName>
    <definedName localSheetId="1" name="DataTable_V140AJ159">'Average Validator (Phase 0 - Be'!$BJ$161:$BX$180</definedName>
    <definedName localSheetId="10" name="DataTable_I133V160">#REF!</definedName>
    <definedName localSheetId="12" name="DataTable_H2Q14">#REF!</definedName>
    <definedName localSheetId="17" name="DataTable_Eth2Calculator_AI310">'Eth2 Calculator V2'!$AI$328:$AS$348</definedName>
    <definedName name="DataTable_AF40AP61">'Average Validator (Phase 0 - Be'!$AF$40:$AP$61</definedName>
    <definedName localSheetId="17" name="DataTable_I173AC190">#REF!</definedName>
    <definedName name="DataTable_BJ42BX62">'Welcome to the eth2 Calculator!'!$BJ$101:$BX$121</definedName>
    <definedName localSheetId="9" name="DataTable_I32V55">Sheet10!$AT$126:$BG$274</definedName>
    <definedName localSheetId="11" name="DataTable_I131V148">' Validator Rewards (Staking Opt'!$BE$278:$BO$336</definedName>
    <definedName localSheetId="17" name="DataTable_M38Y65">'Eth2 Calculator V2'!$AG$325</definedName>
    <definedName localSheetId="9" name="DataTable_AI6AS29">#REF!</definedName>
    <definedName localSheetId="17" name="DataTable_Eth2CalculatorV2_BN180">'Eth2 Calculator V2'!$BN$196:$CB$216</definedName>
    <definedName localSheetId="8" name="DataTable_V177AJ194">'Welcome to the eth2 Calculator!'!$BJ$161:$BX$178</definedName>
    <definedName localSheetId="16" name="DataTable_Eth2Calculator_AJ176">'Eth2 Calculator'!$AJ$176:$AT$196</definedName>
    <definedName name="DataTable_Eth2Calculator_Y176">'Eth2 Calculator'!$Y$176:$AF$196</definedName>
    <definedName localSheetId="8" name="DataTable_X108AH125">'Welcome to the eth2 Calculator!'!$BE$242:$BO$245</definedName>
    <definedName localSheetId="2" name="DataTable_I92P109">'Copy of Average Validator (Phas'!$BS$184:$BZ$201</definedName>
    <definedName localSheetId="10" name="DataTable_I6S31">#REF!</definedName>
    <definedName localSheetId="0" name="DataTable_V139AJ156">'Average Validator (Phase 0 - Ge'!$BJ$161:$BX$178</definedName>
    <definedName name="DataTable_V40AC61">'Average Validator (Phase 0 - Be'!$V$40:$AC$61</definedName>
    <definedName localSheetId="18" name="DataTable_I133V160">#REF!</definedName>
    <definedName localSheetId="2" name="DataTable_I58V81">'Copy of Average Validator (Phas'!$AA$195:$AM$220</definedName>
    <definedName localSheetId="4" name="DataTable_I173AC190">'Average Validator'!$V$223:$AP$240</definedName>
    <definedName localSheetId="10" name="DataTable_L58Y81">'Validator Rewards (Phase 0 - Be'!$AG$278:$AS$336</definedName>
    <definedName localSheetId="17" name="DataTable_AF19AM39">'Eth2 Calculator V2'!$AL$112:$AS$132</definedName>
    <definedName localSheetId="2" name="DataTable_L58Y81">'Copy of Average Validator (Phas'!$AA$195:$AM$220</definedName>
    <definedName localSheetId="9" name="DataTable_AF100AP120">Sheet10!$AF$218:$AP$238</definedName>
    <definedName localSheetId="10" name="DataTable_I152AC169">#REF!</definedName>
    <definedName localSheetId="2" name="DataTable_V184AJ201">'Copy of Average Validator (Phas'!$BJ$102:$BX$119</definedName>
    <definedName localSheetId="17" name="DataTable_AF67AS84">#REF!</definedName>
    <definedName localSheetId="16" name="DataTable_AF19AM39">'Eth2 Calculator'!$AL$111:$AS$131</definedName>
    <definedName localSheetId="0" name="DataTable_AN134BB151">'Average Validator (Phase 0 - Ge'!$BJ$42:$BX$59</definedName>
    <definedName localSheetId="11" name="DataTable_S35Z58">#REF!</definedName>
    <definedName localSheetId="17" name="DataTable_S35Z58">#REF!</definedName>
    <definedName localSheetId="16" name="DataTable_V184AJ201">'Eth2 Calculator'!$BZ$244:$CN$261</definedName>
    <definedName localSheetId="18" name="DataTable_I69V96">'Internet Bond (Final)'!$Z$302:$AM$360</definedName>
    <definedName localSheetId="8" name="DataTable_V70AC89">'Welcome to the eth2 Calculator!'!$V$99:$AC$118</definedName>
    <definedName localSheetId="18" name="DataTable_V277AC297">'Internet Bond (Final)'!$S$332:$Z$352</definedName>
    <definedName localSheetId="1" name="DataTable_L69Y97">'Average Validator (Phase 0 - Be'!$W$162:$AI$190</definedName>
    <definedName localSheetId="1" name="DataTable_I110V127">'Average Validator (Phase 0 - Be'!$AF$159:$AP$176</definedName>
    <definedName localSheetId="17" name="DataTable_I152AC169">#REF!</definedName>
    <definedName localSheetId="8" name="DataTable_AE55AY63">'Welcome to the eth2 Calculator!'!$AR$67:$BL$187</definedName>
    <definedName localSheetId="18" name="DataTable_AQ19BA39">'Internet Bond (Final)'!$AV$236:$BA$253</definedName>
    <definedName localSheetId="0" name="DataTable_V161AC178">'Average Validator (Phase 0 - Ge'!$V$100:$AC$117</definedName>
    <definedName localSheetId="18" name="DataTable_AS220BG240">'Internet Bond (Final)'!$AP$266:$BE$286</definedName>
    <definedName localSheetId="18" name="DataTable_I68U85">'Internet Bond (Final)'!$S$333:$AA$350</definedName>
    <definedName localSheetId="12" name="DataTable_I88U105">'Welcome to the eth2 Calculator'!$AX$242:$BB$244</definedName>
    <definedName localSheetId="11" name="DataTable_X154AH171">' Validator Rewards (Staking Opt'!$AC$240:$AM$257</definedName>
    <definedName localSheetId="18" name="DataTable_AF100AP120">'Internet Bond (Final)'!$AC$264:$AM$284</definedName>
    <definedName localSheetId="12" name="DataTable_V140AJ159">'Welcome to the eth2 Calculator'!$BJ$220:$BX$239</definedName>
    <definedName localSheetId="8" name="DataTable_I4V27">#REF!</definedName>
    <definedName localSheetId="16" name="DataTable_AX69BL79">'Eth2 Calculator'!$AW$178:$BK$188</definedName>
    <definedName localSheetId="8" name="DataTable_I31V54">'Welcome to the eth2 Calculator!'!$AT$67:$BG$215</definedName>
    <definedName localSheetId="17" name="DataTable_AP240AZ260">#REF!</definedName>
    <definedName localSheetId="18" name="DataTable_I152AC169">#REF!</definedName>
    <definedName localSheetId="11" name="DataTable_I152AC169">#REF!</definedName>
    <definedName localSheetId="4" name="DataTable_I133V160">'Average Validator'!$V$162:$AI$211</definedName>
    <definedName localSheetId="0" name="DataTable_V6AF29">#REF!</definedName>
    <definedName localSheetId="12" name="DataTable_I31V54">'Welcome to the eth2 Calculator'!$AT$67:$BG$215</definedName>
    <definedName localSheetId="18" name="DataTable_BJ102BX122">'Internet Bond (Final)'!$BH$266:$BV$286</definedName>
    <definedName localSheetId="18" name="DataTable_AO5BB32">'Internet Bond (Final)'!$BO$254:$BP$261</definedName>
    <definedName localSheetId="1" name="DataTable_I71P88">'Average Validator (Phase 0 - Be'!$V$159:$AC$176</definedName>
    <definedName localSheetId="1" name="DataTable_V40AC60">'Average Validator (Phase 0 - Be'!$V$40:$AC$60</definedName>
    <definedName localSheetId="16" name="DataTable_I110V127">'Eth2 Calculator'!$AI$310:$AS$327</definedName>
    <definedName localSheetId="8" name="DataTable_I130AO147">'Welcome to the eth2 Calculator!'!$AK$242:$BB$246</definedName>
    <definedName localSheetId="0" name="DataTable_L4Y27">#REF!</definedName>
    <definedName localSheetId="2" name="DataTable_I131V148">'Copy of Average Validator (Phas'!$BS$208:$CC$225</definedName>
    <definedName localSheetId="1" name="DataTable_I131V148">'Average Validator (Phase 0 - Be'!$BE$204:$BO$221</definedName>
    <definedName localSheetId="11" name="DataTable_I5V32">#REF!</definedName>
    <definedName localSheetId="8" name="DataTable_AI6AS29">#REF!</definedName>
    <definedName localSheetId="0" name="DataTable_L101Y129">'Average Validator (Phase 0 - Ge'!$V$196:$X$201</definedName>
    <definedName localSheetId="12" name="DataTable_L4Y27">#REF!</definedName>
    <definedName localSheetId="1" name="DataTable_I6S29">#REF!</definedName>
    <definedName localSheetId="8" name="DataTable_I68U85">'Welcome to the eth2 Calculator!'!$V$219:$AD$236</definedName>
    <definedName localSheetId="18" name="DataTable_AS279BG299">'Internet Bond (Final)'!$AP$334:$BE$354</definedName>
    <definedName localSheetId="17" name="DataTable_I130AO147">'Eth2 Calculator V2'!$AQ$296:$BH$354</definedName>
    <definedName localSheetId="18" name="DataTable_L4Y32">#REF!</definedName>
    <definedName localSheetId="11" name="DataTable_AK93AU112">' Validator Rewards (Staking Opt'!$AC$308:$AM$327</definedName>
    <definedName localSheetId="0" name="DataTable_I154P171">'Average Validator (Phase 0 - Ge'!$V$100:$AC$117</definedName>
    <definedName localSheetId="4" name="DataTable_L58Y81">'Average Validator'!$AA$129:$AM$154</definedName>
    <definedName localSheetId="11" name="DataTable_V40AC60">' Validator Rewards (Staking Opt'!$S$174:$Z$194</definedName>
    <definedName localSheetId="16" name="DataTable_I68U85">'Eth2 Calculator'!$Y$311:$AG$328</definedName>
    <definedName localSheetId="1" name="DataTable_X108AH125">'Average Validator (Phase 0 - Be'!$BE$204:$BO$221</definedName>
    <definedName localSheetId="16" name="DataTable_AK164AU183">'Eth2 Calculator'!$AI$242:$AS$261</definedName>
    <definedName localSheetId="0" name="DataTable_I130AO147">'Average Validator (Phase 0 - Ge'!$AK$205:$BB$222</definedName>
    <definedName localSheetId="16" name="DataTable_AK72AU89">'Eth2 Calculator'!$AJ$176:$AT$193</definedName>
    <definedName localSheetId="8" name="DataTable_V164AC183">'Welcome to the eth2 Calculator!'!$V$159:$AC$178</definedName>
    <definedName localSheetId="9" name="DataTable_V177AJ194">Sheet10!$BJ$220:$BX$237</definedName>
    <definedName localSheetId="18" name="DataTable_V140AJ159">'Internet Bond (Final)'!$BH$334:$BV$353</definedName>
    <definedName localSheetId="1" name="DataTable_M38Y65">'Average Validator (Phase 0 - Be'!$AD$158</definedName>
    <definedName localSheetId="11" name="DataTable_AS279BG289">' Validator Rewards (Staking Opt'!$AP$310:$BD$320</definedName>
    <definedName localSheetId="10" name="DataTable_I154P171">'Validator Rewards (Phase 0 - Be'!$Y$240:$AF$257</definedName>
    <definedName localSheetId="16" name="DataTable_Eth2Calculator_CD310">'Eth2 Calculator'!$CD$312:$CR$332</definedName>
    <definedName localSheetId="18" name="DataTable_BJ42BX62">'Internet Bond (Final)'!$BS$199:$BW$220</definedName>
    <definedName localSheetId="4" name="DataTable_I37V64">'Average Validator'!$Z$129:$AM$158</definedName>
    <definedName localSheetId="9" name="DataTable_I109U126">Sheet10!$AF$277:$AO$294</definedName>
    <definedName localSheetId="8" name="DataTable_I108P125">'Welcome to the eth2 Calculator!'!$AP$242:$AW$245</definedName>
    <definedName localSheetId="11" name="DataTable_I68U85">' Validator Rewards (Staking Opt'!$S$309:$AA$326</definedName>
    <definedName name="DataTable_AN134BB151">'Average Validator'!$AN$139:$BB$156</definedName>
    <definedName localSheetId="18" name="DataTable_L101Y129">#REF!</definedName>
    <definedName localSheetId="11" name="DataTable_I32V55">' Validator Rewards (Staking Opt'!$AT$146:$BG$305</definedName>
    <definedName name="DataTable_AF158AP178">'Welcome to the eth2 Calculator!'!$AF$159:$AP$179</definedName>
    <definedName localSheetId="12" name="DataTable_AN134BB151">'Welcome to the eth2 Calculator'!$BJ$101:$BX$118</definedName>
    <definedName localSheetId="8" name="DataTable_L86Y109">'Welcome to the eth2 Calculator!'!$V$242:$X$244</definedName>
    <definedName localSheetId="11" name="DataTable_I31V54">' Validator Rewards (Staking Opt'!$AT$146:$BG$305</definedName>
    <definedName localSheetId="16" name="DataTable_Eth2Calculator_AI308">'Eth2 Calculator'!$AI$310:$AS$330</definedName>
    <definedName localSheetId="12" name="DataTable_AE55AY63">'Welcome to the eth2 Calculator'!$AR$67:$BL$187</definedName>
    <definedName localSheetId="17" name="DataTable_Eth2CalculatorV2_BM244">'Eth2 Calculator V2'!$BM$261:$CA$281</definedName>
    <definedName localSheetId="18" name="DataTable_AN134BB151">'Internet Bond (Final)'!$BS$199:$BW$217</definedName>
    <definedName localSheetId="12" name="DataTable_AF40AP60">'Welcome to the eth2 Calculator'!$AF$99:$AP$119</definedName>
    <definedName localSheetId="10" name="DataTable_AI6AS29">#REF!</definedName>
    <definedName localSheetId="1" name="DataTable_I177W194">'Average Validator (Phase 0 - Be'!$BJ$102:$BX$119</definedName>
    <definedName localSheetId="4" name="DataTable_I109U126">'Average Validator'!$AK$94:$AT$111</definedName>
    <definedName name="DataTable_BJ279BK299">'Validator Rewards (Phase 0 - Be'!$CD$310:$CE$330</definedName>
    <definedName localSheetId="8" name="DataTable_I177W194">'Welcome to the eth2 Calculator!'!$BJ$161:$BX$178</definedName>
    <definedName localSheetId="10" name="DataTable_V158AC178">'Validator Rewards (Phase 0 - Be'!$Y$240:$AF$260</definedName>
    <definedName localSheetId="8" name="DataTable_V191AJ210">'Welcome to the eth2 Calculator!'!$BJ$161:$BX$180</definedName>
    <definedName localSheetId="10" name="DataTable_V164AC183">'Validator Rewards (Phase 0 - Be'!$Y$240:$AF$259</definedName>
    <definedName localSheetId="17" name="DataTable_X65AH82">'Eth2 Calculator V2'!$AJ$193:$AT$210</definedName>
    <definedName localSheetId="9" name="DataTable_H3Q15">#REF!</definedName>
    <definedName name="DataTable_AK161AU178">'Average Validator'!$AK$161:$AU$178</definedName>
    <definedName localSheetId="17" name="DataTable_I65P82">'Eth2 Calculator V2'!$Y$194:$AF$211</definedName>
    <definedName localSheetId="18" name="DataTable_BJ279BK299">'Internet Bond (Final)'!$BH$334:$BI$354</definedName>
    <definedName localSheetId="8" name="DataTable_AK164AU183">'Welcome to the eth2 Calculator!'!$AF$159:$AP$178</definedName>
    <definedName localSheetId="17" name="DataTable_I110V127">'Eth2 Calculator V2'!$AI$328:$AS$345</definedName>
    <definedName localSheetId="17" name="DataTable_AQ19BA39">'Eth2 Calculator V2'!$AV$114:$BF$134</definedName>
    <definedName localSheetId="16" name="DataTable_I177W194">'Eth2 Calculator'!$BZ$244:$CN$261</definedName>
    <definedName localSheetId="17" name="DataTable_BA144BK164">#REF!</definedName>
    <definedName localSheetId="0" name="DataTable_M38Y65">'Average Validator (Phase 0 - Ge'!$AD$158</definedName>
    <definedName localSheetId="11" name="DataTable_L37AF65">#REF!</definedName>
    <definedName localSheetId="8" name="DataTable_AO5BB32">'Welcome to the eth2 Calculator!'!$BN$72:$BO$145</definedName>
    <definedName localSheetId="1" name="DataTable_I35P58">#REF!</definedName>
    <definedName localSheetId="9" name="DataTable_AU66BO74">Sheet10!$BZ$176:$CB$184</definedName>
    <definedName localSheetId="9" name="DataTable_I67AC84">Sheet10!$V$278:$AD$295</definedName>
    <definedName localSheetId="11" name="DataTable_I130AO147">' Validator Rewards (Staking Opt'!$AK$278:$BB$336</definedName>
    <definedName localSheetId="9" name="DataTable_S35Z58">#REF!</definedName>
    <definedName localSheetId="16" name="DataTable_I65P82">'Eth2 Calculator'!$Y$176:$AF$193</definedName>
    <definedName localSheetId="11" name="DataTable_L86Y109">' Validator Rewards (Staking Opt'!$V$278:$X$336</definedName>
    <definedName localSheetId="10" name="DataTable_V72AC89">'Validator Rewards (Phase 0 - Be'!$Y$174:$AF$191</definedName>
    <definedName localSheetId="16" name="DataTable_AP310BD330">'Eth2 Calculator'!$BM$312:$CA$332</definedName>
    <definedName localSheetId="0" name="DataTable_S35Z58">#REF!</definedName>
    <definedName localSheetId="9" name="DataTable_I37V64">Sheet10!$Z$242:$AM$301</definedName>
    <definedName localSheetId="12" name="DataTable_AK161AU178">'Welcome to the eth2 Calculator'!$AF$159:$AP$176</definedName>
    <definedName localSheetId="18" name="DataTable_I177W194">'Internet Bond (Final)'!$BH$266:$BV$283</definedName>
    <definedName localSheetId="17" name="DataTable_I69V96">'Eth2 Calculator V2'!$AF$296:$AS$354</definedName>
    <definedName localSheetId="11" name="DataTable_I110V127">' Validator Rewards (Staking Opt'!$AC$308:$AM$325</definedName>
    <definedName localSheetId="12" name="DataTable_AF158AP178">'Welcome to the eth2 Calculator'!$AF$159:$AP$179</definedName>
    <definedName localSheetId="8" name="DataTable_AK94AU111">'Welcome to the eth2 Calculator!'!$AF$218:$AP$235</definedName>
    <definedName localSheetId="16" name="DataTable_BJ279BK299">'Eth2 Calculator'!$CD$312:$CE$332</definedName>
    <definedName localSheetId="1" name="DataTable_I133V160">'Average Validator (Phase 0 - Be'!$V$226:$AI$247</definedName>
    <definedName localSheetId="18" name="DataTable_AK93AU112">'Internet Bond (Final)'!$AC$332:$AM$351</definedName>
    <definedName localSheetId="8" name="DataTable_X65AH82">'Welcome to the eth2 Calculator!'!$AF$99:$AP$116</definedName>
    <definedName localSheetId="9" name="DataTable_I108P125">Sheet10!$AP$242:$AW$301</definedName>
    <definedName localSheetId="2" name="DataTable_I108P125">'Copy of Average Validator (Phas'!$BS$186:$BZ$203</definedName>
    <definedName localSheetId="17" name="DataTable_InternetBond_Y174">'Eth2 Calculator V2'!$Y$194:$AF$214</definedName>
    <definedName localSheetId="17" name="DataTable_AC240AM260">'Eth2 Calculator V2'!$AI$260:$AS$280</definedName>
    <definedName localSheetId="2" name="DataTable_X65AH82">'Copy of Average Validator (Phas'!$AF$40:$AP$57</definedName>
    <definedName localSheetId="18" name="DataTable_V19AC39">'Internet Bond (Final)'!$V$249:$AC$260</definedName>
    <definedName localSheetId="2" name="DataTable_V164AC183">'Copy of Average Validator (Phas'!$V$100:$AC$119</definedName>
    <definedName localSheetId="16" name="DataTable_DC242DQ262">'Eth2 Calculator'!$DI$244:$DW$264</definedName>
    <definedName localSheetId="8" name="DataTable_L101Y129">#REF!</definedName>
    <definedName localSheetId="17" name="DataTable_Eth2CalculatorV2_AI242">'Eth2 Calculator V2'!$AI$260:$AS$280</definedName>
    <definedName name="DataTable_AD35AK58">'Average Validator'!$AP$42:$AW$65</definedName>
    <definedName localSheetId="17" name="DataTable_BJ279BK299">'Eth2 Calculator V2'!$BO$329:$BP$349</definedName>
    <definedName name="DataTable_AF40AP60">'Welcome to the eth2 Calculator!'!$AF$99:$AP$119</definedName>
    <definedName localSheetId="9" name="DataTable_X87AH104">Sheet10!$AF$277:$AP$294</definedName>
    <definedName localSheetId="18" name="DataTable_I173AC190">#REF!</definedName>
    <definedName localSheetId="0" name="DataTable_V177AJ194">'Average Validator (Phase 0 - Ge'!$BJ$102:$BX$119</definedName>
    <definedName localSheetId="8" name="DataTable_L4Y32">#REF!</definedName>
    <definedName localSheetId="12" name="DataTable_I58V61">'Welcome to the eth2 Calculator'!$BC$242:$BC$244</definedName>
    <definedName name="DataTable_V277AC297">Sheet10!$V$277:$AC$297</definedName>
    <definedName localSheetId="2" name="DataTable_V70AC89">'Copy of Average Validator (Phas'!$V$40:$AC$59</definedName>
    <definedName localSheetId="9" name="DataTable_AS161BG171">Sheet10!$AS$279:$BG$289</definedName>
    <definedName localSheetId="2" name="DataTable_X108AH125">'Copy of Average Validator (Phas'!$BS$208:$CC$225</definedName>
    <definedName localSheetId="12" name="DataTable_I173AC190">#REF!</definedName>
    <definedName localSheetId="17" name="DataTable_V139AJ156">'Eth2 Calculator V2'!$BO$329:$CC$346</definedName>
    <definedName localSheetId="4" name="DataTable_I32V55">'Average Validator'!$AT$55:$BG$92</definedName>
    <definedName localSheetId="17" name="DataTable_L58Y81">'Eth2 Calculator V2'!$AG$296:$AS$354</definedName>
    <definedName localSheetId="18" name="DataTable_I31V54">'Internet Bond (Final)'!$AT$254:$BH$329</definedName>
    <definedName localSheetId="12" name="DataTable_AF100AP120">'Welcome to the eth2 Calculator'!$AF$159:$AP$179</definedName>
    <definedName localSheetId="11" name="DataTable_I154P171">' Validator Rewards (Staking Opt'!$S$240:$Z$257</definedName>
    <definedName localSheetId="12" name="DataTable_I177W194">'Welcome to the eth2 Calculator'!$BJ$161:$BX$178</definedName>
    <definedName localSheetId="12" name="DataTable_L69Y97">'Welcome to the eth2 Calculator'!$W$207:$AI$241</definedName>
    <definedName localSheetId="4" name="DataTable_L86Y109">'Average Validator'!$V$129:$X$153</definedName>
    <definedName localSheetId="0" name="DataTable_I131W148">'Average Validator (Phase 0 - Ge'!$BJ$161:$BX$178</definedName>
    <definedName name="DataTable_S240Z260">'Validator Rewards (Phase 0 - Be'!$Y$240:$AF$260</definedName>
    <definedName localSheetId="17" name="DataTable_V161AC178">'Eth2 Calculator V2'!$Y$261:$AF$278</definedName>
    <definedName localSheetId="12" name="DataTable_AU66BO74">'Welcome to the eth2 Calculator'!$BZ$117:$CB$125</definedName>
    <definedName localSheetId="9" name="DataTable_Y5AL32">#REF!</definedName>
    <definedName localSheetId="4" name="DataTable_M38Y65">'Average Validator'!$X$92:$AI$92</definedName>
    <definedName localSheetId="12" name="DataTable_I37V64">'Welcome to the eth2 Calculator'!$Z$242:$AM$248</definedName>
    <definedName name="DataTable_AF19AM39">'Welcome to the eth2 Calculator!'!$AF$41:$AM$61</definedName>
    <definedName localSheetId="10" name="DataTable_I109U126">'Validator Rewards (Phase 0 - Be'!$AI$308:$AR$325</definedName>
    <definedName localSheetId="8" name="DataTable_AS161BG171">'Welcome to the eth2 Calculator!'!$AS$220:$BG$230</definedName>
    <definedName localSheetId="8" name="DataTable_I37V64">'Welcome to the eth2 Calculator!'!$Z$242:$AM$248</definedName>
    <definedName localSheetId="10" name="DataTable_I31V54">'Validator Rewards (Phase 0 - Be'!$AZ$146:$BM$305</definedName>
    <definedName localSheetId="12" name="DataTable_BJ102BX122">'Welcome to the eth2 Calculator'!$BJ$161:$BX$181</definedName>
    <definedName localSheetId="18" name="DataTable_AK70AU89">#REF!</definedName>
    <definedName localSheetId="1" name="DataTable_L37AF65">#REF!</definedName>
    <definedName name="DataTable_S35Z58">'Average Validator'!$AF$42:$AM$65</definedName>
    <definedName localSheetId="0" name="DataTable_L31Y54">'Average Validator (Phase 0 - Ge'!$AT$8:$BG$156</definedName>
    <definedName localSheetId="8" name="DataTable_V93AC112">'Welcome to the eth2 Calculator!'!$V$218:$AC$237</definedName>
    <definedName localSheetId="17" name="DataTable_V159AC179">'Eth2 Calculator V2'!$Y$329:$AF$349</definedName>
    <definedName localSheetId="16" name="DataTable_Eth2Calculator_BM310">'Eth2 Calculator'!$BM$312:$CA$332</definedName>
    <definedName localSheetId="12" name="DataTable_I6S29">#REF!</definedName>
    <definedName localSheetId="1" name="DataTable_X154AH171">'Average Validator (Phase 0 - Be'!$AF$100:$AP$117</definedName>
    <definedName name="DataTable_AN139BB158">'Average Validator (Phase 0 - Ge'!$BJ$42:$BX$61</definedName>
    <definedName localSheetId="16" name="DataTable_I6S29">#REF!</definedName>
    <definedName localSheetId="8" name="DataTable_V94AC111">'Welcome to the eth2 Calculator!'!$V$218:$AC$235</definedName>
    <definedName localSheetId="11" name="DataTable_V72AC89">' Validator Rewards (Staking Opt'!$S$174:$Z$191</definedName>
    <definedName localSheetId="1" name="DataTable_V161AC178">'Average Validator (Phase 0 - Be'!$V$100:$AC$117</definedName>
    <definedName localSheetId="11" name="DataTable_Y5AL32">#REF!</definedName>
    <definedName name="DataTable_V139AJ156">'Average Validator'!$V$139:$AJ$156</definedName>
    <definedName localSheetId="8" name="DataTable_AD35AK58">#REF!</definedName>
    <definedName localSheetId="9" name="DataTable_AF19AM39">Sheet10!$AF$100:$AM$120</definedName>
    <definedName localSheetId="0" name="DataTable_AK94AU111">'Average Validator (Phase 0 - Ge'!$AF$159:$AP$176</definedName>
    <definedName localSheetId="16" name="DataTable_V94AC111">'Eth2 Calculator'!$Y$310:$AF$327</definedName>
    <definedName localSheetId="12" name="DataTable_I71P88">'Welcome to the eth2 Calculator'!$V$218:$AC$235</definedName>
    <definedName name="DataTable_AP240AZ260">'Validator Rewards (Phase 0 - Be'!$AV$240:$BF$260</definedName>
    <definedName localSheetId="18" name="DataTable_M38Y65">'Internet Bond (Final)'!$AA$331</definedName>
    <definedName localSheetId="17" name="DataTable_Eth2CalculatorV2_AJ176">'Eth2 Calculator V2'!$AJ$193:$AT$213</definedName>
    <definedName localSheetId="0" name="DataTable_I4V27">#REF!</definedName>
    <definedName localSheetId="2" name="DataTable_I5V32">#REF!</definedName>
    <definedName localSheetId="16" name="DataTable_X87AH104">'Eth2 Calculator'!$AI$310:$AS$327</definedName>
    <definedName name="DataTable_AK93AU112">'Average Validator (Phase 0 - Ge'!$AF$159:$AP$178</definedName>
    <definedName localSheetId="9" name="DataTable_V93AC112">Sheet10!$V$277:$AC$296</definedName>
    <definedName name="DataTable_AK94AU111">'Average Validator'!$AK$94:$AU$111</definedName>
    <definedName name="DataTable_I108P125">'Average Validator'!$V$115:$AC$132</definedName>
    <definedName name="DataTable_AK70AU89">'Average Validator (Phase 0 - Ge'!$AF$40:$AP$59</definedName>
    <definedName localSheetId="9" name="DataTable_AF159AP179">Sheet10!$AF$277:$AP$297</definedName>
    <definedName localSheetId="0" name="DataTable_AE55AY63">'Average Validator (Phase 0 - Ge'!$AR$8:$BL$128</definedName>
    <definedName localSheetId="2" name="DataTable_V72AC89">'Copy of Average Validator (Phas'!$V$40:$AC$57</definedName>
    <definedName localSheetId="12" name="DataTable_L31Y54">'Welcome to the eth2 Calculator'!$AT$67:$BG$215</definedName>
    <definedName localSheetId="18" name="DataTable_L4Y27">#REF!</definedName>
    <definedName localSheetId="10" name="DataTable_V70AC89">'Validator Rewards (Phase 0 - Be'!$Y$174:$AF$193</definedName>
    <definedName localSheetId="16" name="DataTable_M38Y65">'Eth2 Calculator'!$AG$309</definedName>
    <definedName localSheetId="1" name="DataTable_V6AF29">#REF!</definedName>
    <definedName localSheetId="4" name="DataTable_L31Y54">'Average Validator'!$AT$55:$BG$92</definedName>
    <definedName name="DataTable_AS102BG112">'Average Validator (Phase 0 - Ge'!$AS$102:$BG$112</definedName>
    <definedName localSheetId="17" name="DataTable_L101Y129">#REF!</definedName>
    <definedName localSheetId="0" name="DataTable_I58V61">'Average Validator (Phase 0 - Ge'!$BC$217:$BC$220</definedName>
    <definedName localSheetId="9" name="DataTable_I35P58">#REF!</definedName>
    <definedName localSheetId="4" name="DataTable_I67AC84">'Average Validator'!$V$94:$AI$111</definedName>
    <definedName localSheetId="16" name="DataTable_I58V81">'Eth2 Calculator'!$AG$280:$AS$338</definedName>
    <definedName localSheetId="1" name="DataTable_I108P125">'Average Validator (Phase 0 - Be'!$AP$204:$AW$221</definedName>
    <definedName localSheetId="9" name="DataTable_X154AH171">Sheet10!$AF$218:$AP$235</definedName>
    <definedName localSheetId="18" name="DataTable_L86Y109">'Internet Bond (Final)'!$V$302:$X$360</definedName>
    <definedName localSheetId="11" name="DataTable_I6S31">#REF!</definedName>
    <definedName localSheetId="18" name="DataTable_BJ279BX299">'Internet Bond (Final)'!$BH$334:$BV$354</definedName>
    <definedName localSheetId="17" name="DataTable_Eth2Calculator_Y310">'Eth2 Calculator V2'!$Y$329:$AF$349</definedName>
    <definedName localSheetId="11" name="DataTable_AK161AU178">' Validator Rewards (Staking Opt'!$AC$240:$AM$257</definedName>
    <definedName localSheetId="18" name="DataTable_V177AJ194">'Internet Bond (Final)'!$BH$266:$BV$283</definedName>
    <definedName localSheetId="10" name="DataTable_V94AC111">'Validator Rewards (Phase 0 - Be'!$Y$308:$AF$325</definedName>
    <definedName localSheetId="4" name="DataTable_I131V148">'Average Validator'!$AK$115:$AU$132</definedName>
    <definedName name="DataTable_AS161BG171">'Average Validator (Phase 0 - Ge'!$AS$161:$BG$171</definedName>
    <definedName localSheetId="4" name="DataTable_I58V61">'Average Validator'!$AI$129:$AI$132</definedName>
    <definedName localSheetId="17" name="DataTable_AS220BG240">'Eth2 Calculator V2'!$AV$261:$BJ$281</definedName>
    <definedName localSheetId="8" name="DataTable_I152AC169">'Welcome to the eth2 Calculator!'!$V$250:$AP$260</definedName>
    <definedName localSheetId="9" name="DataTable_H2Q14">#REF!</definedName>
    <definedName localSheetId="0" name="DataTable_I133V160">'Average Validator (Phase 0 - Ge'!$V$226:$AI$247</definedName>
    <definedName localSheetId="10" name="DataTable_AN139BB158">'Validator Rewards (Phase 0 - Be'!$BN$176:$CB$195</definedName>
    <definedName localSheetId="4" name="DataTable_I69V96">'Average Validator'!$Z$129:$AM$158</definedName>
    <definedName localSheetId="1" name="DataTable_H20Z50">#REF!</definedName>
    <definedName localSheetId="17" name="DataTable_AF100AP120">'Eth2 Calculator V2'!$AI$260:$AS$280</definedName>
    <definedName localSheetId="17" name="DataTable_Eth2Calculator_AJ176">'Eth2 Calculator V2'!$AJ$193:$AT$213</definedName>
    <definedName localSheetId="17" name="DataTable_Eth2Calculator_CD310">'Eth2 Calculator V2'!$BO$329:$CC$349</definedName>
    <definedName localSheetId="16" name="DataTable_I130AO147">'Eth2 Calculator'!$AQ$280:$BH$338</definedName>
    <definedName localSheetId="0" name="DataTable_I31V54">'Average Validator (Phase 0 - Ge'!$AT$8:$BG$156</definedName>
    <definedName localSheetId="18" name="DataTable_AF67AS84">#REF!</definedName>
    <definedName localSheetId="10" name="DataTable_I65P82">'Validator Rewards (Phase 0 - Be'!$Y$174:$AF$191</definedName>
    <definedName localSheetId="12" name="DataTable_AK70AU89">'Welcome to the eth2 Calculator'!$AF$99:$AP$118</definedName>
    <definedName localSheetId="9" name="DataTable_V72AC89">Sheet10!$V$158:$AC$175</definedName>
    <definedName localSheetId="16" name="DataTable_L4Y27">#REF!</definedName>
    <definedName localSheetId="12" name="DataTable_V159AC179">'Welcome to the eth2 Calculator'!$V$218:$AC$238</definedName>
    <definedName localSheetId="2" name="DataTable_V161AC178">'Copy of Average Validator (Phas'!$V$100:$AC$117</definedName>
    <definedName localSheetId="4" name="DataTable_I68U85">'Average Validator'!$V$94:$AH$111</definedName>
    <definedName localSheetId="8" name="DataTable_I69V96">'Welcome to the eth2 Calculator!'!$Z$242:$AM$248</definedName>
    <definedName localSheetId="17" name="DataTable_DC242DQ262">'Eth2 Calculator V2'!$DI$260:$DW$280</definedName>
    <definedName localSheetId="10" name="DataTable_V40AC60">'Validator Rewards (Phase 0 - Be'!$Y$174:$AF$194</definedName>
    <definedName localSheetId="18" name="DataTable_S35Z58">#REF!</definedName>
    <definedName localSheetId="9" name="DataTable_V161AC178">Sheet10!$V$218:$AC$235</definedName>
    <definedName localSheetId="16" name="DataTable_AN139BB158">'Eth2 Calculator'!$BN$178:$CB$197</definedName>
    <definedName localSheetId="0" name="DataTable_I6S29">#REF!</definedName>
    <definedName localSheetId="16" name="DataTable_I32V55">'Eth2 Calculator'!$AZ$148:$BM$307</definedName>
    <definedName localSheetId="12" name="DataTable_V139AJ156">'Welcome to the eth2 Calculator'!$BJ$220:$BX$237</definedName>
    <definedName localSheetId="4" name="DataTable_L101Y129">'Average Validator'!$V$129:$X$158</definedName>
    <definedName localSheetId="16" name="DataTable_X108AH125">'Eth2 Calculator'!$BK$280:$BU$338</definedName>
    <definedName name="DataTable_V164AC183">'Average Validator (Phase 0 - Ge'!$V$100:$AC$119</definedName>
    <definedName localSheetId="9" name="DataTable_L101Y129">#REF!</definedName>
    <definedName name="DataTable_I6S29">'Average Validator'!$V$13:$AF$36</definedName>
    <definedName localSheetId="0" name="DataTable_I108P125">'Average Validator (Phase 0 - Ge'!$AP$204:$AW$221</definedName>
    <definedName localSheetId="18" name="DataTable_X154AH171">'Internet Bond (Final)'!$AC$264:$AM$281</definedName>
    <definedName localSheetId="2" name="DataTable_AU66BO74">'Copy of Average Validator (Phas'!$BT$93:$CB$101</definedName>
    <definedName localSheetId="10" name="DataTable_V6AF29">#REF!</definedName>
    <definedName localSheetId="17" name="DataTable_I67AC84">'Eth2 Calculator V2'!$AG$327:$AG$344</definedName>
    <definedName localSheetId="8" name="DataTable_V6AF29">#REF!</definedName>
    <definedName localSheetId="12" name="DataTable_V158AC178">'Welcome to the eth2 Calculator'!$V$159:$AC$179</definedName>
    <definedName localSheetId="0" name="DataTable_V184AJ201">'Average Validator (Phase 0 - Ge'!$BJ$102:$BX$119</definedName>
    <definedName localSheetId="10" name="DataTable_V159AC179">'Validator Rewards (Phase 0 - Be'!$Y$308:$AF$328</definedName>
    <definedName localSheetId="12" name="DataTable_AF67AS84">#REF!</definedName>
    <definedName localSheetId="16" name="DataTable_AF159AP179">'Eth2 Calculator'!$AI$310:$AS$330</definedName>
    <definedName localSheetId="2" name="DataTable_V191AJ210">'Copy of Average Validator (Phas'!$BJ$102:$BX$121</definedName>
    <definedName localSheetId="12" name="DataTable_AS102BG112">'Welcome to the eth2 Calculator'!$AS$161:$BG$171</definedName>
    <definedName localSheetId="9" name="DataTable_I58V81">Sheet10!$AA$242:$AM$301</definedName>
    <definedName localSheetId="10" name="DataTable_I130AO147">'Validator Rewards (Phase 0 - Be'!$AQ$278:$BH$336</definedName>
    <definedName localSheetId="18" name="DataTable_H2Q14">#REF!</definedName>
    <definedName localSheetId="0" name="DataTable_I58V81">'Average Validator (Phase 0 - Ge'!$AA$195:$AM$220</definedName>
    <definedName localSheetId="12" name="DataTable_L4Y32">#REF!</definedName>
    <definedName localSheetId="1" name="DataTable_I31V54">'Average Validator (Phase 0 - Be'!$AT$8:$BG$156</definedName>
    <definedName localSheetId="17" name="DataTable_L69Y97">'Eth2 Calculator V2'!$AC$320:$AO$354</definedName>
    <definedName localSheetId="9" name="DataTable_I6S31">#REF!</definedName>
    <definedName localSheetId="16" name="DataTable_I69V96">'Eth2 Calculator'!$AF$280:$AS$338</definedName>
    <definedName localSheetId="10" name="DataTable_V184AJ201">'Validator Rewards (Phase 0 - Be'!$CR$242:$DF$259</definedName>
    <definedName localSheetId="18" name="DataTable_V158AC178">'Internet Bond (Final)'!$S$264:$Z$284</definedName>
    <definedName localSheetId="1" name="DataTable_S35Z58">#REF!</definedName>
    <definedName localSheetId="18" name="DataTable_I58V81">'Internet Bond (Final)'!$AA$302:$AM$360</definedName>
    <definedName localSheetId="16" name="DataTable_Eth2Calculator_Y308">'Eth2 Calculator'!$Y$310:$AF$330</definedName>
    <definedName localSheetId="2" name="DataTable_I131W148">'Copy of Average Validator (Phas'!$BJ$161:$BX$178</definedName>
    <definedName localSheetId="17" name="DataTable_H3Q15">#REF!</definedName>
    <definedName localSheetId="4" name="DataTable_L69Y97">'Average Validator'!$W$96:$AI$124</definedName>
    <definedName localSheetId="0" name="DataTable_I67AC84">'Average Validator (Phase 0 - Ge'!$V$160:$AD$177</definedName>
    <definedName localSheetId="0" name="DataTable_AI6AS29">#REF!</definedName>
    <definedName localSheetId="0" name="DataTable_I71P88">'Average Validator (Phase 0 - Ge'!$V$159:$AC$176</definedName>
    <definedName name="DataTable_V40AC60">'Welcome to the eth2 Calculator!'!$V$99:$AC$119</definedName>
    <definedName localSheetId="10" name="DataTable_V140AJ159">'Validator Rewards (Phase 0 - Be'!$CD$310:$CR$329</definedName>
    <definedName localSheetId="4" name="DataTable_I4V27">'Average Validator'!$V$13:$AF$36</definedName>
    <definedName localSheetId="1" name="DataTable_I88U105">'Average Validator (Phase 0 - Be'!$AX$203:$BB$220</definedName>
    <definedName localSheetId="16" name="DataTable_I5V32">#REF!</definedName>
    <definedName localSheetId="18" name="DataTable_L69Y97">'Internet Bond (Final)'!$W$326:$AI$360</definedName>
    <definedName localSheetId="1" name="DataTable_AK70AU89">'Average Validator (Phase 0 - Be'!$AF$40:$AP$59</definedName>
    <definedName localSheetId="16" name="DataTable_V159AC179">'Eth2 Calculator'!$Y$310:$AF$330</definedName>
    <definedName localSheetId="16" name="DataTable_I152AC169">#REF!</definedName>
    <definedName localSheetId="17" name="DataTable_Eth2CalculatorV2_AB113">'Eth2 Calculator V2'!$W$85:$AD$105</definedName>
    <definedName localSheetId="11" name="DataTable_AD35AK58">#REF!</definedName>
    <definedName localSheetId="2" name="DataTable_I6S31">#REF!</definedName>
    <definedName name="DataTable_I131W148">'Average Validator'!$V$139:$AJ$156</definedName>
    <definedName localSheetId="17" name="DataTable_V277AC297">'Eth2 Calculator V2'!$Y$329:$AF$349</definedName>
    <definedName localSheetId="11" name="DataTable_I131W148">' Validator Rewards (Staking Opt'!$BG$310:$BU$327</definedName>
    <definedName localSheetId="9" name="DataTable_AF158AP178">Sheet10!$AF$218:$AP$238</definedName>
    <definedName localSheetId="11" name="DataTable_V164AC183">' Validator Rewards (Staking Opt'!$S$240:$Z$259</definedName>
    <definedName localSheetId="16" name="DataTable_X154AH171">'Eth2 Calculator'!$AI$242:$AS$259</definedName>
    <definedName localSheetId="8" name="DataTable_AS102BG112">'Welcome to the eth2 Calculator!'!$AS$161:$BG$171</definedName>
    <definedName localSheetId="1" name="DataTable_L101Y129">'Average Validator (Phase 0 - Be'!$V$196:$X$201</definedName>
    <definedName localSheetId="16" name="DataTable_V100AC120">'Eth2 Calculator'!$Y$242:$AF$262</definedName>
    <definedName localSheetId="12" name="DataTable_I110V127">'Welcome to the eth2 Calculator'!$AF$218:$AP$235</definedName>
    <definedName localSheetId="4" name="DataTable_I5V32">'Average Validator'!$V$13:$AI$43</definedName>
    <definedName localSheetId="17" name="DataTable_V40AC60">'Eth2 Calculator V2'!$Y$194:$AF$214</definedName>
    <definedName localSheetId="17" name="DataTable_AK164AU183">'Eth2 Calculator V2'!$AI$260:$AS$279</definedName>
    <definedName localSheetId="1" name="DataTable_I109U126">'Average Validator (Phase 0 - Be'!$AF$159:$AO$176</definedName>
    <definedName localSheetId="12" name="DataTable_AN139BB158">'Welcome to the eth2 Calculator'!$BJ$101:$BX$120</definedName>
    <definedName localSheetId="2" name="DataTable_AF67AS84">#REF!</definedName>
    <definedName localSheetId="16" name="DataTable_AF100AP120">'Eth2 Calculator'!$AI$242:$AS$262</definedName>
    <definedName localSheetId="18" name="DataTable_AK164AU183">'Internet Bond (Final)'!$AC$264:$AM$283</definedName>
    <definedName localSheetId="2" name="DataTable_AK94AU111">'Copy of Average Validator (Phas'!$AF$159:$AP$176</definedName>
    <definedName localSheetId="11" name="DataTable_AF159AP179">' Validator Rewards (Staking Opt'!$AC$308:$AM$328</definedName>
    <definedName name="DataTable_AK164AU183">'Average Validator (Phase 0 - Ge'!$AF$100:$AP$119</definedName>
    <definedName localSheetId="1" name="DataTable_AN139BB158">'Average Validator (Phase 0 - Be'!$BJ$42:$BX$61</definedName>
    <definedName localSheetId="9" name="DataTable_X108AH125">Sheet10!$BE$242:$BO$301</definedName>
    <definedName localSheetId="11" name="DataTable_L4Y27">#REF!</definedName>
    <definedName localSheetId="17" name="DataTable_AS161BG171">'Eth2 Calculator V2'!$AX$329:$BL$339</definedName>
    <definedName name="DataTable_BA144BK164">#REF!</definedName>
    <definedName localSheetId="12" name="DataTable_AF19AM39">'Welcome to the eth2 Calculator'!$AF$41:$AM$61</definedName>
    <definedName localSheetId="16" name="DataTable_I37V64">'Eth2 Calculator'!$AF$280:$AS$338</definedName>
    <definedName localSheetId="10" name="DataTable_I108P125">'Validator Rewards (Phase 0 - Be'!$AV$278:$BC$336</definedName>
    <definedName localSheetId="17" name="DataTable_V158AC178">'Eth2 Calculator V2'!$Y$261:$AF$281</definedName>
    <definedName localSheetId="10" name="DataTable_AU66BO74">'Validator Rewards (Phase 0 - Be'!$CG$178:$CH$186</definedName>
    <definedName localSheetId="2" name="DataTable_AI6AS29">#REF!</definedName>
    <definedName localSheetId="0" name="DataTable_I35P58">#REF!</definedName>
    <definedName localSheetId="18" name="DataTable_V94AC111">'Internet Bond (Final)'!$S$332:$Z$349</definedName>
    <definedName localSheetId="18" name="DataTable_I58V61">'Internet Bond (Final)'!$BD$302:$BD$360</definedName>
    <definedName localSheetId="18" name="DataTable_V100AC120">'Internet Bond (Final)'!$S$264:$Z$284</definedName>
    <definedName localSheetId="16" name="DataTable_V40AC60">'Eth2 Calculator'!$Y$176:$AF$196</definedName>
    <definedName localSheetId="11" name="DataTable_BJ42BX62">' Validator Rewards (Staking Opt'!$BH$176:$BV$196</definedName>
    <definedName localSheetId="17" name="DataTable_I68U85">'Eth2 Calculator V2'!$AG$327:$AG$344</definedName>
    <definedName localSheetId="18" name="DataTable_BJ280BK299">'Internet Bond (Final)'!$BH$335:$BI$354</definedName>
    <definedName localSheetId="2" name="DataTable_AS161BG171">'Copy of Average Validator (Phas'!$AS$161:$BG$171</definedName>
    <definedName localSheetId="18" name="DataTable_V139AJ156">'Internet Bond (Final)'!$BH$334:$BV$351</definedName>
    <definedName localSheetId="0" name="DataTable_X87AH104">'Average Validator (Phase 0 - Ge'!$AF$159:$AP$176</definedName>
    <definedName localSheetId="16" name="DataTable_V177AJ194">'Eth2 Calculator'!$BZ$244:$CN$261</definedName>
    <definedName localSheetId="18" name="DataTable_V40AC60">#REF!</definedName>
    <definedName localSheetId="11" name="DataTable_AK70AU89">' Validator Rewards (Staking Opt'!$AD$174:$AN$193</definedName>
    <definedName localSheetId="17" name="DataTable_Eth2Calculator_BM310">'Eth2 Calculator V2'!$AX$329:$BL$349</definedName>
    <definedName localSheetId="17" name="DataTable_AE55AY63">'Eth2 Calculator V2'!$AX$164:$BR$300</definedName>
    <definedName localSheetId="9" name="DataTable_I131W148">Sheet10!$BJ$279:$BX$296</definedName>
    <definedName localSheetId="9" name="DataTable_V158AC178">Sheet10!$V$218:$AC$238</definedName>
    <definedName localSheetId="12" name="DataTable_AK164AU183">'Welcome to the eth2 Calculator'!$AF$159:$AP$178</definedName>
    <definedName localSheetId="10" name="DataTable_AK164AU183">'Validator Rewards (Phase 0 - Be'!$AI$240:$AS$259</definedName>
    <definedName localSheetId="2" name="DataTable_I110V127">'Copy of Average Validator (Phas'!$AF$159:$AP$176</definedName>
    <definedName localSheetId="17" name="DataTable_AP310BD330">'Eth2 Calculator V2'!$AX$329:$BL$349</definedName>
    <definedName localSheetId="1" name="DataTable_I37V64">'Average Validator (Phase 0 - Be'!$Z$195:$AM$224</definedName>
    <definedName localSheetId="12" name="DataTable_I152AC169">'Welcome to the eth2 Calculator'!$V$250:$AP$260</definedName>
    <definedName name="DataTable_V140AJ159">'Average Validator (Phase 0 - Ge'!$BJ$161:$BX$180</definedName>
    <definedName name="DataTable_AM144AW164">'Validator Rewards (Phase 0 - Be'!$AV$240:$BF$260</definedName>
    <definedName localSheetId="8" name="DataTable_H3Q15">#REF!</definedName>
    <definedName localSheetId="17" name="DataTable_L86Y109">'Eth2 Calculator V2'!$AB$296:$AD$354</definedName>
    <definedName name="DataTable_X87AH104">'Average Validator'!$AK$94:$AU$111</definedName>
    <definedName localSheetId="17" name="DataTable_S240Z260">'Eth2 Calculator V2'!$Y$261:$AF$281</definedName>
    <definedName localSheetId="10" name="DataTable_X87AH104">'Validator Rewards (Phase 0 - Be'!$AI$308:$AS$325</definedName>
    <definedName localSheetId="17" name="DataTable_BJ219BX239">'Eth2 Calculator V2'!$BO$329:$CC$349</definedName>
    <definedName name="DataTable_Eth2CalculatorV2_AB135">'Eth2 Calculator V2'!$AB$135:$AC$146</definedName>
    <definedName localSheetId="12" name="DataTable_M38Y65">'Welcome to the eth2 Calculator'!$AD$217</definedName>
    <definedName localSheetId="10" name="DataTable_I35P58">#REF!</definedName>
    <definedName localSheetId="2" name="DataTable_M38Y65">'Copy of Average Validator (Phas'!$AD$158</definedName>
    <definedName localSheetId="8" name="DataTable_L31Y54">'Welcome to the eth2 Calculator!'!$AT$67:$BG$215</definedName>
    <definedName name="DataTable_V93AC112">'Average Validator (Phase 0 - Ge'!$V$159:$AC$178</definedName>
    <definedName localSheetId="9" name="DataTable_V40AC60">Sheet10!$V$158:$AC$178</definedName>
    <definedName localSheetId="1" name="DataTable_Y5AL32">#REF!</definedName>
    <definedName name="DataTable_V100AC120">'Welcome to the eth2 Calculator!'!$V$159:$AC$179</definedName>
    <definedName localSheetId="10" name="DataTable_V93AC112">'Validator Rewards (Phase 0 - Be'!$Y$308:$AF$327</definedName>
    <definedName localSheetId="12" name="DataTable_V19AC39">'Welcome to the eth2 Calculator'!$Z$41:$AC$61</definedName>
    <definedName localSheetId="12" name="DataTable_L37AF65">#REF!</definedName>
    <definedName localSheetId="11" name="DataTable_I6S29">#REF!</definedName>
    <definedName localSheetId="11" name="DataTable_L58Y81">' Validator Rewards (Staking Opt'!$AA$278:$AM$336</definedName>
    <definedName name="DataTable_I177W194">'Average Validator'!$V$184:$AJ$201</definedName>
    <definedName localSheetId="2" name="DataTable_V177AJ194">'Copy of Average Validator (Phas'!$BJ$102:$BX$119</definedName>
    <definedName localSheetId="16" name="DataTable_AK94AU111">'Eth2 Calculator'!$AI$310:$AS$327</definedName>
    <definedName localSheetId="18" name="DataTable_V218AC238">'Internet Bond (Final)'!$S$264:$Z$284</definedName>
    <definedName localSheetId="12" name="DataTable_I6S31">#REF!</definedName>
    <definedName localSheetId="10" name="DataTable_I67AC84">'Validator Rewards (Phase 0 - Be'!$Y$309:$AG$326</definedName>
    <definedName localSheetId="12" name="DataTable_V177AJ194">'Welcome to the eth2 Calculator'!$BJ$161:$BX$178</definedName>
    <definedName localSheetId="1" name="DataTable_V164AC183">'Average Validator (Phase 0 - Be'!$V$100:$AC$119</definedName>
    <definedName localSheetId="9" name="DataTable_V6AF29">#REF!</definedName>
    <definedName name="DataTable_AC240AM260">'Validator Rewards (Phase 0 - Be'!$AI$240:$AS$260</definedName>
    <definedName localSheetId="17" name="DataTable_AM144AW164">#REF!</definedName>
    <definedName localSheetId="9" name="DataTable_L58Y81">Sheet10!$AA$242:$AM$301</definedName>
    <definedName localSheetId="10" name="DataTable_V218AC238">'Validator Rewards (Phase 0 - Be'!$Y$240:$AF$260</definedName>
    <definedName localSheetId="10" name="DataTable_H3Q15">#REF!</definedName>
    <definedName localSheetId="12" name="DataTable_AD35AK58">#REF!</definedName>
    <definedName name="DataTable_V19AC39">'Welcome to the eth2 Calculator!'!$Z$41:$AC$61</definedName>
    <definedName localSheetId="8" name="DataTable_AK93AU112">'Welcome to the eth2 Calculator!'!$AF$218:$AP$237</definedName>
    <definedName localSheetId="18" name="DataTable_AK72AU89">#REF!</definedName>
    <definedName localSheetId="18" name="DataTable_Y5AL32">#REF!</definedName>
    <definedName localSheetId="16" name="DataTable_AO5BB32">'Eth2 Calculator'!$BT$153:$BU$239</definedName>
    <definedName localSheetId="16" name="DataTable_BD242BR262">'Eth2 Calculator'!$BI$244:$BW$264</definedName>
    <definedName localSheetId="9" name="DataTable_I110V127">Sheet10!$AF$277:$AP$294</definedName>
    <definedName localSheetId="16" name="DataTable_AM144AW164">'Eth2 Calculator'!$AV$242:$BF$262</definedName>
    <definedName localSheetId="2" name="DataTable_AS102BG112">'Copy of Average Validator (Phas'!$AS$102:$BG$112</definedName>
    <definedName localSheetId="17" name="DataTable_AU66BO74">'Eth2 Calculator V2'!$CG$196:$CH$204</definedName>
    <definedName localSheetId="10" name="DataTable_L37AF65">#REF!</definedName>
    <definedName localSheetId="4" name="DataTable_L4Y32">'Average Validator'!$V$13:$AI$44</definedName>
    <definedName localSheetId="10" name="DataTable_AF159AP179">'Validator Rewards (Phase 0 - Be'!$AI$308:$AS$328</definedName>
    <definedName localSheetId="11" name="DataTable_V140AJ159">' Validator Rewards (Staking Opt'!$BG$310:$BU$329</definedName>
    <definedName localSheetId="10" name="DataTable_AQ19BA39">'Validator Rewards (Phase 0 - Be'!$AV$109:$BF$129</definedName>
    <definedName localSheetId="16" name="DataTable_I154P171">'Eth2 Calculator'!$Y$242:$AF$259</definedName>
    <definedName localSheetId="6" name="DataTable_B3I20">'Phase 0 Analysis (At Home)'!$B$3:$I$20</definedName>
    <definedName localSheetId="17" name="DataTable_AF40AP60">'Eth2 Calculator V2'!$AJ$193:$AT$213</definedName>
    <definedName localSheetId="10" name="DataTable_V191AJ210">'Validator Rewards (Phase 0 - Be'!$CR$242:$DF$261</definedName>
    <definedName localSheetId="18" name="DataTable_I92P109">'Internet Bond (Final)'!$AP$302:$AX$360</definedName>
    <definedName localSheetId="12" name="DataTable_I69V96">'Welcome to the eth2 Calculator'!$Z$242:$AM$248</definedName>
    <definedName localSheetId="10" name="DataTable_AX69BL79">'Validator Rewards (Phase 0 - Be'!$AW$176:$BK$186</definedName>
    <definedName localSheetId="1" name="DataTable_L4Y27">#REF!</definedName>
    <definedName localSheetId="17" name="DataTable_Eth2CalculatorV2_Y176">'Eth2 Calculator V2'!$Y$194:$AF$214</definedName>
    <definedName name="DataTable_BJ279BX299">'Validator Rewards (Phase 0 - Be'!$CD$310:$CR$330</definedName>
    <definedName localSheetId="1" name="DataTable_AU66BO74">'Average Validator (Phase 0 - Be'!$BT$93:$CB$101</definedName>
    <definedName localSheetId="18" name="DataTable_I37V64">'Internet Bond (Final)'!$Z$302:$AM$360</definedName>
    <definedName localSheetId="11" name="DataTable_AS220BG240">' Validator Rewards (Staking Opt'!$AP$242:$BD$262</definedName>
    <definedName localSheetId="11" name="DataTable_V70AC89">' Validator Rewards (Staking Opt'!$S$174:$Z$193</definedName>
    <definedName localSheetId="17" name="DataTable_I58V81">'Eth2 Calculator V2'!$AG$296:$AS$354</definedName>
    <definedName localSheetId="9" name="DataTable_V19AC39">Sheet10!$V$100:$AC$120</definedName>
    <definedName localSheetId="8" name="DataTable_L58Y81">'Welcome to the eth2 Calculator!'!$AA$242:$AM$244</definedName>
    <definedName localSheetId="1" name="DataTable_I4V27">#REF!</definedName>
    <definedName localSheetId="8" name="DataTable_V184AJ201">'Welcome to the eth2 Calculator!'!$BJ$161:$BX$178</definedName>
    <definedName localSheetId="1" name="DataTable_AN134BB151">'Average Validator (Phase 0 - Be'!$BJ$42:$BX$59</definedName>
    <definedName localSheetId="2" name="DataTable_X87AH104">'Copy of Average Validator (Phas'!$AF$159:$AP$176</definedName>
    <definedName localSheetId="12" name="DataTable_I65P82">'Welcome to the eth2 Calculator'!$V$99:$AC$116</definedName>
    <definedName localSheetId="17" name="DataTable_Eth2CalculatorV2_BM312">'Eth2 Calculator V2'!$AX$329:$BL$349</definedName>
    <definedName localSheetId="9" name="DataTable_I58V61">Sheet10!$BC$242:$BC$301</definedName>
    <definedName localSheetId="18" name="DataTable_AF158AP178">'Internet Bond (Final)'!$AC$264:$AM$284</definedName>
    <definedName localSheetId="2" name="DataTable_AN139BB158">'Copy of Average Validator (Phas'!$BJ$42:$BX$61</definedName>
    <definedName localSheetId="17" name="DataTable_AD35AK58">#REF!</definedName>
    <definedName localSheetId="18" name="DataTable_I108P125">'Internet Bond (Final)'!$AP$302:$AX$360</definedName>
    <definedName localSheetId="2" name="DataTable_H20Z50">#REF!</definedName>
    <definedName localSheetId="1" name="DataTable_I173AC190">#REF!</definedName>
    <definedName localSheetId="12" name="DataTable_X154AH171">'Welcome to the eth2 Calculator'!$AF$159:$AP$176</definedName>
    <definedName localSheetId="16" name="DataTable_L101Y129">#REF!</definedName>
    <definedName localSheetId="12" name="DataTable_V72AC89">'Welcome to the eth2 Calculator'!$V$99:$AC$116</definedName>
    <definedName localSheetId="2" name="DataTable_I58V61">'Copy of Average Validator (Phas'!$BC$217:$BC$220</definedName>
    <definedName localSheetId="11" name="DataTable_I92P109">' Validator Rewards (Staking Opt'!$AP$278:$AW$336</definedName>
    <definedName localSheetId="10" name="DataTable_I110V127">'Validator Rewards (Phase 0 - Be'!$AI$308:$AS$325</definedName>
    <definedName localSheetId="17" name="DataTable_I131V148">'Eth2 Calculator V2'!$BK$296:$BU$354</definedName>
    <definedName localSheetId="2" name="DataTable_I37V64">'Copy of Average Validator (Phas'!$Z$195:$AM$224</definedName>
    <definedName localSheetId="17" name="DataTable_Eth2NetworkUpdates_BN178">'Eth2 Calculator V2'!$BN$196:$CB$216</definedName>
    <definedName localSheetId="16" name="DataTable_V19AC39">'Eth2 Calculator'!$AB$111:$AI$131</definedName>
    <definedName localSheetId="9" name="DataTable_AK161AU178">Sheet10!$AF$218:$AP$235</definedName>
    <definedName localSheetId="16" name="DataTable_ValidatorRewardsPhase0BeyondGenesis_AL109">'Eth2 Calculator'!$AL$111:$AS$131</definedName>
    <definedName localSheetId="0" name="DataTable_V94AC111">'Average Validator (Phase 0 - Ge'!$V$159:$AC$176</definedName>
    <definedName localSheetId="10" name="DataTable_AK93AU112">'Validator Rewards (Phase 0 - Be'!$AI$308:$AS$327</definedName>
    <definedName localSheetId="0" name="DataTable_Y5AL32">#REF!</definedName>
    <definedName localSheetId="9" name="DataTable_AN134BB151">Sheet10!$BJ$160:$BX$177</definedName>
    <definedName localSheetId="18" name="DataTable_I32V55">'Internet Bond (Final)'!$AT$254:$BH$329</definedName>
    <definedName localSheetId="1" name="DataTable_AS161BG171">'Average Validator (Phase 0 - Be'!$AS$161:$BG$171</definedName>
    <definedName localSheetId="9" name="DataTable_L69Y97">Sheet10!$W$266:$AI$300</definedName>
    <definedName localSheetId="9" name="DataTable_V191AJ210">Sheet10!$BJ$220:$BX$239</definedName>
    <definedName localSheetId="11" name="DataTable_X65AH82">' Validator Rewards (Staking Opt'!$AD$174:$AN$191</definedName>
    <definedName localSheetId="9" name="DataTable_M38Y65">Sheet10!$AD$276</definedName>
    <definedName localSheetId="17" name="DataTable_L31Y54">'Eth2 Calculator V2'!$AZ$164:$BM$323</definedName>
    <definedName localSheetId="10" name="DataTable_V177AJ194">'Validator Rewards (Phase 0 - Be'!$CR$242:$DF$259</definedName>
    <definedName localSheetId="18" name="DataTable_V161AC178">'Internet Bond (Final)'!$S$264:$Z$281</definedName>
    <definedName localSheetId="0" name="DataTable_AF67AS84">#REF!</definedName>
    <definedName localSheetId="4" name="DataTable_I110V127">'Average Validator'!$AK$94:$AU$111</definedName>
    <definedName localSheetId="16" name="DataTable_I131W148">'Eth2 Calculator'!$CD$312:$CR$329</definedName>
    <definedName localSheetId="12" name="DataTable_V164AC183">'Welcome to the eth2 Calculator'!$V$159:$AC$178</definedName>
    <definedName localSheetId="18" name="DataTable_I130AO147">'Internet Bond (Final)'!$AK$302:$BC$360</definedName>
    <definedName localSheetId="10" name="DataTable_X65AH82">'Validator Rewards (Phase 0 - Be'!$AJ$174:$AT$191</definedName>
    <definedName localSheetId="10" name="DataTable_AF19AM39">'Validator Rewards (Phase 0 - Be'!$AL$109:$AS$129</definedName>
    <definedName localSheetId="17" name="DataTable_V191AJ210">'Eth2 Calculator V2'!$BM$261:$CA$280</definedName>
    <definedName localSheetId="17" name="DataTable_I37V64">'Eth2 Calculator V2'!$AF$296:$AS$354</definedName>
    <definedName localSheetId="9" name="DataTable_I177W194">Sheet10!$BJ$220:$BX$237</definedName>
    <definedName localSheetId="10" name="DataTable_AD35AK58">#REF!</definedName>
    <definedName localSheetId="1" name="DataTable_I152AC169">'Average Validator (Phase 0 - Be'!$V$226:$AP$236</definedName>
    <definedName name="DataTable_I130AO147">'Average Validator'!$V$139:$BB$156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F13">
      <text>
        <t xml:space="preserve">First part:
 - FFG rewards (matching source, target and head)
 - Crosslink rewards
All of these are scaled with the attesting balance, so multiplied by average network percent online
Second term: Attestation inclusion rewards
 - 1/8 (0.125) go to the block proposer
 - 7/8 (0.875) go to attester, with penalty substracted if included in a later slot [current penalty is 1/64 per slot, but should be much higher (1/2) according to V]</t>
      </text>
    </comment>
  </commentList>
</comments>
</file>

<file path=xl/comments2.xml><?xml version="1.0" encoding="utf-8"?>
<comments xmlns:r="http://schemas.openxmlformats.org/officeDocument/2006/relationships" xmlns="http://schemas.openxmlformats.org/spreadsheetml/2006/main">
  <authors>
    <author/>
  </authors>
  <commentList>
    <comment authorId="0" ref="F13">
      <text>
        <t xml:space="preserve">First part:
 - FFG rewards (matching source, target and head)
 - Crosslink rewards
All of these are scaled with the attesting balance, so multiplied by average network percent online
Second term: Attestation inclusion rewards
 - 1/8 (0.125) go to the block proposer
 - 7/8 (0.875) go to attester, with penalty substracted if included in a later slot [current penalty is 1/64 per slot, but should be much higher (1/2) according to V]</t>
      </text>
    </comment>
  </commentList>
</comments>
</file>

<file path=xl/comments3.xml><?xml version="1.0" encoding="utf-8"?>
<comments xmlns:r="http://schemas.openxmlformats.org/officeDocument/2006/relationships" xmlns="http://schemas.openxmlformats.org/spreadsheetml/2006/main">
  <authors>
    <author/>
  </authors>
  <commentList>
    <comment authorId="0" ref="F13">
      <text>
        <t xml:space="preserve">First part:
 - FFG rewards (matching source, target and head)
 - Crosslink rewards
All of these are scaled with the attesting balance, so multiplied by average network percent online
Second term: Attestation inclusion rewards
 - 1/8 (0.125) go to the block proposer
 - 7/8 (0.875) go to attester, with penalty substracted if included in a later slot [current penalty is 1/64 per slot, but should be much higher (1/2) according to V]</t>
      </text>
    </comment>
  </commentList>
</comments>
</file>

<file path=xl/comments4.xml><?xml version="1.0" encoding="utf-8"?>
<comments xmlns:r="http://schemas.openxmlformats.org/officeDocument/2006/relationships" xmlns="http://schemas.openxmlformats.org/spreadsheetml/2006/main">
  <authors>
    <author/>
  </authors>
  <commentList>
    <comment authorId="0" ref="F13">
      <text>
        <t xml:space="preserve">First part:
 - FFG rewards (matching source, target and head)
 - Crosslink rewards
All of these are scaled with the attesting balance, so multiplied by average network percent online
Second term: Attestation inclusion rewards
 - 1/8 (0.125) go to the block proposer
 - 7/8 (0.875) go to attester, with penalty substracted if included in a later slot [current penalty is 1/64 per slot, but should be much higher (1/2) according to V]</t>
      </text>
    </comment>
  </commentList>
</comments>
</file>

<file path=xl/comments5.xml><?xml version="1.0" encoding="utf-8"?>
<comments xmlns:r="http://schemas.openxmlformats.org/officeDocument/2006/relationships" xmlns="http://schemas.openxmlformats.org/spreadsheetml/2006/main">
  <authors>
    <author/>
  </authors>
  <commentList>
    <comment authorId="0" ref="F28">
      <text>
        <t xml:space="preserve">First part:
 - FFG rewards (matching source, target and head)
 - Crosslink rewards
All of these are scaled with the attesting balance, so multiplied by average network percent online
Second term: Attestation inclusion rewards
 - 1/8 (0.125) go to the block proposer
 - 7/8 (0.875) go to attester, with penalty substracted if included in a later slot [current penalty is 1/64 per slot, but should be much higher (1/2) according to V]</t>
      </text>
    </comment>
  </commentList>
</comments>
</file>

<file path=xl/comments6.xml><?xml version="1.0" encoding="utf-8"?>
<comments xmlns:r="http://schemas.openxmlformats.org/officeDocument/2006/relationships" xmlns="http://schemas.openxmlformats.org/spreadsheetml/2006/main">
  <authors>
    <author/>
  </authors>
  <commentList>
    <comment authorId="0" ref="F39">
      <text>
        <t xml:space="preserve">First part:
 - FFG rewards (matching source, target and head)
 - Crosslink rewards
All of these are scaled with the attesting balance, so multiplied by average network percent online
Second term: Attestation inclusion rewards
 - 1/8 (0.125) go to the block proposer
 - 7/8 (0.875) go to attester, with penalty substracted if included in a later slot [current penalty is 1/64 per slot, but should be much higher (1/2) according to V]</t>
      </text>
    </comment>
  </commentList>
</comments>
</file>

<file path=xl/comments7.xml><?xml version="1.0" encoding="utf-8"?>
<comments xmlns:r="http://schemas.openxmlformats.org/officeDocument/2006/relationships" xmlns="http://schemas.openxmlformats.org/spreadsheetml/2006/main">
  <authors>
    <author/>
  </authors>
  <commentList>
    <comment authorId="0" ref="F30">
      <text>
        <t xml:space="preserve">First part:
 - FFG rewards (matching source, target and head)
 - Crosslink rewards
All of these are scaled with the attesting balance, so multiplied by average network percent online
Second term: Attestation inclusion rewards
 - 1/8 (0.125) go to the block proposer
 - 7/8 (0.875) go to attester, with penalty substracted if included in a later slot [current penalty is 1/64 per slot, but should be much higher (1/2) according to V]</t>
      </text>
    </comment>
  </commentList>
</comments>
</file>

<file path=xl/comments8.xml><?xml version="1.0" encoding="utf-8"?>
<comments xmlns:r="http://schemas.openxmlformats.org/officeDocument/2006/relationships" xmlns="http://schemas.openxmlformats.org/spreadsheetml/2006/main">
  <authors>
    <author/>
  </authors>
  <commentList>
    <comment authorId="0" ref="F40">
      <text>
        <t xml:space="preserve">First part:
 - FFG rewards (matching source, target and head)
 - Crosslink rewards
All of these are scaled with the attesting balance, so multiplied by average network percent online
Second term: Attestation inclusion rewards
 - 1/8 (0.125) go to the block proposer
 - 7/8 (0.875) go to attester, with penalty substracted if included in a later slot [current penalty is 1/64 per slot, but should be much higher (1/2) according to V]</t>
      </text>
    </comment>
  </commentList>
</comments>
</file>

<file path=xl/comments9.xml><?xml version="1.0" encoding="utf-8"?>
<comments xmlns:r="http://schemas.openxmlformats.org/officeDocument/2006/relationships" xmlns="http://schemas.openxmlformats.org/spreadsheetml/2006/main">
  <authors>
    <author/>
  </authors>
  <commentList>
    <comment authorId="0" ref="F89">
      <text>
        <t xml:space="preserve">First part:
 - FFG rewards (matching source, target and head)
 - Crosslink rewards
All of these are scaled with the attesting balance, so multiplied by average network percent online
Second term: Attestation inclusion rewards
 - 1/8 (0.125) go to the block proposer
 - 7/8 (0.875) go to attester, with penalty substracted if included in a later slot [current penalty is 1/64 per slot, but should be much higher (1/2) according to V]</t>
      </text>
    </comment>
  </commentList>
</comments>
</file>

<file path=xl/comments10.xml><?xml version="1.0" encoding="utf-8"?>
<comments xmlns:r="http://schemas.openxmlformats.org/officeDocument/2006/relationships" xmlns="http://schemas.openxmlformats.org/spreadsheetml/2006/main">
  <authors>
    <author/>
  </authors>
  <commentList>
    <comment authorId="0" ref="F42">
      <text>
        <t xml:space="preserve">First part:
 - FFG rewards (matching source, target and head)
 - Crosslink rewards
All of these are scaled with the attesting balance, so multiplied by average network percent online
Second term: Attestation inclusion rewards
 - 1/8 (0.125) go to the block proposer
 - 7/8 (0.875) go to attester, with penalty substracted if included in a later slot [current penalty is 1/64 per slot, but should be much higher (1/2) according to V]</t>
      </text>
    </comment>
  </commentList>
</comments>
</file>

<file path=xl/sharedStrings.xml><?xml version="1.0" encoding="utf-8"?>
<sst xmlns="http://schemas.openxmlformats.org/spreadsheetml/2006/main" count="1790" uniqueCount="346">
  <si>
    <t xml:space="preserve">Telegram: @eth2calculator </t>
  </si>
  <si>
    <t>Gross Economics</t>
  </si>
  <si>
    <t>Network Calculations</t>
  </si>
  <si>
    <t>Network Validators</t>
  </si>
  <si>
    <t>Average Validator Model</t>
  </si>
  <si>
    <t>Validators per Shard (Committee Size)</t>
  </si>
  <si>
    <t>Network Variables</t>
  </si>
  <si>
    <t>Epoch per Year</t>
  </si>
  <si>
    <t xml:space="preserve">ETH Price (auto update) </t>
  </si>
  <si>
    <t>Base reward for full validator (in gwei)</t>
  </si>
  <si>
    <t>Validator Deposit (ETH)</t>
  </si>
  <si>
    <t>Online per-validator reward per epoch (in gwei)</t>
  </si>
  <si>
    <t>Total at Stake</t>
  </si>
  <si>
    <t>Offline per-validator penalty per epoch (in gwei)</t>
  </si>
  <si>
    <t>Average network % online (only &gt;2/3 supported)</t>
  </si>
  <si>
    <t>Generated ETH/Year</t>
  </si>
  <si>
    <t>Network Fees/Day (ETH) Proposer Surplus</t>
  </si>
  <si>
    <t>Generated ETH/DAY</t>
  </si>
  <si>
    <t>Network Fees/Day (ETH) Burned</t>
  </si>
  <si>
    <t>Network Issuance</t>
  </si>
  <si>
    <t>ETH Circulating Supply</t>
  </si>
  <si>
    <t>Shards</t>
  </si>
  <si>
    <t>Slot Time (sec)</t>
  </si>
  <si>
    <t>Eth Burn Calculations</t>
  </si>
  <si>
    <t>Epoch Length (slots)</t>
  </si>
  <si>
    <t>Yearly ETH burned</t>
  </si>
  <si>
    <t>Base Reward Factor</t>
  </si>
  <si>
    <t>Net ETH Issuance</t>
  </si>
  <si>
    <t xml:space="preserve">Network Issuance (Net of Burn) </t>
  </si>
  <si>
    <t>ETH Burn Rate</t>
  </si>
  <si>
    <t>Net Issuance Ratio</t>
  </si>
  <si>
    <t>Validator Toggles</t>
  </si>
  <si>
    <t>Protocol Details</t>
  </si>
  <si>
    <t>I Already Have Internet</t>
  </si>
  <si>
    <t>Yes</t>
  </si>
  <si>
    <t>BASE_REWARDS_PER_EPOCH</t>
  </si>
  <si>
    <t>I Already Have a Router</t>
  </si>
  <si>
    <t>Base rewards that are proportional to validators online</t>
  </si>
  <si>
    <t>I am using a VPS</t>
  </si>
  <si>
    <t>Penalty for being included one slot late</t>
  </si>
  <si>
    <t>Validator Assumptions</t>
  </si>
  <si>
    <t>Validator Profit &amp; Loss</t>
  </si>
  <si>
    <t>Validator Uptime</t>
  </si>
  <si>
    <t>ETH Staked</t>
  </si>
  <si>
    <t>Validators Run</t>
  </si>
  <si>
    <t>Staker Interest</t>
  </si>
  <si>
    <t>Cost of Computer Hardware</t>
  </si>
  <si>
    <t>Staker interest ($)</t>
  </si>
  <si>
    <t>Useful Life (yrs)</t>
  </si>
  <si>
    <t xml:space="preserve">Gas Fee Interest </t>
  </si>
  <si>
    <t>Cost per kwh (Global Average)</t>
  </si>
  <si>
    <t>Gas Fee Rev</t>
  </si>
  <si>
    <t>Watts (per Shard Validated)</t>
  </si>
  <si>
    <t>Validator Revenue</t>
  </si>
  <si>
    <t>Gross Validator Issuance (Phase 0)</t>
  </si>
  <si>
    <t>Watts per machine</t>
  </si>
  <si>
    <t>Token Based Issuance</t>
  </si>
  <si>
    <t xml:space="preserve">                     Base Reward Factor</t>
  </si>
  <si>
    <t>Base Reward = 64</t>
  </si>
  <si>
    <t xml:space="preserve">           Average Network % Online</t>
  </si>
  <si>
    <t>ISP Per Month (Global Average)</t>
  </si>
  <si>
    <t>Energy Costs</t>
  </si>
  <si>
    <t xml:space="preserve"> </t>
  </si>
  <si>
    <t>Clients Per Machine = 16</t>
  </si>
  <si>
    <t>Cost of Router Hardware (Global Estimate)</t>
  </si>
  <si>
    <t>Depreciation Costs</t>
  </si>
  <si>
    <t xml:space="preserve">Total ETH Staked (Network)
</t>
  </si>
  <si>
    <t>Total ETH Staked = 1MM</t>
  </si>
  <si>
    <t>Average % Online = 90%</t>
  </si>
  <si>
    <t>VPS Cost (per machine per month)</t>
  </si>
  <si>
    <t>Internet Costs</t>
  </si>
  <si>
    <t>Unknown Cost (per machine)</t>
  </si>
  <si>
    <t>Router Costs</t>
  </si>
  <si>
    <t>Average Network % Online</t>
  </si>
  <si>
    <t>Number of Machines (16 validators per)</t>
  </si>
  <si>
    <t>VPS Cost</t>
  </si>
  <si>
    <t>Total Watts</t>
  </si>
  <si>
    <t>Unknown Costs</t>
  </si>
  <si>
    <t>ETH Cost</t>
  </si>
  <si>
    <t>Total Validator Costs</t>
  </si>
  <si>
    <t>Initial Investment (USD)</t>
  </si>
  <si>
    <t>Annual Profit</t>
  </si>
  <si>
    <t>Net Validator Issuance</t>
  </si>
  <si>
    <t>Net Economics (At Home)</t>
  </si>
  <si>
    <t>Net Validator Issuance (At Home)</t>
  </si>
  <si>
    <t>Net Economics (VPS)</t>
  </si>
  <si>
    <t>Net Validator Issuance (Phase 0 - VPS)</t>
  </si>
  <si>
    <t>Net Validator Issuance (VPS)</t>
  </si>
  <si>
    <t>Network Issuance (Phase 0)</t>
  </si>
  <si>
    <t>EPOCH #</t>
  </si>
  <si>
    <t>Ether Balance</t>
  </si>
  <si>
    <t>Reward</t>
  </si>
  <si>
    <t>ETH Reward</t>
  </si>
  <si>
    <t>Total ETH Balance</t>
  </si>
  <si>
    <t>Totsl validators</t>
  </si>
  <si>
    <t>Commitee Size (Min)</t>
  </si>
  <si>
    <t>Total Committess Possible</t>
  </si>
  <si>
    <t># of Validators run</t>
  </si>
  <si>
    <t>Prob of being selected to attest</t>
  </si>
  <si>
    <t>Prob of being selected at proposer</t>
  </si>
  <si>
    <t>Balance</t>
  </si>
  <si>
    <t xml:space="preserve">ETH Staked </t>
  </si>
  <si>
    <t>Yield</t>
  </si>
  <si>
    <t>Validator Issuance - Beyond Phase 0</t>
  </si>
  <si>
    <t>Network Issuance - Beyond Phase 0</t>
  </si>
  <si>
    <t>Network Issuance (Net of Burn) - Beyond Phase 0</t>
  </si>
  <si>
    <t xml:space="preserve">                             Base Reward = 64</t>
  </si>
  <si>
    <t>Total ETH Staked (Network)</t>
  </si>
  <si>
    <t>Gross Validator Issuance (Phase 0 - VPS)</t>
  </si>
  <si>
    <t>Net Validator Issuance (Phase 0 - At Home)</t>
  </si>
  <si>
    <t>Net Validator Issuance (Phase 0)</t>
  </si>
  <si>
    <t>Telegram: @StakeETH</t>
  </si>
  <si>
    <t>Hey Everyone! Welcome to the official eth2 Calculator built by Collin Myers with help from the community. The purpose of this calculator is to increase transparency and discovery around the economics of eth2. This model is 100% open source so please feel free to make a copy and begin experimenting with it on your own. If you have any questions please drop them in the official telegram group @eth2calculator or DM me directly @StakeETH.</t>
  </si>
  <si>
    <t>Instructions</t>
  </si>
  <si>
    <t>Calculator Overview: The eth2 calculator is meant to be highly customizable and is suited for any validator wishing to run their own infrastructure through an at home computer or by using a VPS. Many assumptions can be made in this model about the state of the network at any given point in time. As a result, this tool is equally meant for protocol researchers and economists to test and push the limits of the eth2 spec. We hope that this tool brings about challenging questions and eventually EIP's. Please use this tool respectfully and remember eth2 is a beautful complex system and all outputs are assumptions of that system, not necessarily fact. The economics of eth2 are subject to a variety of variables, especially human behavior, which we know is highly unpredictable. Finally, if you feel the model needs additions or you would like to see something new that would benefit the masses pleae let us know and we can make additions. Safe calculating everyone!!</t>
  </si>
  <si>
    <t>Economic Primers</t>
  </si>
  <si>
    <t xml:space="preserve">1. eth2 is pure proof of stake (no delegation function). eth2 is designed to accommodate hundreds of thousands or even millions of validators; however results in the necessity to manage two key pairs per validator (32 ETH) 
</t>
  </si>
  <si>
    <t xml:space="preserve">2. Deposting ETH into the deposit contract is a one-way transaction and cannot be reverted
</t>
  </si>
  <si>
    <r>
      <rPr>
        <rFont val="Avenir"/>
        <b/>
        <color rgb="FF000000"/>
        <sz val="14.0"/>
        <u/>
      </rPr>
      <t>Input vs Ouput:</t>
    </r>
    <r>
      <rPr>
        <rFont val="Avenir"/>
        <color rgb="FF000000"/>
        <sz val="14.0"/>
      </rPr>
      <t xml:space="preserve"> The variables that are colored blue mean they are key drivers of anticipated rewards at the network level and the validator level. These can be adjusted by the user at discretion to produce different outputs. As a result, the variables you see in grey are outputs (formulas) and should not be changed. For example, the price of ETH is auto updated from Coinbase but can be customized to a validators assumptions (which is why it is left in blue text). In addition, total supply is in grey but can be adjusted to your liking as well to simulate a Phase 2 state (advanced user metrics).</t>
    </r>
  </si>
  <si>
    <t xml:space="preserve">3. All ETH + Rewards that are staked in the beacon chain cannot exit the system until Phase 2 (timelines currently unknown)
</t>
  </si>
  <si>
    <t xml:space="preserve">4. Rewards are not received until the network reaches genesis (524,288 eth staked). As a result, the bootstrapping of Phase 0 will require alturistic validators to reach genesis.
</t>
  </si>
  <si>
    <t xml:space="preserve">5. Rewards (- penalties) are transferred to validators every epoch (384 seconds ~6.5 minutes)
</t>
  </si>
  <si>
    <r>
      <rPr>
        <rFont val="Avenir"/>
        <b/>
        <color rgb="FF000000"/>
        <sz val="14.0"/>
        <u/>
      </rPr>
      <t>Network Issaunce:</t>
    </r>
    <r>
      <rPr>
        <rFont val="Avenir"/>
        <b val="0"/>
        <color rgb="FF000000"/>
        <sz val="14.0"/>
        <u/>
      </rPr>
      <t xml:space="preserve"> One of the models outputs is to show the total ETH issuance on a daily and annual basis given a current state of the network (which is determined by the calculator user). It is imporant to note that this is imperfect given the dynamic nature of eth2 (as explained on the right) and the circulating supply of the model being fixed at 110MM. The network issuance charts should give users an undersatnding of how issuance changes with the amount of activate Validators that are participating in eth2.</t>
    </r>
  </si>
  <si>
    <t xml:space="preserve">6. Rewards are calculated based on the state of the network upon epoch completion. As a result, the reward you expect to receive when being randomly selected to be a validator may be different than what a validator actually receives.
</t>
  </si>
  <si>
    <t>7. Rewards will be highly variable in eth2 by design and are best observed through a probabilistic simulation. As a result, you will only know exactly what your reward is once it is received.</t>
  </si>
  <si>
    <r>
      <rPr>
        <rFont val="Avenir"/>
        <b/>
        <color rgb="FF000000"/>
        <sz val="14.0"/>
        <u/>
      </rPr>
      <t>Gross Validator Issuance vs Net Validator Issuance:</t>
    </r>
    <r>
      <rPr>
        <rFont val="Avenir"/>
        <b val="0"/>
        <color rgb="FF000000"/>
        <sz val="14.0"/>
        <u/>
      </rPr>
      <t xml:space="preserve"> For starters, all reward figures are annualized. The model and supporting graphs shows the validator what the gross issuance and net issuance is. </t>
    </r>
    <r>
      <rPr>
        <rFont val="Avenir"/>
        <b/>
        <color rgb="FF000000"/>
        <sz val="14.0"/>
        <u/>
      </rPr>
      <t>Gross Issuance</t>
    </r>
    <r>
      <rPr>
        <rFont val="Avenir"/>
        <b val="0"/>
        <color rgb="FF000000"/>
        <sz val="14.0"/>
        <u/>
      </rPr>
      <t xml:space="preserve"> should be thought of as what eth2 spits out to a validator assuming no personal costs (Network Level Issuance), while </t>
    </r>
    <r>
      <rPr>
        <rFont val="Avenir"/>
        <b/>
        <color rgb="FF000000"/>
        <sz val="14.0"/>
        <u/>
      </rPr>
      <t>Net Issaunce</t>
    </r>
    <r>
      <rPr>
        <rFont val="Avenir"/>
        <b val="0"/>
        <color rgb="FF000000"/>
        <sz val="14.0"/>
        <u/>
      </rPr>
      <t xml:space="preserve"> is what a validator receives after costs are applied (Network Level Issuance - costs of infrastructure). </t>
    </r>
    <r>
      <rPr>
        <rFont val="Avenir"/>
        <b/>
        <color rgb="FF000000"/>
        <sz val="14.0"/>
        <u/>
      </rPr>
      <t>Finally the model assumes that all validators act honestly and does not include slashing.</t>
    </r>
  </si>
  <si>
    <t>Resources</t>
  </si>
  <si>
    <r>
      <rPr>
        <rFont val="Avenir"/>
        <b/>
        <color rgb="FF000000"/>
        <sz val="14.0"/>
        <u/>
      </rPr>
      <t>Validator Cost Toggles:</t>
    </r>
    <r>
      <rPr>
        <rFont val="Avenir"/>
        <color rgb="FF000000"/>
        <sz val="14.0"/>
      </rPr>
      <t xml:space="preserve"> One of the primary requests of this model is to show validators what rewards look like after costs. As a result, the model allows users to toggle between different infrastructure set ups, which will change Validator Net Rewards. Validators have the option of using at home hardware or a monthly VPS. Once a toggle has been chosen, validators can then get more granukar with their cost set ups (this should be pretty straight forward in the model).</t>
    </r>
  </si>
  <si>
    <r>
      <rPr>
        <rFont val="Avenir"/>
        <b/>
        <color rgb="FF000000"/>
        <sz val="14.0"/>
        <u/>
      </rPr>
      <t>Validators Per Machine:</t>
    </r>
    <r>
      <rPr>
        <rFont val="Avenir"/>
        <color rgb="FF000000"/>
        <sz val="14.0"/>
      </rPr>
      <t xml:space="preserve"> Without a clear hardware spec, it is hard to know what the technical and financial risk threholds are for how many validators can be run on each machine. </t>
    </r>
    <r>
      <rPr>
        <rFont val="Avenir"/>
        <b/>
        <color rgb="FF000000"/>
        <sz val="14.0"/>
        <u/>
      </rPr>
      <t>For the purpose of the model we assume 16 clients for the at home hardware user and 100 clients per machine for the VPS user. Please see comments in the next tab for more information on how Validtors can customize this thresholds.</t>
    </r>
    <r>
      <rPr>
        <rFont val="Avenir"/>
        <color rgb="FF000000"/>
        <sz val="14.0"/>
      </rPr>
      <t xml:space="preserve"> For reference, on a standard 4GB 8GB SSD Digital Ocean server, testnet validators are running 1,000+ validators without breaking a sweat but again validators must remember financial risk when making this decision as well as value is at risk.</t>
    </r>
  </si>
  <si>
    <r>
      <rPr>
        <rFont val="Avenir"/>
        <b/>
        <color rgb="FF000000"/>
        <sz val="14.0"/>
        <u/>
      </rPr>
      <t>Sensitivity Analysis:</t>
    </r>
    <r>
      <rPr>
        <rFont val="Avenir"/>
        <color rgb="FF000000"/>
        <sz val="14.0"/>
      </rPr>
      <t xml:space="preserve"> Since there are so many sensitivity charts, leaving them on autoupdate every time the price of ETH changes will not accomodate everyone's machines or connections. As a result, you will find comments on certain sensitivity tables in the next tab that indicate where to rerun the what if's</t>
    </r>
    <r>
      <rPr>
        <rFont val="Avenir"/>
        <b/>
        <color rgb="FF000000"/>
        <sz val="14.0"/>
      </rPr>
      <t xml:space="preserve">. </t>
    </r>
    <r>
      <rPr>
        <rFont val="Avenir"/>
        <b/>
        <color rgb="FF000000"/>
        <sz val="14.0"/>
        <u/>
      </rPr>
      <t>Once the sensitivity charts are updated, the line graphs will update in lock step.</t>
    </r>
  </si>
  <si>
    <r>
      <rPr>
        <rFont val="Avenir"/>
        <b/>
        <color rgb="FF000000"/>
        <sz val="14.0"/>
        <u/>
      </rPr>
      <t>EIP 1559:</t>
    </r>
    <r>
      <rPr>
        <rFont val="Avenir"/>
        <color rgb="FF000000"/>
        <sz val="14.0"/>
      </rPr>
      <t xml:space="preserve"> There is a section in the model that makes an attempt to simulate EIP 1559. For the purpose of the model today no calculations are included around networks fee's as they will not be included in eth2 until Phase 2. However, the model is ready for inputs if a user wanted to simulate a Phase 2 style environment. It is our intention to provide further analysis of what economics would be in Phase 2, but for now will be focusing the model on Phase 0 only.</t>
    </r>
  </si>
  <si>
    <r>
      <rPr>
        <rFont val="Avenir"/>
        <b/>
        <color rgb="FF000000"/>
        <sz val="14.0"/>
      </rPr>
      <t xml:space="preserve">Hey Everyone! In this tab you will find Network Issuance, Gross Validator Issuance, and Net Validator Issuance (At Home and VPS). The Analysis starts from the genesis threshold of 524,288 ETH staked and ends at 10MM ETH staked (remember no rewards are earned until after we reach genesis). Please see comments on sentivity charts where you should rerun to change all of the graph outputs. </t>
    </r>
    <r>
      <rPr>
        <rFont val="Avenir"/>
        <b val="0"/>
        <color rgb="FF000000"/>
        <sz val="14.0"/>
        <u/>
      </rPr>
      <t>Current validator reward analysis is run with ETH at $133.</t>
    </r>
  </si>
  <si>
    <t>eth2 Overview Dashboard</t>
  </si>
  <si>
    <t>Current Cost to Become an eth2 Validator</t>
  </si>
  <si>
    <t xml:space="preserve">Network Dashboard </t>
  </si>
  <si>
    <t>Total Validators Online</t>
  </si>
  <si>
    <t>Phase 2 - Eth Burn Calculations (EIP 1559 Simulation)</t>
  </si>
  <si>
    <t>Validator Dashboard</t>
  </si>
  <si>
    <t>Validator Machine Toggles</t>
  </si>
  <si>
    <t>Network Issuance ETH/Day (Phase 0)</t>
  </si>
  <si>
    <t>Gross Validator Economics</t>
  </si>
  <si>
    <t>Net Validator Economics (At Home)</t>
  </si>
  <si>
    <t>Net Validator Economics (VPS)</t>
  </si>
  <si>
    <r>
      <rPr>
        <rFont val="Avenir"/>
        <b/>
        <color rgb="FF000000"/>
        <sz val="14.0"/>
      </rPr>
      <t xml:space="preserve">Hey Everyone! In this tab you will find Network Issuance, Gross Validator Issuance, and Net Validator Issuance (At Home and VPS). The Analysis starts from the genesis threshold of 524,288 ETH staked and ends at 10MM ETH staked (remember no rewards are earned until after we reach genesis). Please see comments on sentivity charts where you should rerun to change all of the graph outputs. </t>
    </r>
    <r>
      <rPr>
        <rFont val="Avenir"/>
        <b val="0"/>
        <color rgb="FF000000"/>
        <sz val="14.0"/>
        <u/>
      </rPr>
      <t>Current validator reward analysis is run with ETH at $133.</t>
    </r>
  </si>
  <si>
    <t>Current Cost to Reach Genesis</t>
  </si>
  <si>
    <t># of Oil Barrels Required to Become a Validator (WTI)</t>
  </si>
  <si>
    <t>No</t>
  </si>
  <si>
    <t xml:space="preserve">Number of Machines </t>
  </si>
  <si>
    <t>Cost to be a Validator</t>
  </si>
  <si>
    <t>Max. Validators per Machine</t>
  </si>
  <si>
    <t>Simulated Rewards (24 Months) - This is Incomplete</t>
  </si>
  <si>
    <t>Network Issuance ETH/Day (Phase 0) - 98% Average Online</t>
  </si>
  <si>
    <t>Net Validator Economics - At Home</t>
  </si>
  <si>
    <t>Validator Cost (Phase 0)</t>
  </si>
  <si>
    <t>Validator Monthly Cost (Phase 0)</t>
  </si>
  <si>
    <t>Validator Monthly Cost (At Home)</t>
  </si>
  <si>
    <t>ETH = $202</t>
  </si>
  <si>
    <t>Net Validator Economics - VPS</t>
  </si>
  <si>
    <t>Annualized Validator Reward (Phase 0 - VPS)</t>
  </si>
  <si>
    <t>Clients Per Machine = 1000</t>
  </si>
  <si>
    <r>
      <rPr>
        <rFont val="Avenir"/>
        <b/>
        <color rgb="FF000000"/>
        <sz val="14.0"/>
      </rPr>
      <t xml:space="preserve">Hey Everyone! In this tab you will find Network Issuance, Gross Validator Issuance, and Net Validator Issuance (At Home and VPS). The Analysis starts from the genesis threshold of 524,288 ETH staked and ends at 10MM ETH staked (remember no rewards are earned until after we reach genesis). Please see comments on sentivity charts where you should rerun to change all of the graph outputs. </t>
    </r>
    <r>
      <rPr>
        <rFont val="Avenir"/>
        <b val="0"/>
        <color rgb="FF000000"/>
        <sz val="14.0"/>
        <u/>
      </rPr>
      <t>Current validator reward analysis is run with ETH at $133.</t>
    </r>
  </si>
  <si>
    <t>Validators per Machine</t>
  </si>
  <si>
    <t>Validator P&amp;L</t>
  </si>
  <si>
    <t>Option 1 - Hardware</t>
  </si>
  <si>
    <t xml:space="preserve">Option 2 - VPS </t>
  </si>
  <si>
    <t>Option 3 - Staking Provider</t>
  </si>
  <si>
    <t>Reward Fee Cut</t>
  </si>
  <si>
    <t>Hey Everyone! Welcome to the official eth2 Calculator. The purpose of this calculator is to increase transparency and discovery around the economics of eth2. This model is 100% open source so please make a copy and begin experimenting with it on your own. If you have any questions please DM me directly @StakeETH.</t>
  </si>
  <si>
    <t>1. Validators are required to stake 32 Eth to become a Validator</t>
  </si>
  <si>
    <r>
      <rPr>
        <rFont val="Avenir"/>
        <b/>
        <color rgb="FFFFFFFF"/>
        <sz val="14.0"/>
        <u/>
      </rPr>
      <t>Input vs Ouput:</t>
    </r>
    <r>
      <rPr>
        <rFont val="Avenir"/>
        <color rgb="FFFFFFFF"/>
        <sz val="14.0"/>
      </rPr>
      <t xml:space="preserve"> The variables that are colored blue mean they are key drivers of anticipated rewards at the network level and the validator level. These can be adjusted by the user at discretion to produce different outputs. As a result, the variables you see in grey are outputs (formulas) and should not be changed. For example, the price of ETH is auto updated from Coinbase but can be customized to a validators assumptions (which is why it is left in blue text). In addition, total supply is in grey but can be adjusted to your liking as well to simulate a Phase 2 state (advanced user metrics).</t>
    </r>
  </si>
  <si>
    <t xml:space="preserve">3. All ETH + Rewards that are staked in the beacon chain cannot exit the system until Phase 1.5 (timelines currently unknown)
</t>
  </si>
  <si>
    <t xml:space="preserve">4. Rewards are not received until the network reaches genesis (524,288 eth staked or 16,384 validators). As a result, the bootstrapping of Phase 0 will require alturistic validators to reach genesis.
</t>
  </si>
  <si>
    <r>
      <rPr>
        <rFont val="Avenir"/>
        <b/>
        <color rgb="FFFFFFFF"/>
        <sz val="14.0"/>
        <u/>
      </rPr>
      <t>Network Issaunce:</t>
    </r>
    <r>
      <rPr>
        <rFont val="Avenir"/>
        <b val="0"/>
        <color rgb="FFFFFFFF"/>
        <sz val="14.0"/>
        <u/>
      </rPr>
      <t xml:space="preserve"> One of the models outputs is to show the total ETH issuance on a daily and annual basis given a current state of the network (which is determined by the calculator user). It is imporant to note that this is imperfect given the dynamic nature of eth2 (as explained on the right) and the circulating supply of the model being fixed at 110MM. The network issuance charts should give users an undersatnding of how issuance changes with the amount of activate Validators that are participating in eth2.</t>
    </r>
  </si>
  <si>
    <t xml:space="preserve">5. Rewards (- penalties) are transferred to validators every epoch (384 seconds = ~6.5 minutes)
</t>
  </si>
  <si>
    <r>
      <rPr>
        <rFont val="Avenir"/>
        <b/>
        <color rgb="FFFFFFFF"/>
        <sz val="14.0"/>
        <u/>
      </rPr>
      <t>Gross Validator Issuance vs Net Validator Issuance:</t>
    </r>
    <r>
      <rPr>
        <rFont val="Avenir"/>
        <b val="0"/>
        <color rgb="FFFFFFFF"/>
        <sz val="14.0"/>
        <u/>
      </rPr>
      <t xml:space="preserve"> For starters, all reward figures are annualized. The model and supporting graphs shows the validator what the gross issuance and net issuance is. </t>
    </r>
    <r>
      <rPr>
        <rFont val="Avenir"/>
        <b/>
        <color rgb="FFFFFFFF"/>
        <sz val="14.0"/>
        <u/>
      </rPr>
      <t>Gross Issuance</t>
    </r>
    <r>
      <rPr>
        <rFont val="Avenir"/>
        <b val="0"/>
        <color rgb="FFFFFFFF"/>
        <sz val="14.0"/>
        <u/>
      </rPr>
      <t xml:space="preserve"> should be thought of as what eth2 spits out to a validator assuming no personal costs (Network Level Issuance), while </t>
    </r>
    <r>
      <rPr>
        <rFont val="Avenir"/>
        <b/>
        <color rgb="FFFFFFFF"/>
        <sz val="14.0"/>
        <u/>
      </rPr>
      <t>Net Issaunce</t>
    </r>
    <r>
      <rPr>
        <rFont val="Avenir"/>
        <b val="0"/>
        <color rgb="FFFFFFFF"/>
        <sz val="14.0"/>
        <u/>
      </rPr>
      <t xml:space="preserve"> is what a validator receives after costs are applied (Network Level Issuance - costs of infrastructure). </t>
    </r>
    <r>
      <rPr>
        <rFont val="Avenir"/>
        <b/>
        <color rgb="FFFFFFFF"/>
        <sz val="14.0"/>
        <u/>
      </rPr>
      <t>Finally the model assumes that all validators act honestly and does not include slashing.</t>
    </r>
  </si>
  <si>
    <t>8. A Validator needs to be 'Active' on the previous epoch to receive rewards.</t>
  </si>
  <si>
    <r>
      <rPr>
        <rFont val="Avenir"/>
        <b/>
        <color rgb="FFFFFFFF"/>
        <sz val="14.0"/>
        <u/>
      </rPr>
      <t>Validator Cost Toggles:</t>
    </r>
    <r>
      <rPr>
        <rFont val="Avenir"/>
        <color rgb="FFFFFFFF"/>
        <sz val="14.0"/>
      </rPr>
      <t xml:space="preserve"> One of the primary requests of this model is to show validators what rewards look like after costs. As a result, the model allows users to toggle between different infrastructure set ups, which will change Validator Net Rewards. Validators have the option of using at home hardware or a monthly Cloud. Once a toggle has been chosen, validators can then get more granukar with their cost set ups (this should be pretty straight forward in the model).</t>
    </r>
  </si>
  <si>
    <r>
      <rPr>
        <rFont val="Avenir"/>
        <b/>
        <color rgb="FFFFFFFF"/>
        <sz val="14.0"/>
        <u/>
      </rPr>
      <t>Validators Per Machine:</t>
    </r>
    <r>
      <rPr>
        <rFont val="Avenir"/>
        <color rgb="FFFFFFFF"/>
        <sz val="14.0"/>
      </rPr>
      <t xml:space="preserve"> Without a clear hardware spec, it is hard to know what the technical and financial risk threholds are for how many validators can be run on each machine. </t>
    </r>
    <r>
      <rPr>
        <rFont val="Avenir"/>
        <b/>
        <color rgb="FFFFFFFF"/>
        <sz val="14.0"/>
        <u/>
      </rPr>
      <t>For the purpose of the model we assume 16 clients for the at home hardware user and 100 clients per machine for the VPS user. Please see comments in the next tab for more information on how Validtors can customize this thresholds.</t>
    </r>
    <r>
      <rPr>
        <rFont val="Avenir"/>
        <color rgb="FFFFFFFF"/>
        <sz val="14.0"/>
      </rPr>
      <t xml:space="preserve"> For reference, on a standard 4GB 8GB SSD Digital Ocean server, testnet validators are running 1,000+ validators without breaking a sweat but again validators must remember financial risk when making this decision as well as value is at risk.</t>
    </r>
  </si>
  <si>
    <r>
      <rPr>
        <rFont val="Avenir"/>
        <b/>
        <color rgb="FFFFFFFF"/>
        <sz val="14.0"/>
        <u/>
      </rPr>
      <t>Sensitivity Analysis:</t>
    </r>
    <r>
      <rPr>
        <rFont val="Avenir"/>
        <color rgb="FFFFFFFF"/>
        <sz val="14.0"/>
      </rPr>
      <t xml:space="preserve"> Since there are so many sensitivity charts, leaving them on autoupdate every time the price of ETH changes will not accomodate everyone's machines or connections. As a result, you will find comments on certain sensitivity tables in the next tab that indicate where to rerun the what if's</t>
    </r>
    <r>
      <rPr>
        <rFont val="Avenir"/>
        <b/>
        <color rgb="FFFFFFFF"/>
        <sz val="14.0"/>
      </rPr>
      <t xml:space="preserve">. </t>
    </r>
    <r>
      <rPr>
        <rFont val="Avenir"/>
        <b/>
        <color rgb="FFFFFFFF"/>
        <sz val="14.0"/>
        <u/>
      </rPr>
      <t>Once the sensitivity charts are updated, the line graphs will update in lock step.</t>
    </r>
  </si>
  <si>
    <t>User Identity</t>
  </si>
  <si>
    <t>Calculator Score</t>
  </si>
  <si>
    <t>What Did You Like About it?</t>
  </si>
  <si>
    <t>What Did You Not Like About It?</t>
  </si>
  <si>
    <t>What Should Be Improved?</t>
  </si>
  <si>
    <t>Eth2 Calculator</t>
  </si>
  <si>
    <t>Welcome to the Eth2 Calculator - Stake Responsibly!!</t>
  </si>
  <si>
    <t>Cost To Reach Genesis</t>
  </si>
  <si>
    <t>Internet Toggles</t>
  </si>
  <si>
    <t>Staker Reward</t>
  </si>
  <si>
    <t>Staker Reward (ETH)</t>
  </si>
  <si>
    <t>Infra Toggles</t>
  </si>
  <si>
    <t>Beacon Node Tyoe</t>
  </si>
  <si>
    <t>Cloud</t>
  </si>
  <si>
    <t>Infra Choices</t>
  </si>
  <si>
    <t>Recommended Requirements</t>
  </si>
  <si>
    <t>Cloud Cost</t>
  </si>
  <si>
    <t>Net Validator Economics - Hadware (Reccomended)</t>
  </si>
  <si>
    <t>Average % Online = 95%</t>
  </si>
  <si>
    <t>Net Validator Economics - Cloud (Recommended)</t>
  </si>
  <si>
    <t>Refresh Button</t>
  </si>
  <si>
    <t>Eth2 Overview Dashboard</t>
  </si>
  <si>
    <t>Eth2 Network Updates</t>
  </si>
  <si>
    <t>Current Annualized Reward</t>
  </si>
  <si>
    <t>Total Eth Staked</t>
  </si>
  <si>
    <t>Total Eth Staked ($USD)</t>
  </si>
  <si>
    <t>Activation Timeline</t>
  </si>
  <si>
    <t>Annual Network Issuance</t>
  </si>
  <si>
    <t>Average % Online = 98.0%</t>
  </si>
  <si>
    <t>Validator Uptime = 98%</t>
  </si>
  <si>
    <t>Merge Economics</t>
  </si>
  <si>
    <t>Daily EVM Fee's</t>
  </si>
  <si>
    <t>Expected Fee Burn (EIP-1559)</t>
  </si>
  <si>
    <t>Fee Rewards Per Year</t>
  </si>
  <si>
    <t>Fee Reward</t>
  </si>
  <si>
    <t>Fee Reward (ETH)</t>
  </si>
  <si>
    <t>Net Reward (ETH)</t>
  </si>
  <si>
    <t>Total ETH Staked = 2MM</t>
  </si>
  <si>
    <t>Net Validator Economics - Hadware (Reccomended Specs)</t>
  </si>
  <si>
    <t>Annualized Validator Rewards (Hardware)</t>
  </si>
  <si>
    <t>Annual Net Profit (Hardware)</t>
  </si>
  <si>
    <t>Annual Rewards % (Hardware)</t>
  </si>
  <si>
    <t>ETH Price = $600</t>
  </si>
  <si>
    <t>Average % Online = 98%</t>
  </si>
  <si>
    <t>Annualized Validator Rewards (Cloud)</t>
  </si>
  <si>
    <t>Annual Net Profit (Cloud)</t>
  </si>
  <si>
    <t>Base Graph Output (Internet Bond Phase 0)</t>
  </si>
  <si>
    <t>Month</t>
  </si>
  <si>
    <t>Monthly Reward (ETH)</t>
  </si>
  <si>
    <t>Validator Balance</t>
  </si>
  <si>
    <t>Cumulative Return</t>
  </si>
  <si>
    <t>Monthly Reward</t>
  </si>
  <si>
    <t>Total ETH Staked</t>
  </si>
  <si>
    <t>ETH Price</t>
  </si>
  <si>
    <t>Deposit Value</t>
  </si>
  <si>
    <t>Face Value</t>
  </si>
  <si>
    <t>Total Value Staked</t>
  </si>
  <si>
    <t>Total Supply Staked</t>
  </si>
  <si>
    <t>Eth2 Issuance</t>
  </si>
  <si>
    <t>Monthly Issuance (ETH)</t>
  </si>
  <si>
    <t>Eth1 Issuance</t>
  </si>
  <si>
    <t xml:space="preserve"> Eth1 Issuance</t>
  </si>
  <si>
    <t>Total Issuance</t>
  </si>
  <si>
    <t>Issuance %</t>
  </si>
  <si>
    <t>Total Supply</t>
  </si>
  <si>
    <t>Market Cap</t>
  </si>
  <si>
    <t>Validator Rewards</t>
  </si>
  <si>
    <t>YTM</t>
  </si>
  <si>
    <t>FV</t>
  </si>
  <si>
    <t>The Internet Bond</t>
  </si>
  <si>
    <r>
      <rPr>
        <rFont val="Source Serif Pro"/>
        <b/>
        <color rgb="FF000000"/>
        <sz val="14.0"/>
      </rPr>
      <t xml:space="preserve">Welcome to the Internet Bond, brought to you by Collin Myers &amp; Mara Schmiedt. Check out the full Whitepaper </t>
    </r>
    <r>
      <rPr>
        <rFont val="Source Serif Pro"/>
        <b/>
        <color rgb="FF1155CC"/>
        <sz val="14.0"/>
        <u/>
      </rPr>
      <t>here</t>
    </r>
    <r>
      <rPr>
        <rFont val="Source Serif Pro"/>
        <b/>
        <color rgb="FF000000"/>
        <sz val="14.0"/>
      </rPr>
      <t>.</t>
    </r>
  </si>
  <si>
    <t>24 Month (Internet Bond Phase 0)</t>
  </si>
  <si>
    <t>Present Value</t>
  </si>
  <si>
    <t>Present Value (DR)</t>
  </si>
  <si>
    <t>Market Value</t>
  </si>
  <si>
    <t xml:space="preserve">Market Value (DR) </t>
  </si>
  <si>
    <t xml:space="preserve">24 Month (Internet Bond Phase 0)					</t>
  </si>
  <si>
    <t>Discount Rate (PV)</t>
  </si>
  <si>
    <t>Discount Rate (MV)</t>
  </si>
  <si>
    <t>Internet Bond Dashboard</t>
  </si>
  <si>
    <t>Network Assumptions</t>
  </si>
  <si>
    <t>Eth1 Yearly Inflation</t>
  </si>
  <si>
    <t>Attestation Effectiveness</t>
  </si>
  <si>
    <t>Total ETH Staked (Month 0)</t>
  </si>
  <si>
    <t>MoM Growth (ETH staked)</t>
  </si>
  <si>
    <t>ETH Price (Month 0)</t>
  </si>
  <si>
    <t>MoM Growth (ETH price)</t>
  </si>
  <si>
    <t>Discount Assumptions</t>
  </si>
  <si>
    <t>Pre Genesis Discount</t>
  </si>
  <si>
    <t>Phase 0 Discount</t>
  </si>
  <si>
    <t>Phase 1 Discount</t>
  </si>
  <si>
    <t>Simulated Rewards Phase 0 - Phase 1.5</t>
  </si>
  <si>
    <t>Perpetual Bond</t>
  </si>
  <si>
    <t>MainN et Launch</t>
  </si>
  <si>
    <t>Genersis</t>
  </si>
  <si>
    <t>Phase 0</t>
  </si>
  <si>
    <t>Phase 1</t>
  </si>
  <si>
    <t>Phase 1.5</t>
  </si>
  <si>
    <t>Year 3</t>
  </si>
  <si>
    <t>Total ETH Staked in Network</t>
  </si>
  <si>
    <t>Total Value Locked</t>
  </si>
  <si>
    <t>Monthly Growth Rate</t>
  </si>
  <si>
    <t>Total Network Validators</t>
  </si>
  <si>
    <t>Active Validators</t>
  </si>
  <si>
    <t>Offline Validators</t>
  </si>
  <si>
    <t>Epoch #</t>
  </si>
  <si>
    <t>Slot #</t>
  </si>
  <si>
    <t>Total Seconds (30 days)</t>
  </si>
  <si>
    <t>Total Slots (30 days)</t>
  </si>
  <si>
    <t>Proposer to Slot Ratio</t>
  </si>
  <si>
    <t>Total Epochs (30 days)</t>
  </si>
  <si>
    <t>Cumulative Epochs</t>
  </si>
  <si>
    <t>Per Epoch Rewards</t>
  </si>
  <si>
    <t>Base Reward Per Validator (in Gwei)</t>
  </si>
  <si>
    <t>Match Source Vote</t>
  </si>
  <si>
    <t>Match Source and Target Vote</t>
  </si>
  <si>
    <t>Match Source and Head Vote</t>
  </si>
  <si>
    <t>Proposer Incentives</t>
  </si>
  <si>
    <t>Attester Incentives</t>
  </si>
  <si>
    <t>Total Rewards</t>
  </si>
  <si>
    <t>FFG Penalties</t>
  </si>
  <si>
    <t>ETH Per Month</t>
  </si>
  <si>
    <t>Circulating Supply</t>
  </si>
  <si>
    <t>Monthly Issuance</t>
  </si>
  <si>
    <t>Stake Rate</t>
  </si>
  <si>
    <t xml:space="preserve">Validator Specific </t>
  </si>
  <si>
    <t>Proposer Probability</t>
  </si>
  <si>
    <t>Validator Reward Breakdown</t>
  </si>
  <si>
    <t>FFG Rewards</t>
  </si>
  <si>
    <t>Attester Rewards</t>
  </si>
  <si>
    <t>Slot Delay</t>
  </si>
  <si>
    <t>Full Reward Per Epoch</t>
  </si>
  <si>
    <t>Total Reward (In ETH)</t>
  </si>
  <si>
    <t>Total Monthly Reward (ETH)</t>
  </si>
  <si>
    <t>Total Monthly Reward (%)</t>
  </si>
  <si>
    <t>Staked Balance</t>
  </si>
  <si>
    <t>Total Reward</t>
  </si>
  <si>
    <t>Total Balance (Month End)</t>
  </si>
  <si>
    <t>Valuation</t>
  </si>
  <si>
    <t>Ethereum Price (USD)</t>
  </si>
  <si>
    <t>Monthly Price Increase (%)</t>
  </si>
  <si>
    <t>Monthly Reward ($)</t>
  </si>
  <si>
    <t>Accrued Reward</t>
  </si>
  <si>
    <t xml:space="preserve">Illiquidity Discount </t>
  </si>
  <si>
    <t>Deferred Coupon Bond (24 Month)</t>
  </si>
  <si>
    <t>Perpetual Valuation</t>
  </si>
  <si>
    <t>Current Yield</t>
  </si>
  <si>
    <t>Dollar Interest Paid</t>
  </si>
  <si>
    <t>RRR (Traditional)</t>
  </si>
  <si>
    <t>Payment Growth Rate</t>
  </si>
  <si>
    <t>Maturity (Months)</t>
  </si>
  <si>
    <t>Present  Value</t>
  </si>
  <si>
    <t>Discount</t>
  </si>
  <si>
    <t>Discount %</t>
  </si>
  <si>
    <t>Current Value</t>
  </si>
  <si>
    <t>Future Value</t>
  </si>
  <si>
    <t>PV</t>
  </si>
  <si>
    <t>Duration Calculation</t>
  </si>
  <si>
    <t>Discount Rate</t>
  </si>
  <si>
    <t>PV of Rewards</t>
  </si>
  <si>
    <t>Total Value</t>
  </si>
  <si>
    <t>Coupon Rate</t>
  </si>
  <si>
    <t>Time to Maturity</t>
  </si>
  <si>
    <t>Duartion</t>
  </si>
  <si>
    <t>Deffered Coupon Bond (18 Month)</t>
  </si>
  <si>
    <t>Deffered Coupon Bond (12 Month)</t>
  </si>
  <si>
    <t>Deffered Coupon Bond (6 Month)</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</si>
</sst>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0.0%"/>
    <numFmt numFmtId="165" formatCode="&quot;$&quot;#,##0"/>
    <numFmt numFmtId="166" formatCode="0.0000"/>
    <numFmt numFmtId="167" formatCode="0.000000000"/>
    <numFmt numFmtId="168" formatCode="&quot;$&quot;#,##0.00"/>
    <numFmt numFmtId="169" formatCode="[$¥]#,##0"/>
    <numFmt numFmtId="170" formatCode="[$$]#,##0"/>
    <numFmt numFmtId="171" formatCode="#,##0.0"/>
    <numFmt numFmtId="172" formatCode="#,##0.0000"/>
    <numFmt numFmtId="173" formatCode="0.000%"/>
    <numFmt numFmtId="174" formatCode="0.00000"/>
    <numFmt numFmtId="175" formatCode="0.0"/>
    <numFmt numFmtId="176" formatCode="0.0000%"/>
    <numFmt numFmtId="177" formatCode="0x"/>
    <numFmt numFmtId="178" formatCode="0.000"/>
    <numFmt numFmtId="179" formatCode="&quot;$&quot;#,##0.000"/>
  </numFmts>
  <fonts count="108">
    <font>
      <sz val="10.0"/>
      <color rgb="FF000000"/>
      <name val="Arial"/>
      <scheme val="minor"/>
    </font>
    <font>
      <sz val="24.0"/>
      <color theme="1"/>
      <name val="Arial"/>
      <scheme val="minor"/>
    </font>
    <font>
      <color theme="1"/>
      <name val="Arial"/>
      <scheme val="minor"/>
    </font>
    <font>
      <u/>
      <sz val="18.0"/>
      <color rgb="FF000000"/>
    </font>
    <font>
      <sz val="18.0"/>
      <color theme="1"/>
      <name val="Arial"/>
      <scheme val="minor"/>
    </font>
    <font>
      <b/>
      <u/>
      <sz val="24.0"/>
      <color theme="1"/>
      <name val="Avenir"/>
    </font>
    <font>
      <b/>
      <color rgb="FFFF0000"/>
      <name val="Arial"/>
      <scheme val="minor"/>
    </font>
    <font>
      <b/>
      <color rgb="FFFFFFFF"/>
      <name val="Arial"/>
      <scheme val="minor"/>
    </font>
    <font>
      <b/>
      <u/>
      <sz val="12.0"/>
      <color rgb="FFFFFFFF"/>
      <name val="Arial"/>
      <scheme val="minor"/>
    </font>
    <font>
      <color rgb="FFFFFFFF"/>
      <name val="Arial"/>
      <scheme val="minor"/>
    </font>
    <font>
      <color rgb="FF000000"/>
      <name val="Arial"/>
      <scheme val="minor"/>
    </font>
    <font>
      <color rgb="FF0000FF"/>
      <name val="Arial"/>
      <scheme val="minor"/>
    </font>
    <font>
      <b/>
      <color theme="1"/>
      <name val="Arial"/>
      <scheme val="minor"/>
    </font>
    <font>
      <sz val="10.0"/>
      <color theme="1"/>
      <name val="Arial"/>
      <scheme val="minor"/>
    </font>
    <font>
      <b/>
      <sz val="10.0"/>
      <color rgb="FF000000"/>
      <name val="Arial"/>
      <scheme val="minor"/>
    </font>
    <font>
      <b/>
      <sz val="10.0"/>
      <color theme="1"/>
      <name val="Arial"/>
      <scheme val="minor"/>
    </font>
    <font>
      <b/>
      <sz val="10.0"/>
      <color rgb="FFFFFFFF"/>
      <name val="Arial"/>
      <scheme val="minor"/>
    </font>
    <font>
      <b/>
      <sz val="16.0"/>
      <color rgb="FFFFFFFF"/>
      <name val="Arial"/>
      <scheme val="minor"/>
    </font>
    <font>
      <b/>
      <sz val="16.0"/>
      <color rgb="FFFFFFFF"/>
      <name val="Arial"/>
    </font>
    <font>
      <color theme="1"/>
      <name val="Arial"/>
    </font>
    <font>
      <b/>
      <sz val="14.0"/>
      <color rgb="FFFFFFFF"/>
      <name val="Arial"/>
      <scheme val="minor"/>
    </font>
    <font/>
    <font>
      <b/>
      <color rgb="FFFFFFFF"/>
      <name val="Arial"/>
    </font>
    <font>
      <b/>
      <sz val="14.0"/>
      <color rgb="FFFFFFFF"/>
      <name val="Arial"/>
    </font>
    <font>
      <b/>
      <color rgb="FF073763"/>
      <name val="Arial"/>
      <scheme val="minor"/>
    </font>
    <font>
      <b/>
      <color rgb="FF073763"/>
      <name val="Arial"/>
    </font>
    <font>
      <color rgb="FF000000"/>
      <name val="Arial"/>
    </font>
    <font>
      <b/>
      <sz val="12.0"/>
      <color rgb="FFFFFFFF"/>
      <name val="Arial"/>
      <scheme val="minor"/>
    </font>
    <font>
      <b/>
      <sz val="10.0"/>
      <color rgb="FF000000"/>
      <name val="Inconsolata"/>
    </font>
    <font>
      <sz val="11.0"/>
      <color rgb="FF11A9CC"/>
      <name val="Inconsolata"/>
    </font>
    <font>
      <b/>
      <i/>
      <u/>
      <sz val="14.0"/>
      <color rgb="FFFFFFFF"/>
      <name val="Arial"/>
      <scheme val="minor"/>
    </font>
    <font>
      <b/>
      <i/>
      <u/>
      <sz val="14.0"/>
      <color rgb="FFFFFFFF"/>
      <name val="Arial"/>
      <scheme val="minor"/>
    </font>
    <font>
      <b/>
      <sz val="14.0"/>
      <color rgb="FF000000"/>
      <name val="Arial"/>
      <scheme val="minor"/>
    </font>
    <font>
      <b/>
      <u/>
      <sz val="14.0"/>
      <color rgb="FFFFFFFF"/>
      <name val="Arial"/>
      <scheme val="minor"/>
    </font>
    <font>
      <b/>
      <color rgb="FF1C4587"/>
      <name val="Arial"/>
      <scheme val="minor"/>
    </font>
    <font>
      <u/>
      <sz val="10.0"/>
      <color rgb="FF000000"/>
      <name val="Arial"/>
      <scheme val="minor"/>
    </font>
    <font>
      <sz val="10.0"/>
      <color rgb="FF000000"/>
      <name val="Arial"/>
    </font>
    <font>
      <b/>
      <color rgb="FF000000"/>
      <name val="Arial"/>
      <scheme val="minor"/>
    </font>
    <font>
      <b/>
      <i/>
      <u/>
      <sz val="14.0"/>
      <color rgb="FFFFFFFF"/>
      <name val="Arial"/>
      <scheme val="minor"/>
    </font>
    <font>
      <b/>
      <color rgb="FF0B5394"/>
      <name val="Arial"/>
      <scheme val="minor"/>
    </font>
    <font>
      <sz val="18.0"/>
      <color rgb="FF1155CC"/>
      <name val="Arial"/>
      <scheme val="minor"/>
    </font>
    <font>
      <color rgb="FF1155CC"/>
      <name val="Arial"/>
      <scheme val="minor"/>
    </font>
    <font>
      <b/>
      <u/>
      <sz val="24.0"/>
      <color theme="1"/>
      <name val="Avenir"/>
    </font>
    <font>
      <b/>
      <sz val="18.0"/>
      <color rgb="FF000000"/>
      <name val="Avenir"/>
    </font>
    <font>
      <b/>
      <u/>
      <sz val="14.0"/>
      <color rgb="FF000000"/>
      <name val="Avenir"/>
    </font>
    <font>
      <b/>
      <u/>
      <sz val="16.0"/>
      <color theme="1"/>
      <name val="Avenir"/>
    </font>
    <font>
      <sz val="14.0"/>
      <color theme="1"/>
      <name val="Avenir"/>
    </font>
    <font>
      <sz val="14.0"/>
      <color rgb="FF000000"/>
      <name val="Avenir"/>
    </font>
    <font>
      <sz val="8.0"/>
      <color theme="1"/>
      <name val="Avenir"/>
    </font>
    <font>
      <sz val="24.0"/>
      <color theme="1"/>
      <name val="Avenir"/>
    </font>
    <font>
      <b/>
      <sz val="16.0"/>
      <color rgb="FFFFFFFF"/>
      <name val="Avenir"/>
    </font>
    <font>
      <b/>
      <sz val="14.0"/>
      <color rgb="FFFFFFFF"/>
      <name val="Avenir"/>
    </font>
    <font>
      <b/>
      <color rgb="FFFFFFFF"/>
      <name val="Avenir"/>
    </font>
    <font>
      <b/>
      <color rgb="FF073763"/>
      <name val="Avenir"/>
    </font>
    <font>
      <color theme="1"/>
      <name val="Avenir"/>
    </font>
    <font>
      <color rgb="FF000000"/>
      <name val="Avenir"/>
    </font>
    <font>
      <b/>
      <u/>
      <sz val="16.0"/>
      <color theme="1"/>
      <name val="Avenir"/>
    </font>
    <font>
      <sz val="10.0"/>
      <color theme="1"/>
      <name val="Avenir"/>
    </font>
    <font>
      <b/>
      <sz val="10.0"/>
      <color rgb="FF000000"/>
      <name val="Avenir"/>
    </font>
    <font>
      <u/>
      <sz val="14.0"/>
      <color rgb="FF0000FF"/>
      <name val="Avenir"/>
    </font>
    <font>
      <b/>
      <sz val="10.0"/>
      <color theme="1"/>
      <name val="Avenir"/>
    </font>
    <font>
      <b/>
      <sz val="14.0"/>
      <color theme="1"/>
      <name val="Avenir"/>
    </font>
    <font>
      <b/>
      <sz val="12.0"/>
      <color rgb="FFFFFFFF"/>
      <name val="Avenir"/>
    </font>
    <font>
      <b/>
      <sz val="14.0"/>
      <color rgb="FF000000"/>
      <name val="Avenir"/>
    </font>
    <font>
      <sz val="36.0"/>
      <color theme="1"/>
      <name val="Avenir"/>
    </font>
    <font>
      <b/>
      <u/>
      <sz val="12.0"/>
      <color rgb="FFFFFFFF"/>
      <name val="Arial"/>
      <scheme val="minor"/>
    </font>
    <font>
      <color rgb="FFFFFFFF"/>
      <name val="Avenir"/>
    </font>
    <font>
      <color rgb="FF0000FF"/>
      <name val="Avenir"/>
    </font>
    <font>
      <b/>
      <color rgb="FF000000"/>
      <name val="Avenir"/>
    </font>
    <font>
      <b/>
      <sz val="10.0"/>
      <color rgb="FFFFFFFF"/>
      <name val="Avenir"/>
    </font>
    <font>
      <b/>
      <color theme="1"/>
      <name val="Avenir"/>
    </font>
    <font>
      <b/>
      <u/>
      <sz val="24.0"/>
      <color theme="1"/>
      <name val="Avenir"/>
    </font>
    <font>
      <b/>
      <sz val="24.0"/>
      <color rgb="FFFFFFFF"/>
      <name val="Arial"/>
      <scheme val="minor"/>
    </font>
    <font>
      <u/>
      <sz val="18.0"/>
      <color rgb="FF1155CC"/>
    </font>
    <font>
      <b/>
      <sz val="12.0"/>
      <color theme="1"/>
      <name val="Arial"/>
      <scheme val="minor"/>
    </font>
    <font>
      <b/>
      <u/>
      <sz val="16.0"/>
      <color theme="1"/>
      <name val="Avenir"/>
    </font>
    <font>
      <sz val="14.0"/>
      <color rgb="FFFFFFFF"/>
      <name val="Avenir"/>
    </font>
    <font>
      <b/>
      <u/>
      <sz val="14.0"/>
      <color rgb="FFFFFFFF"/>
      <name val="Avenir"/>
    </font>
    <font>
      <sz val="18.0"/>
      <color theme="1"/>
      <name val="Avenir"/>
    </font>
    <font>
      <b/>
      <sz val="24.0"/>
      <color rgb="FFFFFFFF"/>
      <name val="Source Serif Pro"/>
    </font>
    <font>
      <sz val="36.0"/>
      <color rgb="FFFFFFFF"/>
      <name val="Avenir"/>
    </font>
    <font>
      <b/>
      <sz val="14.0"/>
      <color rgb="FF000000"/>
      <name val="Source Serif Pro"/>
    </font>
    <font>
      <color theme="1"/>
      <name val="Source Serif Pro"/>
    </font>
    <font>
      <b/>
      <u/>
      <sz val="12.0"/>
      <color rgb="FFFFFFFF"/>
      <name val="Source Serif Pro"/>
    </font>
    <font>
      <b/>
      <color rgb="FFFFFFFF"/>
      <name val="Source Serif Pro"/>
    </font>
    <font>
      <color rgb="FFFFFFFF"/>
      <name val="Source Serif Pro"/>
    </font>
    <font>
      <color rgb="FF0000FF"/>
      <name val="Source Serif Pro"/>
    </font>
    <font>
      <color rgb="FF000000"/>
      <name val="Source Serif Pro"/>
    </font>
    <font>
      <b/>
      <color rgb="FF000000"/>
      <name val="Source Serif Pro"/>
    </font>
    <font>
      <sz val="10.0"/>
      <color theme="1"/>
      <name val="Source Serif Pro"/>
    </font>
    <font>
      <b/>
      <sz val="10.0"/>
      <color rgb="FF000000"/>
      <name val="Source Serif Pro"/>
    </font>
    <font>
      <b/>
      <sz val="10.0"/>
      <color theme="1"/>
      <name val="Source Serif Pro"/>
    </font>
    <font>
      <b/>
      <sz val="10.0"/>
      <color rgb="FFFFFFFF"/>
      <name val="Source Serif Pro"/>
    </font>
    <font>
      <b/>
      <sz val="14.0"/>
      <color rgb="FFFFFFFF"/>
      <name val="Source Serif Pro"/>
    </font>
    <font>
      <b/>
      <sz val="14.0"/>
      <color theme="1"/>
      <name val="Source Serif Pro"/>
    </font>
    <font>
      <b/>
      <color theme="1"/>
      <name val="Source Serif Pro"/>
    </font>
    <font>
      <sz val="10.0"/>
      <color rgb="FF0000FF"/>
      <name val="Source Serif Pro"/>
    </font>
    <font>
      <i/>
      <sz val="8.0"/>
      <color theme="1"/>
      <name val="Arial"/>
      <scheme val="minor"/>
    </font>
    <font>
      <sz val="8.0"/>
      <color theme="1"/>
      <name val="Arial"/>
      <scheme val="minor"/>
    </font>
    <font>
      <sz val="14.0"/>
      <color theme="1"/>
      <name val="Arial"/>
      <scheme val="minor"/>
    </font>
    <font>
      <sz val="12.0"/>
      <color theme="1"/>
      <name val="Avenir"/>
    </font>
    <font>
      <b/>
      <u/>
      <color theme="1"/>
      <name val="Arial"/>
      <scheme val="minor"/>
    </font>
    <font>
      <u/>
      <color theme="1"/>
      <name val="Arial"/>
      <scheme val="minor"/>
    </font>
    <font>
      <i/>
      <color theme="1"/>
      <name val="Arial"/>
      <scheme val="minor"/>
    </font>
    <font>
      <b/>
      <color rgb="FF0000FF"/>
      <name val="Arial"/>
      <scheme val="minor"/>
    </font>
    <font>
      <sz val="12.0"/>
      <color theme="1"/>
      <name val="Arial"/>
      <scheme val="minor"/>
    </font>
    <font>
      <b/>
      <color rgb="FF9FC5E8"/>
      <name val="Arial"/>
      <scheme val="minor"/>
    </font>
    <font>
      <sz val="11.0"/>
      <color rgb="FF000000"/>
      <name val="Inconsolata"/>
    </font>
  </fonts>
  <fills count="222">
    <fill>
      <patternFill patternType="none"/>
    </fill>
    <fill>
      <patternFill patternType="lightGray"/>
    </fill>
    <fill>
      <patternFill patternType="solid">
        <fgColor rgb="FF073763"/>
        <bgColor rgb="FF073763"/>
      </patternFill>
    </fill>
    <fill>
      <patternFill patternType="solid">
        <fgColor rgb="FFD9D9D9"/>
        <bgColor rgb="FFD9D9D9"/>
      </patternFill>
    </fill>
    <fill>
      <patternFill patternType="solid">
        <fgColor rgb="FFFFFFFF"/>
        <bgColor rgb="FFFFFFFF"/>
      </patternFill>
    </fill>
    <fill>
      <patternFill patternType="solid">
        <fgColor rgb="FF6FA8DC"/>
        <bgColor rgb="FF6FA8DC"/>
      </patternFill>
    </fill>
    <fill>
      <patternFill patternType="solid">
        <fgColor rgb="FFCCCCCC"/>
        <bgColor rgb="FFCCCCCC"/>
      </patternFill>
    </fill>
    <fill>
      <patternFill patternType="solid">
        <fgColor rgb="FFDD7E6B"/>
        <bgColor rgb="FFDD7E6B"/>
      </patternFill>
    </fill>
    <fill>
      <patternFill patternType="solid">
        <fgColor rgb="FFF1FAF6"/>
        <bgColor rgb="FFF1FAF6"/>
      </patternFill>
    </fill>
    <fill>
      <patternFill patternType="solid">
        <fgColor rgb="FFF0F9F5"/>
        <bgColor rgb="FFF0F9F5"/>
      </patternFill>
    </fill>
    <fill>
      <patternFill patternType="solid">
        <fgColor rgb="FFEFF9F4"/>
        <bgColor rgb="FFEFF9F4"/>
      </patternFill>
    </fill>
    <fill>
      <patternFill patternType="solid">
        <fgColor rgb="FFEEF9F4"/>
        <bgColor rgb="FFEEF9F4"/>
      </patternFill>
    </fill>
    <fill>
      <patternFill patternType="solid">
        <fgColor rgb="FFEEF8F3"/>
        <bgColor rgb="FFEEF8F3"/>
      </patternFill>
    </fill>
    <fill>
      <patternFill patternType="solid">
        <fgColor rgb="FFEDF8F3"/>
        <bgColor rgb="FFEDF8F3"/>
      </patternFill>
    </fill>
    <fill>
      <patternFill patternType="solid">
        <fgColor rgb="FFEDF8F2"/>
        <bgColor rgb="FFEDF8F2"/>
      </patternFill>
    </fill>
    <fill>
      <patternFill patternType="solid">
        <fgColor rgb="FFECF8F2"/>
        <bgColor rgb="FFECF8F2"/>
      </patternFill>
    </fill>
    <fill>
      <patternFill patternType="solid">
        <fgColor rgb="FFECF7F2"/>
        <bgColor rgb="FFECF7F2"/>
      </patternFill>
    </fill>
    <fill>
      <patternFill patternType="solid">
        <fgColor rgb="FFFEFFFF"/>
        <bgColor rgb="FFFEFFFF"/>
      </patternFill>
    </fill>
    <fill>
      <patternFill patternType="solid">
        <fgColor rgb="FFFEFFFE"/>
        <bgColor rgb="FFFEFFFE"/>
      </patternFill>
    </fill>
    <fill>
      <patternFill patternType="solid">
        <fgColor rgb="FFDEF2E8"/>
        <bgColor rgb="FFDEF2E8"/>
      </patternFill>
    </fill>
    <fill>
      <patternFill patternType="solid">
        <fgColor rgb="FFEAF7F1"/>
        <bgColor rgb="FFEAF7F1"/>
      </patternFill>
    </fill>
    <fill>
      <patternFill patternType="solid">
        <fgColor rgb="FFF3FBF7"/>
        <bgColor rgb="FFF3FBF7"/>
      </patternFill>
    </fill>
    <fill>
      <patternFill patternType="solid">
        <fgColor rgb="FFF6FBF9"/>
        <bgColor rgb="FFF6FBF9"/>
      </patternFill>
    </fill>
    <fill>
      <patternFill patternType="solid">
        <fgColor rgb="FFF7FCFA"/>
        <bgColor rgb="FFF7FCFA"/>
      </patternFill>
    </fill>
    <fill>
      <patternFill patternType="solid">
        <fgColor rgb="FFF9FDFB"/>
        <bgColor rgb="FFF9FDFB"/>
      </patternFill>
    </fill>
    <fill>
      <patternFill patternType="solid">
        <fgColor rgb="FFFAFDFB"/>
        <bgColor rgb="FFFAFDFB"/>
      </patternFill>
    </fill>
    <fill>
      <patternFill patternType="solid">
        <fgColor rgb="FFFBFEFC"/>
        <bgColor rgb="FFFBFEFC"/>
      </patternFill>
    </fill>
    <fill>
      <patternFill patternType="solid">
        <fgColor rgb="FFFBFEFD"/>
        <bgColor rgb="FFFBFEFD"/>
      </patternFill>
    </fill>
    <fill>
      <patternFill patternType="solid">
        <fgColor rgb="FFFCFEFD"/>
        <bgColor rgb="FFFCFEFD"/>
      </patternFill>
    </fill>
    <fill>
      <patternFill patternType="solid">
        <fgColor rgb="FFFDFEFD"/>
        <bgColor rgb="FFFDFEFD"/>
      </patternFill>
    </fill>
    <fill>
      <patternFill patternType="solid">
        <fgColor rgb="FFFDFFFE"/>
        <bgColor rgb="FFFDFFFE"/>
      </patternFill>
    </fill>
    <fill>
      <patternFill patternType="solid">
        <fgColor rgb="FF93C47D"/>
        <bgColor rgb="FF93C47D"/>
      </patternFill>
    </fill>
    <fill>
      <patternFill patternType="solid">
        <fgColor rgb="FFFCE5CD"/>
        <bgColor rgb="FFFCE5CD"/>
      </patternFill>
    </fill>
    <fill>
      <patternFill patternType="solid">
        <fgColor rgb="FF9FC5E8"/>
        <bgColor rgb="FF9FC5E8"/>
      </patternFill>
    </fill>
    <fill>
      <patternFill patternType="solid">
        <fgColor rgb="FFF9CB9C"/>
        <bgColor rgb="FFF9CB9C"/>
      </patternFill>
    </fill>
    <fill>
      <patternFill patternType="solid">
        <fgColor rgb="FF6AA84F"/>
        <bgColor rgb="FF6AA84F"/>
      </patternFill>
    </fill>
    <fill>
      <patternFill patternType="solid">
        <fgColor rgb="FFEA9999"/>
        <bgColor rgb="FFEA9999"/>
      </patternFill>
    </fill>
    <fill>
      <patternFill patternType="solid">
        <fgColor rgb="FFA9DCC3"/>
        <bgColor rgb="FFA9DCC3"/>
      </patternFill>
    </fill>
    <fill>
      <patternFill patternType="solid">
        <fgColor rgb="FF9BD7BA"/>
        <bgColor rgb="FF9BD7BA"/>
      </patternFill>
    </fill>
    <fill>
      <patternFill patternType="solid">
        <fgColor rgb="FF8ED1B0"/>
        <bgColor rgb="FF8ED1B0"/>
      </patternFill>
    </fill>
    <fill>
      <patternFill patternType="solid">
        <fgColor rgb="FF80CCA7"/>
        <bgColor rgb="FF80CCA7"/>
      </patternFill>
    </fill>
    <fill>
      <patternFill patternType="solid">
        <fgColor rgb="FF73C69D"/>
        <bgColor rgb="FF73C69D"/>
      </patternFill>
    </fill>
    <fill>
      <patternFill patternType="solid">
        <fgColor rgb="FF65C194"/>
        <bgColor rgb="FF65C194"/>
      </patternFill>
    </fill>
    <fill>
      <patternFill patternType="solid">
        <fgColor rgb="FF57BB8A"/>
        <bgColor rgb="FF57BB8A"/>
      </patternFill>
    </fill>
    <fill>
      <patternFill patternType="solid">
        <fgColor rgb="FF7DCBA4"/>
        <bgColor rgb="FF7DCBA4"/>
      </patternFill>
    </fill>
    <fill>
      <patternFill patternType="solid">
        <fgColor rgb="FF76C8A0"/>
        <bgColor rgb="FF76C8A0"/>
      </patternFill>
    </fill>
    <fill>
      <patternFill patternType="solid">
        <fgColor rgb="FF70C59C"/>
        <bgColor rgb="FF70C59C"/>
      </patternFill>
    </fill>
    <fill>
      <patternFill patternType="solid">
        <fgColor rgb="FF6AC397"/>
        <bgColor rgb="FF6AC397"/>
      </patternFill>
    </fill>
    <fill>
      <patternFill patternType="solid">
        <fgColor rgb="FF64C093"/>
        <bgColor rgb="FF64C093"/>
      </patternFill>
    </fill>
    <fill>
      <patternFill patternType="solid">
        <fgColor rgb="FF61BF91"/>
        <bgColor rgb="FF61BF91"/>
      </patternFill>
    </fill>
    <fill>
      <patternFill patternType="solid">
        <fgColor rgb="FF5FBE90"/>
        <bgColor rgb="FF5FBE90"/>
      </patternFill>
    </fill>
    <fill>
      <patternFill patternType="solid">
        <fgColor rgb="FF5CBD8E"/>
        <bgColor rgb="FF5CBD8E"/>
      </patternFill>
    </fill>
    <fill>
      <patternFill patternType="solid">
        <fgColor rgb="FF5ABC8C"/>
        <bgColor rgb="FF5ABC8C"/>
      </patternFill>
    </fill>
    <fill>
      <patternFill patternType="solid">
        <fgColor rgb="FFC1E6D4"/>
        <bgColor rgb="FFC1E6D4"/>
      </patternFill>
    </fill>
    <fill>
      <patternFill patternType="solid">
        <fgColor rgb="FFB7E2CD"/>
        <bgColor rgb="FFB7E2CD"/>
      </patternFill>
    </fill>
    <fill>
      <patternFill patternType="solid">
        <fgColor rgb="FFADDEC6"/>
        <bgColor rgb="FFADDEC6"/>
      </patternFill>
    </fill>
    <fill>
      <patternFill patternType="solid">
        <fgColor rgb="FFA3DABF"/>
        <bgColor rgb="FFA3DABF"/>
      </patternFill>
    </fill>
    <fill>
      <patternFill patternType="solid">
        <fgColor rgb="FF9AD6B9"/>
        <bgColor rgb="FF9AD6B9"/>
      </patternFill>
    </fill>
    <fill>
      <patternFill patternType="solid">
        <fgColor rgb="FF90D2B2"/>
        <bgColor rgb="FF90D2B2"/>
      </patternFill>
    </fill>
    <fill>
      <patternFill patternType="solid">
        <fgColor rgb="FF86CEAB"/>
        <bgColor rgb="FF86CEAB"/>
      </patternFill>
    </fill>
    <fill>
      <patternFill patternType="solid">
        <fgColor rgb="FF9CD7BA"/>
        <bgColor rgb="FF9CD7BA"/>
      </patternFill>
    </fill>
    <fill>
      <patternFill patternType="solid">
        <fgColor rgb="FF97D5B7"/>
        <bgColor rgb="FF97D5B7"/>
      </patternFill>
    </fill>
    <fill>
      <patternFill patternType="solid">
        <fgColor rgb="FF93D3B4"/>
        <bgColor rgb="FF93D3B4"/>
      </patternFill>
    </fill>
    <fill>
      <patternFill patternType="solid">
        <fgColor rgb="FF8ED2B1"/>
        <bgColor rgb="FF8ED2B1"/>
      </patternFill>
    </fill>
    <fill>
      <patternFill patternType="solid">
        <fgColor rgb="FF8AD0AE"/>
        <bgColor rgb="FF8AD0AE"/>
      </patternFill>
    </fill>
    <fill>
      <patternFill patternType="solid">
        <fgColor rgb="FF88CFAC"/>
        <bgColor rgb="FF88CFAC"/>
      </patternFill>
    </fill>
    <fill>
      <patternFill patternType="solid">
        <fgColor rgb="FF85CEAA"/>
        <bgColor rgb="FF85CEAA"/>
      </patternFill>
    </fill>
    <fill>
      <patternFill patternType="solid">
        <fgColor rgb="FF83CDA9"/>
        <bgColor rgb="FF83CDA9"/>
      </patternFill>
    </fill>
    <fill>
      <patternFill patternType="solid">
        <fgColor rgb="FF81CCA7"/>
        <bgColor rgb="FF81CCA7"/>
      </patternFill>
    </fill>
    <fill>
      <patternFill patternType="solid">
        <fgColor rgb="FFCDEBDC"/>
        <bgColor rgb="FFCDEBDC"/>
      </patternFill>
    </fill>
    <fill>
      <patternFill patternType="solid">
        <fgColor rgb="FFC4E8D6"/>
        <bgColor rgb="FFC4E8D6"/>
      </patternFill>
    </fill>
    <fill>
      <patternFill patternType="solid">
        <fgColor rgb="FFBCE4D1"/>
        <bgColor rgb="FFBCE4D1"/>
      </patternFill>
    </fill>
    <fill>
      <patternFill patternType="solid">
        <fgColor rgb="FFB4E1CB"/>
        <bgColor rgb="FFB4E1CB"/>
      </patternFill>
    </fill>
    <fill>
      <patternFill patternType="solid">
        <fgColor rgb="FFACDEC6"/>
        <bgColor rgb="FFACDEC6"/>
      </patternFill>
    </fill>
    <fill>
      <patternFill patternType="solid">
        <fgColor rgb="FFA4DBC0"/>
        <bgColor rgb="FFA4DBC0"/>
      </patternFill>
    </fill>
    <fill>
      <patternFill patternType="solid">
        <fgColor rgb="FFABDDC5"/>
        <bgColor rgb="FFABDDC5"/>
      </patternFill>
    </fill>
    <fill>
      <patternFill patternType="solid">
        <fgColor rgb="FFA7DCC2"/>
        <bgColor rgb="FFA7DCC2"/>
      </patternFill>
    </fill>
    <fill>
      <patternFill patternType="solid">
        <fgColor rgb="FFA4DAC0"/>
        <bgColor rgb="FFA4DAC0"/>
      </patternFill>
    </fill>
    <fill>
      <patternFill patternType="solid">
        <fgColor rgb="FFA0D9BD"/>
        <bgColor rgb="FFA0D9BD"/>
      </patternFill>
    </fill>
    <fill>
      <patternFill patternType="solid">
        <fgColor rgb="FF9BD7B9"/>
        <bgColor rgb="FF9BD7B9"/>
      </patternFill>
    </fill>
    <fill>
      <patternFill patternType="solid">
        <fgColor rgb="FF99D6B8"/>
        <bgColor rgb="FF99D6B8"/>
      </patternFill>
    </fill>
    <fill>
      <patternFill patternType="solid">
        <fgColor rgb="FF98D6B7"/>
        <bgColor rgb="FF98D6B7"/>
      </patternFill>
    </fill>
    <fill>
      <patternFill patternType="solid">
        <fgColor rgb="FF97D5B6"/>
        <bgColor rgb="FF97D5B6"/>
      </patternFill>
    </fill>
    <fill>
      <patternFill patternType="solid">
        <fgColor rgb="FF95D4B5"/>
        <bgColor rgb="FF95D4B5"/>
      </patternFill>
    </fill>
    <fill>
      <patternFill patternType="solid">
        <fgColor rgb="FFD3EEE1"/>
        <bgColor rgb="FFD3EEE1"/>
      </patternFill>
    </fill>
    <fill>
      <patternFill patternType="solid">
        <fgColor rgb="FFCCEBDC"/>
        <bgColor rgb="FFCCEBDC"/>
      </patternFill>
    </fill>
    <fill>
      <patternFill patternType="solid">
        <fgColor rgb="FFC5E8D7"/>
        <bgColor rgb="FFC5E8D7"/>
      </patternFill>
    </fill>
    <fill>
      <patternFill patternType="solid">
        <fgColor rgb="FFBFE5D2"/>
        <bgColor rgb="FFBFE5D2"/>
      </patternFill>
    </fill>
    <fill>
      <patternFill patternType="solid">
        <fgColor rgb="FFB8E2CD"/>
        <bgColor rgb="FFB8E2CD"/>
      </patternFill>
    </fill>
    <fill>
      <patternFill patternType="solid">
        <fgColor rgb="FFB1E0C9"/>
        <bgColor rgb="FFB1E0C9"/>
      </patternFill>
    </fill>
    <fill>
      <patternFill patternType="solid">
        <fgColor rgb="FFAADDC4"/>
        <bgColor rgb="FFAADDC4"/>
      </patternFill>
    </fill>
    <fill>
      <patternFill patternType="solid">
        <fgColor rgb="FFAEDEC6"/>
        <bgColor rgb="FFAEDEC6"/>
      </patternFill>
    </fill>
    <fill>
      <patternFill patternType="solid">
        <fgColor rgb="FFA6DBC1"/>
        <bgColor rgb="FFA6DBC1"/>
      </patternFill>
    </fill>
    <fill>
      <patternFill patternType="solid">
        <fgColor rgb="FFA5DBC0"/>
        <bgColor rgb="FFA5DBC0"/>
      </patternFill>
    </fill>
    <fill>
      <patternFill patternType="solid">
        <fgColor rgb="FFA4DABF"/>
        <bgColor rgb="FFA4DABF"/>
      </patternFill>
    </fill>
    <fill>
      <patternFill patternType="solid">
        <fgColor rgb="FFA2DABF"/>
        <bgColor rgb="FFA2DABF"/>
      </patternFill>
    </fill>
    <fill>
      <patternFill patternType="solid">
        <fgColor rgb="FFA1D9BE"/>
        <bgColor rgb="FFA1D9BE"/>
      </patternFill>
    </fill>
    <fill>
      <patternFill patternType="solid">
        <fgColor rgb="FFD8F0E4"/>
        <bgColor rgb="FFD8F0E4"/>
      </patternFill>
    </fill>
    <fill>
      <patternFill patternType="solid">
        <fgColor rgb="FFD2EDE0"/>
        <bgColor rgb="FFD2EDE0"/>
      </patternFill>
    </fill>
    <fill>
      <patternFill patternType="solid">
        <fgColor rgb="FFCCEBDB"/>
        <bgColor rgb="FFCCEBDB"/>
      </patternFill>
    </fill>
    <fill>
      <patternFill patternType="solid">
        <fgColor rgb="FFBFE5D3"/>
        <bgColor rgb="FFBFE5D3"/>
      </patternFill>
    </fill>
    <fill>
      <patternFill patternType="solid">
        <fgColor rgb="FFB9E3CE"/>
        <bgColor rgb="FFB9E3CE"/>
      </patternFill>
    </fill>
    <fill>
      <patternFill patternType="solid">
        <fgColor rgb="FFB3E0CA"/>
        <bgColor rgb="FFB3E0CA"/>
      </patternFill>
    </fill>
    <fill>
      <patternFill patternType="solid">
        <fgColor rgb="FFBAE3CF"/>
        <bgColor rgb="FFBAE3CF"/>
      </patternFill>
    </fill>
    <fill>
      <patternFill patternType="solid">
        <fgColor rgb="FFB2E0C9"/>
        <bgColor rgb="FFB2E0C9"/>
      </patternFill>
    </fill>
    <fill>
      <patternFill patternType="solid">
        <fgColor rgb="FFAFDFC7"/>
        <bgColor rgb="FFAFDFC7"/>
      </patternFill>
    </fill>
    <fill>
      <patternFill patternType="solid">
        <fgColor rgb="FFAEDEC7"/>
        <bgColor rgb="FFAEDEC7"/>
      </patternFill>
    </fill>
    <fill>
      <patternFill patternType="solid">
        <fgColor rgb="FFA9DDC3"/>
        <bgColor rgb="FFA9DDC3"/>
      </patternFill>
    </fill>
    <fill>
      <patternFill patternType="solid">
        <fgColor rgb="FFDCF1E6"/>
        <bgColor rgb="FFDCF1E6"/>
      </patternFill>
    </fill>
    <fill>
      <patternFill patternType="solid">
        <fgColor rgb="FFD6EFE3"/>
        <bgColor rgb="FFD6EFE3"/>
      </patternFill>
    </fill>
    <fill>
      <patternFill patternType="solid">
        <fgColor rgb="FFD0ECDF"/>
        <bgColor rgb="FFD0ECDF"/>
      </patternFill>
    </fill>
    <fill>
      <patternFill patternType="solid">
        <fgColor rgb="FFCBEADB"/>
        <bgColor rgb="FFCBEADB"/>
      </patternFill>
    </fill>
    <fill>
      <patternFill patternType="solid">
        <fgColor rgb="FFB9E3CF"/>
        <bgColor rgb="FFB9E3CF"/>
      </patternFill>
    </fill>
    <fill>
      <patternFill patternType="solid">
        <fgColor rgb="FFB3E1CA"/>
        <bgColor rgb="FFB3E1CA"/>
      </patternFill>
    </fill>
    <fill>
      <patternFill patternType="solid">
        <fgColor rgb="FFB2E0CA"/>
        <bgColor rgb="FFB2E0CA"/>
      </patternFill>
    </fill>
    <fill>
      <patternFill patternType="solid">
        <fgColor rgb="FFB0DFC8"/>
        <bgColor rgb="FFB0DFC8"/>
      </patternFill>
    </fill>
    <fill>
      <patternFill patternType="solid">
        <fgColor rgb="FFAFDFC8"/>
        <bgColor rgb="FFAFDFC8"/>
      </patternFill>
    </fill>
    <fill>
      <patternFill patternType="solid">
        <fgColor rgb="FFD9F0E5"/>
        <bgColor rgb="FFD9F0E5"/>
      </patternFill>
    </fill>
    <fill>
      <patternFill patternType="solid">
        <fgColor rgb="FFD4EEE1"/>
        <bgColor rgb="FFD4EEE1"/>
      </patternFill>
    </fill>
    <fill>
      <patternFill patternType="solid">
        <fgColor rgb="FFCEECDD"/>
        <bgColor rgb="FFCEECDD"/>
      </patternFill>
    </fill>
    <fill>
      <patternFill patternType="solid">
        <fgColor rgb="FFC9EADA"/>
        <bgColor rgb="FFC9EADA"/>
      </patternFill>
    </fill>
    <fill>
      <patternFill patternType="solid">
        <fgColor rgb="FFC4E7D6"/>
        <bgColor rgb="FFC4E7D6"/>
      </patternFill>
    </fill>
    <fill>
      <patternFill patternType="solid">
        <fgColor rgb="FFC2E7D5"/>
        <bgColor rgb="FFC2E7D5"/>
      </patternFill>
    </fill>
    <fill>
      <patternFill patternType="solid">
        <fgColor rgb="FFC0E6D3"/>
        <bgColor rgb="FFC0E6D3"/>
      </patternFill>
    </fill>
    <fill>
      <patternFill patternType="solid">
        <fgColor rgb="FFBDE5D2"/>
        <bgColor rgb="FFBDE5D2"/>
      </patternFill>
    </fill>
    <fill>
      <patternFill patternType="solid">
        <fgColor rgb="FFBBE4D0"/>
        <bgColor rgb="FFBBE4D0"/>
      </patternFill>
    </fill>
    <fill>
      <patternFill patternType="solid">
        <fgColor rgb="FFB8E2CE"/>
        <bgColor rgb="FFB8E2CE"/>
      </patternFill>
    </fill>
    <fill>
      <patternFill patternType="solid">
        <fgColor rgb="FFB6E2CC"/>
        <bgColor rgb="FFB6E2CC"/>
      </patternFill>
    </fill>
    <fill>
      <patternFill patternType="solid">
        <fgColor rgb="FFB5E1CC"/>
        <bgColor rgb="FFB5E1CC"/>
      </patternFill>
    </fill>
    <fill>
      <patternFill patternType="solid">
        <fgColor rgb="FFE0F3EA"/>
        <bgColor rgb="FFE0F3EA"/>
      </patternFill>
    </fill>
    <fill>
      <patternFill patternType="solid">
        <fgColor rgb="FFD7EFE3"/>
        <bgColor rgb="FFD7EFE3"/>
      </patternFill>
    </fill>
    <fill>
      <patternFill patternType="solid">
        <fgColor rgb="FFC8E9D9"/>
        <bgColor rgb="FFC8E9D9"/>
      </patternFill>
    </fill>
    <fill>
      <patternFill patternType="solid">
        <fgColor rgb="FFC3E7D5"/>
        <bgColor rgb="FFC3E7D5"/>
      </patternFill>
    </fill>
    <fill>
      <patternFill patternType="solid">
        <fgColor rgb="FFBEE5D2"/>
        <bgColor rgb="FFBEE5D2"/>
      </patternFill>
    </fill>
    <fill>
      <patternFill patternType="solid">
        <fgColor rgb="FFBAE4CF"/>
        <bgColor rgb="FFBAE4CF"/>
      </patternFill>
    </fill>
    <fill>
      <patternFill patternType="solid">
        <fgColor rgb="FFE2F4EB"/>
        <bgColor rgb="FFE2F4EB"/>
      </patternFill>
    </fill>
    <fill>
      <patternFill patternType="solid">
        <fgColor rgb="FFD0ECDE"/>
        <bgColor rgb="FFD0ECDE"/>
      </patternFill>
    </fill>
    <fill>
      <patternFill patternType="solid">
        <fgColor rgb="FFC6E8D8"/>
        <bgColor rgb="FFC6E8D8"/>
      </patternFill>
    </fill>
    <fill>
      <patternFill patternType="solid">
        <fgColor rgb="FFC3E7D6"/>
        <bgColor rgb="FFC3E7D6"/>
      </patternFill>
    </fill>
    <fill>
      <patternFill patternType="solid">
        <fgColor rgb="FFBDE5D1"/>
        <bgColor rgb="FFBDE5D1"/>
      </patternFill>
    </fill>
    <fill>
      <patternFill patternType="solid">
        <fgColor rgb="FFBDE4D1"/>
        <bgColor rgb="FFBDE4D1"/>
      </patternFill>
    </fill>
    <fill>
      <patternFill patternType="solid">
        <fgColor rgb="FFBCE4D0"/>
        <bgColor rgb="FFBCE4D0"/>
      </patternFill>
    </fill>
    <fill>
      <patternFill patternType="solid">
        <fgColor rgb="FFE4F4EC"/>
        <bgColor rgb="FFE4F4EC"/>
      </patternFill>
    </fill>
    <fill>
      <patternFill patternType="solid">
        <fgColor rgb="FFDFF2E9"/>
        <bgColor rgb="FFDFF2E9"/>
      </patternFill>
    </fill>
    <fill>
      <patternFill patternType="solid">
        <fgColor rgb="FFDBF1E6"/>
        <bgColor rgb="FFDBF1E6"/>
      </patternFill>
    </fill>
    <fill>
      <patternFill patternType="solid">
        <fgColor rgb="FFCEEBDD"/>
        <bgColor rgb="FFCEEBDD"/>
      </patternFill>
    </fill>
    <fill>
      <patternFill patternType="solid">
        <fgColor rgb="FFCAEADA"/>
        <bgColor rgb="FFCAEADA"/>
      </patternFill>
    </fill>
    <fill>
      <patternFill patternType="solid">
        <fgColor rgb="FFE5F5ED"/>
        <bgColor rgb="FFE5F5ED"/>
      </patternFill>
    </fill>
    <fill>
      <patternFill patternType="solid">
        <fgColor rgb="FFE1F3EA"/>
        <bgColor rgb="FFE1F3EA"/>
      </patternFill>
    </fill>
    <fill>
      <patternFill patternType="solid">
        <fgColor rgb="FFDDF1E7"/>
        <bgColor rgb="FFDDF1E7"/>
      </patternFill>
    </fill>
    <fill>
      <patternFill patternType="solid">
        <fgColor rgb="FFC7E9D8"/>
        <bgColor rgb="FFC7E9D8"/>
      </patternFill>
    </fill>
    <fill>
      <patternFill patternType="solid">
        <fgColor rgb="FFE6F5EE"/>
        <bgColor rgb="FFE6F5EE"/>
      </patternFill>
    </fill>
    <fill>
      <patternFill patternType="solid">
        <fgColor rgb="FFDAF0E6"/>
        <bgColor rgb="FFDAF0E6"/>
      </patternFill>
    </fill>
    <fill>
      <patternFill patternType="solid">
        <fgColor rgb="FFC9E9DA"/>
        <bgColor rgb="FFC9E9DA"/>
      </patternFill>
    </fill>
    <fill>
      <patternFill patternType="solid">
        <fgColor rgb="FFE7F6EF"/>
        <bgColor rgb="FFE7F6EF"/>
      </patternFill>
    </fill>
    <fill>
      <patternFill patternType="solid">
        <fgColor rgb="FFE3F4EC"/>
        <bgColor rgb="FFE3F4EC"/>
      </patternFill>
    </fill>
    <fill>
      <patternFill patternType="solid">
        <fgColor rgb="FFE0F3E9"/>
        <bgColor rgb="FFE0F3E9"/>
      </patternFill>
    </fill>
    <fill>
      <patternFill patternType="solid">
        <fgColor rgb="FFDCF1E7"/>
        <bgColor rgb="FFDCF1E7"/>
      </patternFill>
    </fill>
    <fill>
      <patternFill patternType="solid">
        <fgColor rgb="FFD8EFE4"/>
        <bgColor rgb="FFD8EFE4"/>
      </patternFill>
    </fill>
    <fill>
      <patternFill patternType="solid">
        <fgColor rgb="FFC9E9D9"/>
        <bgColor rgb="FFC9E9D9"/>
      </patternFill>
    </fill>
    <fill>
      <patternFill patternType="solid">
        <fgColor rgb="FFC6E8D7"/>
        <bgColor rgb="FFC6E8D7"/>
      </patternFill>
    </fill>
    <fill>
      <patternFill patternType="solid">
        <fgColor rgb="FFE8F6EF"/>
        <bgColor rgb="FFE8F6EF"/>
      </patternFill>
    </fill>
    <fill>
      <patternFill patternType="solid">
        <fgColor rgb="FFE4F5ED"/>
        <bgColor rgb="FFE4F5ED"/>
      </patternFill>
    </fill>
    <fill>
      <patternFill patternType="solid">
        <fgColor rgb="FFDDF2E7"/>
        <bgColor rgb="FFDDF2E7"/>
      </patternFill>
    </fill>
    <fill>
      <patternFill patternType="solid">
        <fgColor rgb="FFD6EFE2"/>
        <bgColor rgb="FFD6EFE2"/>
      </patternFill>
    </fill>
    <fill>
      <patternFill patternType="solid">
        <fgColor rgb="FFCFECDE"/>
        <bgColor rgb="FFCFECDE"/>
      </patternFill>
    </fill>
    <fill>
      <patternFill patternType="solid">
        <fgColor rgb="FFE9F6F0"/>
        <bgColor rgb="FFE9F6F0"/>
      </patternFill>
    </fill>
    <fill>
      <patternFill patternType="solid">
        <fgColor rgb="FFE2F3EB"/>
        <bgColor rgb="FFE2F3EB"/>
      </patternFill>
    </fill>
    <fill>
      <patternFill patternType="solid">
        <fgColor rgb="FFCFECDD"/>
        <bgColor rgb="FFCFECDD"/>
      </patternFill>
    </fill>
    <fill>
      <patternFill patternType="solid">
        <fgColor rgb="FFC7E8D8"/>
        <bgColor rgb="FFC7E8D8"/>
      </patternFill>
    </fill>
    <fill>
      <patternFill patternType="solid">
        <fgColor rgb="FFEAF7F0"/>
        <bgColor rgb="FFEAF7F0"/>
      </patternFill>
    </fill>
    <fill>
      <patternFill patternType="solid">
        <fgColor rgb="FFE3F4EB"/>
        <bgColor rgb="FFE3F4EB"/>
      </patternFill>
    </fill>
    <fill>
      <patternFill patternType="solid">
        <fgColor rgb="FFD5EEE2"/>
        <bgColor rgb="FFD5EEE2"/>
      </patternFill>
    </fill>
    <fill>
      <patternFill patternType="solid">
        <fgColor rgb="FFD1EDDF"/>
        <bgColor rgb="FFD1EDDF"/>
      </patternFill>
    </fill>
    <fill>
      <patternFill patternType="solid">
        <fgColor rgb="FFE7F6EE"/>
        <bgColor rgb="FFE7F6EE"/>
      </patternFill>
    </fill>
    <fill>
      <patternFill patternType="solid">
        <fgColor rgb="FFCDEBDD"/>
        <bgColor rgb="FFCDEBDD"/>
      </patternFill>
    </fill>
    <fill>
      <patternFill patternType="solid">
        <fgColor rgb="FFEBF7F1"/>
        <bgColor rgb="FFEBF7F1"/>
      </patternFill>
    </fill>
    <fill>
      <patternFill patternType="solid">
        <fgColor rgb="FFD3EDE0"/>
        <bgColor rgb="FFD3EDE0"/>
      </patternFill>
    </fill>
    <fill>
      <patternFill patternType="solid">
        <fgColor rgb="FFCCEADB"/>
        <bgColor rgb="FFCCEADB"/>
      </patternFill>
    </fill>
    <fill>
      <patternFill patternType="solid">
        <fgColor rgb="FF45818E"/>
        <bgColor rgb="FF45818E"/>
      </patternFill>
    </fill>
    <fill>
      <patternFill patternType="solid">
        <fgColor rgb="FFFF0000"/>
        <bgColor rgb="FFFF0000"/>
      </patternFill>
    </fill>
    <fill>
      <patternFill patternType="solid">
        <fgColor rgb="FF79C9A2"/>
        <bgColor rgb="FF79C9A2"/>
      </patternFill>
    </fill>
    <fill>
      <patternFill patternType="solid">
        <fgColor rgb="FF67C295"/>
        <bgColor rgb="FF67C295"/>
      </patternFill>
    </fill>
    <fill>
      <patternFill patternType="solid">
        <fgColor rgb="FF5EBE8F"/>
        <bgColor rgb="FF5EBE8F"/>
      </patternFill>
    </fill>
    <fill>
      <patternFill patternType="solid">
        <fgColor rgb="FF59BC8B"/>
        <bgColor rgb="FF59BC8B"/>
      </patternFill>
    </fill>
    <fill>
      <patternFill patternType="solid">
        <fgColor rgb="FF58BC8B"/>
        <bgColor rgb="FF58BC8B"/>
      </patternFill>
    </fill>
    <fill>
      <patternFill patternType="solid">
        <fgColor rgb="FFA9DDC4"/>
        <bgColor rgb="FFA9DDC4"/>
      </patternFill>
    </fill>
    <fill>
      <patternFill patternType="solid">
        <fgColor rgb="FF91D3B3"/>
        <bgColor rgb="FF91D3B3"/>
      </patternFill>
    </fill>
    <fill>
      <patternFill patternType="solid">
        <fgColor rgb="FF8CD1AF"/>
        <bgColor rgb="FF8CD1AF"/>
      </patternFill>
    </fill>
    <fill>
      <patternFill patternType="solid">
        <fgColor rgb="FF89CFAD"/>
        <bgColor rgb="FF89CFAD"/>
      </patternFill>
    </fill>
    <fill>
      <patternFill patternType="solid">
        <fgColor rgb="FF87CFAC"/>
        <bgColor rgb="FF87CFAC"/>
      </patternFill>
    </fill>
    <fill>
      <patternFill patternType="solid">
        <fgColor rgb="FFC0E6D4"/>
        <bgColor rgb="FFC0E6D4"/>
      </patternFill>
    </fill>
    <fill>
      <patternFill patternType="solid">
        <fgColor rgb="FFAEDFC7"/>
        <bgColor rgb="FFAEDFC7"/>
      </patternFill>
    </fill>
    <fill>
      <patternFill patternType="solid">
        <fgColor rgb="FFA8DCC3"/>
        <bgColor rgb="FFA8DCC3"/>
      </patternFill>
    </fill>
    <fill>
      <patternFill patternType="solid">
        <fgColor rgb="FFA5DBC1"/>
        <bgColor rgb="FFA5DBC1"/>
      </patternFill>
    </fill>
    <fill>
      <patternFill patternType="solid">
        <fgColor rgb="FF9FD8BC"/>
        <bgColor rgb="FF9FD8BC"/>
      </patternFill>
    </fill>
    <fill>
      <patternFill patternType="solid">
        <fgColor rgb="FF9FD9BD"/>
        <bgColor rgb="FF9FD9BD"/>
      </patternFill>
    </fill>
    <fill>
      <patternFill patternType="solid">
        <fgColor rgb="FFB6E2CD"/>
        <bgColor rgb="FFB6E2CD"/>
      </patternFill>
    </fill>
    <fill>
      <patternFill patternType="solid">
        <fgColor rgb="FFC2E6D4"/>
        <bgColor rgb="FFC2E6D4"/>
      </patternFill>
    </fill>
    <fill>
      <patternFill patternType="solid">
        <fgColor rgb="FFDAF0E5"/>
        <bgColor rgb="FFDAF0E5"/>
      </patternFill>
    </fill>
    <fill>
      <patternFill patternType="solid">
        <fgColor rgb="FFCAEADB"/>
        <bgColor rgb="FFCAEADB"/>
      </patternFill>
    </fill>
    <fill>
      <patternFill patternType="solid">
        <fgColor rgb="FFF2FAF6"/>
        <bgColor rgb="FFF2FAF6"/>
      </patternFill>
    </fill>
    <fill>
      <patternFill patternType="solid">
        <fgColor rgb="FFF4FBF7"/>
        <bgColor rgb="FFF4FBF7"/>
      </patternFill>
    </fill>
    <fill>
      <patternFill patternType="solid">
        <fgColor rgb="FFD9F0E4"/>
        <bgColor rgb="FFD9F0E4"/>
      </patternFill>
    </fill>
    <fill>
      <patternFill patternType="solid">
        <fgColor rgb="FFF6FCF9"/>
        <bgColor rgb="FFF6FCF9"/>
      </patternFill>
    </fill>
    <fill>
      <patternFill patternType="solid">
        <fgColor rgb="FFF8FCFA"/>
        <bgColor rgb="FFF8FCFA"/>
      </patternFill>
    </fill>
    <fill>
      <patternFill patternType="solid">
        <fgColor rgb="FFE6F5ED"/>
        <bgColor rgb="FFE6F5ED"/>
      </patternFill>
    </fill>
    <fill>
      <patternFill patternType="solid">
        <fgColor rgb="FFD7EFE4"/>
        <bgColor rgb="FFD7EFE4"/>
      </patternFill>
    </fill>
    <fill>
      <patternFill patternType="solid">
        <fgColor rgb="FFE1F3EB"/>
        <bgColor rgb="FFE1F3EB"/>
      </patternFill>
    </fill>
    <fill>
      <patternFill patternType="solid">
        <fgColor rgb="FFDDF2E8"/>
        <bgColor rgb="FFDDF2E8"/>
      </patternFill>
    </fill>
    <fill>
      <patternFill patternType="solid">
        <fgColor rgb="FFE4F4ED"/>
        <bgColor rgb="FFE4F4ED"/>
      </patternFill>
    </fill>
    <fill>
      <patternFill patternType="solid">
        <fgColor rgb="FF20124D"/>
        <bgColor rgb="FF20124D"/>
      </patternFill>
    </fill>
    <fill>
      <patternFill patternType="solid">
        <fgColor rgb="FFEFEFEF"/>
        <bgColor rgb="FFEFEFEF"/>
      </patternFill>
    </fill>
    <fill>
      <patternFill patternType="solid">
        <fgColor rgb="FF274E13"/>
        <bgColor rgb="FF274E13"/>
      </patternFill>
    </fill>
    <fill>
      <patternFill patternType="solid">
        <fgColor rgb="FFCFE2F3"/>
        <bgColor rgb="FFCFE2F3"/>
      </patternFill>
    </fill>
    <fill>
      <patternFill patternType="solid">
        <fgColor rgb="FF990000"/>
        <bgColor rgb="FF990000"/>
      </patternFill>
    </fill>
    <fill>
      <patternFill patternType="solid">
        <fgColor rgb="FFBF9000"/>
        <bgColor rgb="FFBF9000"/>
      </patternFill>
    </fill>
    <fill>
      <patternFill patternType="solid">
        <fgColor rgb="FF0B5394"/>
        <bgColor rgb="FF0B5394"/>
      </patternFill>
    </fill>
    <fill>
      <patternFill patternType="solid">
        <fgColor rgb="FFFFFF00"/>
        <bgColor rgb="FFFFFF00"/>
      </patternFill>
    </fill>
    <fill>
      <patternFill patternType="solid">
        <fgColor rgb="FFFF9900"/>
        <bgColor rgb="FFFF9900"/>
      </patternFill>
    </fill>
    <fill>
      <patternFill patternType="solid">
        <fgColor rgb="FF351C75"/>
        <bgColor rgb="FF351C75"/>
      </patternFill>
    </fill>
    <fill>
      <patternFill patternType="solid">
        <fgColor rgb="FFFFE599"/>
        <bgColor rgb="FFFFE599"/>
      </patternFill>
    </fill>
  </fills>
  <borders count="83">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top style="thick">
        <color rgb="FF000000"/>
      </top>
      <bottom style="thin">
        <color rgb="FF000000"/>
      </bottom>
    </border>
    <border>
      <right style="thick">
        <color rgb="FF000000"/>
      </right>
      <top style="thick">
        <color rgb="FF000000"/>
      </top>
      <bottom style="thin">
        <color rgb="FF000000"/>
      </bottom>
    </border>
    <border>
      <left style="thick">
        <color rgb="FF000000"/>
      </left>
      <bottom style="thin">
        <color rgb="FF000000"/>
      </bottom>
    </border>
    <border>
      <right style="thick">
        <color rgb="FF000000"/>
      </right>
      <bottom style="thin">
        <color rgb="FF000000"/>
      </bottom>
    </border>
    <border>
      <left style="thick">
        <color rgb="FF000000"/>
      </left>
      <bottom style="thick">
        <color rgb="FF000000"/>
      </bottom>
    </border>
    <border>
      <right style="thick">
        <color rgb="FF000000"/>
      </right>
      <bottom style="thick">
        <color rgb="FF000000"/>
      </bottom>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style="thick">
        <color rgb="FF000000"/>
      </left>
      <top style="thin">
        <color rgb="FF000000"/>
      </top>
    </border>
    <border>
      <right style="thick">
        <color rgb="FF000000"/>
      </right>
      <top style="thin">
        <color rgb="FF000000"/>
      </top>
    </border>
    <border>
      <left style="thick">
        <color rgb="FFFF0000"/>
      </left>
      <right style="thick">
        <color rgb="FFFF0000"/>
      </right>
      <top style="thick">
        <color rgb="FFFF0000"/>
      </top>
    </border>
    <border>
      <left style="thick">
        <color rgb="FFFF0000"/>
      </left>
      <right style="thick">
        <color rgb="FFFF0000"/>
      </right>
    </border>
    <border>
      <left style="thick">
        <color rgb="FFFF0000"/>
      </left>
      <top style="thick">
        <color rgb="FFFF0000"/>
      </top>
      <bottom style="thick">
        <color rgb="FFFF0000"/>
      </bottom>
    </border>
    <border>
      <top style="thick">
        <color rgb="FFFF0000"/>
      </top>
      <bottom style="thick">
        <color rgb="FFFF0000"/>
      </bottom>
    </border>
    <border>
      <right style="thick">
        <color rgb="FFFF0000"/>
      </right>
      <top style="thick">
        <color rgb="FFFF0000"/>
      </top>
      <bottom style="thick">
        <color rgb="FFFF0000"/>
      </bottom>
    </border>
    <border>
      <bottom style="thick">
        <color rgb="FF000000"/>
      </bottom>
    </border>
    <border>
      <left style="thick">
        <color rgb="FFFF0000"/>
      </left>
      <right style="thick">
        <color rgb="FFFF0000"/>
      </right>
      <bottom style="thick">
        <color rgb="FFFF0000"/>
      </bottom>
    </border>
    <border>
      <left style="thick">
        <color rgb="FFFF0000"/>
      </left>
      <right style="thick">
        <color rgb="FFFF0000"/>
      </right>
      <bottom style="thick">
        <color rgb="FF000000"/>
      </bottom>
    </border>
    <border>
      <left style="thick">
        <color rgb="FF000000"/>
      </left>
      <right/>
      <top style="thick">
        <color rgb="FF000000"/>
      </top>
    </border>
    <border>
      <right/>
      <top style="thick">
        <color rgb="FF000000"/>
      </top>
    </border>
    <border>
      <left style="thick">
        <color rgb="FFFF0000"/>
      </left>
      <right style="thick">
        <color rgb="FFFF0000"/>
      </right>
      <top style="thick">
        <color rgb="FFFF0000"/>
      </top>
      <bottom style="thin">
        <color rgb="FF000000"/>
      </bottom>
    </border>
    <border>
      <bottom style="thin">
        <color rgb="FF000000"/>
      </bottom>
    </border>
    <border>
      <right style="thick">
        <color rgb="FFFF0000"/>
      </right>
    </border>
    <border>
      <right style="thick">
        <color rgb="FFFF0000"/>
      </right>
      <top style="thick">
        <color rgb="FFFF0000"/>
      </top>
    </border>
    <border>
      <right style="thick">
        <color rgb="FFFF0000"/>
      </right>
      <bottom style="thick">
        <color rgb="FFFF0000"/>
      </bottom>
    </border>
    <border>
      <top style="thin">
        <color rgb="FF000000"/>
      </top>
    </border>
    <border>
      <top style="thick">
        <color rgb="FF000000"/>
      </top>
      <bottom style="thick">
        <color rgb="FF000000"/>
      </bottom>
    </border>
    <border>
      <left style="thick">
        <color rgb="FFFF0000"/>
      </left>
      <right style="thick">
        <color rgb="FFFF0000"/>
      </right>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ttom style="thick">
        <color rgb="FF000000"/>
      </bottom>
    </border>
    <border>
      <left style="thick">
        <color rgb="FF000000"/>
      </left>
      <right/>
    </border>
    <border>
      <right/>
    </border>
    <border>
      <left style="thick">
        <color rgb="FFFF0000"/>
      </left>
      <top style="thick">
        <color rgb="FFFF0000"/>
      </top>
    </border>
    <border>
      <top style="thick">
        <color rgb="FFFF0000"/>
      </top>
    </border>
    <border>
      <left style="thick">
        <color rgb="FFFF0000"/>
      </left>
      <bottom style="thick">
        <color rgb="FFFF0000"/>
      </bottom>
    </border>
    <border>
      <bottom style="thick">
        <color rgb="FFFF0000"/>
      </bottom>
    </border>
    <border>
      <right/>
      <bottom style="thick">
        <color rgb="FFFF0000"/>
      </bottom>
    </border>
    <border>
      <right style="thick">
        <color rgb="FFFF0000"/>
      </right>
      <bottom style="thick">
        <color rgb="FF000000"/>
      </bottom>
    </border>
    <border>
      <right style="thick">
        <color rgb="FF000000"/>
      </right>
      <top style="thick">
        <color rgb="FFFF0000"/>
      </top>
      <bottom style="thick">
        <color rgb="FFFF0000"/>
      </bottom>
    </border>
    <border>
      <left style="thick">
        <color rgb="FF000000"/>
      </left>
      <top style="medium">
        <color rgb="FF000000"/>
      </top>
    </border>
    <border>
      <right style="thick">
        <color rgb="FF000000"/>
      </right>
      <top style="medium">
        <color rgb="FF000000"/>
      </top>
    </border>
    <border>
      <left style="thick">
        <color rgb="FF000000"/>
      </left>
      <bottom style="double">
        <color rgb="FF000000"/>
      </bottom>
    </border>
    <border>
      <right style="thick">
        <color rgb="FF000000"/>
      </right>
      <bottom style="double">
        <color rgb="FF000000"/>
      </bottom>
    </border>
    <border>
      <left style="thick">
        <color rgb="FFFF0000"/>
      </left>
    </border>
    <border>
      <left style="dotted">
        <color rgb="FF000000"/>
      </left>
      <top style="dotted">
        <color rgb="FF000000"/>
      </top>
    </border>
    <border>
      <top style="dotted">
        <color rgb="FF000000"/>
      </top>
    </border>
    <border>
      <left style="dotted">
        <color rgb="FF000000"/>
      </left>
    </border>
    <border>
      <right style="dotted">
        <color rgb="FF000000"/>
      </right>
    </border>
    <border>
      <left style="dotted">
        <color rgb="FF000000"/>
      </left>
      <bottom style="dotted">
        <color rgb="FF000000"/>
      </bottom>
    </border>
    <border>
      <bottom style="dotted">
        <color rgb="FF000000"/>
      </bottom>
    </border>
    <border>
      <right style="dotted">
        <color rgb="FF000000"/>
      </right>
      <bottom style="dotted">
        <color rgb="FF000000"/>
      </bottom>
    </border>
    <border>
      <right style="dotted">
        <color rgb="FF000000"/>
      </right>
      <top style="dotted">
        <color rgb="FF000000"/>
      </top>
    </border>
    <border>
      <top style="dotted">
        <color rgb="FF000000"/>
      </top>
      <bottom style="dotted">
        <color rgb="FF000000"/>
      </bottom>
    </border>
    <border>
      <left style="dotted">
        <color rgb="FF000000"/>
      </left>
      <bottom style="double">
        <color rgb="FF000000"/>
      </bottom>
    </border>
    <border>
      <bottom style="double">
        <color rgb="FF000000"/>
      </bottom>
    </border>
    <border>
      <right style="dotted">
        <color rgb="FF000000"/>
      </right>
      <bottom style="double">
        <color rgb="FF000000"/>
      </bottom>
    </border>
    <border>
      <right style="dotted">
        <color rgb="FF000000"/>
      </right>
      <top style="thin">
        <color rgb="FF000000"/>
      </top>
    </border>
    <border>
      <bottom style="hair">
        <color rgb="FF000000"/>
      </bottom>
    </border>
    <border>
      <left style="dotted">
        <color rgb="FF000000"/>
      </left>
      <top style="hair">
        <color rgb="FF000000"/>
      </top>
    </border>
    <border>
      <top style="hair">
        <color rgb="FF000000"/>
      </top>
    </border>
    <border>
      <right style="dotted">
        <color rgb="FF000000"/>
      </right>
      <top style="hair">
        <color rgb="FF000000"/>
      </top>
    </border>
    <border>
      <left style="dotted">
        <color rgb="FF000000"/>
      </left>
      <top style="double">
        <color rgb="FF000000"/>
      </top>
    </border>
    <border>
      <top style="double">
        <color rgb="FF000000"/>
      </top>
    </border>
    <border>
      <left style="dotted">
        <color rgb="FF000000"/>
      </left>
      <top style="thin">
        <color rgb="FF000000"/>
      </top>
      <bottom style="hair">
        <color rgb="FF000000"/>
      </bottom>
    </border>
    <border>
      <top style="thin">
        <color rgb="FF000000"/>
      </top>
      <bottom style="hair">
        <color rgb="FF000000"/>
      </bottom>
    </border>
    <border>
      <right style="dotted">
        <color rgb="FF000000"/>
      </right>
      <top style="thin">
        <color rgb="FF000000"/>
      </top>
      <bottom style="hair">
        <color rgb="FF000000"/>
      </bottom>
    </border>
    <border>
      <left style="dotted">
        <color rgb="FF000000"/>
      </left>
      <bottom style="hair">
        <color rgb="FF000000"/>
      </bottom>
    </border>
    <border>
      <left style="hair">
        <color rgb="FF000000"/>
      </left>
      <top style="hair">
        <color rgb="FF000000"/>
      </top>
    </border>
    <border>
      <left style="hair">
        <color rgb="FF000000"/>
      </left>
    </border>
    <border>
      <right style="hair">
        <color rgb="FF000000"/>
      </right>
    </border>
    <border>
      <left style="hair">
        <color rgb="FF000000"/>
      </left>
      <top style="double">
        <color rgb="FF000000"/>
      </top>
    </border>
    <border>
      <left style="hair">
        <color rgb="FF000000"/>
      </left>
      <bottom style="double">
        <color rgb="FF000000"/>
      </bottom>
    </border>
    <border>
      <left style="thin">
        <color rgb="FF000000"/>
      </left>
      <top style="thin">
        <color rgb="FF000000"/>
      </top>
      <bottom style="hair">
        <color rgb="FF000000"/>
      </bottom>
    </border>
  </borders>
  <cellStyleXfs count="1">
    <xf borderId="0" fillId="0" fontId="0" numFmtId="0" applyAlignment="1" applyFont="1"/>
  </cellStyleXfs>
  <cellXfs count="1905">
    <xf borderId="0" fillId="0" fontId="0" numFmtId="0" xfId="0" applyAlignment="1" applyFont="1">
      <alignment readingOrder="0" shrinkToFit="0" vertical="bottom" wrapText="0"/>
    </xf>
    <xf borderId="0" fillId="0" fontId="1" numFmtId="0" xfId="0" applyAlignment="1" applyFont="1">
      <alignment readingOrder="0" vertical="center"/>
    </xf>
    <xf borderId="0" fillId="0" fontId="2" numFmtId="0" xfId="0" applyFont="1"/>
    <xf borderId="0" fillId="0" fontId="3" numFmtId="0" xfId="0" applyFont="1"/>
    <xf borderId="0" fillId="0" fontId="4" numFmtId="0" xfId="0" applyAlignment="1" applyFont="1">
      <alignment readingOrder="0" vertical="center"/>
    </xf>
    <xf borderId="1" fillId="0" fontId="5" numFmtId="0" xfId="0" applyAlignment="1" applyBorder="1" applyFont="1">
      <alignment readingOrder="0"/>
    </xf>
    <xf borderId="2" fillId="0" fontId="2" numFmtId="0" xfId="0" applyBorder="1" applyFont="1"/>
    <xf borderId="3" fillId="0" fontId="2" numFmtId="0" xfId="0" applyBorder="1" applyFont="1"/>
    <xf borderId="0" fillId="0" fontId="6" numFmtId="0" xfId="0" applyAlignment="1" applyFont="1">
      <alignment readingOrder="0"/>
    </xf>
    <xf borderId="0" fillId="0" fontId="2" numFmtId="0" xfId="0" applyAlignment="1" applyFont="1">
      <alignment readingOrder="0"/>
    </xf>
    <xf borderId="4" fillId="0" fontId="2" numFmtId="0" xfId="0" applyBorder="1" applyFont="1"/>
    <xf borderId="5" fillId="0" fontId="2" numFmtId="0" xfId="0" applyBorder="1" applyFont="1"/>
    <xf borderId="6" fillId="2" fontId="7" numFmtId="0" xfId="0" applyAlignment="1" applyBorder="1" applyFill="1" applyFont="1">
      <alignment readingOrder="0"/>
    </xf>
    <xf borderId="7" fillId="2" fontId="7" numFmtId="0" xfId="0" applyAlignment="1" applyBorder="1" applyFont="1">
      <alignment horizontal="right" readingOrder="0"/>
    </xf>
    <xf borderId="0" fillId="0" fontId="2" numFmtId="164" xfId="0" applyAlignment="1" applyFont="1" applyNumberFormat="1">
      <alignment horizontal="center" readingOrder="0"/>
    </xf>
    <xf borderId="4" fillId="3" fontId="2" numFmtId="0" xfId="0" applyAlignment="1" applyBorder="1" applyFill="1" applyFont="1">
      <alignment readingOrder="0"/>
    </xf>
    <xf borderId="5" fillId="3" fontId="2" numFmtId="3" xfId="0" applyBorder="1" applyFont="1" applyNumberFormat="1"/>
    <xf borderId="1" fillId="2" fontId="8" numFmtId="0" xfId="0" applyAlignment="1" applyBorder="1" applyFont="1">
      <alignment readingOrder="0"/>
    </xf>
    <xf borderId="3" fillId="2" fontId="2" numFmtId="0" xfId="0" applyBorder="1" applyFont="1"/>
    <xf borderId="1" fillId="3" fontId="2" numFmtId="0" xfId="0" applyAlignment="1" applyBorder="1" applyFont="1">
      <alignment readingOrder="0"/>
    </xf>
    <xf borderId="3" fillId="3" fontId="2" numFmtId="1" xfId="0" applyBorder="1" applyFont="1" applyNumberFormat="1"/>
    <xf borderId="8" fillId="2" fontId="7" numFmtId="0" xfId="0" applyAlignment="1" applyBorder="1" applyFont="1">
      <alignment readingOrder="0"/>
    </xf>
    <xf borderId="9" fillId="2" fontId="9" numFmtId="0" xfId="0" applyBorder="1" applyFont="1"/>
    <xf borderId="0" fillId="4" fontId="2" numFmtId="0" xfId="0" applyFill="1" applyFont="1"/>
    <xf borderId="5" fillId="3" fontId="10" numFmtId="165" xfId="0" applyAlignment="1" applyBorder="1" applyFont="1" applyNumberFormat="1">
      <alignment readingOrder="0"/>
    </xf>
    <xf borderId="5" fillId="3" fontId="10" numFmtId="0" xfId="0" applyAlignment="1" applyBorder="1" applyFont="1">
      <alignment readingOrder="0"/>
    </xf>
    <xf borderId="5" fillId="3" fontId="11" numFmtId="3" xfId="0" applyAlignment="1" applyBorder="1" applyFont="1" applyNumberFormat="1">
      <alignment readingOrder="0"/>
    </xf>
    <xf borderId="5" fillId="3" fontId="11" numFmtId="9" xfId="0" applyAlignment="1" applyBorder="1" applyFont="1" applyNumberFormat="1">
      <alignment readingOrder="0"/>
    </xf>
    <xf borderId="5" fillId="3" fontId="10" numFmtId="3" xfId="0" applyAlignment="1" applyBorder="1" applyFont="1" applyNumberFormat="1">
      <alignment readingOrder="0"/>
    </xf>
    <xf borderId="10" fillId="3" fontId="2" numFmtId="0" xfId="0" applyAlignment="1" applyBorder="1" applyFont="1">
      <alignment readingOrder="0"/>
    </xf>
    <xf borderId="11" fillId="3" fontId="2" numFmtId="10" xfId="0" applyBorder="1" applyFont="1" applyNumberFormat="1"/>
    <xf borderId="12" fillId="2" fontId="7" numFmtId="0" xfId="0" applyAlignment="1" applyBorder="1" applyFont="1">
      <alignment readingOrder="0"/>
    </xf>
    <xf borderId="13" fillId="2" fontId="7" numFmtId="0" xfId="0" applyAlignment="1" applyBorder="1" applyFont="1">
      <alignment horizontal="right" readingOrder="0"/>
    </xf>
    <xf borderId="14" fillId="3" fontId="2" numFmtId="0" xfId="0" applyAlignment="1" applyBorder="1" applyFont="1">
      <alignment readingOrder="0"/>
    </xf>
    <xf borderId="15" fillId="3" fontId="2" numFmtId="3" xfId="0" applyAlignment="1" applyBorder="1" applyFont="1" applyNumberFormat="1">
      <alignment readingOrder="0"/>
    </xf>
    <xf borderId="11" fillId="3" fontId="10" numFmtId="0" xfId="0" applyAlignment="1" applyBorder="1" applyFont="1">
      <alignment readingOrder="0"/>
    </xf>
    <xf borderId="15" fillId="3" fontId="10" numFmtId="3" xfId="0" applyAlignment="1" applyBorder="1" applyFont="1" applyNumberFormat="1">
      <alignment readingOrder="0"/>
    </xf>
    <xf borderId="15" fillId="3" fontId="2" numFmtId="10" xfId="0" applyBorder="1" applyFont="1" applyNumberFormat="1"/>
    <xf borderId="0" fillId="0" fontId="12" numFmtId="0" xfId="0" applyFont="1"/>
    <xf borderId="14" fillId="5" fontId="2" numFmtId="0" xfId="0" applyAlignment="1" applyBorder="1" applyFill="1" applyFont="1">
      <alignment readingOrder="0"/>
    </xf>
    <xf borderId="15" fillId="5" fontId="2" numFmtId="10" xfId="0" applyBorder="1" applyFont="1" applyNumberFormat="1"/>
    <xf borderId="16" fillId="5" fontId="2" numFmtId="0" xfId="0" applyAlignment="1" applyBorder="1" applyFont="1">
      <alignment readingOrder="0"/>
    </xf>
    <xf borderId="17" fillId="5" fontId="2" numFmtId="2" xfId="0" applyBorder="1" applyFont="1" applyNumberFormat="1"/>
    <xf borderId="1" fillId="2" fontId="7" numFmtId="0" xfId="0" applyAlignment="1" applyBorder="1" applyFont="1">
      <alignment horizontal="left" readingOrder="0"/>
    </xf>
    <xf borderId="3" fillId="2" fontId="9" numFmtId="0" xfId="0" applyAlignment="1" applyBorder="1" applyFont="1">
      <alignment readingOrder="0"/>
    </xf>
    <xf borderId="1" fillId="2" fontId="7" numFmtId="0" xfId="0" applyAlignment="1" applyBorder="1" applyFont="1">
      <alignment readingOrder="0"/>
    </xf>
    <xf borderId="3" fillId="2" fontId="9" numFmtId="0" xfId="0" applyBorder="1" applyFont="1"/>
    <xf borderId="5" fillId="3" fontId="2" numFmtId="0" xfId="0" applyAlignment="1" applyBorder="1" applyFont="1">
      <alignment horizontal="center" readingOrder="0"/>
    </xf>
    <xf borderId="5" fillId="3" fontId="11" numFmtId="0" xfId="0" applyAlignment="1" applyBorder="1" applyFont="1">
      <alignment readingOrder="0"/>
    </xf>
    <xf borderId="11" fillId="3" fontId="2" numFmtId="0" xfId="0" applyAlignment="1" applyBorder="1" applyFont="1">
      <alignment horizontal="center" readingOrder="0"/>
    </xf>
    <xf borderId="11" fillId="3" fontId="11" numFmtId="166" xfId="0" applyAlignment="1" applyBorder="1" applyFont="1" applyNumberFormat="1">
      <alignment readingOrder="0"/>
    </xf>
    <xf borderId="0" fillId="4" fontId="2" numFmtId="164" xfId="0" applyAlignment="1" applyFont="1" applyNumberFormat="1">
      <alignment horizontal="center" readingOrder="0"/>
    </xf>
    <xf borderId="0" fillId="0" fontId="12" numFmtId="3" xfId="0" applyAlignment="1" applyFont="1" applyNumberFormat="1">
      <alignment readingOrder="0"/>
    </xf>
    <xf borderId="4" fillId="0" fontId="12" numFmtId="3" xfId="0" applyAlignment="1" applyBorder="1" applyFont="1" applyNumberFormat="1">
      <alignment readingOrder="0"/>
    </xf>
    <xf borderId="5" fillId="0" fontId="12" numFmtId="3" xfId="0" applyAlignment="1" applyBorder="1" applyFont="1" applyNumberFormat="1">
      <alignment readingOrder="0"/>
    </xf>
    <xf borderId="12" fillId="2" fontId="7" numFmtId="0" xfId="0" applyAlignment="1" applyBorder="1" applyFont="1">
      <alignment horizontal="left" readingOrder="0"/>
    </xf>
    <xf borderId="13" fillId="2" fontId="9" numFmtId="0" xfId="0" applyAlignment="1" applyBorder="1" applyFont="1">
      <alignment readingOrder="0"/>
    </xf>
    <xf borderId="7" fillId="2" fontId="7" numFmtId="0" xfId="0" applyBorder="1" applyFont="1"/>
    <xf borderId="15" fillId="3" fontId="11" numFmtId="9" xfId="0" applyAlignment="1" applyBorder="1" applyFont="1" applyNumberFormat="1">
      <alignment readingOrder="0"/>
    </xf>
    <xf borderId="4" fillId="3" fontId="13" numFmtId="0" xfId="0" applyAlignment="1" applyBorder="1" applyFont="1">
      <alignment readingOrder="0"/>
    </xf>
    <xf borderId="5" fillId="3" fontId="13" numFmtId="0" xfId="0" applyBorder="1" applyFont="1"/>
    <xf borderId="15" fillId="3" fontId="11" numFmtId="0" xfId="0" applyAlignment="1" applyBorder="1" applyFont="1">
      <alignment readingOrder="0"/>
    </xf>
    <xf borderId="5" fillId="3" fontId="14" numFmtId="10" xfId="0" applyBorder="1" applyFont="1" applyNumberFormat="1"/>
    <xf borderId="0" fillId="0" fontId="2" numFmtId="167" xfId="0" applyFont="1" applyNumberFormat="1"/>
    <xf borderId="15" fillId="3" fontId="11" numFmtId="165" xfId="0" applyAlignment="1" applyBorder="1" applyFont="1" applyNumberFormat="1">
      <alignment readingOrder="0"/>
    </xf>
    <xf borderId="5" fillId="3" fontId="13" numFmtId="165" xfId="0" applyBorder="1" applyFont="1" applyNumberFormat="1"/>
    <xf borderId="5" fillId="3" fontId="15" numFmtId="10" xfId="0" applyBorder="1" applyFont="1" applyNumberFormat="1"/>
    <xf borderId="15" fillId="3" fontId="11" numFmtId="168" xfId="0" applyAlignment="1" applyBorder="1" applyFont="1" applyNumberFormat="1">
      <alignment readingOrder="0"/>
    </xf>
    <xf borderId="18" fillId="2" fontId="16" numFmtId="0" xfId="0" applyAlignment="1" applyBorder="1" applyFont="1">
      <alignment readingOrder="0"/>
    </xf>
    <xf borderId="19" fillId="2" fontId="16" numFmtId="165" xfId="0" applyBorder="1" applyFont="1" applyNumberFormat="1"/>
    <xf borderId="1" fillId="2" fontId="17" numFmtId="0" xfId="0" applyAlignment="1" applyBorder="1" applyFont="1">
      <alignment readingOrder="0"/>
    </xf>
    <xf borderId="2" fillId="2" fontId="2" numFmtId="0" xfId="0" applyBorder="1" applyFont="1"/>
    <xf borderId="1" fillId="2" fontId="18" numFmtId="0" xfId="0" applyAlignment="1" applyBorder="1" applyFont="1">
      <alignment readingOrder="0" shrinkToFit="0" vertical="bottom" wrapText="0"/>
    </xf>
    <xf borderId="2" fillId="2" fontId="19" numFmtId="164" xfId="0" applyAlignment="1" applyBorder="1" applyFont="1" applyNumberFormat="1">
      <alignment vertical="bottom"/>
    </xf>
    <xf borderId="2" fillId="2" fontId="19" numFmtId="0" xfId="0" applyAlignment="1" applyBorder="1" applyFont="1">
      <alignment vertical="bottom"/>
    </xf>
    <xf borderId="3" fillId="2" fontId="19" numFmtId="0" xfId="0" applyAlignment="1" applyBorder="1" applyFont="1">
      <alignment vertical="bottom"/>
    </xf>
    <xf borderId="9" fillId="2" fontId="7" numFmtId="164" xfId="0" applyBorder="1" applyFont="1" applyNumberFormat="1"/>
    <xf borderId="4" fillId="2" fontId="20" numFmtId="0" xfId="0" applyAlignment="1" applyBorder="1" applyFont="1">
      <alignment horizontal="center" readingOrder="0"/>
    </xf>
    <xf borderId="5" fillId="0" fontId="21" numFmtId="0" xfId="0" applyBorder="1" applyFont="1"/>
    <xf borderId="4" fillId="2" fontId="22" numFmtId="164" xfId="0" applyAlignment="1" applyBorder="1" applyFont="1" applyNumberFormat="1">
      <alignment shrinkToFit="0" vertical="bottom" wrapText="0"/>
    </xf>
    <xf borderId="0" fillId="2" fontId="19" numFmtId="164" xfId="0" applyAlignment="1" applyFont="1" applyNumberFormat="1">
      <alignment vertical="bottom"/>
    </xf>
    <xf borderId="0" fillId="2" fontId="23" numFmtId="164" xfId="0" applyAlignment="1" applyFont="1" applyNumberFormat="1">
      <alignment shrinkToFit="0" vertical="bottom" wrapText="0"/>
    </xf>
    <xf borderId="0" fillId="2" fontId="23" numFmtId="164" xfId="0" applyAlignment="1" applyFont="1" applyNumberFormat="1">
      <alignment vertical="bottom"/>
    </xf>
    <xf borderId="0" fillId="2" fontId="23" numFmtId="0" xfId="0" applyAlignment="1" applyFont="1">
      <alignment vertical="bottom"/>
    </xf>
    <xf borderId="5" fillId="2" fontId="19" numFmtId="0" xfId="0" applyAlignment="1" applyBorder="1" applyFont="1">
      <alignment vertical="bottom"/>
    </xf>
    <xf borderId="4" fillId="2" fontId="7" numFmtId="0" xfId="0" applyAlignment="1" applyBorder="1" applyFont="1">
      <alignment readingOrder="0"/>
    </xf>
    <xf borderId="0" fillId="2" fontId="20" numFmtId="0" xfId="0" applyAlignment="1" applyFont="1">
      <alignment horizontal="center" readingOrder="0"/>
    </xf>
    <xf borderId="0" fillId="4" fontId="20" numFmtId="0" xfId="0" applyAlignment="1" applyFont="1">
      <alignment horizontal="center" readingOrder="0"/>
    </xf>
    <xf borderId="4" fillId="6" fontId="13" numFmtId="0" xfId="0" applyAlignment="1" applyBorder="1" applyFill="1" applyFont="1">
      <alignment readingOrder="0"/>
    </xf>
    <xf borderId="5" fillId="6" fontId="13" numFmtId="165" xfId="0" applyBorder="1" applyFont="1" applyNumberFormat="1"/>
    <xf borderId="4" fillId="2" fontId="7" numFmtId="0" xfId="0" applyBorder="1" applyFont="1"/>
    <xf borderId="0" fillId="2" fontId="24" numFmtId="164" xfId="0" applyFont="1" applyNumberFormat="1"/>
    <xf borderId="20" fillId="2" fontId="7" numFmtId="3" xfId="0" applyAlignment="1" applyBorder="1" applyFont="1" applyNumberFormat="1">
      <alignment horizontal="center" readingOrder="0"/>
    </xf>
    <xf borderId="0" fillId="2" fontId="7" numFmtId="3" xfId="0" applyAlignment="1" applyFont="1" applyNumberFormat="1">
      <alignment horizontal="center"/>
    </xf>
    <xf borderId="5" fillId="2" fontId="7" numFmtId="3" xfId="0" applyAlignment="1" applyBorder="1" applyFont="1" applyNumberFormat="1">
      <alignment horizontal="center"/>
    </xf>
    <xf borderId="4" fillId="2" fontId="19" numFmtId="164" xfId="0" applyAlignment="1" applyBorder="1" applyFont="1" applyNumberFormat="1">
      <alignment vertical="bottom"/>
    </xf>
    <xf borderId="0" fillId="2" fontId="25" numFmtId="10" xfId="0" applyAlignment="1" applyFont="1" applyNumberFormat="1">
      <alignment horizontal="right" vertical="bottom"/>
    </xf>
    <xf borderId="0" fillId="2" fontId="22" numFmtId="9" xfId="0" applyAlignment="1" applyFont="1" applyNumberFormat="1">
      <alignment horizontal="center" vertical="bottom"/>
    </xf>
    <xf borderId="20" fillId="2" fontId="22" numFmtId="9" xfId="0" applyAlignment="1" applyBorder="1" applyFont="1" applyNumberFormat="1">
      <alignment horizontal="center" vertical="bottom"/>
    </xf>
    <xf borderId="5" fillId="2" fontId="22" numFmtId="9" xfId="0" applyAlignment="1" applyBorder="1" applyFont="1" applyNumberFormat="1">
      <alignment horizontal="center" vertical="bottom"/>
    </xf>
    <xf borderId="5" fillId="2" fontId="20" numFmtId="0" xfId="0" applyAlignment="1" applyBorder="1" applyFont="1">
      <alignment horizontal="center" readingOrder="0"/>
    </xf>
    <xf borderId="5" fillId="6" fontId="13" numFmtId="165" xfId="0" applyAlignment="1" applyBorder="1" applyFont="1" applyNumberFormat="1">
      <alignment readingOrder="0"/>
    </xf>
    <xf borderId="4" fillId="2" fontId="20" numFmtId="0" xfId="0" applyAlignment="1" applyBorder="1" applyFont="1">
      <alignment horizontal="left" readingOrder="0" textRotation="90" vertical="center"/>
    </xf>
    <xf borderId="0" fillId="2" fontId="7" numFmtId="3" xfId="0" applyAlignment="1" applyFont="1" applyNumberFormat="1">
      <alignment horizontal="center" readingOrder="0"/>
    </xf>
    <xf borderId="21" fillId="0" fontId="2" numFmtId="9" xfId="0" applyAlignment="1" applyBorder="1" applyFont="1" applyNumberFormat="1">
      <alignment horizontal="center" readingOrder="0"/>
    </xf>
    <xf borderId="0" fillId="0" fontId="2" numFmtId="9" xfId="0" applyAlignment="1" applyFont="1" applyNumberFormat="1">
      <alignment horizontal="center" readingOrder="0"/>
    </xf>
    <xf borderId="5" fillId="0" fontId="2" numFmtId="9" xfId="0" applyAlignment="1" applyBorder="1" applyFont="1" applyNumberFormat="1">
      <alignment horizontal="center" readingOrder="0"/>
    </xf>
    <xf borderId="0" fillId="4" fontId="19" numFmtId="164" xfId="0" applyAlignment="1" applyFont="1" applyNumberFormat="1">
      <alignment horizontal="center" readingOrder="0" vertical="bottom"/>
    </xf>
    <xf borderId="21" fillId="4" fontId="19" numFmtId="164" xfId="0" applyAlignment="1" applyBorder="1" applyFont="1" applyNumberFormat="1">
      <alignment horizontal="center" readingOrder="0" vertical="bottom"/>
    </xf>
    <xf borderId="5" fillId="4" fontId="19" numFmtId="164" xfId="0" applyAlignment="1" applyBorder="1" applyFont="1" applyNumberFormat="1">
      <alignment horizontal="center" readingOrder="0" vertical="bottom"/>
    </xf>
    <xf borderId="4" fillId="0" fontId="21" numFmtId="0" xfId="0" applyBorder="1" applyFont="1"/>
    <xf borderId="0" fillId="4" fontId="26" numFmtId="164" xfId="0" applyAlignment="1" applyFont="1" applyNumberFormat="1">
      <alignment horizontal="center" readingOrder="0" vertical="bottom"/>
    </xf>
    <xf borderId="21" fillId="4" fontId="26" numFmtId="164" xfId="0" applyAlignment="1" applyBorder="1" applyFont="1" applyNumberFormat="1">
      <alignment horizontal="center" readingOrder="0" vertical="bottom"/>
    </xf>
    <xf borderId="5" fillId="4" fontId="26" numFmtId="164" xfId="0" applyAlignment="1" applyBorder="1" applyFont="1" applyNumberFormat="1">
      <alignment horizontal="center" readingOrder="0" vertical="bottom"/>
    </xf>
    <xf borderId="5" fillId="2" fontId="7" numFmtId="3" xfId="0" applyAlignment="1" applyBorder="1" applyFont="1" applyNumberFormat="1">
      <alignment horizontal="center" readingOrder="0"/>
    </xf>
    <xf borderId="0" fillId="4" fontId="7" numFmtId="3" xfId="0" applyAlignment="1" applyFont="1" applyNumberFormat="1">
      <alignment horizontal="center" readingOrder="0"/>
    </xf>
    <xf borderId="4" fillId="6" fontId="2" numFmtId="0" xfId="0" applyAlignment="1" applyBorder="1" applyFont="1">
      <alignment readingOrder="0"/>
    </xf>
    <xf borderId="5" fillId="6" fontId="2" numFmtId="165" xfId="0" applyBorder="1" applyFont="1" applyNumberFormat="1"/>
    <xf borderId="4" fillId="2" fontId="27" numFmtId="0" xfId="0" applyAlignment="1" applyBorder="1" applyFont="1">
      <alignment horizontal="left" readingOrder="0" textRotation="90" vertical="center"/>
    </xf>
    <xf borderId="0" fillId="2" fontId="7" numFmtId="9" xfId="0" applyAlignment="1" applyFont="1" applyNumberFormat="1">
      <alignment horizontal="center" readingOrder="0"/>
    </xf>
    <xf borderId="5" fillId="0" fontId="2" numFmtId="164" xfId="0" applyAlignment="1" applyBorder="1" applyFont="1" applyNumberFormat="1">
      <alignment horizontal="center" readingOrder="0"/>
    </xf>
    <xf borderId="12" fillId="3" fontId="12" numFmtId="0" xfId="0" applyAlignment="1" applyBorder="1" applyFont="1">
      <alignment readingOrder="0"/>
    </xf>
    <xf borderId="13" fillId="3" fontId="12" numFmtId="0" xfId="0" applyAlignment="1" applyBorder="1" applyFont="1">
      <alignment horizontal="right" readingOrder="0"/>
    </xf>
    <xf borderId="0" fillId="0" fontId="10" numFmtId="164" xfId="0" applyAlignment="1" applyFont="1" applyNumberFormat="1">
      <alignment horizontal="center" readingOrder="0"/>
    </xf>
    <xf borderId="5" fillId="0" fontId="10" numFmtId="164" xfId="0" applyAlignment="1" applyBorder="1" applyFont="1" applyNumberFormat="1">
      <alignment horizontal="center" readingOrder="0"/>
    </xf>
    <xf borderId="15" fillId="3" fontId="2" numFmtId="1" xfId="0" applyBorder="1" applyFont="1" applyNumberFormat="1"/>
    <xf borderId="12" fillId="3" fontId="2" numFmtId="0" xfId="0" applyAlignment="1" applyBorder="1" applyFont="1">
      <alignment readingOrder="0"/>
    </xf>
    <xf borderId="13" fillId="3" fontId="2" numFmtId="165" xfId="0" applyAlignment="1" applyBorder="1" applyFont="1" applyNumberFormat="1">
      <alignment horizontal="right" readingOrder="0"/>
    </xf>
    <xf borderId="8" fillId="6" fontId="15" numFmtId="0" xfId="0" applyAlignment="1" applyBorder="1" applyFont="1">
      <alignment readingOrder="0"/>
    </xf>
    <xf borderId="9" fillId="6" fontId="15" numFmtId="165" xfId="0" applyBorder="1" applyFont="1" applyNumberFormat="1"/>
    <xf borderId="16" fillId="3" fontId="12" numFmtId="0" xfId="0" applyAlignment="1" applyBorder="1" applyFont="1">
      <alignment readingOrder="0"/>
    </xf>
    <xf borderId="17" fillId="3" fontId="12" numFmtId="165" xfId="0" applyBorder="1" applyFont="1" applyNumberFormat="1"/>
    <xf borderId="4" fillId="6" fontId="15" numFmtId="0" xfId="0" applyAlignment="1" applyBorder="1" applyFont="1">
      <alignment readingOrder="0"/>
    </xf>
    <xf borderId="5" fillId="7" fontId="15" numFmtId="165" xfId="0" applyBorder="1" applyFill="1" applyFont="1" applyNumberFormat="1"/>
    <xf borderId="22" fillId="2" fontId="7" numFmtId="9" xfId="0" applyAlignment="1" applyBorder="1" applyFont="1" applyNumberFormat="1">
      <alignment horizontal="center" readingOrder="0"/>
    </xf>
    <xf borderId="23" fillId="0" fontId="2" numFmtId="164" xfId="0" applyAlignment="1" applyBorder="1" applyFont="1" applyNumberFormat="1">
      <alignment horizontal="center" readingOrder="0"/>
    </xf>
    <xf borderId="24" fillId="0" fontId="2" numFmtId="164" xfId="0" applyAlignment="1" applyBorder="1" applyFont="1" applyNumberFormat="1">
      <alignment horizontal="center" readingOrder="0"/>
    </xf>
    <xf borderId="10" fillId="6" fontId="15" numFmtId="0" xfId="0" applyAlignment="1" applyBorder="1" applyFont="1">
      <alignment readingOrder="0"/>
    </xf>
    <xf borderId="11" fillId="7" fontId="28" numFmtId="10" xfId="0" applyBorder="1" applyFont="1" applyNumberFormat="1"/>
    <xf borderId="0" fillId="4" fontId="29" numFmtId="0" xfId="0" applyAlignment="1" applyFont="1">
      <alignment readingOrder="0"/>
    </xf>
    <xf borderId="0" fillId="4" fontId="12" numFmtId="169" xfId="0" applyFont="1" applyNumberFormat="1"/>
    <xf borderId="0" fillId="4" fontId="12" numFmtId="0" xfId="0" applyAlignment="1" applyFont="1">
      <alignment readingOrder="0"/>
    </xf>
    <xf borderId="0" fillId="4" fontId="12" numFmtId="3" xfId="0" applyFont="1" applyNumberFormat="1"/>
    <xf borderId="0" fillId="4" fontId="12" numFmtId="170" xfId="0" applyFont="1" applyNumberFormat="1"/>
    <xf borderId="0" fillId="4" fontId="10" numFmtId="164" xfId="0" applyAlignment="1" applyFont="1" applyNumberFormat="1">
      <alignment horizontal="center" readingOrder="0"/>
    </xf>
    <xf borderId="5" fillId="4" fontId="10" numFmtId="164" xfId="0" applyAlignment="1" applyBorder="1" applyFont="1" applyNumberFormat="1">
      <alignment horizontal="center" readingOrder="0"/>
    </xf>
    <xf borderId="10" fillId="0" fontId="21" numFmtId="0" xfId="0" applyBorder="1" applyFont="1"/>
    <xf borderId="25" fillId="2" fontId="7" numFmtId="9" xfId="0" applyAlignment="1" applyBorder="1" applyFont="1" applyNumberFormat="1">
      <alignment horizontal="center" readingOrder="0"/>
    </xf>
    <xf borderId="25" fillId="4" fontId="2" numFmtId="164" xfId="0" applyAlignment="1" applyBorder="1" applyFont="1" applyNumberFormat="1">
      <alignment horizontal="center" readingOrder="0"/>
    </xf>
    <xf borderId="11" fillId="4" fontId="2" numFmtId="164" xfId="0" applyAlignment="1" applyBorder="1" applyFont="1" applyNumberFormat="1">
      <alignment horizontal="center" readingOrder="0"/>
    </xf>
    <xf borderId="5" fillId="4" fontId="2" numFmtId="164" xfId="0" applyAlignment="1" applyBorder="1" applyFont="1" applyNumberFormat="1">
      <alignment horizontal="center" readingOrder="0"/>
    </xf>
    <xf borderId="0" fillId="4" fontId="7" numFmtId="0" xfId="0" applyAlignment="1" applyFont="1">
      <alignment readingOrder="0"/>
    </xf>
    <xf borderId="0" fillId="4" fontId="2" numFmtId="0" xfId="0" applyAlignment="1" applyFont="1">
      <alignment readingOrder="0"/>
    </xf>
    <xf borderId="0" fillId="4" fontId="2" numFmtId="0" xfId="0" applyAlignment="1" applyFont="1">
      <alignment horizontal="center" readingOrder="0"/>
    </xf>
    <xf borderId="4" fillId="2" fontId="2" numFmtId="0" xfId="0" applyBorder="1" applyFont="1"/>
    <xf borderId="10" fillId="2" fontId="2" numFmtId="0" xfId="0" applyBorder="1" applyFont="1"/>
    <xf borderId="25" fillId="2" fontId="7" numFmtId="3" xfId="0" applyAlignment="1" applyBorder="1" applyFont="1" applyNumberFormat="1">
      <alignment horizontal="center"/>
    </xf>
    <xf borderId="26" fillId="0" fontId="2" numFmtId="9" xfId="0" applyAlignment="1" applyBorder="1" applyFont="1" applyNumberFormat="1">
      <alignment horizontal="center" readingOrder="0"/>
    </xf>
    <xf borderId="25" fillId="0" fontId="2" numFmtId="9" xfId="0" applyAlignment="1" applyBorder="1" applyFont="1" applyNumberFormat="1">
      <alignment horizontal="center" readingOrder="0"/>
    </xf>
    <xf borderId="11" fillId="0" fontId="2" numFmtId="9" xfId="0" applyAlignment="1" applyBorder="1" applyFont="1" applyNumberFormat="1">
      <alignment horizontal="center" readingOrder="0"/>
    </xf>
    <xf borderId="25" fillId="4" fontId="26" numFmtId="164" xfId="0" applyAlignment="1" applyBorder="1" applyFont="1" applyNumberFormat="1">
      <alignment horizontal="center" readingOrder="0" vertical="bottom"/>
    </xf>
    <xf borderId="26" fillId="4" fontId="26" numFmtId="164" xfId="0" applyAlignment="1" applyBorder="1" applyFont="1" applyNumberFormat="1">
      <alignment horizontal="center" readingOrder="0" vertical="bottom"/>
    </xf>
    <xf borderId="11" fillId="4" fontId="26" numFmtId="164" xfId="0" applyAlignment="1" applyBorder="1" applyFont="1" applyNumberFormat="1">
      <alignment horizontal="center" readingOrder="0" vertical="bottom"/>
    </xf>
    <xf borderId="4" fillId="2" fontId="2" numFmtId="10" xfId="0" applyAlignment="1" applyBorder="1" applyFont="1" applyNumberFormat="1">
      <alignment horizontal="center" readingOrder="0"/>
    </xf>
    <xf borderId="10" fillId="2" fontId="2" numFmtId="10" xfId="0" applyAlignment="1" applyBorder="1" applyFont="1" applyNumberFormat="1">
      <alignment horizontal="center" readingOrder="0"/>
    </xf>
    <xf borderId="22" fillId="2" fontId="7" numFmtId="3" xfId="0" applyAlignment="1" applyBorder="1" applyFont="1" applyNumberFormat="1">
      <alignment horizontal="center"/>
    </xf>
    <xf borderId="23" fillId="4" fontId="10" numFmtId="164" xfId="0" applyAlignment="1" applyBorder="1" applyFont="1" applyNumberFormat="1">
      <alignment horizontal="center" readingOrder="0"/>
    </xf>
    <xf borderId="24" fillId="4" fontId="10" numFmtId="164" xfId="0" applyAlignment="1" applyBorder="1" applyFont="1" applyNumberFormat="1">
      <alignment horizontal="center" readingOrder="0"/>
    </xf>
    <xf borderId="10" fillId="0" fontId="2" numFmtId="0" xfId="0" applyBorder="1" applyFont="1"/>
    <xf borderId="25" fillId="0" fontId="2" numFmtId="0" xfId="0" applyBorder="1" applyFont="1"/>
    <xf borderId="11" fillId="0" fontId="2" numFmtId="0" xfId="0" applyBorder="1" applyFont="1"/>
    <xf borderId="0" fillId="4" fontId="2" numFmtId="10" xfId="0" applyAlignment="1" applyFont="1" applyNumberFormat="1">
      <alignment readingOrder="0"/>
    </xf>
    <xf borderId="0" fillId="4" fontId="19" numFmtId="10" xfId="0" applyAlignment="1" applyFont="1" applyNumberFormat="1">
      <alignment vertical="bottom"/>
    </xf>
    <xf borderId="0" fillId="4" fontId="19" numFmtId="0" xfId="0" applyAlignment="1" applyFont="1">
      <alignment vertical="bottom"/>
    </xf>
    <xf borderId="0" fillId="4" fontId="22" numFmtId="3" xfId="0" applyAlignment="1" applyFont="1" applyNumberFormat="1">
      <alignment horizontal="center" vertical="bottom"/>
    </xf>
    <xf borderId="0" fillId="4" fontId="26" numFmtId="164" xfId="0" applyAlignment="1" applyFont="1" applyNumberFormat="1">
      <alignment horizontal="center" vertical="bottom"/>
    </xf>
    <xf borderId="0" fillId="4" fontId="20" numFmtId="0" xfId="0" applyAlignment="1" applyFont="1">
      <alignment horizontal="left" readingOrder="0" textRotation="90" vertical="center"/>
    </xf>
    <xf borderId="0" fillId="4" fontId="7" numFmtId="3" xfId="0" applyAlignment="1" applyFont="1" applyNumberFormat="1">
      <alignment horizontal="center"/>
    </xf>
    <xf borderId="0" fillId="4" fontId="2" numFmtId="10" xfId="0" applyAlignment="1" applyFont="1" applyNumberFormat="1">
      <alignment horizontal="center" readingOrder="0"/>
    </xf>
    <xf borderId="0" fillId="4" fontId="2" numFmtId="4" xfId="0" applyAlignment="1" applyFont="1" applyNumberFormat="1">
      <alignment readingOrder="0"/>
    </xf>
    <xf borderId="5" fillId="4" fontId="2" numFmtId="4" xfId="0" applyAlignment="1" applyBorder="1" applyFont="1" applyNumberFormat="1">
      <alignment readingOrder="0"/>
    </xf>
    <xf borderId="0" fillId="4" fontId="30" numFmtId="0" xfId="0" applyAlignment="1" applyFont="1">
      <alignment horizontal="center" readingOrder="0"/>
    </xf>
    <xf borderId="0" fillId="2" fontId="7" numFmtId="0" xfId="0" applyFont="1"/>
    <xf borderId="0" fillId="2" fontId="20" numFmtId="0" xfId="0" applyAlignment="1" applyFont="1">
      <alignment readingOrder="0"/>
    </xf>
    <xf borderId="5" fillId="2" fontId="20" numFmtId="0" xfId="0" applyAlignment="1" applyBorder="1" applyFont="1">
      <alignment readingOrder="0"/>
    </xf>
    <xf borderId="0" fillId="4" fontId="19" numFmtId="9" xfId="0" applyAlignment="1" applyFont="1" applyNumberFormat="1">
      <alignment horizontal="center" readingOrder="0" vertical="bottom"/>
    </xf>
    <xf borderId="21" fillId="4" fontId="19" numFmtId="9" xfId="0" applyAlignment="1" applyBorder="1" applyFont="1" applyNumberFormat="1">
      <alignment horizontal="center" readingOrder="0" vertical="bottom"/>
    </xf>
    <xf borderId="5" fillId="4" fontId="19" numFmtId="9" xfId="0" applyAlignment="1" applyBorder="1" applyFont="1" applyNumberFormat="1">
      <alignment horizontal="center" readingOrder="0" vertical="bottom"/>
    </xf>
    <xf borderId="0" fillId="4" fontId="26" numFmtId="9" xfId="0" applyAlignment="1" applyFont="1" applyNumberFormat="1">
      <alignment horizontal="center" readingOrder="0" vertical="bottom"/>
    </xf>
    <xf borderId="21" fillId="4" fontId="26" numFmtId="9" xfId="0" applyAlignment="1" applyBorder="1" applyFont="1" applyNumberFormat="1">
      <alignment horizontal="center" readingOrder="0" vertical="bottom"/>
    </xf>
    <xf borderId="5" fillId="4" fontId="26" numFmtId="9" xfId="0" applyAlignment="1" applyBorder="1" applyFont="1" applyNumberFormat="1">
      <alignment horizontal="center" readingOrder="0" vertical="bottom"/>
    </xf>
    <xf borderId="0" fillId="4" fontId="31" numFmtId="4" xfId="0" applyAlignment="1" applyFont="1" applyNumberFormat="1">
      <alignment horizontal="right" readingOrder="0" textRotation="90" vertical="center"/>
    </xf>
    <xf borderId="0" fillId="0" fontId="10" numFmtId="9" xfId="0" applyAlignment="1" applyFont="1" applyNumberFormat="1">
      <alignment horizontal="center" readingOrder="0"/>
    </xf>
    <xf borderId="5" fillId="0" fontId="10" numFmtId="9" xfId="0" applyAlignment="1" applyBorder="1" applyFont="1" applyNumberFormat="1">
      <alignment horizontal="center" readingOrder="0"/>
    </xf>
    <xf borderId="23" fillId="0" fontId="2" numFmtId="9" xfId="0" applyAlignment="1" applyBorder="1" applyFont="1" applyNumberFormat="1">
      <alignment horizontal="center" readingOrder="0"/>
    </xf>
    <xf borderId="24" fillId="0" fontId="2" numFmtId="9" xfId="0" applyAlignment="1" applyBorder="1" applyFont="1" applyNumberFormat="1">
      <alignment horizontal="center" readingOrder="0"/>
    </xf>
    <xf borderId="0" fillId="4" fontId="10" numFmtId="9" xfId="0" applyAlignment="1" applyFont="1" applyNumberFormat="1">
      <alignment horizontal="center" readingOrder="0"/>
    </xf>
    <xf borderId="5" fillId="4" fontId="10" numFmtId="9" xfId="0" applyAlignment="1" applyBorder="1" applyFont="1" applyNumberFormat="1">
      <alignment horizontal="center" readingOrder="0"/>
    </xf>
    <xf borderId="25" fillId="4" fontId="2" numFmtId="9" xfId="0" applyAlignment="1" applyBorder="1" applyFont="1" applyNumberFormat="1">
      <alignment horizontal="center" readingOrder="0"/>
    </xf>
    <xf borderId="11" fillId="4" fontId="2" numFmtId="9" xfId="0" applyAlignment="1" applyBorder="1" applyFont="1" applyNumberFormat="1">
      <alignment horizontal="center" readingOrder="0"/>
    </xf>
    <xf borderId="0" fillId="4" fontId="2" numFmtId="9" xfId="0" applyAlignment="1" applyFont="1" applyNumberFormat="1">
      <alignment horizontal="center" readingOrder="0"/>
    </xf>
    <xf borderId="5" fillId="4" fontId="2" numFmtId="9" xfId="0" applyAlignment="1" applyBorder="1" applyFont="1" applyNumberFormat="1">
      <alignment horizontal="center" readingOrder="0"/>
    </xf>
    <xf borderId="4" fillId="2" fontId="32" numFmtId="0" xfId="0" applyAlignment="1" applyBorder="1" applyFont="1">
      <alignment horizontal="center" readingOrder="0"/>
    </xf>
    <xf borderId="25" fillId="4" fontId="26" numFmtId="9" xfId="0" applyAlignment="1" applyBorder="1" applyFont="1" applyNumberFormat="1">
      <alignment horizontal="center" readingOrder="0" vertical="bottom"/>
    </xf>
    <xf borderId="27" fillId="4" fontId="26" numFmtId="9" xfId="0" applyAlignment="1" applyBorder="1" applyFont="1" applyNumberFormat="1">
      <alignment horizontal="center" readingOrder="0" vertical="bottom"/>
    </xf>
    <xf borderId="11" fillId="4" fontId="26" numFmtId="9" xfId="0" applyAlignment="1" applyBorder="1" applyFont="1" applyNumberFormat="1">
      <alignment horizontal="center" readingOrder="0" vertical="bottom"/>
    </xf>
    <xf borderId="23" fillId="4" fontId="10" numFmtId="9" xfId="0" applyAlignment="1" applyBorder="1" applyFont="1" applyNumberFormat="1">
      <alignment horizontal="center" readingOrder="0"/>
    </xf>
    <xf borderId="24" fillId="4" fontId="10" numFmtId="9" xfId="0" applyAlignment="1" applyBorder="1" applyFont="1" applyNumberFormat="1">
      <alignment horizontal="center" readingOrder="0"/>
    </xf>
    <xf borderId="25" fillId="4" fontId="2" numFmtId="10" xfId="0" applyAlignment="1" applyBorder="1" applyFont="1" applyNumberFormat="1">
      <alignment readingOrder="0"/>
    </xf>
    <xf borderId="25" fillId="4" fontId="2" numFmtId="0" xfId="0" applyBorder="1" applyFont="1"/>
    <xf borderId="2" fillId="4" fontId="2" numFmtId="10" xfId="0" applyAlignment="1" applyBorder="1" applyFont="1" applyNumberFormat="1">
      <alignment readingOrder="0"/>
    </xf>
    <xf borderId="2" fillId="4" fontId="2" numFmtId="0" xfId="0" applyBorder="1" applyFont="1"/>
    <xf borderId="0" fillId="4" fontId="20" numFmtId="0" xfId="0" applyAlignment="1" applyFont="1">
      <alignment readingOrder="0"/>
    </xf>
    <xf borderId="0" fillId="4" fontId="18" numFmtId="0" xfId="0" applyAlignment="1" applyFont="1">
      <alignment shrinkToFit="0" vertical="bottom" wrapText="0"/>
    </xf>
    <xf borderId="0" fillId="4" fontId="19" numFmtId="164" xfId="0" applyAlignment="1" applyFont="1" applyNumberFormat="1">
      <alignment vertical="bottom"/>
    </xf>
    <xf borderId="4" fillId="4" fontId="19" numFmtId="164" xfId="0" applyAlignment="1" applyBorder="1" applyFont="1" applyNumberFormat="1">
      <alignment vertical="bottom"/>
    </xf>
    <xf borderId="0" fillId="4" fontId="19" numFmtId="3" xfId="0" applyAlignment="1" applyFont="1" applyNumberFormat="1">
      <alignment vertical="bottom"/>
    </xf>
    <xf borderId="4" fillId="4" fontId="22" numFmtId="3" xfId="0" applyAlignment="1" applyBorder="1" applyFont="1" applyNumberFormat="1">
      <alignment horizontal="center" vertical="bottom"/>
    </xf>
    <xf borderId="0" fillId="4" fontId="23" numFmtId="0" xfId="0" applyAlignment="1" applyFont="1">
      <alignment textRotation="90"/>
    </xf>
    <xf borderId="0" fillId="4" fontId="25" numFmtId="164" xfId="0" applyAlignment="1" applyFont="1" applyNumberFormat="1">
      <alignment horizontal="right" vertical="bottom"/>
    </xf>
    <xf borderId="0" fillId="4" fontId="19" numFmtId="164" xfId="0" applyAlignment="1" applyFont="1" applyNumberFormat="1">
      <alignment horizontal="center" vertical="bottom"/>
    </xf>
    <xf borderId="4" fillId="4" fontId="19" numFmtId="164" xfId="0" applyAlignment="1" applyBorder="1" applyFont="1" applyNumberFormat="1">
      <alignment horizontal="center" vertical="bottom"/>
    </xf>
    <xf borderId="4" fillId="4" fontId="26" numFmtId="164" xfId="0" applyAlignment="1" applyBorder="1" applyFont="1" applyNumberFormat="1">
      <alignment horizontal="center" vertical="bottom"/>
    </xf>
    <xf borderId="10" fillId="4" fontId="19" numFmtId="164" xfId="0" applyAlignment="1" applyBorder="1" applyFont="1" applyNumberFormat="1">
      <alignment horizontal="center" vertical="bottom"/>
    </xf>
    <xf borderId="25" fillId="4" fontId="19" numFmtId="164" xfId="0" applyAlignment="1" applyBorder="1" applyFont="1" applyNumberFormat="1">
      <alignment horizontal="center" vertical="bottom"/>
    </xf>
    <xf borderId="0" fillId="4" fontId="7" numFmtId="0" xfId="0" applyFont="1"/>
    <xf borderId="0" fillId="4" fontId="33" numFmtId="0" xfId="0" applyAlignment="1" applyFont="1">
      <alignment horizontal="center" readingOrder="0"/>
    </xf>
    <xf borderId="0" fillId="4" fontId="34" numFmtId="164" xfId="0" applyAlignment="1" applyFont="1" applyNumberFormat="1">
      <alignment horizontal="center" readingOrder="0"/>
    </xf>
    <xf borderId="28" fillId="2" fontId="18" numFmtId="0" xfId="0" applyAlignment="1" applyBorder="1" applyFont="1">
      <alignment readingOrder="0" shrinkToFit="0" vertical="bottom" wrapText="0"/>
    </xf>
    <xf borderId="29" fillId="2" fontId="19" numFmtId="0" xfId="0" applyAlignment="1" applyBorder="1" applyFont="1">
      <alignment vertical="bottom"/>
    </xf>
    <xf borderId="29" fillId="2" fontId="19" numFmtId="10" xfId="0" applyAlignment="1" applyBorder="1" applyFont="1" applyNumberFormat="1">
      <alignment vertical="bottom"/>
    </xf>
    <xf borderId="2" fillId="2" fontId="19" numFmtId="0" xfId="0" applyAlignment="1" applyBorder="1" applyFont="1">
      <alignment vertical="bottom"/>
    </xf>
    <xf borderId="2" fillId="2" fontId="19" numFmtId="3" xfId="0" applyAlignment="1" applyBorder="1" applyFont="1" applyNumberFormat="1">
      <alignment vertical="bottom"/>
    </xf>
    <xf borderId="2" fillId="2" fontId="19" numFmtId="10" xfId="0" applyAlignment="1" applyBorder="1" applyFont="1" applyNumberFormat="1">
      <alignment vertical="bottom"/>
    </xf>
    <xf borderId="3" fillId="2" fontId="19" numFmtId="10" xfId="0" applyAlignment="1" applyBorder="1" applyFont="1" applyNumberFormat="1">
      <alignment vertical="bottom"/>
    </xf>
    <xf borderId="0" fillId="2" fontId="19" numFmtId="0" xfId="0" applyAlignment="1" applyFont="1">
      <alignment vertical="bottom"/>
    </xf>
    <xf borderId="0" fillId="2" fontId="19" numFmtId="10" xfId="0" applyAlignment="1" applyFont="1" applyNumberFormat="1">
      <alignment vertical="bottom"/>
    </xf>
    <xf borderId="0" fillId="2" fontId="23" numFmtId="10" xfId="0" applyAlignment="1" applyFont="1" applyNumberFormat="1">
      <alignment vertical="bottom"/>
    </xf>
    <xf borderId="5" fillId="2" fontId="23" numFmtId="10" xfId="0" applyAlignment="1" applyBorder="1" applyFont="1" applyNumberFormat="1">
      <alignment vertical="bottom"/>
    </xf>
    <xf borderId="0" fillId="2" fontId="24" numFmtId="10" xfId="0" applyFont="1" applyNumberFormat="1"/>
    <xf borderId="30" fillId="2" fontId="7" numFmtId="3" xfId="0" applyAlignment="1" applyBorder="1" applyFont="1" applyNumberFormat="1">
      <alignment horizontal="center" readingOrder="0"/>
    </xf>
    <xf borderId="31" fillId="2" fontId="7" numFmtId="3" xfId="0" applyAlignment="1" applyBorder="1" applyFont="1" applyNumberFormat="1">
      <alignment horizontal="center"/>
    </xf>
    <xf borderId="9" fillId="2" fontId="7" numFmtId="3" xfId="0" applyAlignment="1" applyBorder="1" applyFont="1" applyNumberFormat="1">
      <alignment horizontal="center"/>
    </xf>
    <xf borderId="4" fillId="2" fontId="19" numFmtId="0" xfId="0" applyAlignment="1" applyBorder="1" applyFont="1">
      <alignment vertical="bottom"/>
    </xf>
    <xf borderId="0" fillId="2" fontId="25" numFmtId="164" xfId="0" applyAlignment="1" applyFont="1" applyNumberFormat="1">
      <alignment horizontal="right" vertical="bottom"/>
    </xf>
    <xf borderId="0" fillId="2" fontId="22" numFmtId="9" xfId="0" applyAlignment="1" applyFont="1" applyNumberFormat="1">
      <alignment horizontal="center" vertical="bottom"/>
    </xf>
    <xf borderId="20" fillId="2" fontId="22" numFmtId="9" xfId="0" applyAlignment="1" applyBorder="1" applyFont="1" applyNumberFormat="1">
      <alignment horizontal="center" vertical="bottom"/>
    </xf>
    <xf borderId="5" fillId="2" fontId="22" numFmtId="9" xfId="0" applyAlignment="1" applyBorder="1" applyFont="1" applyNumberFormat="1">
      <alignment horizontal="center" vertical="bottom"/>
    </xf>
    <xf borderId="21" fillId="0" fontId="2" numFmtId="10" xfId="0" applyAlignment="1" applyBorder="1" applyFont="1" applyNumberFormat="1">
      <alignment horizontal="center" readingOrder="0"/>
    </xf>
    <xf borderId="0" fillId="0" fontId="2" numFmtId="10" xfId="0" applyAlignment="1" applyFont="1" applyNumberFormat="1">
      <alignment horizontal="center" readingOrder="0"/>
    </xf>
    <xf borderId="5" fillId="0" fontId="2" numFmtId="10" xfId="0" applyAlignment="1" applyBorder="1" applyFont="1" applyNumberFormat="1">
      <alignment horizontal="center" readingOrder="0"/>
    </xf>
    <xf borderId="0" fillId="4" fontId="10" numFmtId="10" xfId="0" applyAlignment="1" applyFont="1" applyNumberFormat="1">
      <alignment horizontal="center" readingOrder="0"/>
    </xf>
    <xf borderId="0" fillId="8" fontId="19" numFmtId="10" xfId="0" applyAlignment="1" applyFill="1" applyFont="1" applyNumberFormat="1">
      <alignment horizontal="center" readingOrder="0" vertical="bottom"/>
    </xf>
    <xf borderId="0" fillId="9" fontId="19" numFmtId="10" xfId="0" applyAlignment="1" applyFill="1" applyFont="1" applyNumberFormat="1">
      <alignment horizontal="center" readingOrder="0" vertical="bottom"/>
    </xf>
    <xf borderId="0" fillId="10" fontId="19" numFmtId="10" xfId="0" applyAlignment="1" applyFill="1" applyFont="1" applyNumberFormat="1">
      <alignment horizontal="center" readingOrder="0" vertical="bottom"/>
    </xf>
    <xf borderId="0" fillId="11" fontId="19" numFmtId="10" xfId="0" applyAlignment="1" applyFill="1" applyFont="1" applyNumberFormat="1">
      <alignment horizontal="center" readingOrder="0" vertical="bottom"/>
    </xf>
    <xf borderId="21" fillId="12" fontId="19" numFmtId="10" xfId="0" applyAlignment="1" applyBorder="1" applyFill="1" applyFont="1" applyNumberFormat="1">
      <alignment horizontal="center" readingOrder="0" vertical="bottom"/>
    </xf>
    <xf borderId="0" fillId="13" fontId="19" numFmtId="10" xfId="0" applyAlignment="1" applyFill="1" applyFont="1" applyNumberFormat="1">
      <alignment horizontal="center" readingOrder="0" vertical="bottom"/>
    </xf>
    <xf borderId="0" fillId="14" fontId="19" numFmtId="10" xfId="0" applyAlignment="1" applyFill="1" applyFont="1" applyNumberFormat="1">
      <alignment horizontal="center" readingOrder="0" vertical="bottom"/>
    </xf>
    <xf borderId="0" fillId="15" fontId="19" numFmtId="10" xfId="0" applyAlignment="1" applyFill="1" applyFont="1" applyNumberFormat="1">
      <alignment horizontal="center" readingOrder="0" vertical="bottom"/>
    </xf>
    <xf borderId="5" fillId="16" fontId="19" numFmtId="10" xfId="0" applyAlignment="1" applyBorder="1" applyFill="1" applyFont="1" applyNumberFormat="1">
      <alignment horizontal="center" readingOrder="0" vertical="bottom"/>
    </xf>
    <xf borderId="21" fillId="0" fontId="10" numFmtId="10" xfId="0" applyAlignment="1" applyBorder="1" applyFont="1" applyNumberFormat="1">
      <alignment horizontal="center" readingOrder="0"/>
    </xf>
    <xf borderId="0" fillId="0" fontId="10" numFmtId="10" xfId="0" applyAlignment="1" applyFont="1" applyNumberFormat="1">
      <alignment horizontal="center" readingOrder="0"/>
    </xf>
    <xf borderId="5" fillId="0" fontId="10" numFmtId="10" xfId="0" applyAlignment="1" applyBorder="1" applyFont="1" applyNumberFormat="1">
      <alignment horizontal="center" readingOrder="0"/>
    </xf>
    <xf borderId="0" fillId="4" fontId="26" numFmtId="10" xfId="0" applyAlignment="1" applyFont="1" applyNumberFormat="1">
      <alignment horizontal="center" readingOrder="0" vertical="bottom"/>
    </xf>
    <xf borderId="21" fillId="4" fontId="26" numFmtId="10" xfId="0" applyAlignment="1" applyBorder="1" applyFont="1" applyNumberFormat="1">
      <alignment horizontal="center" readingOrder="0" vertical="bottom"/>
    </xf>
    <xf borderId="5" fillId="4" fontId="26" numFmtId="10" xfId="0" applyAlignment="1" applyBorder="1" applyFont="1" applyNumberFormat="1">
      <alignment horizontal="center" readingOrder="0" vertical="bottom"/>
    </xf>
    <xf borderId="0" fillId="4" fontId="19" numFmtId="10" xfId="0" applyAlignment="1" applyFont="1" applyNumberFormat="1">
      <alignment horizontal="center" readingOrder="0" vertical="bottom"/>
    </xf>
    <xf borderId="21" fillId="4" fontId="19" numFmtId="10" xfId="0" applyAlignment="1" applyBorder="1" applyFont="1" applyNumberFormat="1">
      <alignment horizontal="center" readingOrder="0" vertical="bottom"/>
    </xf>
    <xf borderId="5" fillId="4" fontId="19" numFmtId="10" xfId="0" applyAlignment="1" applyBorder="1" applyFont="1" applyNumberFormat="1">
      <alignment horizontal="center" readingOrder="0" vertical="bottom"/>
    </xf>
    <xf borderId="0" fillId="17" fontId="19" numFmtId="10" xfId="0" applyAlignment="1" applyFill="1" applyFont="1" applyNumberFormat="1">
      <alignment horizontal="center" readingOrder="0" vertical="bottom"/>
    </xf>
    <xf borderId="5" fillId="17" fontId="19" numFmtId="10" xfId="0" applyAlignment="1" applyBorder="1" applyFont="1" applyNumberFormat="1">
      <alignment horizontal="center" readingOrder="0" vertical="bottom"/>
    </xf>
    <xf borderId="21" fillId="4" fontId="10" numFmtId="10" xfId="0" applyAlignment="1" applyBorder="1" applyFont="1" applyNumberFormat="1">
      <alignment horizontal="center" readingOrder="0"/>
    </xf>
    <xf borderId="5" fillId="4" fontId="10" numFmtId="10" xfId="0" applyAlignment="1" applyBorder="1" applyFont="1" applyNumberFormat="1">
      <alignment horizontal="center" readingOrder="0"/>
    </xf>
    <xf borderId="0" fillId="17" fontId="26" numFmtId="10" xfId="0" applyAlignment="1" applyFont="1" applyNumberFormat="1">
      <alignment horizontal="center" readingOrder="0" vertical="bottom"/>
    </xf>
    <xf borderId="5" fillId="17" fontId="26" numFmtId="10" xfId="0" applyAlignment="1" applyBorder="1" applyFont="1" applyNumberFormat="1">
      <alignment horizontal="center" readingOrder="0" vertical="bottom"/>
    </xf>
    <xf borderId="21" fillId="17" fontId="19" numFmtId="10" xfId="0" applyAlignment="1" applyBorder="1" applyFont="1" applyNumberFormat="1">
      <alignment horizontal="center" readingOrder="0" vertical="bottom"/>
    </xf>
    <xf borderId="0" fillId="18" fontId="19" numFmtId="10" xfId="0" applyAlignment="1" applyFill="1" applyFont="1" applyNumberFormat="1">
      <alignment horizontal="center" readingOrder="0" vertical="bottom"/>
    </xf>
    <xf borderId="5" fillId="18" fontId="19" numFmtId="10" xfId="0" applyAlignment="1" applyBorder="1" applyFont="1" applyNumberFormat="1">
      <alignment horizontal="center" readingOrder="0" vertical="bottom"/>
    </xf>
    <xf borderId="25" fillId="2" fontId="7" numFmtId="3" xfId="0" applyAlignment="1" applyBorder="1" applyFont="1" applyNumberFormat="1">
      <alignment horizontal="center" readingOrder="0"/>
    </xf>
    <xf borderId="27" fillId="4" fontId="10" numFmtId="10" xfId="0" applyAlignment="1" applyBorder="1" applyFont="1" applyNumberFormat="1">
      <alignment horizontal="center" readingOrder="0"/>
    </xf>
    <xf borderId="25" fillId="4" fontId="10" numFmtId="10" xfId="0" applyAlignment="1" applyBorder="1" applyFont="1" applyNumberFormat="1">
      <alignment horizontal="center" readingOrder="0"/>
    </xf>
    <xf borderId="11" fillId="4" fontId="10" numFmtId="10" xfId="0" applyAlignment="1" applyBorder="1" applyFont="1" applyNumberFormat="1">
      <alignment horizontal="center" readingOrder="0"/>
    </xf>
    <xf borderId="25" fillId="4" fontId="26" numFmtId="10" xfId="0" applyAlignment="1" applyBorder="1" applyFont="1" applyNumberFormat="1">
      <alignment horizontal="center" readingOrder="0" vertical="bottom"/>
    </xf>
    <xf borderId="25" fillId="17" fontId="26" numFmtId="10" xfId="0" applyAlignment="1" applyBorder="1" applyFont="1" applyNumberFormat="1">
      <alignment horizontal="center" readingOrder="0" vertical="bottom"/>
    </xf>
    <xf borderId="27" fillId="17" fontId="26" numFmtId="10" xfId="0" applyAlignment="1" applyBorder="1" applyFont="1" applyNumberFormat="1">
      <alignment horizontal="center" readingOrder="0" vertical="bottom"/>
    </xf>
    <xf borderId="25" fillId="18" fontId="26" numFmtId="10" xfId="0" applyAlignment="1" applyBorder="1" applyFont="1" applyNumberFormat="1">
      <alignment horizontal="center" readingOrder="0" vertical="bottom"/>
    </xf>
    <xf borderId="11" fillId="18" fontId="26" numFmtId="10" xfId="0" applyAlignment="1" applyBorder="1" applyFont="1" applyNumberFormat="1">
      <alignment horizontal="center" readingOrder="0" vertical="bottom"/>
    </xf>
    <xf borderId="21" fillId="0" fontId="2" numFmtId="164" xfId="0" applyAlignment="1" applyBorder="1" applyFont="1" applyNumberFormat="1">
      <alignment horizontal="center" readingOrder="0"/>
    </xf>
    <xf borderId="25" fillId="4" fontId="19" numFmtId="164" xfId="0" applyAlignment="1" applyBorder="1" applyFont="1" applyNumberFormat="1">
      <alignment horizontal="center" readingOrder="0" vertical="bottom"/>
    </xf>
    <xf borderId="26" fillId="4" fontId="19" numFmtId="164" xfId="0" applyAlignment="1" applyBorder="1" applyFont="1" applyNumberFormat="1">
      <alignment horizontal="center" readingOrder="0" vertical="bottom"/>
    </xf>
    <xf borderId="11" fillId="4" fontId="19" numFmtId="164" xfId="0" applyAlignment="1" applyBorder="1" applyFont="1" applyNumberFormat="1">
      <alignment horizontal="center" readingOrder="0" vertical="bottom"/>
    </xf>
    <xf borderId="26" fillId="0" fontId="2" numFmtId="10" xfId="0" applyAlignment="1" applyBorder="1" applyFont="1" applyNumberFormat="1">
      <alignment readingOrder="0"/>
    </xf>
    <xf borderId="25" fillId="0" fontId="2" numFmtId="10" xfId="0" applyAlignment="1" applyBorder="1" applyFont="1" applyNumberFormat="1">
      <alignment readingOrder="0"/>
    </xf>
    <xf borderId="11" fillId="0" fontId="2" numFmtId="10" xfId="0" applyAlignment="1" applyBorder="1" applyFont="1" applyNumberFormat="1">
      <alignment readingOrder="0"/>
    </xf>
    <xf borderId="0" fillId="0" fontId="2" numFmtId="0" xfId="0" applyAlignment="1" applyFont="1">
      <alignment readingOrder="0"/>
    </xf>
    <xf borderId="25" fillId="0" fontId="2" numFmtId="164" xfId="0" applyAlignment="1" applyBorder="1" applyFont="1" applyNumberFormat="1">
      <alignment horizontal="center" readingOrder="0"/>
    </xf>
    <xf borderId="11" fillId="0" fontId="2" numFmtId="164" xfId="0" applyAlignment="1" applyBorder="1" applyFont="1" applyNumberFormat="1">
      <alignment horizontal="center" readingOrder="0"/>
    </xf>
    <xf borderId="0" fillId="4" fontId="2" numFmtId="0" xfId="0" applyAlignment="1" applyFont="1">
      <alignment readingOrder="0"/>
    </xf>
    <xf borderId="32" fillId="2" fontId="25" numFmtId="164" xfId="0" applyAlignment="1" applyBorder="1" applyFont="1" applyNumberFormat="1">
      <alignment horizontal="right" vertical="bottom"/>
    </xf>
    <xf borderId="33" fillId="2" fontId="22" numFmtId="3" xfId="0" applyAlignment="1" applyBorder="1" applyFont="1" applyNumberFormat="1">
      <alignment horizontal="center" vertical="bottom"/>
    </xf>
    <xf borderId="0" fillId="2" fontId="22" numFmtId="3" xfId="0" applyAlignment="1" applyFont="1" applyNumberFormat="1">
      <alignment horizontal="center" vertical="bottom"/>
    </xf>
    <xf borderId="5" fillId="2" fontId="22" numFmtId="3" xfId="0" applyAlignment="1" applyBorder="1" applyFont="1" applyNumberFormat="1">
      <alignment horizontal="center" vertical="bottom"/>
    </xf>
    <xf borderId="32" fillId="19" fontId="19" numFmtId="164" xfId="0" applyAlignment="1" applyBorder="1" applyFill="1" applyFont="1" applyNumberFormat="1">
      <alignment horizontal="center" vertical="bottom"/>
    </xf>
    <xf borderId="0" fillId="19" fontId="19" numFmtId="10" xfId="0" applyAlignment="1" applyFont="1" applyNumberFormat="1">
      <alignment horizontal="center" vertical="bottom"/>
    </xf>
    <xf borderId="5" fillId="19" fontId="19" numFmtId="10" xfId="0" applyAlignment="1" applyBorder="1" applyFont="1" applyNumberFormat="1">
      <alignment horizontal="center" vertical="bottom"/>
    </xf>
    <xf borderId="32" fillId="20" fontId="19" numFmtId="164" xfId="0" applyAlignment="1" applyBorder="1" applyFill="1" applyFont="1" applyNumberFormat="1">
      <alignment horizontal="center" vertical="bottom"/>
    </xf>
    <xf borderId="0" fillId="20" fontId="19" numFmtId="10" xfId="0" applyAlignment="1" applyFont="1" applyNumberFormat="1">
      <alignment horizontal="center" vertical="bottom"/>
    </xf>
    <xf borderId="5" fillId="20" fontId="19" numFmtId="10" xfId="0" applyAlignment="1" applyBorder="1" applyFont="1" applyNumberFormat="1">
      <alignment horizontal="center" vertical="bottom"/>
    </xf>
    <xf borderId="32" fillId="9" fontId="19" numFmtId="164" xfId="0" applyAlignment="1" applyBorder="1" applyFont="1" applyNumberFormat="1">
      <alignment horizontal="center" vertical="bottom"/>
    </xf>
    <xf borderId="0" fillId="9" fontId="19" numFmtId="10" xfId="0" applyAlignment="1" applyFont="1" applyNumberFormat="1">
      <alignment horizontal="center" vertical="bottom"/>
    </xf>
    <xf borderId="5" fillId="9" fontId="19" numFmtId="10" xfId="0" applyAlignment="1" applyBorder="1" applyFont="1" applyNumberFormat="1">
      <alignment horizontal="center" vertical="bottom"/>
    </xf>
    <xf borderId="32" fillId="21" fontId="19" numFmtId="164" xfId="0" applyAlignment="1" applyBorder="1" applyFill="1" applyFont="1" applyNumberFormat="1">
      <alignment horizontal="center" vertical="bottom"/>
    </xf>
    <xf borderId="0" fillId="21" fontId="19" numFmtId="10" xfId="0" applyAlignment="1" applyFont="1" applyNumberFormat="1">
      <alignment horizontal="center" vertical="bottom"/>
    </xf>
    <xf borderId="5" fillId="21" fontId="19" numFmtId="10" xfId="0" applyAlignment="1" applyBorder="1" applyFont="1" applyNumberFormat="1">
      <alignment horizontal="center" vertical="bottom"/>
    </xf>
    <xf borderId="32" fillId="22" fontId="19" numFmtId="164" xfId="0" applyAlignment="1" applyBorder="1" applyFill="1" applyFont="1" applyNumberFormat="1">
      <alignment horizontal="center" vertical="bottom"/>
    </xf>
    <xf borderId="0" fillId="22" fontId="19" numFmtId="10" xfId="0" applyAlignment="1" applyFont="1" applyNumberFormat="1">
      <alignment horizontal="center" vertical="bottom"/>
    </xf>
    <xf borderId="5" fillId="22" fontId="19" numFmtId="10" xfId="0" applyAlignment="1" applyBorder="1" applyFont="1" applyNumberFormat="1">
      <alignment horizontal="center" vertical="bottom"/>
    </xf>
    <xf borderId="32" fillId="23" fontId="19" numFmtId="164" xfId="0" applyAlignment="1" applyBorder="1" applyFill="1" applyFont="1" applyNumberFormat="1">
      <alignment horizontal="center" vertical="bottom"/>
    </xf>
    <xf borderId="0" fillId="23" fontId="19" numFmtId="10" xfId="0" applyAlignment="1" applyFont="1" applyNumberFormat="1">
      <alignment horizontal="center" vertical="bottom"/>
    </xf>
    <xf borderId="5" fillId="23" fontId="19" numFmtId="10" xfId="0" applyAlignment="1" applyBorder="1" applyFont="1" applyNumberFormat="1">
      <alignment horizontal="center" vertical="bottom"/>
    </xf>
    <xf borderId="32" fillId="24" fontId="19" numFmtId="164" xfId="0" applyAlignment="1" applyBorder="1" applyFill="1" applyFont="1" applyNumberFormat="1">
      <alignment horizontal="center" vertical="bottom"/>
    </xf>
    <xf borderId="0" fillId="24" fontId="19" numFmtId="10" xfId="0" applyAlignment="1" applyFont="1" applyNumberFormat="1">
      <alignment horizontal="center" vertical="bottom"/>
    </xf>
    <xf borderId="5" fillId="24" fontId="19" numFmtId="10" xfId="0" applyAlignment="1" applyBorder="1" applyFont="1" applyNumberFormat="1">
      <alignment horizontal="center" vertical="bottom"/>
    </xf>
    <xf borderId="32" fillId="25" fontId="19" numFmtId="164" xfId="0" applyAlignment="1" applyBorder="1" applyFill="1" applyFont="1" applyNumberFormat="1">
      <alignment horizontal="center" vertical="bottom"/>
    </xf>
    <xf borderId="0" fillId="25" fontId="19" numFmtId="10" xfId="0" applyAlignment="1" applyFont="1" applyNumberFormat="1">
      <alignment horizontal="center" vertical="bottom"/>
    </xf>
    <xf borderId="5" fillId="25" fontId="19" numFmtId="10" xfId="0" applyAlignment="1" applyBorder="1" applyFont="1" applyNumberFormat="1">
      <alignment horizontal="center" vertical="bottom"/>
    </xf>
    <xf borderId="32" fillId="26" fontId="19" numFmtId="164" xfId="0" applyAlignment="1" applyBorder="1" applyFill="1" applyFont="1" applyNumberFormat="1">
      <alignment horizontal="center" vertical="bottom"/>
    </xf>
    <xf borderId="0" fillId="26" fontId="19" numFmtId="10" xfId="0" applyAlignment="1" applyFont="1" applyNumberFormat="1">
      <alignment horizontal="center" vertical="bottom"/>
    </xf>
    <xf borderId="5" fillId="26" fontId="19" numFmtId="10" xfId="0" applyAlignment="1" applyBorder="1" applyFont="1" applyNumberFormat="1">
      <alignment horizontal="center" vertical="bottom"/>
    </xf>
    <xf borderId="32" fillId="27" fontId="19" numFmtId="164" xfId="0" applyAlignment="1" applyBorder="1" applyFill="1" applyFont="1" applyNumberFormat="1">
      <alignment horizontal="center" vertical="bottom"/>
    </xf>
    <xf borderId="0" fillId="27" fontId="19" numFmtId="10" xfId="0" applyAlignment="1" applyFont="1" applyNumberFormat="1">
      <alignment horizontal="center" vertical="bottom"/>
    </xf>
    <xf borderId="5" fillId="27" fontId="19" numFmtId="10" xfId="0" applyAlignment="1" applyBorder="1" applyFont="1" applyNumberFormat="1">
      <alignment horizontal="center" vertical="bottom"/>
    </xf>
    <xf borderId="32" fillId="28" fontId="19" numFmtId="164" xfId="0" applyAlignment="1" applyBorder="1" applyFill="1" applyFont="1" applyNumberFormat="1">
      <alignment horizontal="center" vertical="bottom"/>
    </xf>
    <xf borderId="0" fillId="28" fontId="19" numFmtId="10" xfId="0" applyAlignment="1" applyFont="1" applyNumberFormat="1">
      <alignment horizontal="center" vertical="bottom"/>
    </xf>
    <xf borderId="5" fillId="28" fontId="19" numFmtId="10" xfId="0" applyAlignment="1" applyBorder="1" applyFont="1" applyNumberFormat="1">
      <alignment horizontal="center" vertical="bottom"/>
    </xf>
    <xf borderId="32" fillId="29" fontId="19" numFmtId="164" xfId="0" applyAlignment="1" applyBorder="1" applyFill="1" applyFont="1" applyNumberFormat="1">
      <alignment horizontal="center" vertical="bottom"/>
    </xf>
    <xf borderId="0" fillId="29" fontId="19" numFmtId="10" xfId="0" applyAlignment="1" applyFont="1" applyNumberFormat="1">
      <alignment horizontal="center" vertical="bottom"/>
    </xf>
    <xf borderId="5" fillId="29" fontId="19" numFmtId="10" xfId="0" applyAlignment="1" applyBorder="1" applyFont="1" applyNumberFormat="1">
      <alignment horizontal="center" vertical="bottom"/>
    </xf>
    <xf borderId="32" fillId="30" fontId="19" numFmtId="164" xfId="0" applyAlignment="1" applyBorder="1" applyFill="1" applyFont="1" applyNumberFormat="1">
      <alignment horizontal="center" vertical="bottom"/>
    </xf>
    <xf borderId="0" fillId="30" fontId="19" numFmtId="10" xfId="0" applyAlignment="1" applyFont="1" applyNumberFormat="1">
      <alignment horizontal="center" vertical="bottom"/>
    </xf>
    <xf borderId="5" fillId="30" fontId="19" numFmtId="10" xfId="0" applyAlignment="1" applyBorder="1" applyFont="1" applyNumberFormat="1">
      <alignment horizontal="center" vertical="bottom"/>
    </xf>
    <xf borderId="32" fillId="18" fontId="19" numFmtId="164" xfId="0" applyAlignment="1" applyBorder="1" applyFont="1" applyNumberFormat="1">
      <alignment horizontal="center" vertical="bottom"/>
    </xf>
    <xf borderId="0" fillId="18" fontId="19" numFmtId="10" xfId="0" applyAlignment="1" applyFont="1" applyNumberFormat="1">
      <alignment horizontal="center" vertical="bottom"/>
    </xf>
    <xf borderId="5" fillId="18" fontId="19" numFmtId="10" xfId="0" applyAlignment="1" applyBorder="1" applyFont="1" applyNumberFormat="1">
      <alignment horizontal="center" vertical="bottom"/>
    </xf>
    <xf borderId="32" fillId="17" fontId="19" numFmtId="164" xfId="0" applyAlignment="1" applyBorder="1" applyFont="1" applyNumberFormat="1">
      <alignment horizontal="center" vertical="bottom"/>
    </xf>
    <xf borderId="0" fillId="17" fontId="19" numFmtId="10" xfId="0" applyAlignment="1" applyFont="1" applyNumberFormat="1">
      <alignment horizontal="center" vertical="bottom"/>
    </xf>
    <xf borderId="5" fillId="17" fontId="19" numFmtId="10" xfId="0" applyAlignment="1" applyBorder="1" applyFont="1" applyNumberFormat="1">
      <alignment horizontal="center" vertical="bottom"/>
    </xf>
    <xf borderId="32" fillId="4" fontId="19" numFmtId="164" xfId="0" applyAlignment="1" applyBorder="1" applyFont="1" applyNumberFormat="1">
      <alignment horizontal="center" vertical="bottom"/>
    </xf>
    <xf borderId="0" fillId="4" fontId="19" numFmtId="10" xfId="0" applyAlignment="1" applyFont="1" applyNumberFormat="1">
      <alignment horizontal="center" vertical="bottom"/>
    </xf>
    <xf borderId="5" fillId="4" fontId="19" numFmtId="10" xfId="0" applyAlignment="1" applyBorder="1" applyFont="1" applyNumberFormat="1">
      <alignment horizontal="center" vertical="bottom"/>
    </xf>
    <xf borderId="34" fillId="4" fontId="19" numFmtId="164" xfId="0" applyAlignment="1" applyBorder="1" applyFont="1" applyNumberFormat="1">
      <alignment horizontal="center" vertical="bottom"/>
    </xf>
    <xf borderId="25" fillId="0" fontId="19" numFmtId="10" xfId="0" applyAlignment="1" applyBorder="1" applyFont="1" applyNumberFormat="1">
      <alignment horizontal="center" vertical="bottom"/>
    </xf>
    <xf borderId="11" fillId="0" fontId="19" numFmtId="10" xfId="0" applyAlignment="1" applyBorder="1" applyFont="1" applyNumberFormat="1">
      <alignment horizontal="center" vertical="bottom"/>
    </xf>
    <xf borderId="5" fillId="3" fontId="11" numFmtId="165" xfId="0" applyAlignment="1" applyBorder="1" applyFont="1" applyNumberFormat="1">
      <alignment readingOrder="0"/>
    </xf>
    <xf borderId="11" fillId="3" fontId="11" numFmtId="0" xfId="0" applyAlignment="1" applyBorder="1" applyFont="1">
      <alignment readingOrder="0"/>
    </xf>
    <xf borderId="0" fillId="0" fontId="2" numFmtId="164" xfId="0" applyFont="1" applyNumberFormat="1"/>
    <xf borderId="20" fillId="2" fontId="7" numFmtId="10" xfId="0" applyAlignment="1" applyBorder="1" applyFont="1" applyNumberFormat="1">
      <alignment horizontal="center" readingOrder="0"/>
    </xf>
    <xf borderId="0" fillId="0" fontId="0" numFmtId="164" xfId="0" applyAlignment="1" applyFont="1" applyNumberFormat="1">
      <alignment horizontal="center" readingOrder="0"/>
    </xf>
    <xf borderId="0" fillId="4" fontId="0" numFmtId="164" xfId="0" applyAlignment="1" applyFont="1" applyNumberFormat="1">
      <alignment horizontal="center" readingOrder="0"/>
    </xf>
    <xf borderId="0" fillId="4" fontId="35" numFmtId="164" xfId="0" applyAlignment="1" applyFont="1" applyNumberFormat="1">
      <alignment horizontal="center" readingOrder="0"/>
    </xf>
    <xf borderId="0" fillId="4" fontId="36" numFmtId="164" xfId="0" applyAlignment="1" applyFont="1" applyNumberFormat="1">
      <alignment horizontal="center" readingOrder="0" vertical="bottom"/>
    </xf>
    <xf borderId="0" fillId="4" fontId="0" numFmtId="164" xfId="0" applyAlignment="1" applyFont="1" applyNumberFormat="1">
      <alignment horizontal="center" readingOrder="0"/>
    </xf>
    <xf borderId="12" fillId="4" fontId="37" numFmtId="3" xfId="0" applyAlignment="1" applyBorder="1" applyFont="1" applyNumberFormat="1">
      <alignment horizontal="center" readingOrder="0"/>
    </xf>
    <xf borderId="35" fillId="0" fontId="0" numFmtId="4" xfId="0" applyAlignment="1" applyBorder="1" applyFont="1" applyNumberFormat="1">
      <alignment horizontal="center" readingOrder="0"/>
    </xf>
    <xf borderId="13" fillId="0" fontId="0" numFmtId="4" xfId="0" applyAlignment="1" applyBorder="1" applyFont="1" applyNumberFormat="1">
      <alignment horizontal="center" readingOrder="0"/>
    </xf>
    <xf borderId="0" fillId="0" fontId="0" numFmtId="4" xfId="0" applyAlignment="1" applyFont="1" applyNumberFormat="1">
      <alignment horizontal="center" readingOrder="0"/>
    </xf>
    <xf borderId="14" fillId="4" fontId="37" numFmtId="3" xfId="0" applyAlignment="1" applyBorder="1" applyFont="1" applyNumberFormat="1">
      <alignment horizontal="center" readingOrder="0"/>
    </xf>
    <xf borderId="15" fillId="0" fontId="0" numFmtId="4" xfId="0" applyAlignment="1" applyBorder="1" applyFont="1" applyNumberFormat="1">
      <alignment horizontal="center" readingOrder="0"/>
    </xf>
    <xf borderId="15" fillId="4" fontId="0" numFmtId="164" xfId="0" applyAlignment="1" applyBorder="1" applyFont="1" applyNumberFormat="1">
      <alignment horizontal="center" readingOrder="0"/>
    </xf>
    <xf borderId="16" fillId="4" fontId="37" numFmtId="3" xfId="0" applyAlignment="1" applyBorder="1" applyFont="1" applyNumberFormat="1">
      <alignment horizontal="center" readingOrder="0"/>
    </xf>
    <xf borderId="31" fillId="0" fontId="0" numFmtId="3" xfId="0" applyAlignment="1" applyBorder="1" applyFont="1" applyNumberFormat="1">
      <alignment horizontal="center" readingOrder="0"/>
    </xf>
    <xf borderId="17" fillId="0" fontId="0" numFmtId="3" xfId="0" applyAlignment="1" applyBorder="1" applyFont="1" applyNumberFormat="1">
      <alignment horizontal="center" readingOrder="0"/>
    </xf>
    <xf borderId="0" fillId="0" fontId="0" numFmtId="3" xfId="0" applyAlignment="1" applyFont="1" applyNumberFormat="1">
      <alignment horizontal="center" readingOrder="0"/>
    </xf>
    <xf borderId="0" fillId="0" fontId="0" numFmtId="164" xfId="0" applyAlignment="1" applyFont="1" applyNumberFormat="1">
      <alignment horizontal="center"/>
    </xf>
    <xf borderId="0" fillId="4" fontId="37" numFmtId="3" xfId="0" applyAlignment="1" applyFont="1" applyNumberFormat="1">
      <alignment horizontal="center" readingOrder="0"/>
    </xf>
    <xf borderId="0" fillId="0" fontId="2" numFmtId="3" xfId="0" applyFont="1" applyNumberFormat="1"/>
    <xf borderId="0" fillId="0" fontId="2" numFmtId="0" xfId="0" applyFont="1"/>
    <xf borderId="0" fillId="0" fontId="2" numFmtId="1" xfId="0" applyFont="1" applyNumberFormat="1"/>
    <xf borderId="0" fillId="0" fontId="2" numFmtId="10" xfId="0" applyFont="1" applyNumberFormat="1"/>
    <xf borderId="4" fillId="2" fontId="16" numFmtId="0" xfId="0" applyAlignment="1" applyBorder="1" applyFont="1">
      <alignment horizontal="center" readingOrder="0"/>
    </xf>
    <xf borderId="4" fillId="2" fontId="38" numFmtId="4" xfId="0" applyAlignment="1" applyBorder="1" applyFont="1" applyNumberFormat="1">
      <alignment horizontal="right" readingOrder="0" textRotation="90" vertical="center"/>
    </xf>
    <xf borderId="31" fillId="2" fontId="7" numFmtId="9" xfId="0" applyAlignment="1" applyBorder="1" applyFont="1" applyNumberFormat="1">
      <alignment horizontal="center"/>
    </xf>
    <xf borderId="31" fillId="2" fontId="7" numFmtId="9" xfId="0" applyAlignment="1" applyBorder="1" applyFont="1" applyNumberFormat="1">
      <alignment horizontal="center" readingOrder="0"/>
    </xf>
    <xf borderId="30" fillId="2" fontId="7" numFmtId="9" xfId="0" applyAlignment="1" applyBorder="1" applyFont="1" applyNumberFormat="1">
      <alignment horizontal="center" readingOrder="0"/>
    </xf>
    <xf borderId="9" fillId="2" fontId="7" numFmtId="9" xfId="0" applyAlignment="1" applyBorder="1" applyFont="1" applyNumberFormat="1">
      <alignment horizontal="center"/>
    </xf>
    <xf borderId="0" fillId="2" fontId="7" numFmtId="9" xfId="0" applyAlignment="1" applyFont="1" applyNumberFormat="1">
      <alignment horizontal="center"/>
    </xf>
    <xf borderId="20" fillId="2" fontId="7" numFmtId="9" xfId="0" applyAlignment="1" applyBorder="1" applyFont="1" applyNumberFormat="1">
      <alignment horizontal="center" readingOrder="0"/>
    </xf>
    <xf borderId="5" fillId="2" fontId="7" numFmtId="9" xfId="0" applyAlignment="1" applyBorder="1" applyFont="1" applyNumberFormat="1">
      <alignment horizontal="center"/>
    </xf>
    <xf borderId="4" fillId="0" fontId="2" numFmtId="10" xfId="0" applyAlignment="1" applyBorder="1" applyFont="1" applyNumberFormat="1">
      <alignment horizontal="center" readingOrder="0"/>
    </xf>
    <xf borderId="36" fillId="0" fontId="24" numFmtId="164" xfId="0" applyAlignment="1" applyBorder="1" applyFont="1" applyNumberFormat="1">
      <alignment horizontal="center" readingOrder="0"/>
    </xf>
    <xf borderId="37" fillId="0" fontId="24" numFmtId="164" xfId="0" applyAlignment="1" applyBorder="1" applyFont="1" applyNumberFormat="1">
      <alignment horizontal="center" readingOrder="0"/>
    </xf>
    <xf borderId="38" fillId="0" fontId="24" numFmtId="164" xfId="0" applyAlignment="1" applyBorder="1" applyFont="1" applyNumberFormat="1">
      <alignment horizontal="center" readingOrder="0"/>
    </xf>
    <xf borderId="39" fillId="0" fontId="34" numFmtId="10" xfId="0" applyAlignment="1" applyBorder="1" applyFont="1" applyNumberFormat="1">
      <alignment horizontal="center" readingOrder="0"/>
    </xf>
    <xf borderId="36" fillId="0" fontId="34" numFmtId="10" xfId="0" applyAlignment="1" applyBorder="1" applyFont="1" applyNumberFormat="1">
      <alignment horizontal="center" readingOrder="0"/>
    </xf>
    <xf borderId="37" fillId="0" fontId="34" numFmtId="10" xfId="0" applyAlignment="1" applyBorder="1" applyFont="1" applyNumberFormat="1">
      <alignment horizontal="center" readingOrder="0"/>
    </xf>
    <xf borderId="38" fillId="0" fontId="34" numFmtId="10" xfId="0" applyAlignment="1" applyBorder="1" applyFont="1" applyNumberFormat="1">
      <alignment horizontal="center" readingOrder="0"/>
    </xf>
    <xf borderId="36" fillId="4" fontId="34" numFmtId="164" xfId="0" applyAlignment="1" applyBorder="1" applyFont="1" applyNumberFormat="1">
      <alignment horizontal="center" readingOrder="0"/>
    </xf>
    <xf borderId="37" fillId="4" fontId="34" numFmtId="164" xfId="0" applyAlignment="1" applyBorder="1" applyFont="1" applyNumberFormat="1">
      <alignment horizontal="center" readingOrder="0"/>
    </xf>
    <xf borderId="38" fillId="4" fontId="34" numFmtId="164" xfId="0" applyAlignment="1" applyBorder="1" applyFont="1" applyNumberFormat="1">
      <alignment horizontal="center" readingOrder="0"/>
    </xf>
    <xf borderId="21" fillId="4" fontId="2" numFmtId="164" xfId="0" applyAlignment="1" applyBorder="1" applyFont="1" applyNumberFormat="1">
      <alignment horizontal="center" readingOrder="0"/>
    </xf>
    <xf borderId="36" fillId="4" fontId="39" numFmtId="164" xfId="0" applyAlignment="1" applyBorder="1" applyFont="1" applyNumberFormat="1">
      <alignment horizontal="center" readingOrder="0"/>
    </xf>
    <xf borderId="37" fillId="4" fontId="39" numFmtId="164" xfId="0" applyAlignment="1" applyBorder="1" applyFont="1" applyNumberFormat="1">
      <alignment horizontal="center" readingOrder="0"/>
    </xf>
    <xf borderId="38" fillId="4" fontId="39" numFmtId="164" xfId="0" applyAlignment="1" applyBorder="1" applyFont="1" applyNumberFormat="1">
      <alignment horizontal="center" readingOrder="0"/>
    </xf>
    <xf borderId="26" fillId="0" fontId="2" numFmtId="164" xfId="0" applyAlignment="1" applyBorder="1" applyFont="1" applyNumberFormat="1">
      <alignment horizontal="center" readingOrder="0"/>
    </xf>
    <xf borderId="10" fillId="0" fontId="2" numFmtId="10" xfId="0" applyAlignment="1" applyBorder="1" applyFont="1" applyNumberFormat="1">
      <alignment horizontal="center" readingOrder="0"/>
    </xf>
    <xf borderId="25" fillId="0" fontId="2" numFmtId="10" xfId="0" applyAlignment="1" applyBorder="1" applyFont="1" applyNumberFormat="1">
      <alignment horizontal="center" readingOrder="0"/>
    </xf>
    <xf borderId="27" fillId="0" fontId="2" numFmtId="10" xfId="0" applyAlignment="1" applyBorder="1" applyFont="1" applyNumberFormat="1">
      <alignment horizontal="center" readingOrder="0"/>
    </xf>
    <xf borderId="11" fillId="0" fontId="2" numFmtId="10" xfId="0" applyAlignment="1" applyBorder="1" applyFont="1" applyNumberFormat="1">
      <alignment horizontal="center" readingOrder="0"/>
    </xf>
    <xf borderId="26" fillId="0" fontId="2" numFmtId="10" xfId="0" applyAlignment="1" applyBorder="1" applyFont="1" applyNumberFormat="1">
      <alignment horizontal="center" readingOrder="0"/>
    </xf>
    <xf borderId="0" fillId="4" fontId="7" numFmtId="0" xfId="0" applyAlignment="1" applyFont="1">
      <alignment horizontal="center"/>
    </xf>
    <xf borderId="4" fillId="2" fontId="20" numFmtId="0" xfId="0" applyAlignment="1" applyBorder="1" applyFont="1">
      <alignment horizontal="center" readingOrder="0"/>
    </xf>
    <xf borderId="21" fillId="4" fontId="2" numFmtId="10" xfId="0" applyAlignment="1" applyBorder="1" applyFont="1" applyNumberFormat="1">
      <alignment horizontal="center" readingOrder="0"/>
    </xf>
    <xf borderId="5" fillId="4" fontId="2" numFmtId="10" xfId="0" applyAlignment="1" applyBorder="1" applyFont="1" applyNumberFormat="1">
      <alignment horizontal="center" readingOrder="0"/>
    </xf>
    <xf borderId="37" fillId="4" fontId="24" numFmtId="10" xfId="0" applyAlignment="1" applyBorder="1" applyFont="1" applyNumberFormat="1">
      <alignment horizontal="center" readingOrder="0"/>
    </xf>
    <xf borderId="36" fillId="4" fontId="24" numFmtId="10" xfId="0" applyAlignment="1" applyBorder="1" applyFont="1" applyNumberFormat="1">
      <alignment horizontal="center" readingOrder="0"/>
    </xf>
    <xf borderId="38" fillId="4" fontId="24" numFmtId="10" xfId="0" applyAlignment="1" applyBorder="1" applyFont="1" applyNumberFormat="1">
      <alignment horizontal="center" readingOrder="0"/>
    </xf>
    <xf borderId="0" fillId="4" fontId="24" numFmtId="164" xfId="0" applyAlignment="1" applyFont="1" applyNumberFormat="1">
      <alignment horizontal="center" readingOrder="0"/>
    </xf>
    <xf borderId="0" fillId="0" fontId="24" numFmtId="164" xfId="0" applyAlignment="1" applyFont="1" applyNumberFormat="1">
      <alignment horizontal="center" readingOrder="0"/>
    </xf>
    <xf borderId="37" fillId="4" fontId="34" numFmtId="10" xfId="0" applyAlignment="1" applyBorder="1" applyFont="1" applyNumberFormat="1">
      <alignment horizontal="center" readingOrder="0"/>
    </xf>
    <xf borderId="36" fillId="4" fontId="34" numFmtId="10" xfId="0" applyAlignment="1" applyBorder="1" applyFont="1" applyNumberFormat="1">
      <alignment horizontal="center" readingOrder="0"/>
    </xf>
    <xf borderId="38" fillId="4" fontId="34" numFmtId="10" xfId="0" applyAlignment="1" applyBorder="1" applyFont="1" applyNumberFormat="1">
      <alignment horizontal="center" readingOrder="0"/>
    </xf>
    <xf borderId="37" fillId="4" fontId="39" numFmtId="10" xfId="0" applyAlignment="1" applyBorder="1" applyFont="1" applyNumberFormat="1">
      <alignment horizontal="center" readingOrder="0"/>
    </xf>
    <xf borderId="36" fillId="4" fontId="39" numFmtId="10" xfId="0" applyAlignment="1" applyBorder="1" applyFont="1" applyNumberFormat="1">
      <alignment horizontal="center" readingOrder="0"/>
    </xf>
    <xf borderId="38" fillId="4" fontId="39" numFmtId="10" xfId="0" applyAlignment="1" applyBorder="1" applyFont="1" applyNumberFormat="1">
      <alignment horizontal="center" readingOrder="0"/>
    </xf>
    <xf borderId="37" fillId="0" fontId="34" numFmtId="164" xfId="0" applyAlignment="1" applyBorder="1" applyFont="1" applyNumberFormat="1">
      <alignment horizontal="center" readingOrder="0"/>
    </xf>
    <xf borderId="36" fillId="0" fontId="34" numFmtId="164" xfId="0" applyAlignment="1" applyBorder="1" applyFont="1" applyNumberFormat="1">
      <alignment horizontal="center" readingOrder="0"/>
    </xf>
    <xf borderId="38" fillId="0" fontId="34" numFmtId="164" xfId="0" applyAlignment="1" applyBorder="1" applyFont="1" applyNumberFormat="1">
      <alignment horizontal="center" readingOrder="0"/>
    </xf>
    <xf borderId="0" fillId="4" fontId="39" numFmtId="164" xfId="0" applyAlignment="1" applyFont="1" applyNumberFormat="1">
      <alignment horizontal="center" readingOrder="0"/>
    </xf>
    <xf borderId="26" fillId="4" fontId="2" numFmtId="10" xfId="0" applyAlignment="1" applyBorder="1" applyFont="1" applyNumberFormat="1">
      <alignment horizontal="center" readingOrder="0"/>
    </xf>
    <xf borderId="25" fillId="4" fontId="2" numFmtId="10" xfId="0" applyAlignment="1" applyBorder="1" applyFont="1" applyNumberFormat="1">
      <alignment horizontal="center" readingOrder="0"/>
    </xf>
    <xf borderId="11" fillId="4" fontId="2" numFmtId="10" xfId="0" applyAlignment="1" applyBorder="1" applyFont="1" applyNumberFormat="1">
      <alignment horizontal="center" readingOrder="0"/>
    </xf>
    <xf borderId="0" fillId="0" fontId="34" numFmtId="164" xfId="0" applyAlignment="1" applyFont="1" applyNumberFormat="1">
      <alignment horizontal="center" readingOrder="0"/>
    </xf>
    <xf borderId="28" fillId="2" fontId="18" numFmtId="0" xfId="0" applyAlignment="1" applyBorder="1" applyFont="1">
      <alignment readingOrder="0" shrinkToFit="0" vertical="bottom" wrapText="0"/>
    </xf>
    <xf borderId="29" fillId="2" fontId="19" numFmtId="164" xfId="0" applyAlignment="1" applyBorder="1" applyFont="1" applyNumberFormat="1">
      <alignment vertical="bottom"/>
    </xf>
    <xf borderId="40" fillId="2" fontId="22" numFmtId="164" xfId="0" applyAlignment="1" applyBorder="1" applyFont="1" applyNumberFormat="1">
      <alignment shrinkToFit="0" vertical="bottom" wrapText="0"/>
    </xf>
    <xf borderId="41" fillId="2" fontId="23" numFmtId="164" xfId="0" applyAlignment="1" applyBorder="1" applyFont="1" applyNumberFormat="1">
      <alignment shrinkToFit="0" vertical="bottom" wrapText="0"/>
    </xf>
    <xf borderId="41" fillId="2" fontId="23" numFmtId="164" xfId="0" applyAlignment="1" applyBorder="1" applyFont="1" applyNumberFormat="1">
      <alignment vertical="bottom"/>
    </xf>
    <xf borderId="41" fillId="2" fontId="23" numFmtId="0" xfId="0" applyAlignment="1" applyBorder="1" applyFont="1">
      <alignment vertical="bottom"/>
    </xf>
    <xf borderId="42" fillId="2" fontId="25" numFmtId="10" xfId="0" applyAlignment="1" applyBorder="1" applyFont="1" applyNumberFormat="1">
      <alignment horizontal="right" vertical="bottom"/>
    </xf>
    <xf borderId="43" fillId="2" fontId="22" numFmtId="9" xfId="0" applyAlignment="1" applyBorder="1" applyFont="1" applyNumberFormat="1">
      <alignment horizontal="center" vertical="bottom"/>
    </xf>
    <xf borderId="33" fillId="2" fontId="22" numFmtId="9" xfId="0" applyAlignment="1" applyBorder="1" applyFont="1" applyNumberFormat="1">
      <alignment horizontal="center" vertical="bottom"/>
    </xf>
    <xf borderId="44" fillId="2" fontId="22" numFmtId="3" xfId="0" applyAlignment="1" applyBorder="1" applyFont="1" applyNumberFormat="1">
      <alignment horizontal="center" vertical="bottom"/>
    </xf>
    <xf borderId="45" fillId="4" fontId="19" numFmtId="164" xfId="0" applyAlignment="1" applyBorder="1" applyFont="1" applyNumberFormat="1">
      <alignment horizontal="center" readingOrder="0" vertical="bottom"/>
    </xf>
    <xf borderId="34" fillId="4" fontId="19" numFmtId="164" xfId="0" applyAlignment="1" applyBorder="1" applyFont="1" applyNumberFormat="1">
      <alignment horizontal="center" readingOrder="0" vertical="bottom"/>
    </xf>
    <xf borderId="22" fillId="2" fontId="22" numFmtId="3" xfId="0" applyAlignment="1" applyBorder="1" applyFont="1" applyNumberFormat="1">
      <alignment horizontal="center" readingOrder="0" vertical="bottom"/>
    </xf>
    <xf borderId="23" fillId="4" fontId="19" numFmtId="164" xfId="0" applyAlignment="1" applyBorder="1" applyFont="1" applyNumberFormat="1">
      <alignment horizontal="center" readingOrder="0" vertical="bottom"/>
    </xf>
    <xf borderId="24" fillId="4" fontId="19" numFmtId="164" xfId="0" applyAlignment="1" applyBorder="1" applyFont="1" applyNumberFormat="1">
      <alignment horizontal="center" readingOrder="0" vertical="bottom"/>
    </xf>
    <xf borderId="0" fillId="2" fontId="22" numFmtId="3" xfId="0" applyAlignment="1" applyFont="1" applyNumberFormat="1">
      <alignment horizontal="center" readingOrder="0" vertical="bottom"/>
    </xf>
    <xf borderId="25" fillId="2" fontId="22" numFmtId="3" xfId="0" applyAlignment="1" applyBorder="1" applyFont="1" applyNumberFormat="1">
      <alignment horizontal="center" vertical="bottom"/>
    </xf>
    <xf borderId="0" fillId="4" fontId="23" numFmtId="0" xfId="0" applyAlignment="1" applyFont="1">
      <alignment readingOrder="0" vertical="bottom"/>
    </xf>
    <xf borderId="0" fillId="4" fontId="7" numFmtId="9" xfId="0" applyAlignment="1" applyFont="1" applyNumberFormat="1">
      <alignment horizontal="center"/>
    </xf>
    <xf borderId="0" fillId="4" fontId="7" numFmtId="9" xfId="0" applyAlignment="1" applyFont="1" applyNumberFormat="1">
      <alignment horizontal="center" readingOrder="0"/>
    </xf>
    <xf borderId="0" fillId="4" fontId="26" numFmtId="164" xfId="0" applyAlignment="1" applyFont="1" applyNumberFormat="1">
      <alignment horizontal="center" readingOrder="0" vertical="bottom"/>
    </xf>
    <xf borderId="21" fillId="0" fontId="10" numFmtId="164" xfId="0" applyAlignment="1" applyBorder="1" applyFont="1" applyNumberFormat="1">
      <alignment horizontal="center" readingOrder="0"/>
    </xf>
    <xf borderId="21" fillId="4" fontId="10" numFmtId="164" xfId="0" applyAlignment="1" applyBorder="1" applyFont="1" applyNumberFormat="1">
      <alignment horizontal="center" readingOrder="0"/>
    </xf>
    <xf borderId="27" fillId="4" fontId="10" numFmtId="164" xfId="0" applyAlignment="1" applyBorder="1" applyFont="1" applyNumberFormat="1">
      <alignment horizontal="center" readingOrder="0"/>
    </xf>
    <xf borderId="25" fillId="4" fontId="10" numFmtId="164" xfId="0" applyAlignment="1" applyBorder="1" applyFont="1" applyNumberFormat="1">
      <alignment horizontal="center" readingOrder="0"/>
    </xf>
    <xf borderId="11" fillId="4" fontId="10" numFmtId="164" xfId="0" applyAlignment="1" applyBorder="1" applyFont="1" applyNumberFormat="1">
      <alignment horizontal="center" readingOrder="0"/>
    </xf>
    <xf borderId="1" fillId="2" fontId="24" numFmtId="10" xfId="0" applyBorder="1" applyFont="1" applyNumberFormat="1"/>
    <xf borderId="2" fillId="2" fontId="7" numFmtId="3" xfId="0" applyAlignment="1" applyBorder="1" applyFont="1" applyNumberFormat="1">
      <alignment horizontal="center" readingOrder="0"/>
    </xf>
    <xf borderId="2" fillId="2" fontId="7" numFmtId="3" xfId="0" applyAlignment="1" applyBorder="1" applyFont="1" applyNumberFormat="1">
      <alignment horizontal="center"/>
    </xf>
    <xf borderId="3" fillId="2" fontId="7" numFmtId="3" xfId="0" applyAlignment="1" applyBorder="1" applyFont="1" applyNumberFormat="1">
      <alignment horizontal="center" readingOrder="0"/>
    </xf>
    <xf borderId="1" fillId="2" fontId="24" numFmtId="164" xfId="0" applyBorder="1" applyFont="1" applyNumberFormat="1"/>
    <xf borderId="0" fillId="4" fontId="23" numFmtId="10" xfId="0" applyAlignment="1" applyFont="1" applyNumberFormat="1">
      <alignment vertical="bottom"/>
    </xf>
    <xf borderId="26" fillId="4" fontId="10" numFmtId="164" xfId="0" applyAlignment="1" applyBorder="1" applyFont="1" applyNumberFormat="1">
      <alignment horizontal="center" readingOrder="0"/>
    </xf>
    <xf borderId="0" fillId="4" fontId="24" numFmtId="0" xfId="0" applyFont="1"/>
    <xf borderId="0" fillId="4" fontId="17" numFmtId="0" xfId="0" applyAlignment="1" applyFont="1">
      <alignment readingOrder="0"/>
    </xf>
    <xf borderId="27" fillId="0" fontId="2" numFmtId="164" xfId="0" applyAlignment="1" applyBorder="1" applyFont="1" applyNumberFormat="1">
      <alignment horizontal="center" readingOrder="0"/>
    </xf>
    <xf borderId="0" fillId="4" fontId="18" numFmtId="0" xfId="0" applyAlignment="1" applyFont="1">
      <alignment readingOrder="0" shrinkToFit="0" vertical="bottom" wrapText="0"/>
    </xf>
    <xf borderId="0" fillId="4" fontId="23" numFmtId="10" xfId="0" applyAlignment="1" applyFont="1" applyNumberFormat="1">
      <alignment horizontal="center" vertical="bottom"/>
    </xf>
    <xf borderId="0" fillId="4" fontId="22" numFmtId="9" xfId="0" applyAlignment="1" applyFont="1" applyNumberFormat="1">
      <alignment horizontal="center" vertical="bottom"/>
    </xf>
    <xf borderId="5" fillId="4" fontId="20" numFmtId="0" xfId="0" applyAlignment="1" applyBorder="1" applyFont="1">
      <alignment horizontal="center" readingOrder="0"/>
    </xf>
    <xf borderId="0" fillId="2" fontId="16" numFmtId="3" xfId="0" applyAlignment="1" applyFont="1" applyNumberFormat="1">
      <alignment horizontal="center" readingOrder="0"/>
    </xf>
    <xf borderId="5" fillId="2" fontId="16" numFmtId="3" xfId="0" applyAlignment="1" applyBorder="1" applyFont="1" applyNumberFormat="1">
      <alignment horizontal="center" readingOrder="0"/>
    </xf>
    <xf borderId="0" fillId="2" fontId="10" numFmtId="164" xfId="0" applyAlignment="1" applyFont="1" applyNumberFormat="1">
      <alignment horizontal="center" readingOrder="0"/>
    </xf>
    <xf borderId="5" fillId="2" fontId="10" numFmtId="164" xfId="0" applyAlignment="1" applyBorder="1" applyFont="1" applyNumberFormat="1">
      <alignment horizontal="center" readingOrder="0"/>
    </xf>
    <xf borderId="25" fillId="2" fontId="10" numFmtId="164" xfId="0" applyAlignment="1" applyBorder="1" applyFont="1" applyNumberFormat="1">
      <alignment horizontal="center" readingOrder="0"/>
    </xf>
    <xf borderId="11" fillId="2" fontId="10" numFmtId="164" xfId="0" applyAlignment="1" applyBorder="1" applyFont="1" applyNumberFormat="1">
      <alignment horizontal="center" readingOrder="0"/>
    </xf>
    <xf borderId="28" fillId="2" fontId="18" numFmtId="164" xfId="0" applyAlignment="1" applyBorder="1" applyFont="1" applyNumberFormat="1">
      <alignment shrinkToFit="0" vertical="bottom" wrapText="0"/>
    </xf>
    <xf borderId="3" fillId="2" fontId="19" numFmtId="164" xfId="0" applyAlignment="1" applyBorder="1" applyFont="1" applyNumberFormat="1">
      <alignment vertical="bottom"/>
    </xf>
    <xf borderId="46" fillId="2" fontId="23" numFmtId="164" xfId="0" applyAlignment="1" applyBorder="1" applyFont="1" applyNumberFormat="1">
      <alignment vertical="bottom"/>
    </xf>
    <xf borderId="5" fillId="2" fontId="19" numFmtId="164" xfId="0" applyAlignment="1" applyBorder="1" applyFont="1" applyNumberFormat="1">
      <alignment vertical="bottom"/>
    </xf>
    <xf borderId="0" fillId="2" fontId="25" numFmtId="164" xfId="0" applyAlignment="1" applyFont="1" applyNumberFormat="1">
      <alignment horizontal="right" vertical="bottom"/>
    </xf>
    <xf borderId="32" fillId="2" fontId="22" numFmtId="9" xfId="0" applyAlignment="1" applyBorder="1" applyFont="1" applyNumberFormat="1">
      <alignment horizontal="center" vertical="bottom"/>
    </xf>
    <xf borderId="0" fillId="0" fontId="19" numFmtId="164" xfId="0" applyAlignment="1" applyFont="1" applyNumberFormat="1">
      <alignment horizontal="center" vertical="bottom"/>
    </xf>
    <xf borderId="21" fillId="0" fontId="19" numFmtId="164" xfId="0" applyAlignment="1" applyBorder="1" applyFont="1" applyNumberFormat="1">
      <alignment horizontal="center" vertical="bottom"/>
    </xf>
    <xf borderId="5" fillId="0" fontId="19" numFmtId="164" xfId="0" applyAlignment="1" applyBorder="1" applyFont="1" applyNumberFormat="1">
      <alignment horizontal="center" vertical="bottom"/>
    </xf>
    <xf borderId="25" fillId="0" fontId="19" numFmtId="164" xfId="0" applyAlignment="1" applyBorder="1" applyFont="1" applyNumberFormat="1">
      <alignment horizontal="center" vertical="bottom"/>
    </xf>
    <xf borderId="26" fillId="0" fontId="19" numFmtId="164" xfId="0" applyAlignment="1" applyBorder="1" applyFont="1" applyNumberFormat="1">
      <alignment horizontal="center" vertical="bottom"/>
    </xf>
    <xf borderId="11" fillId="0" fontId="19" numFmtId="164" xfId="0" applyAlignment="1" applyBorder="1" applyFont="1" applyNumberFormat="1">
      <alignment horizontal="center" vertical="bottom"/>
    </xf>
    <xf borderId="28" fillId="2" fontId="18" numFmtId="0" xfId="0" applyAlignment="1" applyBorder="1" applyFont="1">
      <alignment shrinkToFit="0" vertical="bottom" wrapText="0"/>
    </xf>
    <xf borderId="29" fillId="2" fontId="19" numFmtId="0" xfId="0" applyAlignment="1" applyBorder="1" applyFont="1">
      <alignment vertical="bottom"/>
    </xf>
    <xf borderId="29" fillId="2" fontId="19" numFmtId="10" xfId="0" applyAlignment="1" applyBorder="1" applyFont="1" applyNumberFormat="1">
      <alignment vertical="bottom"/>
    </xf>
    <xf borderId="2" fillId="2" fontId="19" numFmtId="3" xfId="0" applyAlignment="1" applyBorder="1" applyFont="1" applyNumberFormat="1">
      <alignment vertical="bottom"/>
    </xf>
    <xf borderId="2" fillId="2" fontId="19" numFmtId="10" xfId="0" applyAlignment="1" applyBorder="1" applyFont="1" applyNumberFormat="1">
      <alignment vertical="bottom"/>
    </xf>
    <xf borderId="3" fillId="2" fontId="19" numFmtId="10" xfId="0" applyAlignment="1" applyBorder="1" applyFont="1" applyNumberFormat="1">
      <alignment vertical="bottom"/>
    </xf>
    <xf borderId="40" fillId="2" fontId="22" numFmtId="0" xfId="0" applyAlignment="1" applyBorder="1" applyFont="1">
      <alignment shrinkToFit="0" vertical="bottom" wrapText="0"/>
    </xf>
    <xf borderId="0" fillId="2" fontId="19" numFmtId="0" xfId="0" applyAlignment="1" applyFont="1">
      <alignment vertical="bottom"/>
    </xf>
    <xf borderId="0" fillId="2" fontId="19" numFmtId="10" xfId="0" applyAlignment="1" applyFont="1" applyNumberFormat="1">
      <alignment vertical="bottom"/>
    </xf>
    <xf borderId="41" fillId="2" fontId="23" numFmtId="10" xfId="0" applyAlignment="1" applyBorder="1" applyFont="1" applyNumberFormat="1">
      <alignment shrinkToFit="0" vertical="bottom" wrapText="0"/>
    </xf>
    <xf borderId="41" fillId="2" fontId="23" numFmtId="10" xfId="0" applyAlignment="1" applyBorder="1" applyFont="1" applyNumberFormat="1">
      <alignment vertical="bottom"/>
    </xf>
    <xf borderId="46" fillId="2" fontId="23" numFmtId="10" xfId="0" applyAlignment="1" applyBorder="1" applyFont="1" applyNumberFormat="1">
      <alignment vertical="bottom"/>
    </xf>
    <xf borderId="0" fillId="2" fontId="23" numFmtId="10" xfId="0" applyAlignment="1" applyFont="1" applyNumberFormat="1">
      <alignment vertical="bottom"/>
    </xf>
    <xf borderId="5" fillId="2" fontId="19" numFmtId="10" xfId="0" applyAlignment="1" applyBorder="1" applyFont="1" applyNumberFormat="1">
      <alignment vertical="bottom"/>
    </xf>
    <xf borderId="0" fillId="4" fontId="19" numFmtId="164" xfId="0" applyAlignment="1" applyFont="1" applyNumberFormat="1">
      <alignment vertical="bottom"/>
    </xf>
    <xf borderId="4" fillId="2" fontId="19" numFmtId="0" xfId="0" applyAlignment="1" applyBorder="1" applyFont="1">
      <alignment vertical="bottom"/>
    </xf>
    <xf borderId="0" fillId="4" fontId="26" numFmtId="10" xfId="0" applyAlignment="1" applyFont="1" applyNumberFormat="1">
      <alignment horizontal="center" vertical="bottom"/>
    </xf>
    <xf borderId="0" fillId="0" fontId="19" numFmtId="0" xfId="0" applyAlignment="1" applyFont="1">
      <alignment vertical="bottom"/>
    </xf>
    <xf borderId="0" fillId="8" fontId="19" numFmtId="10" xfId="0" applyAlignment="1" applyFont="1" applyNumberFormat="1">
      <alignment horizontal="center" vertical="bottom"/>
    </xf>
    <xf borderId="21" fillId="8" fontId="19" numFmtId="10" xfId="0" applyAlignment="1" applyBorder="1" applyFont="1" applyNumberFormat="1">
      <alignment horizontal="center" vertical="bottom"/>
    </xf>
    <xf borderId="5" fillId="8" fontId="19" numFmtId="10" xfId="0" applyAlignment="1" applyBorder="1" applyFont="1" applyNumberFormat="1">
      <alignment horizontal="center" vertical="bottom"/>
    </xf>
    <xf borderId="25" fillId="8" fontId="19" numFmtId="10" xfId="0" applyAlignment="1" applyBorder="1" applyFont="1" applyNumberFormat="1">
      <alignment horizontal="center" vertical="bottom"/>
    </xf>
    <xf borderId="26" fillId="8" fontId="19" numFmtId="10" xfId="0" applyAlignment="1" applyBorder="1" applyFont="1" applyNumberFormat="1">
      <alignment horizontal="center" vertical="bottom"/>
    </xf>
    <xf borderId="11" fillId="8" fontId="19" numFmtId="10" xfId="0" applyAlignment="1" applyBorder="1" applyFont="1" applyNumberFormat="1">
      <alignment horizontal="center" vertical="bottom"/>
    </xf>
    <xf borderId="0" fillId="2" fontId="2" numFmtId="0" xfId="0" applyFont="1"/>
    <xf borderId="0" fillId="2" fontId="24" numFmtId="0" xfId="0" applyFont="1"/>
    <xf borderId="37" fillId="4" fontId="24" numFmtId="164" xfId="0" applyAlignment="1" applyBorder="1" applyFont="1" applyNumberFormat="1">
      <alignment horizontal="center" readingOrder="0"/>
    </xf>
    <xf borderId="36" fillId="4" fontId="24" numFmtId="164" xfId="0" applyAlignment="1" applyBorder="1" applyFont="1" applyNumberFormat="1">
      <alignment horizontal="center" readingOrder="0"/>
    </xf>
    <xf borderId="38" fillId="4" fontId="24" numFmtId="164" xfId="0" applyAlignment="1" applyBorder="1" applyFont="1" applyNumberFormat="1">
      <alignment horizontal="center" readingOrder="0"/>
    </xf>
    <xf borderId="26" fillId="4" fontId="2" numFmtId="164" xfId="0" applyAlignment="1" applyBorder="1" applyFont="1" applyNumberFormat="1">
      <alignment horizontal="center" readingOrder="0"/>
    </xf>
    <xf borderId="0" fillId="0" fontId="40" numFmtId="0" xfId="0" applyFont="1"/>
    <xf borderId="0" fillId="0" fontId="41" numFmtId="0" xfId="0" applyFont="1"/>
    <xf borderId="0" fillId="0" fontId="40" numFmtId="0" xfId="0" applyAlignment="1" applyFont="1">
      <alignment readingOrder="0" vertical="center"/>
    </xf>
    <xf borderId="0" fillId="4" fontId="42" numFmtId="0" xfId="0" applyAlignment="1" applyFont="1">
      <alignment readingOrder="0"/>
    </xf>
    <xf borderId="1" fillId="31" fontId="43" numFmtId="0" xfId="0" applyAlignment="1" applyBorder="1" applyFill="1" applyFont="1">
      <alignment horizontal="center" readingOrder="0" shrinkToFit="0" vertical="center" wrapText="1"/>
    </xf>
    <xf borderId="2" fillId="0" fontId="21" numFmtId="0" xfId="0" applyBorder="1" applyFont="1"/>
    <xf borderId="3" fillId="0" fontId="21" numFmtId="0" xfId="0" applyBorder="1" applyFont="1"/>
    <xf borderId="25" fillId="0" fontId="21" numFmtId="0" xfId="0" applyBorder="1" applyFont="1"/>
    <xf borderId="11" fillId="0" fontId="21" numFmtId="0" xfId="0" applyBorder="1" applyFont="1"/>
    <xf borderId="1" fillId="32" fontId="44" numFmtId="0" xfId="0" applyAlignment="1" applyBorder="1" applyFill="1" applyFont="1">
      <alignment horizontal="center" readingOrder="0" shrinkToFit="0" vertical="center" wrapText="1"/>
    </xf>
    <xf borderId="1" fillId="33" fontId="45" numFmtId="0" xfId="0" applyAlignment="1" applyBorder="1" applyFill="1" applyFont="1">
      <alignment horizontal="center" readingOrder="0" shrinkToFit="0" vertical="center" wrapText="1"/>
    </xf>
    <xf borderId="4" fillId="33" fontId="46" numFmtId="0" xfId="0" applyAlignment="1" applyBorder="1" applyFont="1">
      <alignment horizontal="center" readingOrder="0" shrinkToFit="0" vertical="center" wrapText="1"/>
    </xf>
    <xf borderId="4" fillId="33" fontId="46" numFmtId="0" xfId="0" applyAlignment="1" applyBorder="1" applyFont="1">
      <alignment horizontal="center" readingOrder="0" shrinkToFit="0" wrapText="1"/>
    </xf>
    <xf borderId="1" fillId="32" fontId="47" numFmtId="0" xfId="0" applyAlignment="1" applyBorder="1" applyFont="1">
      <alignment horizontal="center" readingOrder="0" shrinkToFit="0" vertical="center" wrapText="1"/>
    </xf>
    <xf borderId="0" fillId="4" fontId="19" numFmtId="0" xfId="0" applyAlignment="1" applyFont="1">
      <alignment vertical="bottom"/>
    </xf>
    <xf borderId="0" fillId="4" fontId="48" numFmtId="0" xfId="0" applyFont="1"/>
    <xf borderId="0" fillId="4" fontId="49" numFmtId="0" xfId="0" applyAlignment="1" applyFont="1">
      <alignment horizontal="center" readingOrder="0" vertical="center"/>
    </xf>
    <xf borderId="0" fillId="4" fontId="50" numFmtId="0" xfId="0" applyAlignment="1" applyFont="1">
      <alignment readingOrder="0" shrinkToFit="0" vertical="bottom" wrapText="0"/>
    </xf>
    <xf borderId="0" fillId="4" fontId="50" numFmtId="0" xfId="0" applyAlignment="1" applyFont="1">
      <alignment shrinkToFit="0" vertical="bottom" wrapText="0"/>
    </xf>
    <xf borderId="0" fillId="4" fontId="51" numFmtId="0" xfId="0" applyAlignment="1" applyFont="1">
      <alignment horizontal="center" vertical="bottom"/>
    </xf>
    <xf borderId="0" fillId="4" fontId="52" numFmtId="164" xfId="0" applyAlignment="1" applyFont="1" applyNumberFormat="1">
      <alignment shrinkToFit="0" vertical="bottom" wrapText="0"/>
    </xf>
    <xf borderId="0" fillId="4" fontId="51" numFmtId="164" xfId="0" applyAlignment="1" applyFont="1" applyNumberFormat="1">
      <alignment shrinkToFit="0" vertical="bottom" wrapText="0"/>
    </xf>
    <xf borderId="0" fillId="4" fontId="52" numFmtId="3" xfId="0" applyAlignment="1" applyFont="1" applyNumberFormat="1">
      <alignment horizontal="center" vertical="bottom"/>
    </xf>
    <xf borderId="0" fillId="4" fontId="53" numFmtId="164" xfId="0" applyAlignment="1" applyFont="1" applyNumberFormat="1">
      <alignment horizontal="right" vertical="bottom"/>
    </xf>
    <xf borderId="0" fillId="4" fontId="53" numFmtId="10" xfId="0" applyAlignment="1" applyFont="1" applyNumberFormat="1">
      <alignment horizontal="right" vertical="bottom"/>
    </xf>
    <xf borderId="0" fillId="4" fontId="52" numFmtId="9" xfId="0" applyAlignment="1" applyFont="1" applyNumberFormat="1">
      <alignment horizontal="center" vertical="bottom"/>
    </xf>
    <xf borderId="10" fillId="33" fontId="46" numFmtId="0" xfId="0" applyAlignment="1" applyBorder="1" applyFont="1">
      <alignment horizontal="center" readingOrder="0" shrinkToFit="0" vertical="center" wrapText="1"/>
    </xf>
    <xf borderId="25" fillId="33" fontId="46" numFmtId="0" xfId="0" applyAlignment="1" applyBorder="1" applyFont="1">
      <alignment horizontal="center" readingOrder="0" shrinkToFit="0" vertical="center" wrapText="1"/>
    </xf>
    <xf borderId="11" fillId="33" fontId="46" numFmtId="0" xfId="0" applyAlignment="1" applyBorder="1" applyFont="1">
      <alignment horizontal="center" readingOrder="0" shrinkToFit="0" vertical="center" wrapText="1"/>
    </xf>
    <xf borderId="0" fillId="4" fontId="54" numFmtId="10" xfId="0" applyAlignment="1" applyFont="1" applyNumberFormat="1">
      <alignment horizontal="center" readingOrder="0" vertical="bottom"/>
    </xf>
    <xf borderId="0" fillId="4" fontId="51" numFmtId="0" xfId="0" applyAlignment="1" applyFont="1">
      <alignment textRotation="90"/>
    </xf>
    <xf borderId="0" fillId="4" fontId="54" numFmtId="3" xfId="0" applyAlignment="1" applyFont="1" applyNumberFormat="1">
      <alignment horizontal="center" readingOrder="0" vertical="bottom"/>
    </xf>
    <xf borderId="0" fillId="4" fontId="52" numFmtId="0" xfId="0" applyFont="1"/>
    <xf borderId="0" fillId="4" fontId="55" numFmtId="10" xfId="0" applyAlignment="1" applyFont="1" applyNumberFormat="1">
      <alignment horizontal="center" readingOrder="0" vertical="bottom"/>
    </xf>
    <xf borderId="12" fillId="33" fontId="56" numFmtId="0" xfId="0" applyAlignment="1" applyBorder="1" applyFont="1">
      <alignment horizontal="center" readingOrder="0" shrinkToFit="0" vertical="center" wrapText="1"/>
    </xf>
    <xf borderId="35" fillId="0" fontId="21" numFmtId="0" xfId="0" applyBorder="1" applyFont="1"/>
    <xf borderId="13" fillId="0" fontId="21" numFmtId="0" xfId="0" applyBorder="1" applyFont="1"/>
    <xf borderId="0" fillId="4" fontId="57" numFmtId="0" xfId="0" applyFont="1"/>
    <xf borderId="14" fillId="0" fontId="21" numFmtId="0" xfId="0" applyBorder="1" applyFont="1"/>
    <xf borderId="15" fillId="0" fontId="21" numFmtId="0" xfId="0" applyBorder="1" applyFont="1"/>
    <xf borderId="0" fillId="4" fontId="58" numFmtId="10" xfId="0" applyFont="1" applyNumberFormat="1"/>
    <xf borderId="14" fillId="33" fontId="59" numFmtId="0" xfId="0" applyAlignment="1" applyBorder="1" applyFont="1">
      <alignment horizontal="center" readingOrder="0" shrinkToFit="0" vertical="center" wrapText="1"/>
    </xf>
    <xf borderId="0" fillId="4" fontId="57" numFmtId="165" xfId="0" applyFont="1" applyNumberFormat="1"/>
    <xf borderId="0" fillId="4" fontId="60" numFmtId="10" xfId="0" applyFont="1" applyNumberFormat="1"/>
    <xf borderId="0" fillId="4" fontId="51" numFmtId="165" xfId="0" applyFont="1" applyNumberFormat="1"/>
    <xf borderId="0" fillId="4" fontId="51" numFmtId="164" xfId="0" applyFont="1" applyNumberFormat="1"/>
    <xf borderId="0" fillId="4" fontId="57" numFmtId="165" xfId="0" applyAlignment="1" applyFont="1" applyNumberFormat="1">
      <alignment readingOrder="0"/>
    </xf>
    <xf borderId="0" fillId="4" fontId="54" numFmtId="165" xfId="0" applyFont="1" applyNumberFormat="1"/>
    <xf borderId="0" fillId="4" fontId="54" numFmtId="0" xfId="0" applyFont="1"/>
    <xf borderId="0" fillId="4" fontId="12" numFmtId="3" xfId="0" applyAlignment="1" applyFont="1" applyNumberFormat="1">
      <alignment readingOrder="0"/>
    </xf>
    <xf borderId="0" fillId="4" fontId="60" numFmtId="165" xfId="0" applyFont="1" applyNumberFormat="1"/>
    <xf borderId="0" fillId="4" fontId="61" numFmtId="165" xfId="0" applyFont="1" applyNumberFormat="1"/>
    <xf borderId="0" fillId="4" fontId="19" numFmtId="10" xfId="0" applyAlignment="1" applyFont="1" applyNumberFormat="1">
      <alignment vertical="bottom"/>
    </xf>
    <xf borderId="16" fillId="0" fontId="21" numFmtId="0" xfId="0" applyBorder="1" applyFont="1"/>
    <xf borderId="31" fillId="0" fontId="21" numFmtId="0" xfId="0" applyBorder="1" applyFont="1"/>
    <xf borderId="17" fillId="0" fontId="21" numFmtId="0" xfId="0" applyBorder="1" applyFont="1"/>
    <xf borderId="0" fillId="4" fontId="54" numFmtId="164" xfId="0" applyAlignment="1" applyFont="1" applyNumberFormat="1">
      <alignment horizontal="center" readingOrder="0"/>
    </xf>
    <xf borderId="0" fillId="4" fontId="54" numFmtId="164" xfId="0" applyAlignment="1" applyFont="1" applyNumberFormat="1">
      <alignment vertical="bottom"/>
    </xf>
    <xf borderId="0" fillId="4" fontId="54" numFmtId="0" xfId="0" applyAlignment="1" applyFont="1">
      <alignment vertical="bottom"/>
    </xf>
    <xf borderId="0" fillId="4" fontId="50" numFmtId="0" xfId="0" applyAlignment="1" applyFont="1">
      <alignment readingOrder="0"/>
    </xf>
    <xf borderId="0" fillId="4" fontId="51" numFmtId="0" xfId="0" applyAlignment="1" applyFont="1">
      <alignment horizontal="center" readingOrder="0"/>
    </xf>
    <xf borderId="0" fillId="4" fontId="51" numFmtId="164" xfId="0" applyAlignment="1" applyFont="1" applyNumberFormat="1">
      <alignment vertical="bottom"/>
    </xf>
    <xf borderId="0" fillId="4" fontId="51" numFmtId="0" xfId="0" applyAlignment="1" applyFont="1">
      <alignment vertical="bottom"/>
    </xf>
    <xf borderId="0" fillId="4" fontId="52" numFmtId="0" xfId="0" applyAlignment="1" applyFont="1">
      <alignment readingOrder="0"/>
    </xf>
    <xf borderId="0" fillId="4" fontId="53" numFmtId="0" xfId="0" applyFont="1"/>
    <xf borderId="0" fillId="4" fontId="52" numFmtId="3" xfId="0" applyAlignment="1" applyFont="1" applyNumberFormat="1">
      <alignment horizontal="center" readingOrder="0"/>
    </xf>
    <xf borderId="0" fillId="4" fontId="52" numFmtId="3" xfId="0" applyAlignment="1" applyFont="1" applyNumberFormat="1">
      <alignment horizontal="center"/>
    </xf>
    <xf borderId="0" fillId="4" fontId="51" numFmtId="0" xfId="0" applyAlignment="1" applyFont="1">
      <alignment horizontal="left" readingOrder="0" textRotation="90" vertical="center"/>
    </xf>
    <xf borderId="0" fillId="4" fontId="54" numFmtId="10" xfId="0" applyAlignment="1" applyFont="1" applyNumberFormat="1">
      <alignment horizontal="center" readingOrder="0"/>
    </xf>
    <xf borderId="0" fillId="4" fontId="54" numFmtId="164" xfId="0" applyAlignment="1" applyFont="1" applyNumberFormat="1">
      <alignment horizontal="center" readingOrder="0" vertical="bottom"/>
    </xf>
    <xf borderId="0" fillId="4" fontId="55" numFmtId="164" xfId="0" applyAlignment="1" applyFont="1" applyNumberFormat="1">
      <alignment horizontal="center" readingOrder="0" vertical="bottom"/>
    </xf>
    <xf borderId="0" fillId="4" fontId="62" numFmtId="0" xfId="0" applyAlignment="1" applyFont="1">
      <alignment horizontal="left" readingOrder="0" textRotation="90" vertical="center"/>
    </xf>
    <xf borderId="0" fillId="4" fontId="52" numFmtId="9" xfId="0" applyAlignment="1" applyFont="1" applyNumberFormat="1">
      <alignment horizontal="center" readingOrder="0"/>
    </xf>
    <xf borderId="0" fillId="4" fontId="55" numFmtId="164" xfId="0" applyAlignment="1" applyFont="1" applyNumberFormat="1">
      <alignment horizontal="center" readingOrder="0"/>
    </xf>
    <xf borderId="0" fillId="4" fontId="47" numFmtId="0" xfId="0" applyAlignment="1" applyFont="1">
      <alignment horizontal="center" readingOrder="0" shrinkToFit="0" vertical="center" wrapText="1"/>
    </xf>
    <xf borderId="0" fillId="4" fontId="51" numFmtId="0" xfId="0" applyAlignment="1" applyFont="1">
      <alignment readingOrder="0"/>
    </xf>
    <xf borderId="0" fillId="4" fontId="53" numFmtId="164" xfId="0" applyFont="1" applyNumberFormat="1"/>
    <xf borderId="0" fillId="4" fontId="63" numFmtId="0" xfId="0" applyAlignment="1" applyFont="1">
      <alignment horizontal="center" readingOrder="0"/>
    </xf>
    <xf borderId="0" fillId="4" fontId="54" numFmtId="9" xfId="0" applyAlignment="1" applyFont="1" applyNumberFormat="1">
      <alignment horizontal="center" readingOrder="0"/>
    </xf>
    <xf borderId="0" fillId="4" fontId="55" numFmtId="9" xfId="0" applyAlignment="1" applyFont="1" applyNumberFormat="1">
      <alignment horizontal="center" readingOrder="0"/>
    </xf>
    <xf borderId="0" fillId="4" fontId="55" numFmtId="9" xfId="0" applyAlignment="1" applyFont="1" applyNumberFormat="1">
      <alignment horizontal="center" vertical="bottom"/>
    </xf>
    <xf borderId="1" fillId="33" fontId="63" numFmtId="0" xfId="0" applyAlignment="1" applyBorder="1" applyFont="1">
      <alignment horizontal="center" readingOrder="0" shrinkToFit="0" vertical="center" wrapText="1"/>
    </xf>
    <xf borderId="1" fillId="34" fontId="64" numFmtId="0" xfId="0" applyAlignment="1" applyBorder="1" applyFill="1" applyFont="1">
      <alignment horizontal="center" readingOrder="0" vertical="center"/>
    </xf>
    <xf borderId="1" fillId="31" fontId="49" numFmtId="0" xfId="0" applyAlignment="1" applyBorder="1" applyFont="1">
      <alignment horizontal="center" readingOrder="0" vertical="center"/>
    </xf>
    <xf borderId="4" fillId="31" fontId="49" numFmtId="165" xfId="0" applyAlignment="1" applyBorder="1" applyFont="1" applyNumberFormat="1">
      <alignment horizontal="center" readingOrder="0" vertical="center"/>
    </xf>
    <xf borderId="1" fillId="34" fontId="49" numFmtId="0" xfId="0" applyAlignment="1" applyBorder="1" applyFont="1">
      <alignment horizontal="center" readingOrder="0" vertical="center"/>
    </xf>
    <xf borderId="0" fillId="4" fontId="65" numFmtId="0" xfId="0" applyAlignment="1" applyFont="1">
      <alignment readingOrder="0"/>
    </xf>
    <xf borderId="6" fillId="2" fontId="52" numFmtId="0" xfId="0" applyAlignment="1" applyBorder="1" applyFont="1">
      <alignment readingOrder="0"/>
    </xf>
    <xf borderId="7" fillId="2" fontId="66" numFmtId="0" xfId="0" applyBorder="1" applyFont="1"/>
    <xf borderId="0" fillId="0" fontId="54" numFmtId="0" xfId="0" applyFont="1"/>
    <xf borderId="1" fillId="2" fontId="52" numFmtId="0" xfId="0" applyAlignment="1" applyBorder="1" applyFont="1">
      <alignment readingOrder="0"/>
    </xf>
    <xf borderId="3" fillId="2" fontId="52" numFmtId="0" xfId="0" applyAlignment="1" applyBorder="1" applyFont="1">
      <alignment horizontal="right" readingOrder="0"/>
    </xf>
    <xf borderId="4" fillId="3" fontId="54" numFmtId="0" xfId="0" applyAlignment="1" applyBorder="1" applyFont="1">
      <alignment readingOrder="0"/>
    </xf>
    <xf borderId="5" fillId="3" fontId="55" numFmtId="165" xfId="0" applyAlignment="1" applyBorder="1" applyFont="1" applyNumberFormat="1">
      <alignment readingOrder="0"/>
    </xf>
    <xf borderId="4" fillId="3" fontId="55" numFmtId="0" xfId="0" applyAlignment="1" applyBorder="1" applyFont="1">
      <alignment readingOrder="0"/>
    </xf>
    <xf borderId="5" fillId="3" fontId="55" numFmtId="0" xfId="0" applyAlignment="1" applyBorder="1" applyFont="1">
      <alignment horizontal="right" readingOrder="0"/>
    </xf>
    <xf borderId="5" fillId="3" fontId="55" numFmtId="0" xfId="0" applyAlignment="1" applyBorder="1" applyFont="1">
      <alignment readingOrder="0"/>
    </xf>
    <xf borderId="5" fillId="3" fontId="54" numFmtId="1" xfId="0" applyBorder="1" applyFont="1" applyNumberFormat="1"/>
    <xf borderId="5" fillId="3" fontId="67" numFmtId="3" xfId="0" applyAlignment="1" applyBorder="1" applyFont="1" applyNumberFormat="1">
      <alignment readingOrder="0"/>
    </xf>
    <xf borderId="5" fillId="3" fontId="54" numFmtId="3" xfId="0" applyBorder="1" applyFont="1" applyNumberFormat="1"/>
    <xf borderId="5" fillId="3" fontId="67" numFmtId="9" xfId="0" applyAlignment="1" applyBorder="1" applyFont="1" applyNumberFormat="1">
      <alignment readingOrder="0"/>
    </xf>
    <xf borderId="5" fillId="3" fontId="55" numFmtId="3" xfId="0" applyAlignment="1" applyBorder="1" applyFont="1" applyNumberFormat="1">
      <alignment readingOrder="0"/>
    </xf>
    <xf borderId="10" fillId="3" fontId="54" numFmtId="0" xfId="0" applyAlignment="1" applyBorder="1" applyFont="1">
      <alignment readingOrder="0"/>
    </xf>
    <xf borderId="11" fillId="3" fontId="55" numFmtId="0" xfId="0" applyAlignment="1" applyBorder="1" applyFont="1">
      <alignment readingOrder="0"/>
    </xf>
    <xf borderId="11" fillId="3" fontId="54" numFmtId="10" xfId="0" applyBorder="1" applyFont="1" applyNumberFormat="1"/>
    <xf borderId="3" fillId="2" fontId="66" numFmtId="0" xfId="0" applyBorder="1" applyFont="1"/>
    <xf borderId="1" fillId="35" fontId="68" numFmtId="0" xfId="0" applyAlignment="1" applyBorder="1" applyFill="1" applyFont="1">
      <alignment readingOrder="0"/>
    </xf>
    <xf borderId="3" fillId="35" fontId="68" numFmtId="0" xfId="0" applyAlignment="1" applyBorder="1" applyFont="1">
      <alignment horizontal="right" readingOrder="0"/>
    </xf>
    <xf borderId="5" fillId="3" fontId="67" numFmtId="0" xfId="0" applyAlignment="1" applyBorder="1" applyFont="1">
      <alignment readingOrder="0"/>
    </xf>
    <xf borderId="11" fillId="3" fontId="67" numFmtId="166" xfId="0" applyAlignment="1" applyBorder="1" applyFont="1" applyNumberFormat="1">
      <alignment readingOrder="0"/>
    </xf>
    <xf borderId="5" fillId="3" fontId="54" numFmtId="3" xfId="0" applyAlignment="1" applyBorder="1" applyFont="1" applyNumberFormat="1">
      <alignment readingOrder="0"/>
    </xf>
    <xf borderId="5" fillId="3" fontId="54" numFmtId="10" xfId="0" applyBorder="1" applyFont="1" applyNumberFormat="1"/>
    <xf borderId="4" fillId="36" fontId="54" numFmtId="0" xfId="0" applyAlignment="1" applyBorder="1" applyFill="1" applyFont="1">
      <alignment readingOrder="0"/>
    </xf>
    <xf borderId="5" fillId="36" fontId="54" numFmtId="10" xfId="0" applyBorder="1" applyFont="1" applyNumberFormat="1"/>
    <xf borderId="10" fillId="36" fontId="54" numFmtId="0" xfId="0" applyAlignment="1" applyBorder="1" applyFont="1">
      <alignment readingOrder="0"/>
    </xf>
    <xf borderId="11" fillId="36" fontId="54" numFmtId="2" xfId="0" applyBorder="1" applyFont="1" applyNumberFormat="1"/>
    <xf borderId="1" fillId="2" fontId="52" numFmtId="0" xfId="0" applyAlignment="1" applyBorder="1" applyFont="1">
      <alignment horizontal="left" readingOrder="0"/>
    </xf>
    <xf borderId="3" fillId="2" fontId="66" numFmtId="0" xfId="0" applyAlignment="1" applyBorder="1" applyFont="1">
      <alignment readingOrder="0"/>
    </xf>
    <xf borderId="7" fillId="2" fontId="52" numFmtId="0" xfId="0" applyBorder="1" applyFont="1"/>
    <xf borderId="5" fillId="3" fontId="54" numFmtId="0" xfId="0" applyAlignment="1" applyBorder="1" applyFont="1">
      <alignment horizontal="center" readingOrder="0"/>
    </xf>
    <xf borderId="4" fillId="3" fontId="57" numFmtId="0" xfId="0" applyAlignment="1" applyBorder="1" applyFont="1">
      <alignment readingOrder="0"/>
    </xf>
    <xf borderId="5" fillId="3" fontId="57" numFmtId="0" xfId="0" applyBorder="1" applyFont="1"/>
    <xf borderId="5" fillId="3" fontId="58" numFmtId="10" xfId="0" applyBorder="1" applyFont="1" applyNumberFormat="1"/>
    <xf borderId="11" fillId="3" fontId="54" numFmtId="0" xfId="0" applyAlignment="1" applyBorder="1" applyFont="1">
      <alignment horizontal="center" readingOrder="0"/>
    </xf>
    <xf borderId="5" fillId="3" fontId="57" numFmtId="165" xfId="0" applyBorder="1" applyFont="1" applyNumberFormat="1"/>
    <xf borderId="5" fillId="3" fontId="60" numFmtId="10" xfId="0" applyBorder="1" applyFont="1" applyNumberFormat="1"/>
    <xf borderId="18" fillId="2" fontId="69" numFmtId="0" xfId="0" applyAlignment="1" applyBorder="1" applyFont="1">
      <alignment readingOrder="0"/>
    </xf>
    <xf borderId="19" fillId="2" fontId="51" numFmtId="165" xfId="0" applyBorder="1" applyFont="1" applyNumberFormat="1"/>
    <xf borderId="8" fillId="2" fontId="52" numFmtId="0" xfId="0" applyAlignment="1" applyBorder="1" applyFont="1">
      <alignment readingOrder="0"/>
    </xf>
    <xf borderId="9" fillId="2" fontId="51" numFmtId="164" xfId="0" applyBorder="1" applyFont="1" applyNumberFormat="1"/>
    <xf borderId="5" fillId="3" fontId="67" numFmtId="165" xfId="0" applyAlignment="1" applyBorder="1" applyFont="1" applyNumberFormat="1">
      <alignment readingOrder="0"/>
    </xf>
    <xf borderId="4" fillId="6" fontId="57" numFmtId="0" xfId="0" applyAlignment="1" applyBorder="1" applyFont="1">
      <alignment readingOrder="0"/>
    </xf>
    <xf borderId="5" fillId="6" fontId="57" numFmtId="165" xfId="0" applyBorder="1" applyFont="1" applyNumberFormat="1"/>
    <xf borderId="5" fillId="6" fontId="57" numFmtId="165" xfId="0" applyAlignment="1" applyBorder="1" applyFont="1" applyNumberFormat="1">
      <alignment readingOrder="0"/>
    </xf>
    <xf borderId="5" fillId="3" fontId="67" numFmtId="168" xfId="0" applyAlignment="1" applyBorder="1" applyFont="1" applyNumberFormat="1">
      <alignment readingOrder="0"/>
    </xf>
    <xf borderId="4" fillId="6" fontId="54" numFmtId="0" xfId="0" applyAlignment="1" applyBorder="1" applyFont="1">
      <alignment readingOrder="0"/>
    </xf>
    <xf borderId="5" fillId="6" fontId="54" numFmtId="165" xfId="0" applyBorder="1" applyFont="1" applyNumberFormat="1"/>
    <xf borderId="8" fillId="6" fontId="60" numFmtId="0" xfId="0" applyAlignment="1" applyBorder="1" applyFont="1">
      <alignment readingOrder="0"/>
    </xf>
    <xf borderId="9" fillId="6" fontId="60" numFmtId="165" xfId="0" applyBorder="1" applyFont="1" applyNumberFormat="1"/>
    <xf borderId="4" fillId="6" fontId="60" numFmtId="0" xfId="0" applyAlignment="1" applyBorder="1" applyFont="1">
      <alignment readingOrder="0"/>
    </xf>
    <xf borderId="5" fillId="7" fontId="61" numFmtId="165" xfId="0" applyBorder="1" applyFont="1" applyNumberFormat="1"/>
    <xf borderId="10" fillId="6" fontId="60" numFmtId="0" xfId="0" applyAlignment="1" applyBorder="1" applyFont="1">
      <alignment readingOrder="0"/>
    </xf>
    <xf borderId="11" fillId="7" fontId="63" numFmtId="10" xfId="0" applyBorder="1" applyFont="1" applyNumberFormat="1"/>
    <xf borderId="18" fillId="3" fontId="70" numFmtId="0" xfId="0" applyAlignment="1" applyBorder="1" applyFont="1">
      <alignment readingOrder="0"/>
    </xf>
    <xf borderId="19" fillId="3" fontId="70" numFmtId="0" xfId="0" applyAlignment="1" applyBorder="1" applyFont="1">
      <alignment horizontal="right" readingOrder="0"/>
    </xf>
    <xf borderId="18" fillId="3" fontId="54" numFmtId="0" xfId="0" applyAlignment="1" applyBorder="1" applyFont="1">
      <alignment readingOrder="0"/>
    </xf>
    <xf borderId="19" fillId="3" fontId="54" numFmtId="165" xfId="0" applyAlignment="1" applyBorder="1" applyFont="1" applyNumberFormat="1">
      <alignment horizontal="right" readingOrder="0"/>
    </xf>
    <xf borderId="10" fillId="3" fontId="70" numFmtId="0" xfId="0" applyAlignment="1" applyBorder="1" applyFont="1">
      <alignment readingOrder="0"/>
    </xf>
    <xf borderId="11" fillId="3" fontId="70" numFmtId="165" xfId="0" applyBorder="1" applyFont="1" applyNumberFormat="1"/>
    <xf borderId="0" fillId="0" fontId="48" numFmtId="0" xfId="0" applyFont="1"/>
    <xf borderId="28" fillId="2" fontId="50" numFmtId="0" xfId="0" applyAlignment="1" applyBorder="1" applyFont="1">
      <alignment readingOrder="0" shrinkToFit="0" vertical="bottom" wrapText="0"/>
    </xf>
    <xf borderId="29" fillId="2" fontId="50" numFmtId="0" xfId="0" applyAlignment="1" applyBorder="1" applyFont="1">
      <alignment shrinkToFit="0" vertical="bottom" wrapText="0"/>
    </xf>
    <xf borderId="4" fillId="2" fontId="51" numFmtId="0" xfId="0" applyAlignment="1" applyBorder="1" applyFont="1">
      <alignment horizontal="center" vertical="bottom"/>
    </xf>
    <xf borderId="41" fillId="2" fontId="52" numFmtId="164" xfId="0" applyAlignment="1" applyBorder="1" applyFont="1" applyNumberFormat="1">
      <alignment shrinkToFit="0" vertical="bottom" wrapText="0"/>
    </xf>
    <xf borderId="41" fillId="2" fontId="51" numFmtId="164" xfId="0" applyAlignment="1" applyBorder="1" applyFont="1" applyNumberFormat="1">
      <alignment shrinkToFit="0" vertical="bottom" wrapText="0"/>
    </xf>
    <xf borderId="41" fillId="2" fontId="19" numFmtId="164" xfId="0" applyAlignment="1" applyBorder="1" applyFont="1" applyNumberFormat="1">
      <alignment vertical="bottom"/>
    </xf>
    <xf borderId="46" fillId="2" fontId="19" numFmtId="164" xfId="0" applyAlignment="1" applyBorder="1" applyFont="1" applyNumberFormat="1">
      <alignment vertical="bottom"/>
    </xf>
    <xf borderId="41" fillId="2" fontId="19" numFmtId="0" xfId="0" applyAlignment="1" applyBorder="1" applyFont="1">
      <alignment vertical="bottom"/>
    </xf>
    <xf borderId="32" fillId="2" fontId="53" numFmtId="164" xfId="0" applyAlignment="1" applyBorder="1" applyFont="1" applyNumberFormat="1">
      <alignment horizontal="right" vertical="bottom"/>
    </xf>
    <xf borderId="20" fillId="2" fontId="52" numFmtId="3" xfId="0" applyAlignment="1" applyBorder="1" applyFont="1" applyNumberFormat="1">
      <alignment horizontal="center" vertical="bottom"/>
    </xf>
    <xf borderId="0" fillId="2" fontId="52" numFmtId="3" xfId="0" applyAlignment="1" applyFont="1" applyNumberFormat="1">
      <alignment horizontal="center" vertical="bottom"/>
    </xf>
    <xf borderId="5" fillId="2" fontId="52" numFmtId="3" xfId="0" applyAlignment="1" applyBorder="1" applyFont="1" applyNumberFormat="1">
      <alignment horizontal="center" vertical="bottom"/>
    </xf>
    <xf borderId="0" fillId="2" fontId="53" numFmtId="10" xfId="0" applyAlignment="1" applyFont="1" applyNumberFormat="1">
      <alignment horizontal="right" vertical="bottom"/>
    </xf>
    <xf borderId="0" fillId="2" fontId="52" numFmtId="9" xfId="0" applyAlignment="1" applyFont="1" applyNumberFormat="1">
      <alignment horizontal="center" vertical="bottom"/>
    </xf>
    <xf borderId="32" fillId="2" fontId="52" numFmtId="9" xfId="0" applyAlignment="1" applyBorder="1" applyFont="1" applyNumberFormat="1">
      <alignment horizontal="center" vertical="bottom"/>
    </xf>
    <xf borderId="5" fillId="2" fontId="52" numFmtId="9" xfId="0" applyAlignment="1" applyBorder="1" applyFont="1" applyNumberFormat="1">
      <alignment horizontal="center" vertical="bottom"/>
    </xf>
    <xf borderId="4" fillId="2" fontId="51" numFmtId="0" xfId="0" applyAlignment="1" applyBorder="1" applyFont="1">
      <alignment textRotation="90"/>
    </xf>
    <xf borderId="32" fillId="2" fontId="52" numFmtId="3" xfId="0" applyAlignment="1" applyBorder="1" applyFont="1" applyNumberFormat="1">
      <alignment horizontal="center" vertical="bottom"/>
    </xf>
    <xf borderId="21" fillId="37" fontId="54" numFmtId="10" xfId="0" applyAlignment="1" applyBorder="1" applyFill="1" applyFont="1" applyNumberFormat="1">
      <alignment horizontal="center" readingOrder="0" vertical="bottom"/>
    </xf>
    <xf borderId="0" fillId="38" fontId="54" numFmtId="10" xfId="0" applyAlignment="1" applyFill="1" applyFont="1" applyNumberFormat="1">
      <alignment horizontal="center" readingOrder="0" vertical="bottom"/>
    </xf>
    <xf borderId="0" fillId="39" fontId="54" numFmtId="10" xfId="0" applyAlignment="1" applyFill="1" applyFont="1" applyNumberFormat="1">
      <alignment horizontal="center" readingOrder="0" vertical="bottom"/>
    </xf>
    <xf borderId="0" fillId="40" fontId="54" numFmtId="10" xfId="0" applyAlignment="1" applyFill="1" applyFont="1" applyNumberFormat="1">
      <alignment horizontal="center" readingOrder="0" vertical="bottom"/>
    </xf>
    <xf borderId="0" fillId="41" fontId="54" numFmtId="10" xfId="0" applyAlignment="1" applyFill="1" applyFont="1" applyNumberFormat="1">
      <alignment horizontal="center" readingOrder="0" vertical="bottom"/>
    </xf>
    <xf borderId="0" fillId="42" fontId="54" numFmtId="10" xfId="0" applyAlignment="1" applyFill="1" applyFont="1" applyNumberFormat="1">
      <alignment horizontal="center" readingOrder="0" vertical="bottom"/>
    </xf>
    <xf borderId="5" fillId="43" fontId="54" numFmtId="10" xfId="0" applyAlignment="1" applyBorder="1" applyFill="1" applyFont="1" applyNumberFormat="1">
      <alignment horizontal="center" readingOrder="0" vertical="bottom"/>
    </xf>
    <xf borderId="21" fillId="37" fontId="54" numFmtId="3" xfId="0" applyAlignment="1" applyBorder="1" applyFont="1" applyNumberFormat="1">
      <alignment horizontal="center" readingOrder="0" vertical="bottom"/>
    </xf>
    <xf borderId="0" fillId="38" fontId="54" numFmtId="3" xfId="0" applyAlignment="1" applyFont="1" applyNumberFormat="1">
      <alignment horizontal="center" readingOrder="0" vertical="bottom"/>
    </xf>
    <xf borderId="0" fillId="39" fontId="54" numFmtId="3" xfId="0" applyAlignment="1" applyFont="1" applyNumberFormat="1">
      <alignment horizontal="center" readingOrder="0" vertical="bottom"/>
    </xf>
    <xf borderId="0" fillId="40" fontId="54" numFmtId="3" xfId="0" applyAlignment="1" applyFont="1" applyNumberFormat="1">
      <alignment horizontal="center" readingOrder="0" vertical="bottom"/>
    </xf>
    <xf borderId="0" fillId="41" fontId="54" numFmtId="3" xfId="0" applyAlignment="1" applyFont="1" applyNumberFormat="1">
      <alignment horizontal="center" readingOrder="0" vertical="bottom"/>
    </xf>
    <xf borderId="0" fillId="42" fontId="54" numFmtId="3" xfId="0" applyAlignment="1" applyFont="1" applyNumberFormat="1">
      <alignment horizontal="center" readingOrder="0" vertical="bottom"/>
    </xf>
    <xf borderId="5" fillId="43" fontId="54" numFmtId="3" xfId="0" applyAlignment="1" applyBorder="1" applyFont="1" applyNumberFormat="1">
      <alignment horizontal="center" readingOrder="0" vertical="bottom"/>
    </xf>
    <xf borderId="0" fillId="2" fontId="51" numFmtId="0" xfId="0" applyAlignment="1" applyFont="1">
      <alignment textRotation="90"/>
    </xf>
    <xf borderId="0" fillId="44" fontId="54" numFmtId="10" xfId="0" applyAlignment="1" applyFill="1" applyFont="1" applyNumberFormat="1">
      <alignment horizontal="center" readingOrder="0" vertical="bottom"/>
    </xf>
    <xf borderId="0" fillId="45" fontId="54" numFmtId="10" xfId="0" applyAlignment="1" applyFill="1" applyFont="1" applyNumberFormat="1">
      <alignment horizontal="center" readingOrder="0" vertical="bottom"/>
    </xf>
    <xf borderId="0" fillId="46" fontId="54" numFmtId="10" xfId="0" applyAlignment="1" applyFill="1" applyFont="1" applyNumberFormat="1">
      <alignment horizontal="center" readingOrder="0" vertical="bottom"/>
    </xf>
    <xf borderId="32" fillId="47" fontId="54" numFmtId="10" xfId="0" applyAlignment="1" applyBorder="1" applyFill="1" applyFont="1" applyNumberFormat="1">
      <alignment horizontal="center" readingOrder="0" vertical="bottom"/>
    </xf>
    <xf borderId="32" fillId="48" fontId="54" numFmtId="10" xfId="0" applyAlignment="1" applyBorder="1" applyFill="1" applyFont="1" applyNumberFormat="1">
      <alignment horizontal="center" readingOrder="0" vertical="bottom"/>
    </xf>
    <xf borderId="0" fillId="49" fontId="54" numFmtId="10" xfId="0" applyAlignment="1" applyFill="1" applyFont="1" applyNumberFormat="1">
      <alignment horizontal="center" readingOrder="0" vertical="bottom"/>
    </xf>
    <xf borderId="0" fillId="50" fontId="54" numFmtId="10" xfId="0" applyAlignment="1" applyFill="1" applyFont="1" applyNumberFormat="1">
      <alignment horizontal="center" readingOrder="0" vertical="bottom"/>
    </xf>
    <xf borderId="0" fillId="51" fontId="54" numFmtId="10" xfId="0" applyAlignment="1" applyFill="1" applyFont="1" applyNumberFormat="1">
      <alignment horizontal="center" readingOrder="0" vertical="bottom"/>
    </xf>
    <xf borderId="0" fillId="52" fontId="54" numFmtId="10" xfId="0" applyAlignment="1" applyFill="1" applyFont="1" applyNumberFormat="1">
      <alignment horizontal="center" readingOrder="0" vertical="bottom"/>
    </xf>
    <xf borderId="21" fillId="53" fontId="54" numFmtId="10" xfId="0" applyAlignment="1" applyBorder="1" applyFill="1" applyFont="1" applyNumberFormat="1">
      <alignment horizontal="center" readingOrder="0" vertical="bottom"/>
    </xf>
    <xf borderId="0" fillId="54" fontId="54" numFmtId="10" xfId="0" applyAlignment="1" applyFill="1" applyFont="1" applyNumberFormat="1">
      <alignment horizontal="center" readingOrder="0" vertical="bottom"/>
    </xf>
    <xf borderId="0" fillId="55" fontId="54" numFmtId="10" xfId="0" applyAlignment="1" applyFill="1" applyFont="1" applyNumberFormat="1">
      <alignment horizontal="center" readingOrder="0" vertical="bottom"/>
    </xf>
    <xf borderId="0" fillId="56" fontId="54" numFmtId="10" xfId="0" applyAlignment="1" applyFill="1" applyFont="1" applyNumberFormat="1">
      <alignment horizontal="center" readingOrder="0" vertical="bottom"/>
    </xf>
    <xf borderId="0" fillId="57" fontId="54" numFmtId="10" xfId="0" applyAlignment="1" applyFill="1" applyFont="1" applyNumberFormat="1">
      <alignment horizontal="center" readingOrder="0" vertical="bottom"/>
    </xf>
    <xf borderId="0" fillId="58" fontId="54" numFmtId="10" xfId="0" applyAlignment="1" applyFill="1" applyFont="1" applyNumberFormat="1">
      <alignment horizontal="center" readingOrder="0" vertical="bottom"/>
    </xf>
    <xf borderId="5" fillId="59" fontId="54" numFmtId="10" xfId="0" applyAlignment="1" applyBorder="1" applyFill="1" applyFont="1" applyNumberFormat="1">
      <alignment horizontal="center" readingOrder="0" vertical="bottom"/>
    </xf>
    <xf borderId="21" fillId="53" fontId="54" numFmtId="3" xfId="0" applyAlignment="1" applyBorder="1" applyFont="1" applyNumberFormat="1">
      <alignment horizontal="center" readingOrder="0" vertical="bottom"/>
    </xf>
    <xf borderId="0" fillId="54" fontId="54" numFmtId="3" xfId="0" applyAlignment="1" applyFont="1" applyNumberFormat="1">
      <alignment horizontal="center" readingOrder="0" vertical="bottom"/>
    </xf>
    <xf borderId="0" fillId="55" fontId="54" numFmtId="3" xfId="0" applyAlignment="1" applyFont="1" applyNumberFormat="1">
      <alignment horizontal="center" readingOrder="0" vertical="bottom"/>
    </xf>
    <xf borderId="0" fillId="56" fontId="54" numFmtId="3" xfId="0" applyAlignment="1" applyFont="1" applyNumberFormat="1">
      <alignment horizontal="center" readingOrder="0" vertical="bottom"/>
    </xf>
    <xf borderId="0" fillId="57" fontId="54" numFmtId="3" xfId="0" applyAlignment="1" applyFont="1" applyNumberFormat="1">
      <alignment horizontal="center" readingOrder="0" vertical="bottom"/>
    </xf>
    <xf borderId="0" fillId="58" fontId="54" numFmtId="3" xfId="0" applyAlignment="1" applyFont="1" applyNumberFormat="1">
      <alignment horizontal="center" readingOrder="0" vertical="bottom"/>
    </xf>
    <xf borderId="5" fillId="59" fontId="54" numFmtId="3" xfId="0" applyAlignment="1" applyBorder="1" applyFont="1" applyNumberFormat="1">
      <alignment horizontal="center" readingOrder="0" vertical="bottom"/>
    </xf>
    <xf borderId="0" fillId="60" fontId="55" numFmtId="10" xfId="0" applyAlignment="1" applyFill="1" applyFont="1" applyNumberFormat="1">
      <alignment horizontal="center" readingOrder="0" vertical="bottom"/>
    </xf>
    <xf borderId="0" fillId="61" fontId="55" numFmtId="10" xfId="0" applyAlignment="1" applyFill="1" applyFont="1" applyNumberFormat="1">
      <alignment horizontal="center" readingOrder="0" vertical="bottom"/>
    </xf>
    <xf borderId="0" fillId="62" fontId="55" numFmtId="10" xfId="0" applyAlignment="1" applyFill="1" applyFont="1" applyNumberFormat="1">
      <alignment horizontal="center" readingOrder="0" vertical="bottom"/>
    </xf>
    <xf borderId="32" fillId="63" fontId="55" numFmtId="10" xfId="0" applyAlignment="1" applyBorder="1" applyFill="1" applyFont="1" applyNumberFormat="1">
      <alignment horizontal="center" readingOrder="0" vertical="bottom"/>
    </xf>
    <xf borderId="32" fillId="64" fontId="55" numFmtId="10" xfId="0" applyAlignment="1" applyBorder="1" applyFill="1" applyFont="1" applyNumberFormat="1">
      <alignment horizontal="center" readingOrder="0" vertical="bottom"/>
    </xf>
    <xf borderId="0" fillId="65" fontId="55" numFmtId="10" xfId="0" applyAlignment="1" applyFill="1" applyFont="1" applyNumberFormat="1">
      <alignment horizontal="center" readingOrder="0" vertical="bottom"/>
    </xf>
    <xf borderId="0" fillId="59" fontId="55" numFmtId="10" xfId="0" applyAlignment="1" applyFont="1" applyNumberFormat="1">
      <alignment horizontal="center" readingOrder="0" vertical="bottom"/>
    </xf>
    <xf borderId="0" fillId="66" fontId="55" numFmtId="10" xfId="0" applyAlignment="1" applyFill="1" applyFont="1" applyNumberFormat="1">
      <alignment horizontal="center" readingOrder="0" vertical="bottom"/>
    </xf>
    <xf borderId="0" fillId="67" fontId="55" numFmtId="10" xfId="0" applyAlignment="1" applyFill="1" applyFont="1" applyNumberFormat="1">
      <alignment horizontal="center" readingOrder="0" vertical="bottom"/>
    </xf>
    <xf borderId="5" fillId="68" fontId="55" numFmtId="10" xfId="0" applyAlignment="1" applyBorder="1" applyFill="1" applyFont="1" applyNumberFormat="1">
      <alignment horizontal="center" readingOrder="0" vertical="bottom"/>
    </xf>
    <xf borderId="21" fillId="69" fontId="54" numFmtId="10" xfId="0" applyAlignment="1" applyBorder="1" applyFill="1" applyFont="1" applyNumberFormat="1">
      <alignment horizontal="center" readingOrder="0" vertical="bottom"/>
    </xf>
    <xf borderId="0" fillId="70" fontId="54" numFmtId="10" xfId="0" applyAlignment="1" applyFill="1" applyFont="1" applyNumberFormat="1">
      <alignment horizontal="center" readingOrder="0" vertical="bottom"/>
    </xf>
    <xf borderId="0" fillId="71" fontId="54" numFmtId="10" xfId="0" applyAlignment="1" applyFill="1" applyFont="1" applyNumberFormat="1">
      <alignment horizontal="center" readingOrder="0" vertical="bottom"/>
    </xf>
    <xf borderId="0" fillId="72" fontId="54" numFmtId="10" xfId="0" applyAlignment="1" applyFill="1" applyFont="1" applyNumberFormat="1">
      <alignment horizontal="center" readingOrder="0" vertical="bottom"/>
    </xf>
    <xf borderId="0" fillId="73" fontId="54" numFmtId="10" xfId="0" applyAlignment="1" applyFill="1" applyFont="1" applyNumberFormat="1">
      <alignment horizontal="center" readingOrder="0" vertical="bottom"/>
    </xf>
    <xf borderId="0" fillId="74" fontId="54" numFmtId="10" xfId="0" applyAlignment="1" applyFill="1" applyFont="1" applyNumberFormat="1">
      <alignment horizontal="center" readingOrder="0" vertical="bottom"/>
    </xf>
    <xf borderId="5" fillId="60" fontId="54" numFmtId="10" xfId="0" applyAlignment="1" applyBorder="1" applyFont="1" applyNumberFormat="1">
      <alignment horizontal="center" readingOrder="0" vertical="bottom"/>
    </xf>
    <xf borderId="21" fillId="69" fontId="54" numFmtId="3" xfId="0" applyAlignment="1" applyBorder="1" applyFont="1" applyNumberFormat="1">
      <alignment horizontal="center" readingOrder="0" vertical="bottom"/>
    </xf>
    <xf borderId="0" fillId="70" fontId="54" numFmtId="3" xfId="0" applyAlignment="1" applyFont="1" applyNumberFormat="1">
      <alignment horizontal="center" readingOrder="0" vertical="bottom"/>
    </xf>
    <xf borderId="0" fillId="71" fontId="54" numFmtId="3" xfId="0" applyAlignment="1" applyFont="1" applyNumberFormat="1">
      <alignment horizontal="center" readingOrder="0" vertical="bottom"/>
    </xf>
    <xf borderId="0" fillId="72" fontId="54" numFmtId="3" xfId="0" applyAlignment="1" applyFont="1" applyNumberFormat="1">
      <alignment horizontal="center" readingOrder="0" vertical="bottom"/>
    </xf>
    <xf borderId="0" fillId="73" fontId="54" numFmtId="3" xfId="0" applyAlignment="1" applyFont="1" applyNumberFormat="1">
      <alignment horizontal="center" readingOrder="0" vertical="bottom"/>
    </xf>
    <xf borderId="0" fillId="74" fontId="54" numFmtId="3" xfId="0" applyAlignment="1" applyFont="1" applyNumberFormat="1">
      <alignment horizontal="center" readingOrder="0" vertical="bottom"/>
    </xf>
    <xf borderId="5" fillId="60" fontId="54" numFmtId="3" xfId="0" applyAlignment="1" applyBorder="1" applyFont="1" applyNumberFormat="1">
      <alignment horizontal="center" readingOrder="0" vertical="bottom"/>
    </xf>
    <xf borderId="0" fillId="75" fontId="54" numFmtId="10" xfId="0" applyAlignment="1" applyFill="1" applyFont="1" applyNumberFormat="1">
      <alignment horizontal="center" readingOrder="0" vertical="bottom"/>
    </xf>
    <xf borderId="0" fillId="76" fontId="54" numFmtId="10" xfId="0" applyAlignment="1" applyFill="1" applyFont="1" applyNumberFormat="1">
      <alignment horizontal="center" readingOrder="0" vertical="bottom"/>
    </xf>
    <xf borderId="0" fillId="77" fontId="54" numFmtId="10" xfId="0" applyAlignment="1" applyFill="1" applyFont="1" applyNumberFormat="1">
      <alignment horizontal="center" readingOrder="0" vertical="bottom"/>
    </xf>
    <xf borderId="32" fillId="78" fontId="54" numFmtId="10" xfId="0" applyAlignment="1" applyBorder="1" applyFill="1" applyFont="1" applyNumberFormat="1">
      <alignment horizontal="center" readingOrder="0" vertical="bottom"/>
    </xf>
    <xf borderId="32" fillId="60" fontId="54" numFmtId="10" xfId="0" applyAlignment="1" applyBorder="1" applyFont="1" applyNumberFormat="1">
      <alignment horizontal="center" readingOrder="0" vertical="bottom"/>
    </xf>
    <xf borderId="0" fillId="79" fontId="54" numFmtId="10" xfId="0" applyAlignment="1" applyFill="1" applyFont="1" applyNumberFormat="1">
      <alignment horizontal="center" readingOrder="0" vertical="bottom"/>
    </xf>
    <xf borderId="0" fillId="80" fontId="54" numFmtId="10" xfId="0" applyAlignment="1" applyFill="1" applyFont="1" applyNumberFormat="1">
      <alignment horizontal="center" readingOrder="0" vertical="bottom"/>
    </xf>
    <xf borderId="0" fillId="81" fontId="54" numFmtId="10" xfId="0" applyAlignment="1" applyFill="1" applyFont="1" applyNumberFormat="1">
      <alignment horizontal="center" readingOrder="0" vertical="bottom"/>
    </xf>
    <xf borderId="0" fillId="82" fontId="54" numFmtId="10" xfId="0" applyAlignment="1" applyFill="1" applyFont="1" applyNumberFormat="1">
      <alignment horizontal="center" readingOrder="0" vertical="bottom"/>
    </xf>
    <xf borderId="5" fillId="83" fontId="54" numFmtId="10" xfId="0" applyAlignment="1" applyBorder="1" applyFill="1" applyFont="1" applyNumberFormat="1">
      <alignment horizontal="center" readingOrder="0" vertical="bottom"/>
    </xf>
    <xf borderId="21" fillId="84" fontId="54" numFmtId="10" xfId="0" applyAlignment="1" applyBorder="1" applyFill="1" applyFont="1" applyNumberFormat="1">
      <alignment horizontal="center" readingOrder="0" vertical="bottom"/>
    </xf>
    <xf borderId="0" fillId="85" fontId="54" numFmtId="10" xfId="0" applyAlignment="1" applyFill="1" applyFont="1" applyNumberFormat="1">
      <alignment horizontal="center" readingOrder="0" vertical="bottom"/>
    </xf>
    <xf borderId="0" fillId="86" fontId="54" numFmtId="10" xfId="0" applyAlignment="1" applyFill="1" applyFont="1" applyNumberFormat="1">
      <alignment horizontal="center" readingOrder="0" vertical="bottom"/>
    </xf>
    <xf borderId="0" fillId="87" fontId="54" numFmtId="10" xfId="0" applyAlignment="1" applyFill="1" applyFont="1" applyNumberFormat="1">
      <alignment horizontal="center" readingOrder="0" vertical="bottom"/>
    </xf>
    <xf borderId="0" fillId="88" fontId="54" numFmtId="10" xfId="0" applyAlignment="1" applyFill="1" applyFont="1" applyNumberFormat="1">
      <alignment horizontal="center" readingOrder="0" vertical="bottom"/>
    </xf>
    <xf borderId="0" fillId="89" fontId="54" numFmtId="10" xfId="0" applyAlignment="1" applyFill="1" applyFont="1" applyNumberFormat="1">
      <alignment horizontal="center" readingOrder="0" vertical="bottom"/>
    </xf>
    <xf borderId="5" fillId="90" fontId="54" numFmtId="10" xfId="0" applyAlignment="1" applyBorder="1" applyFill="1" applyFont="1" applyNumberFormat="1">
      <alignment horizontal="center" readingOrder="0" vertical="bottom"/>
    </xf>
    <xf borderId="21" fillId="84" fontId="54" numFmtId="3" xfId="0" applyAlignment="1" applyBorder="1" applyFont="1" applyNumberFormat="1">
      <alignment horizontal="center" readingOrder="0" vertical="bottom"/>
    </xf>
    <xf borderId="0" fillId="85" fontId="54" numFmtId="3" xfId="0" applyAlignment="1" applyFont="1" applyNumberFormat="1">
      <alignment horizontal="center" readingOrder="0" vertical="bottom"/>
    </xf>
    <xf borderId="0" fillId="86" fontId="54" numFmtId="3" xfId="0" applyAlignment="1" applyFont="1" applyNumberFormat="1">
      <alignment horizontal="center" readingOrder="0" vertical="bottom"/>
    </xf>
    <xf borderId="0" fillId="87" fontId="54" numFmtId="3" xfId="0" applyAlignment="1" applyFont="1" applyNumberFormat="1">
      <alignment horizontal="center" readingOrder="0" vertical="bottom"/>
    </xf>
    <xf borderId="0" fillId="88" fontId="54" numFmtId="3" xfId="0" applyAlignment="1" applyFont="1" applyNumberFormat="1">
      <alignment horizontal="center" readingOrder="0" vertical="bottom"/>
    </xf>
    <xf borderId="0" fillId="89" fontId="54" numFmtId="3" xfId="0" applyAlignment="1" applyFont="1" applyNumberFormat="1">
      <alignment horizontal="center" readingOrder="0" vertical="bottom"/>
    </xf>
    <xf borderId="5" fillId="90" fontId="54" numFmtId="3" xfId="0" applyAlignment="1" applyBorder="1" applyFont="1" applyNumberFormat="1">
      <alignment horizontal="center" readingOrder="0" vertical="bottom"/>
    </xf>
    <xf borderId="0" fillId="91" fontId="54" numFmtId="10" xfId="0" applyAlignment="1" applyFill="1" applyFont="1" applyNumberFormat="1">
      <alignment horizontal="center" readingOrder="0" vertical="bottom"/>
    </xf>
    <xf borderId="32" fillId="90" fontId="54" numFmtId="10" xfId="0" applyAlignment="1" applyBorder="1" applyFont="1" applyNumberFormat="1">
      <alignment horizontal="center" readingOrder="0" vertical="bottom"/>
    </xf>
    <xf borderId="32" fillId="76" fontId="54" numFmtId="10" xfId="0" applyAlignment="1" applyBorder="1" applyFont="1" applyNumberFormat="1">
      <alignment horizontal="center" readingOrder="0" vertical="bottom"/>
    </xf>
    <xf borderId="0" fillId="92" fontId="54" numFmtId="10" xfId="0" applyAlignment="1" applyFill="1" applyFont="1" applyNumberFormat="1">
      <alignment horizontal="center" readingOrder="0" vertical="bottom"/>
    </xf>
    <xf borderId="0" fillId="93" fontId="54" numFmtId="10" xfId="0" applyAlignment="1" applyFill="1" applyFont="1" applyNumberFormat="1">
      <alignment horizontal="center" readingOrder="0" vertical="bottom"/>
    </xf>
    <xf borderId="0" fillId="94" fontId="54" numFmtId="10" xfId="0" applyAlignment="1" applyFill="1" applyFont="1" applyNumberFormat="1">
      <alignment horizontal="center" readingOrder="0" vertical="bottom"/>
    </xf>
    <xf borderId="0" fillId="95" fontId="54" numFmtId="10" xfId="0" applyAlignment="1" applyFill="1" applyFont="1" applyNumberFormat="1">
      <alignment horizontal="center" readingOrder="0" vertical="bottom"/>
    </xf>
    <xf borderId="5" fillId="96" fontId="54" numFmtId="10" xfId="0" applyAlignment="1" applyBorder="1" applyFill="1" applyFont="1" applyNumberFormat="1">
      <alignment horizontal="center" readingOrder="0" vertical="bottom"/>
    </xf>
    <xf borderId="21" fillId="97" fontId="54" numFmtId="10" xfId="0" applyAlignment="1" applyBorder="1" applyFill="1" applyFont="1" applyNumberFormat="1">
      <alignment horizontal="center" readingOrder="0" vertical="bottom"/>
    </xf>
    <xf borderId="0" fillId="98" fontId="54" numFmtId="10" xfId="0" applyAlignment="1" applyFill="1" applyFont="1" applyNumberFormat="1">
      <alignment horizontal="center" readingOrder="0" vertical="bottom"/>
    </xf>
    <xf borderId="0" fillId="99" fontId="54" numFmtId="10" xfId="0" applyAlignment="1" applyFill="1" applyFont="1" applyNumberFormat="1">
      <alignment horizontal="center" readingOrder="0" vertical="bottom"/>
    </xf>
    <xf borderId="0" fillId="100" fontId="54" numFmtId="10" xfId="0" applyAlignment="1" applyFill="1" applyFont="1" applyNumberFormat="1">
      <alignment horizontal="center" readingOrder="0" vertical="bottom"/>
    </xf>
    <xf borderId="0" fillId="101" fontId="54" numFmtId="10" xfId="0" applyAlignment="1" applyFill="1" applyFont="1" applyNumberFormat="1">
      <alignment horizontal="center" readingOrder="0" vertical="bottom"/>
    </xf>
    <xf borderId="5" fillId="102" fontId="54" numFmtId="10" xfId="0" applyAlignment="1" applyBorder="1" applyFill="1" applyFont="1" applyNumberFormat="1">
      <alignment horizontal="center" readingOrder="0" vertical="bottom"/>
    </xf>
    <xf borderId="21" fillId="97" fontId="54" numFmtId="3" xfId="0" applyAlignment="1" applyBorder="1" applyFont="1" applyNumberFormat="1">
      <alignment horizontal="center" readingOrder="0" vertical="bottom"/>
    </xf>
    <xf borderId="0" fillId="98" fontId="54" numFmtId="3" xfId="0" applyAlignment="1" applyFont="1" applyNumberFormat="1">
      <alignment horizontal="center" readingOrder="0" vertical="bottom"/>
    </xf>
    <xf borderId="0" fillId="99" fontId="54" numFmtId="3" xfId="0" applyAlignment="1" applyFont="1" applyNumberFormat="1">
      <alignment horizontal="center" readingOrder="0" vertical="bottom"/>
    </xf>
    <xf borderId="0" fillId="100" fontId="54" numFmtId="3" xfId="0" applyAlignment="1" applyFont="1" applyNumberFormat="1">
      <alignment horizontal="center" readingOrder="0" vertical="bottom"/>
    </xf>
    <xf borderId="0" fillId="101" fontId="54" numFmtId="3" xfId="0" applyAlignment="1" applyFont="1" applyNumberFormat="1">
      <alignment horizontal="center" readingOrder="0" vertical="bottom"/>
    </xf>
    <xf borderId="5" fillId="102" fontId="54" numFmtId="3" xfId="0" applyAlignment="1" applyBorder="1" applyFont="1" applyNumberFormat="1">
      <alignment horizontal="center" readingOrder="0" vertical="bottom"/>
    </xf>
    <xf borderId="0" fillId="103" fontId="54" numFmtId="10" xfId="0" applyAlignment="1" applyFill="1" applyFont="1" applyNumberFormat="1">
      <alignment horizontal="center" readingOrder="0" vertical="bottom"/>
    </xf>
    <xf borderId="32" fillId="104" fontId="54" numFmtId="10" xfId="0" applyAlignment="1" applyBorder="1" applyFill="1" applyFont="1" applyNumberFormat="1">
      <alignment horizontal="center" readingOrder="0" vertical="bottom"/>
    </xf>
    <xf borderId="32" fillId="105" fontId="54" numFmtId="10" xfId="0" applyAlignment="1" applyBorder="1" applyFill="1" applyFont="1" applyNumberFormat="1">
      <alignment horizontal="center" readingOrder="0" vertical="bottom"/>
    </xf>
    <xf borderId="0" fillId="106" fontId="54" numFmtId="10" xfId="0" applyAlignment="1" applyFill="1" applyFont="1" applyNumberFormat="1">
      <alignment horizontal="center" readingOrder="0" vertical="bottom"/>
    </xf>
    <xf borderId="0" fillId="90" fontId="54" numFmtId="10" xfId="0" applyAlignment="1" applyFont="1" applyNumberFormat="1">
      <alignment horizontal="center" readingOrder="0" vertical="bottom"/>
    </xf>
    <xf borderId="5" fillId="107" fontId="54" numFmtId="10" xfId="0" applyAlignment="1" applyBorder="1" applyFill="1" applyFont="1" applyNumberFormat="1">
      <alignment horizontal="center" readingOrder="0" vertical="bottom"/>
    </xf>
    <xf borderId="21" fillId="108" fontId="54" numFmtId="10" xfId="0" applyAlignment="1" applyBorder="1" applyFill="1" applyFont="1" applyNumberFormat="1">
      <alignment horizontal="center" readingOrder="0" vertical="bottom"/>
    </xf>
    <xf borderId="0" fillId="109" fontId="54" numFmtId="10" xfId="0" applyAlignment="1" applyFill="1" applyFont="1" applyNumberFormat="1">
      <alignment horizontal="center" readingOrder="0" vertical="bottom"/>
    </xf>
    <xf borderId="0" fillId="110" fontId="54" numFmtId="10" xfId="0" applyAlignment="1" applyFill="1" applyFont="1" applyNumberFormat="1">
      <alignment horizontal="center" readingOrder="0" vertical="bottom"/>
    </xf>
    <xf borderId="0" fillId="111" fontId="54" numFmtId="10" xfId="0" applyAlignment="1" applyFill="1" applyFont="1" applyNumberFormat="1">
      <alignment horizontal="center" readingOrder="0" vertical="bottom"/>
    </xf>
    <xf borderId="5" fillId="112" fontId="54" numFmtId="10" xfId="0" applyAlignment="1" applyBorder="1" applyFill="1" applyFont="1" applyNumberFormat="1">
      <alignment horizontal="center" readingOrder="0" vertical="bottom"/>
    </xf>
    <xf borderId="21" fillId="108" fontId="54" numFmtId="3" xfId="0" applyAlignment="1" applyBorder="1" applyFont="1" applyNumberFormat="1">
      <alignment horizontal="center" readingOrder="0" vertical="bottom"/>
    </xf>
    <xf borderId="0" fillId="109" fontId="54" numFmtId="3" xfId="0" applyAlignment="1" applyFont="1" applyNumberFormat="1">
      <alignment horizontal="center" readingOrder="0" vertical="bottom"/>
    </xf>
    <xf borderId="0" fillId="110" fontId="54" numFmtId="3" xfId="0" applyAlignment="1" applyFont="1" applyNumberFormat="1">
      <alignment horizontal="center" readingOrder="0" vertical="bottom"/>
    </xf>
    <xf borderId="0" fillId="111" fontId="54" numFmtId="3" xfId="0" applyAlignment="1" applyFont="1" applyNumberFormat="1">
      <alignment horizontal="center" readingOrder="0" vertical="bottom"/>
    </xf>
    <xf borderId="5" fillId="112" fontId="54" numFmtId="3" xfId="0" applyAlignment="1" applyBorder="1" applyFont="1" applyNumberFormat="1">
      <alignment horizontal="center" readingOrder="0" vertical="bottom"/>
    </xf>
    <xf borderId="32" fillId="54" fontId="54" numFmtId="10" xfId="0" applyAlignment="1" applyBorder="1" applyFont="1" applyNumberFormat="1">
      <alignment horizontal="center" readingOrder="0" vertical="bottom"/>
    </xf>
    <xf borderId="32" fillId="72" fontId="54" numFmtId="10" xfId="0" applyAlignment="1" applyBorder="1" applyFont="1" applyNumberFormat="1">
      <alignment horizontal="center" readingOrder="0" vertical="bottom"/>
    </xf>
    <xf borderId="0" fillId="113" fontId="54" numFmtId="10" xfId="0" applyAlignment="1" applyFill="1" applyFont="1" applyNumberFormat="1">
      <alignment horizontal="center" readingOrder="0" vertical="bottom"/>
    </xf>
    <xf borderId="0" fillId="114" fontId="54" numFmtId="10" xfId="0" applyAlignment="1" applyFill="1" applyFont="1" applyNumberFormat="1">
      <alignment horizontal="center" readingOrder="0" vertical="bottom"/>
    </xf>
    <xf borderId="0" fillId="115" fontId="54" numFmtId="10" xfId="0" applyAlignment="1" applyFill="1" applyFont="1" applyNumberFormat="1">
      <alignment horizontal="center" readingOrder="0" vertical="bottom"/>
    </xf>
    <xf borderId="5" fillId="116" fontId="54" numFmtId="10" xfId="0" applyAlignment="1" applyBorder="1" applyFill="1" applyFont="1" applyNumberFormat="1">
      <alignment horizontal="center" readingOrder="0" vertical="bottom"/>
    </xf>
    <xf borderId="21" fillId="19" fontId="54" numFmtId="10" xfId="0" applyAlignment="1" applyBorder="1" applyFont="1" applyNumberFormat="1">
      <alignment horizontal="center" readingOrder="0" vertical="bottom"/>
    </xf>
    <xf borderId="0" fillId="117" fontId="54" numFmtId="10" xfId="0" applyAlignment="1" applyFill="1" applyFont="1" applyNumberFormat="1">
      <alignment horizontal="center" readingOrder="0" vertical="bottom"/>
    </xf>
    <xf borderId="0" fillId="118" fontId="54" numFmtId="10" xfId="0" applyAlignment="1" applyFill="1" applyFont="1" applyNumberFormat="1">
      <alignment horizontal="center" readingOrder="0" vertical="bottom"/>
    </xf>
    <xf borderId="0" fillId="119" fontId="54" numFmtId="10" xfId="0" applyAlignment="1" applyFill="1" applyFont="1" applyNumberFormat="1">
      <alignment horizontal="center" readingOrder="0" vertical="bottom"/>
    </xf>
    <xf borderId="0" fillId="120" fontId="54" numFmtId="10" xfId="0" applyAlignment="1" applyFill="1" applyFont="1" applyNumberFormat="1">
      <alignment horizontal="center" readingOrder="0" vertical="bottom"/>
    </xf>
    <xf borderId="0" fillId="121" fontId="54" numFmtId="10" xfId="0" applyAlignment="1" applyFill="1" applyFont="1" applyNumberFormat="1">
      <alignment horizontal="center" readingOrder="0" vertical="bottom"/>
    </xf>
    <xf borderId="5" fillId="87" fontId="54" numFmtId="10" xfId="0" applyAlignment="1" applyBorder="1" applyFont="1" applyNumberFormat="1">
      <alignment horizontal="center" readingOrder="0" vertical="bottom"/>
    </xf>
    <xf borderId="21" fillId="19" fontId="54" numFmtId="3" xfId="0" applyAlignment="1" applyBorder="1" applyFont="1" applyNumberFormat="1">
      <alignment horizontal="center" readingOrder="0" vertical="bottom"/>
    </xf>
    <xf borderId="0" fillId="117" fontId="54" numFmtId="3" xfId="0" applyAlignment="1" applyFont="1" applyNumberFormat="1">
      <alignment horizontal="center" readingOrder="0" vertical="bottom"/>
    </xf>
    <xf borderId="0" fillId="118" fontId="54" numFmtId="3" xfId="0" applyAlignment="1" applyFont="1" applyNumberFormat="1">
      <alignment horizontal="center" readingOrder="0" vertical="bottom"/>
    </xf>
    <xf borderId="0" fillId="119" fontId="54" numFmtId="3" xfId="0" applyAlignment="1" applyFont="1" applyNumberFormat="1">
      <alignment horizontal="center" readingOrder="0" vertical="bottom"/>
    </xf>
    <xf borderId="0" fillId="120" fontId="54" numFmtId="3" xfId="0" applyAlignment="1" applyFont="1" applyNumberFormat="1">
      <alignment horizontal="center" readingOrder="0" vertical="bottom"/>
    </xf>
    <xf borderId="0" fillId="121" fontId="54" numFmtId="3" xfId="0" applyAlignment="1" applyFont="1" applyNumberFormat="1">
      <alignment horizontal="center" readingOrder="0" vertical="bottom"/>
    </xf>
    <xf borderId="5" fillId="87" fontId="54" numFmtId="3" xfId="0" applyAlignment="1" applyBorder="1" applyFont="1" applyNumberFormat="1">
      <alignment horizontal="center" readingOrder="0" vertical="bottom"/>
    </xf>
    <xf borderId="0" fillId="122" fontId="54" numFmtId="10" xfId="0" applyAlignment="1" applyFill="1" applyFont="1" applyNumberFormat="1">
      <alignment horizontal="center" readingOrder="0" vertical="bottom"/>
    </xf>
    <xf borderId="0" fillId="123" fontId="54" numFmtId="10" xfId="0" applyAlignment="1" applyFill="1" applyFont="1" applyNumberFormat="1">
      <alignment horizontal="center" readingOrder="0" vertical="bottom"/>
    </xf>
    <xf borderId="0" fillId="124" fontId="54" numFmtId="10" xfId="0" applyAlignment="1" applyFill="1" applyFont="1" applyNumberFormat="1">
      <alignment horizontal="center" readingOrder="0" vertical="bottom"/>
    </xf>
    <xf borderId="32" fillId="125" fontId="54" numFmtId="10" xfId="0" applyAlignment="1" applyBorder="1" applyFill="1" applyFont="1" applyNumberFormat="1">
      <alignment horizontal="center" readingOrder="0" vertical="bottom"/>
    </xf>
    <xf borderId="32" fillId="101" fontId="54" numFmtId="10" xfId="0" applyAlignment="1" applyBorder="1" applyFont="1" applyNumberFormat="1">
      <alignment horizontal="center" readingOrder="0" vertical="bottom"/>
    </xf>
    <xf borderId="0" fillId="126" fontId="54" numFmtId="10" xfId="0" applyAlignment="1" applyFill="1" applyFont="1" applyNumberFormat="1">
      <alignment horizontal="center" readingOrder="0" vertical="bottom"/>
    </xf>
    <xf borderId="0" fillId="127" fontId="54" numFmtId="10" xfId="0" applyAlignment="1" applyFill="1" applyFont="1" applyNumberFormat="1">
      <alignment horizontal="center" readingOrder="0" vertical="bottom"/>
    </xf>
    <xf borderId="0" fillId="128" fontId="54" numFmtId="10" xfId="0" applyAlignment="1" applyFill="1" applyFont="1" applyNumberFormat="1">
      <alignment horizontal="center" readingOrder="0" vertical="bottom"/>
    </xf>
    <xf borderId="5" fillId="72" fontId="54" numFmtId="10" xfId="0" applyAlignment="1" applyBorder="1" applyFont="1" applyNumberFormat="1">
      <alignment horizontal="center" readingOrder="0" vertical="bottom"/>
    </xf>
    <xf borderId="21" fillId="129" fontId="54" numFmtId="10" xfId="0" applyAlignment="1" applyBorder="1" applyFill="1" applyFont="1" applyNumberFormat="1">
      <alignment horizontal="center" readingOrder="0" vertical="bottom"/>
    </xf>
    <xf borderId="0" fillId="108" fontId="54" numFmtId="10" xfId="0" applyAlignment="1" applyFont="1" applyNumberFormat="1">
      <alignment horizontal="center" readingOrder="0" vertical="bottom"/>
    </xf>
    <xf borderId="0" fillId="130" fontId="54" numFmtId="10" xfId="0" applyAlignment="1" applyFill="1" applyFont="1" applyNumberFormat="1">
      <alignment horizontal="center" readingOrder="0" vertical="bottom"/>
    </xf>
    <xf borderId="0" fillId="69" fontId="54" numFmtId="10" xfId="0" applyAlignment="1" applyFont="1" applyNumberFormat="1">
      <alignment horizontal="center" readingOrder="0" vertical="bottom"/>
    </xf>
    <xf borderId="0" fillId="131" fontId="54" numFmtId="10" xfId="0" applyAlignment="1" applyFill="1" applyFont="1" applyNumberFormat="1">
      <alignment horizontal="center" readingOrder="0" vertical="bottom"/>
    </xf>
    <xf borderId="5" fillId="132" fontId="54" numFmtId="10" xfId="0" applyAlignment="1" applyBorder="1" applyFill="1" applyFont="1" applyNumberFormat="1">
      <alignment horizontal="center" readingOrder="0" vertical="bottom"/>
    </xf>
    <xf borderId="21" fillId="129" fontId="54" numFmtId="3" xfId="0" applyAlignment="1" applyBorder="1" applyFont="1" applyNumberFormat="1">
      <alignment horizontal="center" readingOrder="0" vertical="bottom"/>
    </xf>
    <xf borderId="0" fillId="108" fontId="54" numFmtId="3" xfId="0" applyAlignment="1" applyFont="1" applyNumberFormat="1">
      <alignment horizontal="center" readingOrder="0" vertical="bottom"/>
    </xf>
    <xf borderId="0" fillId="130" fontId="54" numFmtId="3" xfId="0" applyAlignment="1" applyFont="1" applyNumberFormat="1">
      <alignment horizontal="center" readingOrder="0" vertical="bottom"/>
    </xf>
    <xf borderId="0" fillId="69" fontId="54" numFmtId="3" xfId="0" applyAlignment="1" applyFont="1" applyNumberFormat="1">
      <alignment horizontal="center" readingOrder="0" vertical="bottom"/>
    </xf>
    <xf borderId="0" fillId="131" fontId="54" numFmtId="3" xfId="0" applyAlignment="1" applyFont="1" applyNumberFormat="1">
      <alignment horizontal="center" readingOrder="0" vertical="bottom"/>
    </xf>
    <xf borderId="5" fillId="132" fontId="54" numFmtId="3" xfId="0" applyAlignment="1" applyBorder="1" applyFont="1" applyNumberFormat="1">
      <alignment horizontal="center" readingOrder="0" vertical="bottom"/>
    </xf>
    <xf borderId="0" fillId="132" fontId="54" numFmtId="10" xfId="0" applyAlignment="1" applyFont="1" applyNumberFormat="1">
      <alignment horizontal="center" readingOrder="0" vertical="bottom"/>
    </xf>
    <xf borderId="0" fillId="53" fontId="54" numFmtId="10" xfId="0" applyAlignment="1" applyFont="1" applyNumberFormat="1">
      <alignment horizontal="center" readingOrder="0" vertical="bottom"/>
    </xf>
    <xf borderId="32" fillId="133" fontId="54" numFmtId="10" xfId="0" applyAlignment="1" applyBorder="1" applyFill="1" applyFont="1" applyNumberFormat="1">
      <alignment horizontal="center" readingOrder="0" vertical="bottom"/>
    </xf>
    <xf borderId="32" fillId="71" fontId="54" numFmtId="10" xfId="0" applyAlignment="1" applyBorder="1" applyFont="1" applyNumberFormat="1">
      <alignment horizontal="center" readingOrder="0" vertical="bottom"/>
    </xf>
    <xf borderId="0" fillId="125" fontId="54" numFmtId="10" xfId="0" applyAlignment="1" applyFont="1" applyNumberFormat="1">
      <alignment horizontal="center" readingOrder="0" vertical="bottom"/>
    </xf>
    <xf borderId="0" fillId="134" fontId="54" numFmtId="10" xfId="0" applyAlignment="1" applyFill="1" applyFont="1" applyNumberFormat="1">
      <alignment horizontal="center" readingOrder="0" vertical="bottom"/>
    </xf>
    <xf borderId="5" fillId="126" fontId="54" numFmtId="10" xfId="0" applyAlignment="1" applyBorder="1" applyFont="1" applyNumberFormat="1">
      <alignment horizontal="center" readingOrder="0" vertical="bottom"/>
    </xf>
    <xf borderId="21" fillId="135" fontId="54" numFmtId="10" xfId="0" applyAlignment="1" applyBorder="1" applyFill="1" applyFont="1" applyNumberFormat="1">
      <alignment horizontal="center" readingOrder="0" vertical="bottom"/>
    </xf>
    <xf borderId="0" fillId="19" fontId="54" numFmtId="10" xfId="0" applyAlignment="1" applyFont="1" applyNumberFormat="1">
      <alignment horizontal="center" readingOrder="0" vertical="bottom"/>
    </xf>
    <xf borderId="0" fillId="136" fontId="54" numFmtId="10" xfId="0" applyAlignment="1" applyFill="1" applyFont="1" applyNumberFormat="1">
      <alignment horizontal="center" readingOrder="0" vertical="bottom"/>
    </xf>
    <xf borderId="5" fillId="137" fontId="54" numFmtId="10" xfId="0" applyAlignment="1" applyBorder="1" applyFill="1" applyFont="1" applyNumberFormat="1">
      <alignment horizontal="center" readingOrder="0" vertical="bottom"/>
    </xf>
    <xf borderId="21" fillId="135" fontId="54" numFmtId="3" xfId="0" applyAlignment="1" applyBorder="1" applyFont="1" applyNumberFormat="1">
      <alignment horizontal="center" readingOrder="0" vertical="bottom"/>
    </xf>
    <xf borderId="0" fillId="19" fontId="54" numFmtId="3" xfId="0" applyAlignment="1" applyFont="1" applyNumberFormat="1">
      <alignment horizontal="center" readingOrder="0" vertical="bottom"/>
    </xf>
    <xf borderId="0" fillId="136" fontId="54" numFmtId="3" xfId="0" applyAlignment="1" applyFont="1" applyNumberFormat="1">
      <alignment horizontal="center" readingOrder="0" vertical="bottom"/>
    </xf>
    <xf borderId="5" fillId="137" fontId="54" numFmtId="3" xfId="0" applyAlignment="1" applyBorder="1" applyFont="1" applyNumberFormat="1">
      <alignment horizontal="center" readingOrder="0" vertical="bottom"/>
    </xf>
    <xf borderId="0" fillId="131" fontId="55" numFmtId="10" xfId="0" applyAlignment="1" applyFont="1" applyNumberFormat="1">
      <alignment horizontal="center" readingOrder="0" vertical="bottom"/>
    </xf>
    <xf borderId="0" fillId="86" fontId="55" numFmtId="10" xfId="0" applyAlignment="1" applyFont="1" applyNumberFormat="1">
      <alignment horizontal="center" readingOrder="0" vertical="bottom"/>
    </xf>
    <xf borderId="0" fillId="138" fontId="55" numFmtId="10" xfId="0" applyAlignment="1" applyFill="1" applyFont="1" applyNumberFormat="1">
      <alignment horizontal="center" readingOrder="0" vertical="bottom"/>
    </xf>
    <xf borderId="32" fillId="53" fontId="55" numFmtId="10" xfId="0" applyAlignment="1" applyBorder="1" applyFont="1" applyNumberFormat="1">
      <alignment horizontal="center" readingOrder="0" vertical="bottom"/>
    </xf>
    <xf borderId="32" fillId="100" fontId="55" numFmtId="10" xfId="0" applyAlignment="1" applyBorder="1" applyFont="1" applyNumberFormat="1">
      <alignment horizontal="center" readingOrder="0" vertical="bottom"/>
    </xf>
    <xf borderId="0" fillId="133" fontId="55" numFmtId="10" xfId="0" applyAlignment="1" applyFont="1" applyNumberFormat="1">
      <alignment horizontal="center" readingOrder="0" vertical="bottom"/>
    </xf>
    <xf borderId="0" fillId="139" fontId="55" numFmtId="10" xfId="0" applyAlignment="1" applyFill="1" applyFont="1" applyNumberFormat="1">
      <alignment horizontal="center" readingOrder="0" vertical="bottom"/>
    </xf>
    <xf borderId="0" fillId="140" fontId="55" numFmtId="10" xfId="0" applyAlignment="1" applyFill="1" applyFont="1" applyNumberFormat="1">
      <alignment horizontal="center" readingOrder="0" vertical="bottom"/>
    </xf>
    <xf borderId="0" fillId="141" fontId="55" numFmtId="10" xfId="0" applyAlignment="1" applyFill="1" applyFont="1" applyNumberFormat="1">
      <alignment horizontal="center" readingOrder="0" vertical="bottom"/>
    </xf>
    <xf borderId="5" fillId="125" fontId="55" numFmtId="10" xfId="0" applyAlignment="1" applyBorder="1" applyFont="1" applyNumberFormat="1">
      <alignment horizontal="center" readingOrder="0" vertical="bottom"/>
    </xf>
    <xf borderId="21" fillId="142" fontId="54" numFmtId="10" xfId="0" applyAlignment="1" applyBorder="1" applyFill="1" applyFont="1" applyNumberFormat="1">
      <alignment horizontal="center" readingOrder="0" vertical="bottom"/>
    </xf>
    <xf borderId="0" fillId="143" fontId="54" numFmtId="10" xfId="0" applyAlignment="1" applyFill="1" applyFont="1" applyNumberFormat="1">
      <alignment horizontal="center" readingOrder="0" vertical="bottom"/>
    </xf>
    <xf borderId="0" fillId="144" fontId="54" numFmtId="10" xfId="0" applyAlignment="1" applyFill="1" applyFont="1" applyNumberFormat="1">
      <alignment horizontal="center" readingOrder="0" vertical="bottom"/>
    </xf>
    <xf borderId="0" fillId="145" fontId="54" numFmtId="10" xfId="0" applyAlignment="1" applyFill="1" applyFont="1" applyNumberFormat="1">
      <alignment horizontal="center" readingOrder="0" vertical="bottom"/>
    </xf>
    <xf borderId="5" fillId="120" fontId="54" numFmtId="10" xfId="0" applyAlignment="1" applyBorder="1" applyFont="1" applyNumberFormat="1">
      <alignment horizontal="center" readingOrder="0" vertical="bottom"/>
    </xf>
    <xf borderId="21" fillId="142" fontId="54" numFmtId="3" xfId="0" applyAlignment="1" applyBorder="1" applyFont="1" applyNumberFormat="1">
      <alignment horizontal="center" readingOrder="0" vertical="bottom"/>
    </xf>
    <xf borderId="0" fillId="143" fontId="54" numFmtId="3" xfId="0" applyAlignment="1" applyFont="1" applyNumberFormat="1">
      <alignment horizontal="center" readingOrder="0" vertical="bottom"/>
    </xf>
    <xf borderId="0" fillId="144" fontId="54" numFmtId="3" xfId="0" applyAlignment="1" applyFont="1" applyNumberFormat="1">
      <alignment horizontal="center" readingOrder="0" vertical="bottom"/>
    </xf>
    <xf borderId="0" fillId="145" fontId="54" numFmtId="3" xfId="0" applyAlignment="1" applyFont="1" applyNumberFormat="1">
      <alignment horizontal="center" readingOrder="0" vertical="bottom"/>
    </xf>
    <xf borderId="5" fillId="120" fontId="54" numFmtId="3" xfId="0" applyAlignment="1" applyBorder="1" applyFont="1" applyNumberFormat="1">
      <alignment horizontal="center" readingOrder="0" vertical="bottom"/>
    </xf>
    <xf borderId="0" fillId="146" fontId="54" numFmtId="10" xfId="0" applyAlignment="1" applyFill="1" applyFont="1" applyNumberFormat="1">
      <alignment horizontal="center" readingOrder="0" vertical="bottom"/>
    </xf>
    <xf borderId="32" fillId="138" fontId="54" numFmtId="10" xfId="0" applyAlignment="1" applyBorder="1" applyFont="1" applyNumberFormat="1">
      <alignment horizontal="center" readingOrder="0" vertical="bottom"/>
    </xf>
    <xf borderId="32" fillId="53" fontId="54" numFmtId="10" xfId="0" applyAlignment="1" applyBorder="1" applyFont="1" applyNumberFormat="1">
      <alignment horizontal="center" readingOrder="0" vertical="bottom"/>
    </xf>
    <xf borderId="0" fillId="133" fontId="54" numFmtId="10" xfId="0" applyAlignment="1" applyFont="1" applyNumberFormat="1">
      <alignment horizontal="center" readingOrder="0" vertical="bottom"/>
    </xf>
    <xf borderId="5" fillId="133" fontId="54" numFmtId="10" xfId="0" applyAlignment="1" applyBorder="1" applyFont="1" applyNumberFormat="1">
      <alignment horizontal="center" readingOrder="0" vertical="bottom"/>
    </xf>
    <xf borderId="21" fillId="147" fontId="54" numFmtId="10" xfId="0" applyAlignment="1" applyBorder="1" applyFill="1" applyFont="1" applyNumberFormat="1">
      <alignment horizontal="center" readingOrder="0" vertical="bottom"/>
    </xf>
    <xf borderId="0" fillId="148" fontId="54" numFmtId="10" xfId="0" applyAlignment="1" applyFill="1" applyFont="1" applyNumberFormat="1">
      <alignment horizontal="center" readingOrder="0" vertical="bottom"/>
    </xf>
    <xf borderId="0" fillId="149" fontId="54" numFmtId="10" xfId="0" applyAlignment="1" applyFill="1" applyFont="1" applyNumberFormat="1">
      <alignment horizontal="center" readingOrder="0" vertical="bottom"/>
    </xf>
    <xf borderId="0" fillId="97" fontId="54" numFmtId="10" xfId="0" applyAlignment="1" applyFont="1" applyNumberFormat="1">
      <alignment horizontal="center" readingOrder="0" vertical="bottom"/>
    </xf>
    <xf borderId="5" fillId="85" fontId="54" numFmtId="10" xfId="0" applyAlignment="1" applyBorder="1" applyFont="1" applyNumberFormat="1">
      <alignment horizontal="center" readingOrder="0" vertical="bottom"/>
    </xf>
    <xf borderId="21" fillId="147" fontId="54" numFmtId="3" xfId="0" applyAlignment="1" applyBorder="1" applyFont="1" applyNumberFormat="1">
      <alignment horizontal="center" readingOrder="0" vertical="bottom"/>
    </xf>
    <xf borderId="0" fillId="148" fontId="54" numFmtId="3" xfId="0" applyAlignment="1" applyFont="1" applyNumberFormat="1">
      <alignment horizontal="center" readingOrder="0" vertical="bottom"/>
    </xf>
    <xf borderId="0" fillId="149" fontId="54" numFmtId="3" xfId="0" applyAlignment="1" applyFont="1" applyNumberFormat="1">
      <alignment horizontal="center" readingOrder="0" vertical="bottom"/>
    </xf>
    <xf borderId="0" fillId="97" fontId="54" numFmtId="3" xfId="0" applyAlignment="1" applyFont="1" applyNumberFormat="1">
      <alignment horizontal="center" readingOrder="0" vertical="bottom"/>
    </xf>
    <xf borderId="5" fillId="85" fontId="54" numFmtId="3" xfId="0" applyAlignment="1" applyBorder="1" applyFont="1" applyNumberFormat="1">
      <alignment horizontal="center" readingOrder="0" vertical="bottom"/>
    </xf>
    <xf borderId="0" fillId="150" fontId="54" numFmtId="10" xfId="0" applyAlignment="1" applyFill="1" applyFont="1" applyNumberFormat="1">
      <alignment horizontal="center" readingOrder="0" vertical="bottom"/>
    </xf>
    <xf borderId="32" fillId="86" fontId="54" numFmtId="10" xfId="0" applyAlignment="1" applyBorder="1" applyFont="1" applyNumberFormat="1">
      <alignment horizontal="center" readingOrder="0" vertical="bottom"/>
    </xf>
    <xf borderId="32" fillId="121" fontId="54" numFmtId="10" xfId="0" applyAlignment="1" applyBorder="1" applyFont="1" applyNumberFormat="1">
      <alignment horizontal="center" readingOrder="0" vertical="bottom"/>
    </xf>
    <xf borderId="5" fillId="123" fontId="54" numFmtId="10" xfId="0" applyAlignment="1" applyBorder="1" applyFont="1" applyNumberFormat="1">
      <alignment horizontal="center" readingOrder="0" vertical="bottom"/>
    </xf>
    <xf borderId="21" fillId="151" fontId="54" numFmtId="10" xfId="0" applyAlignment="1" applyBorder="1" applyFill="1" applyFont="1" applyNumberFormat="1">
      <alignment horizontal="center" readingOrder="0" vertical="bottom"/>
    </xf>
    <xf borderId="0" fillId="135" fontId="54" numFmtId="10" xfId="0" applyAlignment="1" applyFont="1" applyNumberFormat="1">
      <alignment horizontal="center" readingOrder="0" vertical="bottom"/>
    </xf>
    <xf borderId="0" fillId="152" fontId="54" numFmtId="10" xfId="0" applyAlignment="1" applyFill="1" applyFont="1" applyNumberFormat="1">
      <alignment horizontal="center" readingOrder="0" vertical="bottom"/>
    </xf>
    <xf borderId="5" fillId="119" fontId="54" numFmtId="10" xfId="0" applyAlignment="1" applyBorder="1" applyFont="1" applyNumberFormat="1">
      <alignment horizontal="center" readingOrder="0" vertical="bottom"/>
    </xf>
    <xf borderId="21" fillId="151" fontId="54" numFmtId="3" xfId="0" applyAlignment="1" applyBorder="1" applyFont="1" applyNumberFormat="1">
      <alignment horizontal="center" readingOrder="0" vertical="bottom"/>
    </xf>
    <xf borderId="0" fillId="135" fontId="54" numFmtId="3" xfId="0" applyAlignment="1" applyFont="1" applyNumberFormat="1">
      <alignment horizontal="center" readingOrder="0" vertical="bottom"/>
    </xf>
    <xf borderId="0" fillId="152" fontId="54" numFmtId="3" xfId="0" applyAlignment="1" applyFont="1" applyNumberFormat="1">
      <alignment horizontal="center" readingOrder="0" vertical="bottom"/>
    </xf>
    <xf borderId="5" fillId="119" fontId="54" numFmtId="3" xfId="0" applyAlignment="1" applyBorder="1" applyFont="1" applyNumberFormat="1">
      <alignment horizontal="center" readingOrder="0" vertical="bottom"/>
    </xf>
    <xf borderId="0" fillId="153" fontId="54" numFmtId="10" xfId="0" applyAlignment="1" applyFill="1" applyFont="1" applyNumberFormat="1">
      <alignment horizontal="center" readingOrder="0" vertical="bottom"/>
    </xf>
    <xf borderId="32" fillId="150" fontId="54" numFmtId="10" xfId="0" applyAlignment="1" applyBorder="1" applyFont="1" applyNumberFormat="1">
      <alignment horizontal="center" readingOrder="0" vertical="bottom"/>
    </xf>
    <xf borderId="0" fillId="138" fontId="54" numFmtId="10" xfId="0" applyAlignment="1" applyFont="1" applyNumberFormat="1">
      <alignment horizontal="center" readingOrder="0" vertical="bottom"/>
    </xf>
    <xf borderId="5" fillId="122" fontId="54" numFmtId="10" xfId="0" applyAlignment="1" applyBorder="1" applyFont="1" applyNumberFormat="1">
      <alignment horizontal="center" readingOrder="0" vertical="bottom"/>
    </xf>
    <xf borderId="21" fillId="154" fontId="54" numFmtId="10" xfId="0" applyAlignment="1" applyBorder="1" applyFill="1" applyFont="1" applyNumberFormat="1">
      <alignment horizontal="center" readingOrder="0" vertical="bottom"/>
    </xf>
    <xf borderId="0" fillId="155" fontId="54" numFmtId="10" xfId="0" applyAlignment="1" applyFill="1" applyFont="1" applyNumberFormat="1">
      <alignment horizontal="center" readingOrder="0" vertical="bottom"/>
    </xf>
    <xf borderId="0" fillId="156" fontId="54" numFmtId="10" xfId="0" applyAlignment="1" applyFill="1" applyFont="1" applyNumberFormat="1">
      <alignment horizontal="center" readingOrder="0" vertical="bottom"/>
    </xf>
    <xf borderId="0" fillId="157" fontId="54" numFmtId="10" xfId="0" applyAlignment="1" applyFill="1" applyFont="1" applyNumberFormat="1">
      <alignment horizontal="center" readingOrder="0" vertical="bottom"/>
    </xf>
    <xf borderId="0" fillId="158" fontId="54" numFmtId="10" xfId="0" applyAlignment="1" applyFill="1" applyFont="1" applyNumberFormat="1">
      <alignment horizontal="center" readingOrder="0" vertical="bottom"/>
    </xf>
    <xf borderId="5" fillId="136" fontId="54" numFmtId="10" xfId="0" applyAlignment="1" applyBorder="1" applyFont="1" applyNumberFormat="1">
      <alignment horizontal="center" readingOrder="0" vertical="bottom"/>
    </xf>
    <xf borderId="21" fillId="154" fontId="54" numFmtId="3" xfId="0" applyAlignment="1" applyBorder="1" applyFont="1" applyNumberFormat="1">
      <alignment horizontal="center" readingOrder="0" vertical="bottom"/>
    </xf>
    <xf borderId="0" fillId="155" fontId="54" numFmtId="3" xfId="0" applyAlignment="1" applyFont="1" applyNumberFormat="1">
      <alignment horizontal="center" readingOrder="0" vertical="bottom"/>
    </xf>
    <xf borderId="0" fillId="156" fontId="54" numFmtId="3" xfId="0" applyAlignment="1" applyFont="1" applyNumberFormat="1">
      <alignment horizontal="center" readingOrder="0" vertical="bottom"/>
    </xf>
    <xf borderId="0" fillId="157" fontId="54" numFmtId="3" xfId="0" applyAlignment="1" applyFont="1" applyNumberFormat="1">
      <alignment horizontal="center" readingOrder="0" vertical="bottom"/>
    </xf>
    <xf borderId="0" fillId="158" fontId="54" numFmtId="3" xfId="0" applyAlignment="1" applyFont="1" applyNumberFormat="1">
      <alignment horizontal="center" readingOrder="0" vertical="bottom"/>
    </xf>
    <xf borderId="5" fillId="136" fontId="54" numFmtId="3" xfId="0" applyAlignment="1" applyBorder="1" applyFont="1" applyNumberFormat="1">
      <alignment horizontal="center" readingOrder="0" vertical="bottom"/>
    </xf>
    <xf borderId="32" fillId="159" fontId="54" numFmtId="10" xfId="0" applyAlignment="1" applyBorder="1" applyFill="1" applyFont="1" applyNumberFormat="1">
      <alignment horizontal="center" readingOrder="0" vertical="bottom"/>
    </xf>
    <xf borderId="0" fillId="137" fontId="54" numFmtId="10" xfId="0" applyAlignment="1" applyFont="1" applyNumberFormat="1">
      <alignment horizontal="center" readingOrder="0" vertical="bottom"/>
    </xf>
    <xf borderId="0" fillId="160" fontId="54" numFmtId="10" xfId="0" applyAlignment="1" applyFill="1" applyFont="1" applyNumberFormat="1">
      <alignment horizontal="center" readingOrder="0" vertical="bottom"/>
    </xf>
    <xf borderId="5" fillId="121" fontId="54" numFmtId="10" xfId="0" applyAlignment="1" applyBorder="1" applyFont="1" applyNumberFormat="1">
      <alignment horizontal="center" readingOrder="0" vertical="bottom"/>
    </xf>
    <xf borderId="21" fillId="161" fontId="54" numFmtId="10" xfId="0" applyAlignment="1" applyBorder="1" applyFill="1" applyFont="1" applyNumberFormat="1">
      <alignment horizontal="center" readingOrder="0" vertical="bottom"/>
    </xf>
    <xf borderId="0" fillId="162" fontId="54" numFmtId="10" xfId="0" applyAlignment="1" applyFill="1" applyFont="1" applyNumberFormat="1">
      <alignment horizontal="center" readingOrder="0" vertical="bottom"/>
    </xf>
    <xf borderId="0" fillId="163" fontId="54" numFmtId="10" xfId="0" applyAlignment="1" applyFill="1" applyFont="1" applyNumberFormat="1">
      <alignment horizontal="center" readingOrder="0" vertical="bottom"/>
    </xf>
    <xf borderId="0" fillId="164" fontId="54" numFmtId="10" xfId="0" applyAlignment="1" applyFill="1" applyFont="1" applyNumberFormat="1">
      <alignment horizontal="center" readingOrder="0" vertical="bottom"/>
    </xf>
    <xf borderId="5" fillId="98" fontId="54" numFmtId="10" xfId="0" applyAlignment="1" applyBorder="1" applyFont="1" applyNumberFormat="1">
      <alignment horizontal="center" readingOrder="0" vertical="bottom"/>
    </xf>
    <xf borderId="21" fillId="161" fontId="54" numFmtId="3" xfId="0" applyAlignment="1" applyBorder="1" applyFont="1" applyNumberFormat="1">
      <alignment horizontal="center" readingOrder="0" vertical="bottom"/>
    </xf>
    <xf borderId="0" fillId="162" fontId="54" numFmtId="3" xfId="0" applyAlignment="1" applyFont="1" applyNumberFormat="1">
      <alignment horizontal="center" readingOrder="0" vertical="bottom"/>
    </xf>
    <xf borderId="0" fillId="163" fontId="54" numFmtId="3" xfId="0" applyAlignment="1" applyFont="1" applyNumberFormat="1">
      <alignment horizontal="center" readingOrder="0" vertical="bottom"/>
    </xf>
    <xf borderId="0" fillId="164" fontId="54" numFmtId="3" xfId="0" applyAlignment="1" applyFont="1" applyNumberFormat="1">
      <alignment horizontal="center" readingOrder="0" vertical="bottom"/>
    </xf>
    <xf borderId="5" fillId="98" fontId="54" numFmtId="3" xfId="0" applyAlignment="1" applyBorder="1" applyFont="1" applyNumberFormat="1">
      <alignment horizontal="center" readingOrder="0" vertical="bottom"/>
    </xf>
    <xf borderId="0" fillId="165" fontId="54" numFmtId="10" xfId="0" applyAlignment="1" applyFill="1" applyFont="1" applyNumberFormat="1">
      <alignment horizontal="center" readingOrder="0" vertical="bottom"/>
    </xf>
    <xf borderId="32" fillId="146" fontId="54" numFmtId="10" xfId="0" applyAlignment="1" applyBorder="1" applyFont="1" applyNumberFormat="1">
      <alignment horizontal="center" readingOrder="0" vertical="bottom"/>
    </xf>
    <xf borderId="32" fillId="131" fontId="54" numFmtId="10" xfId="0" applyAlignment="1" applyBorder="1" applyFont="1" applyNumberFormat="1">
      <alignment horizontal="center" readingOrder="0" vertical="bottom"/>
    </xf>
    <xf borderId="5" fillId="86" fontId="54" numFmtId="10" xfId="0" applyAlignment="1" applyBorder="1" applyFont="1" applyNumberFormat="1">
      <alignment horizontal="center" readingOrder="0" vertical="bottom"/>
    </xf>
    <xf borderId="21" fillId="166" fontId="54" numFmtId="10" xfId="0" applyAlignment="1" applyBorder="1" applyFill="1" applyFont="1" applyNumberFormat="1">
      <alignment horizontal="center" readingOrder="0" vertical="bottom"/>
    </xf>
    <xf borderId="0" fillId="147" fontId="54" numFmtId="10" xfId="0" applyAlignment="1" applyFont="1" applyNumberFormat="1">
      <alignment horizontal="center" readingOrder="0" vertical="bottom"/>
    </xf>
    <xf borderId="0" fillId="167" fontId="54" numFmtId="10" xfId="0" applyAlignment="1" applyFill="1" applyFont="1" applyNumberFormat="1">
      <alignment horizontal="center" readingOrder="0" vertical="bottom"/>
    </xf>
    <xf borderId="5" fillId="84" fontId="54" numFmtId="10" xfId="0" applyAlignment="1" applyBorder="1" applyFont="1" applyNumberFormat="1">
      <alignment horizontal="center" readingOrder="0" vertical="bottom"/>
    </xf>
    <xf borderId="21" fillId="166" fontId="54" numFmtId="3" xfId="0" applyAlignment="1" applyBorder="1" applyFont="1" applyNumberFormat="1">
      <alignment horizontal="center" readingOrder="0" vertical="bottom"/>
    </xf>
    <xf borderId="0" fillId="147" fontId="54" numFmtId="3" xfId="0" applyAlignment="1" applyFont="1" applyNumberFormat="1">
      <alignment horizontal="center" readingOrder="0" vertical="bottom"/>
    </xf>
    <xf borderId="0" fillId="167" fontId="54" numFmtId="3" xfId="0" applyAlignment="1" applyFont="1" applyNumberFormat="1">
      <alignment horizontal="center" readingOrder="0" vertical="bottom"/>
    </xf>
    <xf borderId="5" fillId="84" fontId="54" numFmtId="3" xfId="0" applyAlignment="1" applyBorder="1" applyFont="1" applyNumberFormat="1">
      <alignment horizontal="center" readingOrder="0" vertical="bottom"/>
    </xf>
    <xf borderId="0" fillId="168" fontId="54" numFmtId="10" xfId="0" applyAlignment="1" applyFill="1" applyFont="1" applyNumberFormat="1">
      <alignment horizontal="center" readingOrder="0" vertical="bottom"/>
    </xf>
    <xf borderId="32" fillId="111" fontId="54" numFmtId="10" xfId="0" applyAlignment="1" applyBorder="1" applyFont="1" applyNumberFormat="1">
      <alignment horizontal="center" readingOrder="0" vertical="bottom"/>
    </xf>
    <xf borderId="5" fillId="169" fontId="54" numFmtId="10" xfId="0" applyAlignment="1" applyBorder="1" applyFill="1" applyFont="1" applyNumberFormat="1">
      <alignment horizontal="center" readingOrder="0" vertical="bottom"/>
    </xf>
    <xf borderId="21" fillId="170" fontId="54" numFmtId="10" xfId="0" applyAlignment="1" applyBorder="1" applyFill="1" applyFont="1" applyNumberFormat="1">
      <alignment horizontal="center" readingOrder="0" vertical="bottom"/>
    </xf>
    <xf borderId="0" fillId="151" fontId="54" numFmtId="10" xfId="0" applyAlignment="1" applyFont="1" applyNumberFormat="1">
      <alignment horizontal="center" readingOrder="0" vertical="bottom"/>
    </xf>
    <xf borderId="0" fillId="171" fontId="54" numFmtId="10" xfId="0" applyAlignment="1" applyFill="1" applyFont="1" applyNumberFormat="1">
      <alignment horizontal="center" readingOrder="0" vertical="bottom"/>
    </xf>
    <xf borderId="5" fillId="172" fontId="54" numFmtId="10" xfId="0" applyAlignment="1" applyBorder="1" applyFill="1" applyFont="1" applyNumberFormat="1">
      <alignment horizontal="center" readingOrder="0" vertical="bottom"/>
    </xf>
    <xf borderId="21" fillId="170" fontId="54" numFmtId="3" xfId="0" applyAlignment="1" applyBorder="1" applyFont="1" applyNumberFormat="1">
      <alignment horizontal="center" readingOrder="0" vertical="bottom"/>
    </xf>
    <xf borderId="0" fillId="151" fontId="54" numFmtId="3" xfId="0" applyAlignment="1" applyFont="1" applyNumberFormat="1">
      <alignment horizontal="center" readingOrder="0" vertical="bottom"/>
    </xf>
    <xf borderId="0" fillId="171" fontId="54" numFmtId="3" xfId="0" applyAlignment="1" applyFont="1" applyNumberFormat="1">
      <alignment horizontal="center" readingOrder="0" vertical="bottom"/>
    </xf>
    <xf borderId="5" fillId="172" fontId="54" numFmtId="3" xfId="0" applyAlignment="1" applyBorder="1" applyFont="1" applyNumberFormat="1">
      <alignment horizontal="center" readingOrder="0" vertical="bottom"/>
    </xf>
    <xf borderId="0" fillId="173" fontId="54" numFmtId="10" xfId="0" applyAlignment="1" applyFill="1" applyFont="1" applyNumberFormat="1">
      <alignment horizontal="center" readingOrder="0" vertical="bottom"/>
    </xf>
    <xf borderId="32" fillId="85" fontId="54" numFmtId="10" xfId="0" applyAlignment="1" applyBorder="1" applyFont="1" applyNumberFormat="1">
      <alignment horizontal="center" readingOrder="0" vertical="bottom"/>
    </xf>
    <xf borderId="5" fillId="131" fontId="54" numFmtId="10" xfId="0" applyAlignment="1" applyBorder="1" applyFont="1" applyNumberFormat="1">
      <alignment horizontal="center" readingOrder="0" vertical="bottom"/>
    </xf>
    <xf borderId="21" fillId="20" fontId="54" numFmtId="10" xfId="0" applyAlignment="1" applyBorder="1" applyFont="1" applyNumberFormat="1">
      <alignment horizontal="center" readingOrder="0" vertical="bottom"/>
    </xf>
    <xf borderId="0" fillId="174" fontId="54" numFmtId="10" xfId="0" applyAlignment="1" applyFill="1" applyFont="1" applyNumberFormat="1">
      <alignment horizontal="center" readingOrder="0" vertical="bottom"/>
    </xf>
    <xf borderId="0" fillId="142" fontId="54" numFmtId="10" xfId="0" applyAlignment="1" applyFont="1" applyNumberFormat="1">
      <alignment horizontal="center" readingOrder="0" vertical="bottom"/>
    </xf>
    <xf borderId="0" fillId="129" fontId="54" numFmtId="10" xfId="0" applyAlignment="1" applyFont="1" applyNumberFormat="1">
      <alignment horizontal="center" readingOrder="0" vertical="bottom"/>
    </xf>
    <xf borderId="5" fillId="109" fontId="54" numFmtId="10" xfId="0" applyAlignment="1" applyBorder="1" applyFont="1" applyNumberFormat="1">
      <alignment horizontal="center" readingOrder="0" vertical="bottom"/>
    </xf>
    <xf borderId="21" fillId="20" fontId="54" numFmtId="3" xfId="0" applyAlignment="1" applyBorder="1" applyFont="1" applyNumberFormat="1">
      <alignment horizontal="center" readingOrder="0" vertical="bottom"/>
    </xf>
    <xf borderId="0" fillId="174" fontId="54" numFmtId="3" xfId="0" applyAlignment="1" applyFont="1" applyNumberFormat="1">
      <alignment horizontal="center" readingOrder="0" vertical="bottom"/>
    </xf>
    <xf borderId="0" fillId="142" fontId="54" numFmtId="3" xfId="0" applyAlignment="1" applyFont="1" applyNumberFormat="1">
      <alignment horizontal="center" readingOrder="0" vertical="bottom"/>
    </xf>
    <xf borderId="0" fillId="129" fontId="54" numFmtId="3" xfId="0" applyAlignment="1" applyFont="1" applyNumberFormat="1">
      <alignment horizontal="center" readingOrder="0" vertical="bottom"/>
    </xf>
    <xf borderId="5" fillId="109" fontId="54" numFmtId="3" xfId="0" applyAlignment="1" applyBorder="1" applyFont="1" applyNumberFormat="1">
      <alignment horizontal="center" readingOrder="0" vertical="bottom"/>
    </xf>
    <xf borderId="0" fillId="98" fontId="55" numFmtId="10" xfId="0" applyAlignment="1" applyFont="1" applyNumberFormat="1">
      <alignment horizontal="center" readingOrder="0" vertical="bottom"/>
    </xf>
    <xf borderId="0" fillId="173" fontId="55" numFmtId="10" xfId="0" applyAlignment="1" applyFont="1" applyNumberFormat="1">
      <alignment horizontal="center" readingOrder="0" vertical="bottom"/>
    </xf>
    <xf borderId="0" fillId="165" fontId="55" numFmtId="10" xfId="0" applyAlignment="1" applyFont="1" applyNumberFormat="1">
      <alignment horizontal="center" readingOrder="0" vertical="bottom"/>
    </xf>
    <xf borderId="32" fillId="175" fontId="55" numFmtId="10" xfId="0" applyAlignment="1" applyBorder="1" applyFill="1" applyFont="1" applyNumberFormat="1">
      <alignment horizontal="center" readingOrder="0" vertical="bottom"/>
    </xf>
    <xf borderId="32" fillId="85" fontId="55" numFmtId="10" xfId="0" applyAlignment="1" applyBorder="1" applyFont="1" applyNumberFormat="1">
      <alignment horizontal="center" readingOrder="0" vertical="bottom"/>
    </xf>
    <xf borderId="0" fillId="111" fontId="55" numFmtId="10" xfId="0" applyAlignment="1" applyFont="1" applyNumberFormat="1">
      <alignment horizontal="center" readingOrder="0" vertical="bottom"/>
    </xf>
    <xf borderId="0" fillId="146" fontId="55" numFmtId="10" xfId="0" applyAlignment="1" applyFont="1" applyNumberFormat="1">
      <alignment horizontal="center" readingOrder="0" vertical="bottom"/>
    </xf>
    <xf borderId="5" fillId="159" fontId="55" numFmtId="10" xfId="0" applyAlignment="1" applyBorder="1" applyFont="1" applyNumberFormat="1">
      <alignment horizontal="center" readingOrder="0" vertical="bottom"/>
    </xf>
    <xf borderId="21" fillId="176" fontId="54" numFmtId="10" xfId="0" applyAlignment="1" applyBorder="1" applyFill="1" applyFont="1" applyNumberFormat="1">
      <alignment horizontal="center" readingOrder="0" vertical="bottom"/>
    </xf>
    <xf borderId="0" fillId="161" fontId="54" numFmtId="10" xfId="0" applyAlignment="1" applyFont="1" applyNumberFormat="1">
      <alignment horizontal="center" readingOrder="0" vertical="bottom"/>
    </xf>
    <xf borderId="5" fillId="130" fontId="54" numFmtId="10" xfId="0" applyAlignment="1" applyBorder="1" applyFont="1" applyNumberFormat="1">
      <alignment horizontal="center" readingOrder="0" vertical="bottom"/>
    </xf>
    <xf borderId="21" fillId="176" fontId="54" numFmtId="3" xfId="0" applyAlignment="1" applyBorder="1" applyFont="1" applyNumberFormat="1">
      <alignment horizontal="center" readingOrder="0" vertical="bottom"/>
    </xf>
    <xf borderId="0" fillId="161" fontId="54" numFmtId="3" xfId="0" applyAlignment="1" applyFont="1" applyNumberFormat="1">
      <alignment horizontal="center" readingOrder="0" vertical="bottom"/>
    </xf>
    <xf borderId="5" fillId="130" fontId="54" numFmtId="3" xfId="0" applyAlignment="1" applyBorder="1" applyFont="1" applyNumberFormat="1">
      <alignment horizontal="center" readingOrder="0" vertical="bottom"/>
    </xf>
    <xf borderId="0" fillId="177" fontId="54" numFmtId="10" xfId="0" applyAlignment="1" applyFill="1" applyFont="1" applyNumberFormat="1">
      <alignment horizontal="center" readingOrder="0" vertical="bottom"/>
    </xf>
    <xf borderId="32" fillId="119" fontId="54" numFmtId="10" xfId="0" applyAlignment="1" applyBorder="1" applyFont="1" applyNumberFormat="1">
      <alignment horizontal="center" readingOrder="0" vertical="bottom"/>
    </xf>
    <xf borderId="32" fillId="69" fontId="54" numFmtId="10" xfId="0" applyAlignment="1" applyBorder="1" applyFont="1" applyNumberFormat="1">
      <alignment horizontal="center" readingOrder="0" vertical="bottom"/>
    </xf>
    <xf borderId="5" fillId="146" fontId="54" numFmtId="10" xfId="0" applyAlignment="1" applyBorder="1" applyFont="1" applyNumberFormat="1">
      <alignment horizontal="center" readingOrder="0" vertical="bottom"/>
    </xf>
    <xf borderId="21" fillId="16" fontId="54" numFmtId="10" xfId="0" applyAlignment="1" applyBorder="1" applyFont="1" applyNumberFormat="1">
      <alignment horizontal="center" readingOrder="0" vertical="bottom"/>
    </xf>
    <xf borderId="5" fillId="97" fontId="54" numFmtId="10" xfId="0" applyAlignment="1" applyBorder="1" applyFont="1" applyNumberFormat="1">
      <alignment horizontal="center" readingOrder="0" vertical="bottom"/>
    </xf>
    <xf borderId="21" fillId="16" fontId="54" numFmtId="3" xfId="0" applyAlignment="1" applyBorder="1" applyFont="1" applyNumberFormat="1">
      <alignment horizontal="center" readingOrder="0" vertical="bottom"/>
    </xf>
    <xf borderId="5" fillId="97" fontId="54" numFmtId="3" xfId="0" applyAlignment="1" applyBorder="1" applyFont="1" applyNumberFormat="1">
      <alignment horizontal="center" readingOrder="0" vertical="bottom"/>
    </xf>
    <xf borderId="0" fillId="118" fontId="55" numFmtId="10" xfId="0" applyAlignment="1" applyFont="1" applyNumberFormat="1">
      <alignment horizontal="center" readingOrder="0" vertical="bottom"/>
    </xf>
    <xf borderId="32" fillId="165" fontId="55" numFmtId="10" xfId="0" applyAlignment="1" applyBorder="1" applyFont="1" applyNumberFormat="1">
      <alignment horizontal="center" readingOrder="0" vertical="bottom"/>
    </xf>
    <xf borderId="32" fillId="145" fontId="55" numFmtId="10" xfId="0" applyAlignment="1" applyBorder="1" applyFont="1" applyNumberFormat="1">
      <alignment horizontal="center" readingOrder="0" vertical="bottom"/>
    </xf>
    <xf borderId="0" fillId="175" fontId="55" numFmtId="10" xfId="0" applyAlignment="1" applyFont="1" applyNumberFormat="1">
      <alignment horizontal="center" readingOrder="0" vertical="bottom"/>
    </xf>
    <xf borderId="0" fillId="69" fontId="55" numFmtId="10" xfId="0" applyAlignment="1" applyFont="1" applyNumberFormat="1">
      <alignment horizontal="center" readingOrder="0" vertical="bottom"/>
    </xf>
    <xf borderId="0" fillId="85" fontId="55" numFmtId="10" xfId="0" applyAlignment="1" applyFont="1" applyNumberFormat="1">
      <alignment horizontal="center" readingOrder="0" vertical="bottom"/>
    </xf>
    <xf borderId="0" fillId="178" fontId="55" numFmtId="10" xfId="0" applyAlignment="1" applyFill="1" applyFont="1" applyNumberFormat="1">
      <alignment horizontal="center" readingOrder="0" vertical="bottom"/>
    </xf>
    <xf borderId="5" fillId="111" fontId="55" numFmtId="10" xfId="0" applyAlignment="1" applyBorder="1" applyFont="1" applyNumberFormat="1">
      <alignment horizontal="center" readingOrder="0" vertical="bottom"/>
    </xf>
    <xf borderId="10" fillId="2" fontId="19" numFmtId="0" xfId="0" applyAlignment="1" applyBorder="1" applyFont="1">
      <alignment vertical="bottom"/>
    </xf>
    <xf borderId="47" fillId="2" fontId="52" numFmtId="3" xfId="0" applyAlignment="1" applyBorder="1" applyFont="1" applyNumberFormat="1">
      <alignment horizontal="center" vertical="bottom"/>
    </xf>
    <xf borderId="26" fillId="15" fontId="54" numFmtId="10" xfId="0" applyAlignment="1" applyBorder="1" applyFont="1" applyNumberFormat="1">
      <alignment horizontal="center" readingOrder="0" vertical="bottom"/>
    </xf>
    <xf borderId="25" fillId="166" fontId="54" numFmtId="10" xfId="0" applyAlignment="1" applyBorder="1" applyFont="1" applyNumberFormat="1">
      <alignment horizontal="center" readingOrder="0" vertical="bottom"/>
    </xf>
    <xf borderId="25" fillId="151" fontId="54" numFmtId="10" xfId="0" applyAlignment="1" applyBorder="1" applyFont="1" applyNumberFormat="1">
      <alignment horizontal="center" readingOrder="0" vertical="bottom"/>
    </xf>
    <xf borderId="25" fillId="171" fontId="54" numFmtId="10" xfId="0" applyAlignment="1" applyBorder="1" applyFont="1" applyNumberFormat="1">
      <alignment horizontal="center" readingOrder="0" vertical="bottom"/>
    </xf>
    <xf borderId="25" fillId="156" fontId="54" numFmtId="10" xfId="0" applyAlignment="1" applyBorder="1" applyFont="1" applyNumberFormat="1">
      <alignment horizontal="center" readingOrder="0" vertical="bottom"/>
    </xf>
    <xf borderId="25" fillId="157" fontId="54" numFmtId="10" xfId="0" applyAlignment="1" applyBorder="1" applyFont="1" applyNumberFormat="1">
      <alignment horizontal="center" readingOrder="0" vertical="bottom"/>
    </xf>
    <xf borderId="11" fillId="117" fontId="54" numFmtId="10" xfId="0" applyAlignment="1" applyBorder="1" applyFont="1" applyNumberFormat="1">
      <alignment horizontal="center" readingOrder="0" vertical="bottom"/>
    </xf>
    <xf borderId="26" fillId="15" fontId="54" numFmtId="3" xfId="0" applyAlignment="1" applyBorder="1" applyFont="1" applyNumberFormat="1">
      <alignment horizontal="center" readingOrder="0" vertical="bottom"/>
    </xf>
    <xf borderId="25" fillId="166" fontId="54" numFmtId="3" xfId="0" applyAlignment="1" applyBorder="1" applyFont="1" applyNumberFormat="1">
      <alignment horizontal="center" readingOrder="0" vertical="bottom"/>
    </xf>
    <xf borderId="25" fillId="151" fontId="54" numFmtId="3" xfId="0" applyAlignment="1" applyBorder="1" applyFont="1" applyNumberFormat="1">
      <alignment horizontal="center" readingOrder="0" vertical="bottom"/>
    </xf>
    <xf borderId="25" fillId="171" fontId="54" numFmtId="3" xfId="0" applyAlignment="1" applyBorder="1" applyFont="1" applyNumberFormat="1">
      <alignment horizontal="center" readingOrder="0" vertical="bottom"/>
    </xf>
    <xf borderId="25" fillId="156" fontId="54" numFmtId="3" xfId="0" applyAlignment="1" applyBorder="1" applyFont="1" applyNumberFormat="1">
      <alignment horizontal="center" readingOrder="0" vertical="bottom"/>
    </xf>
    <xf borderId="25" fillId="157" fontId="54" numFmtId="3" xfId="0" applyAlignment="1" applyBorder="1" applyFont="1" applyNumberFormat="1">
      <alignment horizontal="center" readingOrder="0" vertical="bottom"/>
    </xf>
    <xf borderId="11" fillId="117" fontId="54" numFmtId="3" xfId="0" applyAlignment="1" applyBorder="1" applyFont="1" applyNumberFormat="1">
      <alignment horizontal="center" readingOrder="0" vertical="bottom"/>
    </xf>
    <xf borderId="25" fillId="2" fontId="19" numFmtId="0" xfId="0" applyAlignment="1" applyBorder="1" applyFont="1">
      <alignment vertical="bottom"/>
    </xf>
    <xf borderId="25" fillId="2" fontId="52" numFmtId="3" xfId="0" applyAlignment="1" applyBorder="1" applyFont="1" applyNumberFormat="1">
      <alignment horizontal="center" vertical="bottom"/>
    </xf>
    <xf borderId="25" fillId="118" fontId="54" numFmtId="10" xfId="0" applyAlignment="1" applyBorder="1" applyFont="1" applyNumberFormat="1">
      <alignment horizontal="center" readingOrder="0" vertical="bottom"/>
    </xf>
    <xf borderId="25" fillId="177" fontId="54" numFmtId="10" xfId="0" applyAlignment="1" applyBorder="1" applyFont="1" applyNumberFormat="1">
      <alignment horizontal="center" readingOrder="0" vertical="bottom"/>
    </xf>
    <xf borderId="25" fillId="173" fontId="54" numFmtId="10" xfId="0" applyAlignment="1" applyBorder="1" applyFont="1" applyNumberFormat="1">
      <alignment horizontal="center" readingOrder="0" vertical="bottom"/>
    </xf>
    <xf borderId="47" fillId="136" fontId="54" numFmtId="10" xfId="0" applyAlignment="1" applyBorder="1" applyFont="1" applyNumberFormat="1">
      <alignment horizontal="center" readingOrder="0" vertical="bottom"/>
    </xf>
    <xf borderId="34" fillId="168" fontId="54" numFmtId="10" xfId="0" applyAlignment="1" applyBorder="1" applyFont="1" applyNumberFormat="1">
      <alignment horizontal="center" readingOrder="0" vertical="bottom"/>
    </xf>
    <xf borderId="25" fillId="145" fontId="54" numFmtId="10" xfId="0" applyAlignment="1" applyBorder="1" applyFont="1" applyNumberFormat="1">
      <alignment horizontal="center" readingOrder="0" vertical="bottom"/>
    </xf>
    <xf borderId="25" fillId="69" fontId="54" numFmtId="10" xfId="0" applyAlignment="1" applyBorder="1" applyFont="1" applyNumberFormat="1">
      <alignment horizontal="center" readingOrder="0" vertical="bottom"/>
    </xf>
    <xf borderId="25" fillId="85" fontId="54" numFmtId="10" xfId="0" applyAlignment="1" applyBorder="1" applyFont="1" applyNumberFormat="1">
      <alignment horizontal="center" readingOrder="0" vertical="bottom"/>
    </xf>
    <xf borderId="11" fillId="85" fontId="54" numFmtId="10" xfId="0" applyAlignment="1" applyBorder="1" applyFont="1" applyNumberFormat="1">
      <alignment horizontal="center" readingOrder="0" vertical="bottom"/>
    </xf>
    <xf borderId="1" fillId="2" fontId="50" numFmtId="0" xfId="0" applyAlignment="1" applyBorder="1" applyFont="1">
      <alignment readingOrder="0"/>
    </xf>
    <xf borderId="2" fillId="2" fontId="54" numFmtId="0" xfId="0" applyBorder="1" applyFont="1"/>
    <xf borderId="3" fillId="2" fontId="54" numFmtId="0" xfId="0" applyBorder="1" applyFont="1"/>
    <xf borderId="1" fillId="2" fontId="50" numFmtId="0" xfId="0" applyAlignment="1" applyBorder="1" applyFont="1">
      <alignment readingOrder="0" shrinkToFit="0" vertical="bottom" wrapText="0"/>
    </xf>
    <xf borderId="2" fillId="2" fontId="54" numFmtId="164" xfId="0" applyAlignment="1" applyBorder="1" applyFont="1" applyNumberFormat="1">
      <alignment vertical="bottom"/>
    </xf>
    <xf borderId="2" fillId="2" fontId="54" numFmtId="0" xfId="0" applyAlignment="1" applyBorder="1" applyFont="1">
      <alignment vertical="bottom"/>
    </xf>
    <xf borderId="3" fillId="2" fontId="54" numFmtId="0" xfId="0" applyAlignment="1" applyBorder="1" applyFont="1">
      <alignment vertical="bottom"/>
    </xf>
    <xf borderId="4" fillId="2" fontId="51" numFmtId="0" xfId="0" applyAlignment="1" applyBorder="1" applyFont="1">
      <alignment horizontal="center" readingOrder="0"/>
    </xf>
    <xf borderId="4" fillId="2" fontId="52" numFmtId="164" xfId="0" applyAlignment="1" applyBorder="1" applyFont="1" applyNumberFormat="1">
      <alignment shrinkToFit="0" vertical="bottom" wrapText="0"/>
    </xf>
    <xf borderId="0" fillId="2" fontId="54" numFmtId="164" xfId="0" applyAlignment="1" applyFont="1" applyNumberFormat="1">
      <alignment vertical="bottom"/>
    </xf>
    <xf borderId="0" fillId="2" fontId="51" numFmtId="164" xfId="0" applyAlignment="1" applyFont="1" applyNumberFormat="1">
      <alignment shrinkToFit="0" vertical="bottom" wrapText="0"/>
    </xf>
    <xf borderId="0" fillId="2" fontId="51" numFmtId="164" xfId="0" applyAlignment="1" applyFont="1" applyNumberFormat="1">
      <alignment vertical="bottom"/>
    </xf>
    <xf borderId="0" fillId="2" fontId="51" numFmtId="0" xfId="0" applyAlignment="1" applyFont="1">
      <alignment vertical="bottom"/>
    </xf>
    <xf borderId="5" fillId="2" fontId="54" numFmtId="0" xfId="0" applyAlignment="1" applyBorder="1" applyFont="1">
      <alignment vertical="bottom"/>
    </xf>
    <xf borderId="4" fillId="2" fontId="52" numFmtId="0" xfId="0" applyAlignment="1" applyBorder="1" applyFont="1">
      <alignment readingOrder="0"/>
    </xf>
    <xf borderId="0" fillId="2" fontId="51" numFmtId="0" xfId="0" applyAlignment="1" applyFont="1">
      <alignment horizontal="center" readingOrder="0"/>
    </xf>
    <xf borderId="4" fillId="2" fontId="52" numFmtId="0" xfId="0" applyBorder="1" applyFont="1"/>
    <xf borderId="0" fillId="2" fontId="53" numFmtId="164" xfId="0" applyFont="1" applyNumberFormat="1"/>
    <xf borderId="20" fillId="2" fontId="52" numFmtId="3" xfId="0" applyAlignment="1" applyBorder="1" applyFont="1" applyNumberFormat="1">
      <alignment horizontal="center" readingOrder="0"/>
    </xf>
    <xf borderId="0" fillId="2" fontId="52" numFmtId="3" xfId="0" applyAlignment="1" applyFont="1" applyNumberFormat="1">
      <alignment horizontal="center"/>
    </xf>
    <xf borderId="5" fillId="2" fontId="52" numFmtId="3" xfId="0" applyAlignment="1" applyBorder="1" applyFont="1" applyNumberFormat="1">
      <alignment horizontal="center"/>
    </xf>
    <xf borderId="4" fillId="2" fontId="54" numFmtId="164" xfId="0" applyAlignment="1" applyBorder="1" applyFont="1" applyNumberFormat="1">
      <alignment vertical="bottom"/>
    </xf>
    <xf borderId="20" fillId="2" fontId="52" numFmtId="9" xfId="0" applyAlignment="1" applyBorder="1" applyFont="1" applyNumberFormat="1">
      <alignment horizontal="center" vertical="bottom"/>
    </xf>
    <xf borderId="5" fillId="2" fontId="51" numFmtId="0" xfId="0" applyAlignment="1" applyBorder="1" applyFont="1">
      <alignment horizontal="center" readingOrder="0"/>
    </xf>
    <xf borderId="4" fillId="2" fontId="51" numFmtId="0" xfId="0" applyAlignment="1" applyBorder="1" applyFont="1">
      <alignment horizontal="left" readingOrder="0" textRotation="90" vertical="center"/>
    </xf>
    <xf borderId="0" fillId="2" fontId="52" numFmtId="3" xfId="0" applyAlignment="1" applyFont="1" applyNumberFormat="1">
      <alignment horizontal="center" readingOrder="0"/>
    </xf>
    <xf borderId="21" fillId="0" fontId="54" numFmtId="164" xfId="0" applyAlignment="1" applyBorder="1" applyFont="1" applyNumberFormat="1">
      <alignment horizontal="center" readingOrder="0"/>
    </xf>
    <xf borderId="0" fillId="0" fontId="54" numFmtId="10" xfId="0" applyAlignment="1" applyFont="1" applyNumberFormat="1">
      <alignment horizontal="center" readingOrder="0"/>
    </xf>
    <xf borderId="5" fillId="0" fontId="54" numFmtId="10" xfId="0" applyAlignment="1" applyBorder="1" applyFont="1" applyNumberFormat="1">
      <alignment horizontal="center" readingOrder="0"/>
    </xf>
    <xf borderId="21" fillId="4" fontId="54" numFmtId="164" xfId="0" applyAlignment="1" applyBorder="1" applyFont="1" applyNumberFormat="1">
      <alignment horizontal="center" readingOrder="0" vertical="bottom"/>
    </xf>
    <xf borderId="5" fillId="4" fontId="54" numFmtId="164" xfId="0" applyAlignment="1" applyBorder="1" applyFont="1" applyNumberFormat="1">
      <alignment horizontal="center" readingOrder="0" vertical="bottom"/>
    </xf>
    <xf borderId="21" fillId="4" fontId="55" numFmtId="164" xfId="0" applyAlignment="1" applyBorder="1" applyFont="1" applyNumberFormat="1">
      <alignment horizontal="center" readingOrder="0" vertical="bottom"/>
    </xf>
    <xf borderId="5" fillId="4" fontId="55" numFmtId="164" xfId="0" applyAlignment="1" applyBorder="1" applyFont="1" applyNumberFormat="1">
      <alignment horizontal="center" readingOrder="0" vertical="bottom"/>
    </xf>
    <xf borderId="5" fillId="2" fontId="52" numFmtId="3" xfId="0" applyAlignment="1" applyBorder="1" applyFont="1" applyNumberFormat="1">
      <alignment horizontal="center" readingOrder="0"/>
    </xf>
    <xf borderId="4" fillId="2" fontId="62" numFmtId="0" xfId="0" applyAlignment="1" applyBorder="1" applyFont="1">
      <alignment horizontal="left" readingOrder="0" textRotation="90" vertical="center"/>
    </xf>
    <xf borderId="0" fillId="2" fontId="52" numFmtId="9" xfId="0" applyAlignment="1" applyFont="1" applyNumberFormat="1">
      <alignment horizontal="center" readingOrder="0"/>
    </xf>
    <xf borderId="0" fillId="0" fontId="54" numFmtId="164" xfId="0" applyAlignment="1" applyFont="1" applyNumberFormat="1">
      <alignment horizontal="center" readingOrder="0"/>
    </xf>
    <xf borderId="5" fillId="0" fontId="54" numFmtId="164" xfId="0" applyAlignment="1" applyBorder="1" applyFont="1" applyNumberFormat="1">
      <alignment horizontal="center" readingOrder="0"/>
    </xf>
    <xf borderId="0" fillId="0" fontId="55" numFmtId="164" xfId="0" applyAlignment="1" applyFont="1" applyNumberFormat="1">
      <alignment horizontal="center" readingOrder="0"/>
    </xf>
    <xf borderId="5" fillId="0" fontId="55" numFmtId="164" xfId="0" applyAlignment="1" applyBorder="1" applyFont="1" applyNumberFormat="1">
      <alignment horizontal="center" readingOrder="0"/>
    </xf>
    <xf borderId="22" fillId="2" fontId="52" numFmtId="3" xfId="0" applyAlignment="1" applyBorder="1" applyFont="1" applyNumberFormat="1">
      <alignment horizontal="center" readingOrder="0"/>
    </xf>
    <xf borderId="23" fillId="0" fontId="55" numFmtId="164" xfId="0" applyAlignment="1" applyBorder="1" applyFont="1" applyNumberFormat="1">
      <alignment horizontal="center" readingOrder="0"/>
    </xf>
    <xf borderId="48" fillId="0" fontId="55" numFmtId="164" xfId="0" applyAlignment="1" applyBorder="1" applyFont="1" applyNumberFormat="1">
      <alignment horizontal="center" readingOrder="0"/>
    </xf>
    <xf borderId="22" fillId="2" fontId="52" numFmtId="9" xfId="0" applyAlignment="1" applyBorder="1" applyFont="1" applyNumberFormat="1">
      <alignment horizontal="center" readingOrder="0"/>
    </xf>
    <xf borderId="23" fillId="0" fontId="54" numFmtId="164" xfId="0" applyAlignment="1" applyBorder="1" applyFont="1" applyNumberFormat="1">
      <alignment horizontal="center" readingOrder="0"/>
    </xf>
    <xf borderId="24" fillId="0" fontId="54" numFmtId="164" xfId="0" applyAlignment="1" applyBorder="1" applyFont="1" applyNumberFormat="1">
      <alignment horizontal="center" readingOrder="0"/>
    </xf>
    <xf borderId="5" fillId="4" fontId="55" numFmtId="164" xfId="0" applyAlignment="1" applyBorder="1" applyFont="1" applyNumberFormat="1">
      <alignment horizontal="center" readingOrder="0"/>
    </xf>
    <xf borderId="25" fillId="2" fontId="52" numFmtId="9" xfId="0" applyAlignment="1" applyBorder="1" applyFont="1" applyNumberFormat="1">
      <alignment horizontal="center" readingOrder="0"/>
    </xf>
    <xf borderId="25" fillId="4" fontId="54" numFmtId="164" xfId="0" applyAlignment="1" applyBorder="1" applyFont="1" applyNumberFormat="1">
      <alignment horizontal="center" readingOrder="0"/>
    </xf>
    <xf borderId="11" fillId="4" fontId="54" numFmtId="164" xfId="0" applyAlignment="1" applyBorder="1" applyFont="1" applyNumberFormat="1">
      <alignment horizontal="center" readingOrder="0"/>
    </xf>
    <xf borderId="5" fillId="4" fontId="54" numFmtId="164" xfId="0" applyAlignment="1" applyBorder="1" applyFont="1" applyNumberFormat="1">
      <alignment horizontal="center" readingOrder="0"/>
    </xf>
    <xf borderId="4" fillId="2" fontId="54" numFmtId="0" xfId="0" applyBorder="1" applyFont="1"/>
    <xf borderId="10" fillId="2" fontId="54" numFmtId="0" xfId="0" applyBorder="1" applyFont="1"/>
    <xf borderId="25" fillId="2" fontId="52" numFmtId="3" xfId="0" applyAlignment="1" applyBorder="1" applyFont="1" applyNumberFormat="1">
      <alignment horizontal="center"/>
    </xf>
    <xf borderId="26" fillId="0" fontId="54" numFmtId="164" xfId="0" applyAlignment="1" applyBorder="1" applyFont="1" applyNumberFormat="1">
      <alignment horizontal="center" readingOrder="0"/>
    </xf>
    <xf borderId="25" fillId="0" fontId="54" numFmtId="10" xfId="0" applyAlignment="1" applyBorder="1" applyFont="1" applyNumberFormat="1">
      <alignment horizontal="center" readingOrder="0"/>
    </xf>
    <xf borderId="11" fillId="0" fontId="54" numFmtId="10" xfId="0" applyAlignment="1" applyBorder="1" applyFont="1" applyNumberFormat="1">
      <alignment horizontal="center" readingOrder="0"/>
    </xf>
    <xf borderId="25" fillId="4" fontId="54" numFmtId="164" xfId="0" applyAlignment="1" applyBorder="1" applyFont="1" applyNumberFormat="1">
      <alignment horizontal="center" readingOrder="0" vertical="bottom"/>
    </xf>
    <xf borderId="26" fillId="4" fontId="54" numFmtId="164" xfId="0" applyAlignment="1" applyBorder="1" applyFont="1" applyNumberFormat="1">
      <alignment horizontal="center" readingOrder="0" vertical="bottom"/>
    </xf>
    <xf borderId="11" fillId="4" fontId="54" numFmtId="164" xfId="0" applyAlignment="1" applyBorder="1" applyFont="1" applyNumberFormat="1">
      <alignment horizontal="center" readingOrder="0" vertical="bottom"/>
    </xf>
    <xf borderId="4" fillId="2" fontId="54" numFmtId="10" xfId="0" applyAlignment="1" applyBorder="1" applyFont="1" applyNumberFormat="1">
      <alignment horizontal="center" readingOrder="0"/>
    </xf>
    <xf borderId="25" fillId="4" fontId="55" numFmtId="164" xfId="0" applyAlignment="1" applyBorder="1" applyFont="1" applyNumberFormat="1">
      <alignment horizontal="center" readingOrder="0"/>
    </xf>
    <xf borderId="11" fillId="4" fontId="55" numFmtId="164" xfId="0" applyAlignment="1" applyBorder="1" applyFont="1" applyNumberFormat="1">
      <alignment horizontal="center" readingOrder="0"/>
    </xf>
    <xf borderId="0" fillId="2" fontId="52" numFmtId="0" xfId="0" applyFont="1"/>
    <xf borderId="0" fillId="2" fontId="51" numFmtId="0" xfId="0" applyAlignment="1" applyFont="1">
      <alignment readingOrder="0"/>
    </xf>
    <xf borderId="5" fillId="2" fontId="51" numFmtId="0" xfId="0" applyAlignment="1" applyBorder="1" applyFont="1">
      <alignment readingOrder="0"/>
    </xf>
    <xf borderId="0" fillId="2" fontId="53" numFmtId="164" xfId="0" applyAlignment="1" applyFont="1" applyNumberFormat="1">
      <alignment horizontal="right" vertical="bottom"/>
    </xf>
    <xf borderId="4" fillId="2" fontId="63" numFmtId="0" xfId="0" applyAlignment="1" applyBorder="1" applyFont="1">
      <alignment horizontal="center" readingOrder="0"/>
    </xf>
    <xf borderId="26" fillId="4" fontId="55" numFmtId="164" xfId="0" applyAlignment="1" applyBorder="1" applyFont="1" applyNumberFormat="1">
      <alignment horizontal="center" readingOrder="0" vertical="bottom"/>
    </xf>
    <xf borderId="25" fillId="4" fontId="55" numFmtId="164" xfId="0" applyAlignment="1" applyBorder="1" applyFont="1" applyNumberFormat="1">
      <alignment horizontal="center" readingOrder="0" vertical="bottom"/>
    </xf>
    <xf borderId="11" fillId="4" fontId="55" numFmtId="164" xfId="0" applyAlignment="1" applyBorder="1" applyFont="1" applyNumberFormat="1">
      <alignment horizontal="center" readingOrder="0" vertical="bottom"/>
    </xf>
    <xf borderId="0" fillId="0" fontId="54" numFmtId="9" xfId="0" applyAlignment="1" applyFont="1" applyNumberFormat="1">
      <alignment horizontal="center" readingOrder="0"/>
    </xf>
    <xf borderId="5" fillId="0" fontId="54" numFmtId="9" xfId="0" applyAlignment="1" applyBorder="1" applyFont="1" applyNumberFormat="1">
      <alignment horizontal="center" readingOrder="0"/>
    </xf>
    <xf borderId="0" fillId="0" fontId="55" numFmtId="9" xfId="0" applyAlignment="1" applyFont="1" applyNumberFormat="1">
      <alignment horizontal="center" readingOrder="0"/>
    </xf>
    <xf borderId="5" fillId="0" fontId="55" numFmtId="9" xfId="0" applyAlignment="1" applyBorder="1" applyFont="1" applyNumberFormat="1">
      <alignment horizontal="center" readingOrder="0"/>
    </xf>
    <xf borderId="24" fillId="0" fontId="55" numFmtId="164" xfId="0" applyAlignment="1" applyBorder="1" applyFont="1" applyNumberFormat="1">
      <alignment horizontal="center" readingOrder="0"/>
    </xf>
    <xf borderId="23" fillId="0" fontId="54" numFmtId="9" xfId="0" applyAlignment="1" applyBorder="1" applyFont="1" applyNumberFormat="1">
      <alignment horizontal="center" readingOrder="0"/>
    </xf>
    <xf borderId="24" fillId="0" fontId="54" numFmtId="9" xfId="0" applyAlignment="1" applyBorder="1" applyFont="1" applyNumberFormat="1">
      <alignment horizontal="center" readingOrder="0"/>
    </xf>
    <xf borderId="5" fillId="4" fontId="55" numFmtId="9" xfId="0" applyAlignment="1" applyBorder="1" applyFont="1" applyNumberFormat="1">
      <alignment horizontal="center" readingOrder="0"/>
    </xf>
    <xf borderId="25" fillId="4" fontId="54" numFmtId="9" xfId="0" applyAlignment="1" applyBorder="1" applyFont="1" applyNumberFormat="1">
      <alignment horizontal="center" readingOrder="0"/>
    </xf>
    <xf borderId="11" fillId="4" fontId="54" numFmtId="9" xfId="0" applyAlignment="1" applyBorder="1" applyFont="1" applyNumberFormat="1">
      <alignment horizontal="center" readingOrder="0"/>
    </xf>
    <xf borderId="25" fillId="98" fontId="55" numFmtId="164" xfId="0" applyAlignment="1" applyBorder="1" applyFont="1" applyNumberFormat="1">
      <alignment horizontal="center" readingOrder="0" vertical="bottom"/>
    </xf>
    <xf borderId="25" fillId="165" fontId="55" numFmtId="164" xfId="0" applyAlignment="1" applyBorder="1" applyFont="1" applyNumberFormat="1">
      <alignment horizontal="center" readingOrder="0" vertical="bottom"/>
    </xf>
    <xf borderId="25" fillId="145" fontId="55" numFmtId="164" xfId="0" applyAlignment="1" applyBorder="1" applyFont="1" applyNumberFormat="1">
      <alignment horizontal="center" readingOrder="0" vertical="bottom"/>
    </xf>
    <xf borderId="25" fillId="69" fontId="55" numFmtId="164" xfId="0" applyAlignment="1" applyBorder="1" applyFont="1" applyNumberFormat="1">
      <alignment horizontal="center" readingOrder="0" vertical="bottom"/>
    </xf>
    <xf borderId="25" fillId="99" fontId="55" numFmtId="164" xfId="0" applyAlignment="1" applyBorder="1" applyFont="1" applyNumberFormat="1">
      <alignment horizontal="center" readingOrder="0" vertical="bottom"/>
    </xf>
    <xf borderId="25" fillId="111" fontId="55" numFmtId="164" xfId="0" applyAlignment="1" applyBorder="1" applyFont="1" applyNumberFormat="1">
      <alignment horizontal="center" readingOrder="0" vertical="bottom"/>
    </xf>
    <xf borderId="11" fillId="111" fontId="55" numFmtId="164" xfId="0" applyAlignment="1" applyBorder="1" applyFont="1" applyNumberFormat="1">
      <alignment horizontal="center" readingOrder="0" vertical="bottom"/>
    </xf>
    <xf borderId="12" fillId="34" fontId="64" numFmtId="0" xfId="0" applyAlignment="1" applyBorder="1" applyFont="1">
      <alignment horizontal="center" readingOrder="0" vertical="center"/>
    </xf>
    <xf borderId="4" fillId="31" fontId="49" numFmtId="4" xfId="0" applyAlignment="1" applyBorder="1" applyFont="1" applyNumberFormat="1">
      <alignment horizontal="center" readingOrder="0" vertical="center"/>
    </xf>
    <xf borderId="11" fillId="36" fontId="54" numFmtId="2" xfId="0" applyAlignment="1" applyBorder="1" applyFont="1" applyNumberFormat="1">
      <alignment horizontal="right"/>
    </xf>
    <xf borderId="5" fillId="6" fontId="54" numFmtId="0" xfId="0" applyBorder="1" applyFont="1"/>
    <xf borderId="4" fillId="3" fontId="70" numFmtId="0" xfId="0" applyAlignment="1" applyBorder="1" applyFont="1">
      <alignment readingOrder="0"/>
    </xf>
    <xf borderId="5" fillId="3" fontId="70" numFmtId="0" xfId="0" applyAlignment="1" applyBorder="1" applyFont="1">
      <alignment horizontal="right" readingOrder="0"/>
    </xf>
    <xf borderId="8" fillId="3" fontId="54" numFmtId="0" xfId="0" applyAlignment="1" applyBorder="1" applyFont="1">
      <alignment readingOrder="0"/>
    </xf>
    <xf borderId="9" fillId="3" fontId="54" numFmtId="1" xfId="0" applyAlignment="1" applyBorder="1" applyFont="1" applyNumberFormat="1">
      <alignment horizontal="right"/>
    </xf>
    <xf borderId="5" fillId="3" fontId="54" numFmtId="165" xfId="0" applyAlignment="1" applyBorder="1" applyFont="1" applyNumberFormat="1">
      <alignment horizontal="right" readingOrder="0"/>
    </xf>
    <xf borderId="0" fillId="0" fontId="71" numFmtId="0" xfId="0" applyAlignment="1" applyFont="1">
      <alignment readingOrder="0"/>
    </xf>
    <xf borderId="0" fillId="179" fontId="72" numFmtId="0" xfId="0" applyAlignment="1" applyFill="1" applyFont="1">
      <alignment horizontal="center" readingOrder="0" vertical="center"/>
    </xf>
    <xf borderId="0" fillId="2" fontId="50" numFmtId="0" xfId="0" applyAlignment="1" applyFont="1">
      <alignment readingOrder="0" shrinkToFit="0" vertical="bottom" wrapText="0"/>
    </xf>
    <xf borderId="0" fillId="2" fontId="50" numFmtId="0" xfId="0" applyAlignment="1" applyFont="1">
      <alignment shrinkToFit="0" vertical="bottom" wrapText="0"/>
    </xf>
    <xf borderId="0" fillId="2" fontId="51" numFmtId="0" xfId="0" applyAlignment="1" applyFont="1">
      <alignment horizontal="center" vertical="bottom"/>
    </xf>
    <xf borderId="0" fillId="2" fontId="52" numFmtId="164" xfId="0" applyAlignment="1" applyFont="1" applyNumberFormat="1">
      <alignment shrinkToFit="0" vertical="bottom" wrapText="0"/>
    </xf>
    <xf borderId="0" fillId="37" fontId="54" numFmtId="10" xfId="0" applyAlignment="1" applyFont="1" applyNumberFormat="1">
      <alignment horizontal="center" readingOrder="0" vertical="bottom"/>
    </xf>
    <xf borderId="0" fillId="43" fontId="54" numFmtId="10" xfId="0" applyAlignment="1" applyFont="1" applyNumberFormat="1">
      <alignment horizontal="center" readingOrder="0" vertical="bottom"/>
    </xf>
    <xf borderId="0" fillId="37" fontId="54" numFmtId="3" xfId="0" applyAlignment="1" applyFont="1" applyNumberFormat="1">
      <alignment horizontal="center" readingOrder="0" vertical="bottom"/>
    </xf>
    <xf borderId="0" fillId="43" fontId="54" numFmtId="3" xfId="0" applyAlignment="1" applyFont="1" applyNumberFormat="1">
      <alignment horizontal="center" readingOrder="0" vertical="bottom"/>
    </xf>
    <xf borderId="0" fillId="47" fontId="54" numFmtId="10" xfId="0" applyAlignment="1" applyFont="1" applyNumberFormat="1">
      <alignment horizontal="center" readingOrder="0" vertical="bottom"/>
    </xf>
    <xf borderId="21" fillId="48" fontId="54" numFmtId="10" xfId="0" applyAlignment="1" applyBorder="1" applyFont="1" applyNumberFormat="1">
      <alignment horizontal="center" readingOrder="0" vertical="bottom"/>
    </xf>
    <xf borderId="21" fillId="52" fontId="54" numFmtId="10" xfId="0" applyAlignment="1" applyBorder="1" applyFont="1" applyNumberFormat="1">
      <alignment horizontal="center" readingOrder="0" vertical="bottom"/>
    </xf>
    <xf borderId="0" fillId="59" fontId="54" numFmtId="10" xfId="0" applyAlignment="1" applyFont="1" applyNumberFormat="1">
      <alignment horizontal="center" readingOrder="0" vertical="bottom"/>
    </xf>
    <xf borderId="0" fillId="53" fontId="54" numFmtId="3" xfId="0" applyAlignment="1" applyFont="1" applyNumberFormat="1">
      <alignment horizontal="center" readingOrder="0" vertical="bottom"/>
    </xf>
    <xf borderId="0" fillId="59" fontId="54" numFmtId="3" xfId="0" applyAlignment="1" applyFont="1" applyNumberFormat="1">
      <alignment horizontal="center" readingOrder="0" vertical="bottom"/>
    </xf>
    <xf borderId="0" fillId="63" fontId="55" numFmtId="10" xfId="0" applyAlignment="1" applyFont="1" applyNumberFormat="1">
      <alignment horizontal="center" readingOrder="0" vertical="bottom"/>
    </xf>
    <xf borderId="21" fillId="64" fontId="55" numFmtId="10" xfId="0" applyAlignment="1" applyBorder="1" applyFont="1" applyNumberFormat="1">
      <alignment horizontal="center" readingOrder="0" vertical="bottom"/>
    </xf>
    <xf borderId="21" fillId="67" fontId="55" numFmtId="10" xfId="0" applyAlignment="1" applyBorder="1" applyFont="1" applyNumberFormat="1">
      <alignment horizontal="center" readingOrder="0" vertical="bottom"/>
    </xf>
    <xf borderId="0" fillId="68" fontId="55" numFmtId="10" xfId="0" applyAlignment="1" applyFont="1" applyNumberFormat="1">
      <alignment horizontal="center" readingOrder="0" vertical="bottom"/>
    </xf>
    <xf borderId="0" fillId="60" fontId="54" numFmtId="10" xfId="0" applyAlignment="1" applyFont="1" applyNumberFormat="1">
      <alignment horizontal="center" readingOrder="0" vertical="bottom"/>
    </xf>
    <xf borderId="0" fillId="60" fontId="54" numFmtId="3" xfId="0" applyAlignment="1" applyFont="1" applyNumberFormat="1">
      <alignment horizontal="center" readingOrder="0" vertical="bottom"/>
    </xf>
    <xf borderId="0" fillId="78" fontId="54" numFmtId="10" xfId="0" applyAlignment="1" applyFont="1" applyNumberFormat="1">
      <alignment horizontal="center" readingOrder="0" vertical="bottom"/>
    </xf>
    <xf borderId="21" fillId="60" fontId="54" numFmtId="10" xfId="0" applyAlignment="1" applyBorder="1" applyFont="1" applyNumberFormat="1">
      <alignment horizontal="center" readingOrder="0" vertical="bottom"/>
    </xf>
    <xf borderId="21" fillId="82" fontId="54" numFmtId="10" xfId="0" applyAlignment="1" applyBorder="1" applyFont="1" applyNumberFormat="1">
      <alignment horizontal="center" readingOrder="0" vertical="bottom"/>
    </xf>
    <xf borderId="0" fillId="83" fontId="54" numFmtId="10" xfId="0" applyAlignment="1" applyFont="1" applyNumberFormat="1">
      <alignment horizontal="center" readingOrder="0" vertical="bottom"/>
    </xf>
    <xf borderId="0" fillId="84" fontId="54" numFmtId="10" xfId="0" applyAlignment="1" applyFont="1" applyNumberFormat="1">
      <alignment horizontal="center" readingOrder="0" vertical="bottom"/>
    </xf>
    <xf borderId="0" fillId="84" fontId="54" numFmtId="3" xfId="0" applyAlignment="1" applyFont="1" applyNumberFormat="1">
      <alignment horizontal="center" readingOrder="0" vertical="bottom"/>
    </xf>
    <xf borderId="0" fillId="90" fontId="54" numFmtId="3" xfId="0" applyAlignment="1" applyFont="1" applyNumberFormat="1">
      <alignment horizontal="center" readingOrder="0" vertical="bottom"/>
    </xf>
    <xf borderId="21" fillId="76" fontId="54" numFmtId="10" xfId="0" applyAlignment="1" applyBorder="1" applyFont="1" applyNumberFormat="1">
      <alignment horizontal="center" readingOrder="0" vertical="bottom"/>
    </xf>
    <xf borderId="21" fillId="95" fontId="54" numFmtId="10" xfId="0" applyAlignment="1" applyBorder="1" applyFont="1" applyNumberFormat="1">
      <alignment horizontal="center" readingOrder="0" vertical="bottom"/>
    </xf>
    <xf borderId="0" fillId="96" fontId="54" numFmtId="10" xfId="0" applyAlignment="1" applyFont="1" applyNumberFormat="1">
      <alignment horizontal="center" readingOrder="0" vertical="bottom"/>
    </xf>
    <xf borderId="0" fillId="102" fontId="54" numFmtId="10" xfId="0" applyAlignment="1" applyFont="1" applyNumberFormat="1">
      <alignment horizontal="center" readingOrder="0" vertical="bottom"/>
    </xf>
    <xf borderId="0" fillId="102" fontId="54" numFmtId="3" xfId="0" applyAlignment="1" applyFont="1" applyNumberFormat="1">
      <alignment horizontal="center" readingOrder="0" vertical="bottom"/>
    </xf>
    <xf borderId="0" fillId="104" fontId="54" numFmtId="10" xfId="0" applyAlignment="1" applyFont="1" applyNumberFormat="1">
      <alignment horizontal="center" readingOrder="0" vertical="bottom"/>
    </xf>
    <xf borderId="21" fillId="105" fontId="54" numFmtId="10" xfId="0" applyAlignment="1" applyBorder="1" applyFont="1" applyNumberFormat="1">
      <alignment horizontal="center" readingOrder="0" vertical="bottom"/>
    </xf>
    <xf borderId="21" fillId="90" fontId="54" numFmtId="10" xfId="0" applyAlignment="1" applyBorder="1" applyFont="1" applyNumberFormat="1">
      <alignment horizontal="center" readingOrder="0" vertical="bottom"/>
    </xf>
    <xf borderId="0" fillId="107" fontId="54" numFmtId="10" xfId="0" applyAlignment="1" applyFont="1" applyNumberFormat="1">
      <alignment horizontal="center" readingOrder="0" vertical="bottom"/>
    </xf>
    <xf borderId="0" fillId="112" fontId="54" numFmtId="10" xfId="0" applyAlignment="1" applyFont="1" applyNumberFormat="1">
      <alignment horizontal="center" readingOrder="0" vertical="bottom"/>
    </xf>
    <xf borderId="0" fillId="112" fontId="54" numFmtId="3" xfId="0" applyAlignment="1" applyFont="1" applyNumberFormat="1">
      <alignment horizontal="center" readingOrder="0" vertical="bottom"/>
    </xf>
    <xf borderId="21" fillId="72" fontId="54" numFmtId="10" xfId="0" applyAlignment="1" applyBorder="1" applyFont="1" applyNumberFormat="1">
      <alignment horizontal="center" readingOrder="0" vertical="bottom"/>
    </xf>
    <xf borderId="21" fillId="115" fontId="54" numFmtId="10" xfId="0" applyAlignment="1" applyBorder="1" applyFont="1" applyNumberFormat="1">
      <alignment horizontal="center" readingOrder="0" vertical="bottom"/>
    </xf>
    <xf borderId="0" fillId="116" fontId="54" numFmtId="10" xfId="0" applyAlignment="1" applyFont="1" applyNumberFormat="1">
      <alignment horizontal="center" readingOrder="0" vertical="bottom"/>
    </xf>
    <xf borderId="21" fillId="101" fontId="54" numFmtId="10" xfId="0" applyAlignment="1" applyBorder="1" applyFont="1" applyNumberFormat="1">
      <alignment horizontal="center" readingOrder="0" vertical="bottom"/>
    </xf>
    <xf borderId="21" fillId="128" fontId="54" numFmtId="10" xfId="0" applyAlignment="1" applyBorder="1" applyFont="1" applyNumberFormat="1">
      <alignment horizontal="center" readingOrder="0" vertical="bottom"/>
    </xf>
    <xf borderId="0" fillId="132" fontId="54" numFmtId="3" xfId="0" applyAlignment="1" applyFont="1" applyNumberFormat="1">
      <alignment horizontal="center" readingOrder="0" vertical="bottom"/>
    </xf>
    <xf borderId="21" fillId="71" fontId="54" numFmtId="10" xfId="0" applyAlignment="1" applyBorder="1" applyFont="1" applyNumberFormat="1">
      <alignment horizontal="center" readingOrder="0" vertical="bottom"/>
    </xf>
    <xf borderId="0" fillId="137" fontId="54" numFmtId="3" xfId="0" applyAlignment="1" applyFont="1" applyNumberFormat="1">
      <alignment horizontal="center" readingOrder="0" vertical="bottom"/>
    </xf>
    <xf borderId="0" fillId="53" fontId="55" numFmtId="10" xfId="0" applyAlignment="1" applyFont="1" applyNumberFormat="1">
      <alignment horizontal="center" readingOrder="0" vertical="bottom"/>
    </xf>
    <xf borderId="21" fillId="100" fontId="55" numFmtId="10" xfId="0" applyAlignment="1" applyBorder="1" applyFont="1" applyNumberFormat="1">
      <alignment horizontal="center" readingOrder="0" vertical="bottom"/>
    </xf>
    <xf borderId="21" fillId="141" fontId="55" numFmtId="10" xfId="0" applyAlignment="1" applyBorder="1" applyFont="1" applyNumberFormat="1">
      <alignment horizontal="center" readingOrder="0" vertical="bottom"/>
    </xf>
    <xf borderId="0" fillId="125" fontId="55" numFmtId="10" xfId="0" applyAlignment="1" applyFont="1" applyNumberFormat="1">
      <alignment horizontal="center" readingOrder="0" vertical="bottom"/>
    </xf>
    <xf borderId="21" fillId="133" fontId="54" numFmtId="10" xfId="0" applyAlignment="1" applyBorder="1" applyFont="1" applyNumberFormat="1">
      <alignment horizontal="center" readingOrder="0" vertical="bottom"/>
    </xf>
    <xf borderId="21" fillId="121" fontId="54" numFmtId="10" xfId="0" applyAlignment="1" applyBorder="1" applyFont="1" applyNumberFormat="1">
      <alignment horizontal="center" readingOrder="0" vertical="bottom"/>
    </xf>
    <xf borderId="21" fillId="86" fontId="54" numFmtId="10" xfId="0" applyAlignment="1" applyBorder="1" applyFont="1" applyNumberFormat="1">
      <alignment horizontal="center" readingOrder="0" vertical="bottom"/>
    </xf>
    <xf borderId="21" fillId="132" fontId="54" numFmtId="10" xfId="0" applyAlignment="1" applyBorder="1" applyFont="1" applyNumberFormat="1">
      <alignment horizontal="center" readingOrder="0" vertical="bottom"/>
    </xf>
    <xf borderId="0" fillId="154" fontId="54" numFmtId="10" xfId="0" applyAlignment="1" applyFont="1" applyNumberFormat="1">
      <alignment horizontal="center" readingOrder="0" vertical="bottom"/>
    </xf>
    <xf borderId="0" fillId="154" fontId="54" numFmtId="3" xfId="0" applyAlignment="1" applyFont="1" applyNumberFormat="1">
      <alignment horizontal="center" readingOrder="0" vertical="bottom"/>
    </xf>
    <xf borderId="0" fillId="159" fontId="54" numFmtId="10" xfId="0" applyAlignment="1" applyFont="1" applyNumberFormat="1">
      <alignment horizontal="center" readingOrder="0" vertical="bottom"/>
    </xf>
    <xf borderId="21" fillId="150" fontId="54" numFmtId="10" xfId="0" applyAlignment="1" applyBorder="1" applyFont="1" applyNumberFormat="1">
      <alignment horizontal="center" readingOrder="0" vertical="bottom"/>
    </xf>
    <xf borderId="21" fillId="70" fontId="54" numFmtId="10" xfId="0" applyAlignment="1" applyBorder="1" applyFont="1" applyNumberFormat="1">
      <alignment horizontal="center" readingOrder="0" vertical="bottom"/>
    </xf>
    <xf borderId="21" fillId="131" fontId="54" numFmtId="10" xfId="0" applyAlignment="1" applyBorder="1" applyFont="1" applyNumberFormat="1">
      <alignment horizontal="center" readingOrder="0" vertical="bottom"/>
    </xf>
    <xf borderId="21" fillId="160" fontId="54" numFmtId="10" xfId="0" applyAlignment="1" applyBorder="1" applyFont="1" applyNumberFormat="1">
      <alignment horizontal="center" readingOrder="0" vertical="bottom"/>
    </xf>
    <xf borderId="0" fillId="166" fontId="54" numFmtId="10" xfId="0" applyAlignment="1" applyFont="1" applyNumberFormat="1">
      <alignment horizontal="center" readingOrder="0" vertical="bottom"/>
    </xf>
    <xf borderId="0" fillId="166" fontId="54" numFmtId="3" xfId="0" applyAlignment="1" applyFont="1" applyNumberFormat="1">
      <alignment horizontal="center" readingOrder="0" vertical="bottom"/>
    </xf>
    <xf borderId="21" fillId="146" fontId="54" numFmtId="10" xfId="0" applyAlignment="1" applyBorder="1" applyFont="1" applyNumberFormat="1">
      <alignment horizontal="center" readingOrder="0" vertical="bottom"/>
    </xf>
    <xf borderId="0" fillId="169" fontId="54" numFmtId="10" xfId="0" applyAlignment="1" applyFont="1" applyNumberFormat="1">
      <alignment horizontal="center" readingOrder="0" vertical="bottom"/>
    </xf>
    <xf borderId="0" fillId="170" fontId="54" numFmtId="10" xfId="0" applyAlignment="1" applyFont="1" applyNumberFormat="1">
      <alignment horizontal="center" readingOrder="0" vertical="bottom"/>
    </xf>
    <xf borderId="0" fillId="172" fontId="54" numFmtId="10" xfId="0" applyAlignment="1" applyFont="1" applyNumberFormat="1">
      <alignment horizontal="center" readingOrder="0" vertical="bottom"/>
    </xf>
    <xf borderId="0" fillId="170" fontId="54" numFmtId="3" xfId="0" applyAlignment="1" applyFont="1" applyNumberFormat="1">
      <alignment horizontal="center" readingOrder="0" vertical="bottom"/>
    </xf>
    <xf borderId="0" fillId="172" fontId="54" numFmtId="3" xfId="0" applyAlignment="1" applyFont="1" applyNumberFormat="1">
      <alignment horizontal="center" readingOrder="0" vertical="bottom"/>
    </xf>
    <xf borderId="21" fillId="111" fontId="54" numFmtId="10" xfId="0" applyAlignment="1" applyBorder="1" applyFont="1" applyNumberFormat="1">
      <alignment horizontal="center" readingOrder="0" vertical="bottom"/>
    </xf>
    <xf borderId="0" fillId="20" fontId="54" numFmtId="10" xfId="0" applyAlignment="1" applyFont="1" applyNumberFormat="1">
      <alignment horizontal="center" readingOrder="0" vertical="bottom"/>
    </xf>
    <xf borderId="0" fillId="20" fontId="54" numFmtId="3" xfId="0" applyAlignment="1" applyFont="1" applyNumberFormat="1">
      <alignment horizontal="center" readingOrder="0" vertical="bottom"/>
    </xf>
    <xf borderId="21" fillId="85" fontId="55" numFmtId="10" xfId="0" applyAlignment="1" applyBorder="1" applyFont="1" applyNumberFormat="1">
      <alignment horizontal="center" readingOrder="0" vertical="bottom"/>
    </xf>
    <xf borderId="21" fillId="146" fontId="55" numFmtId="10" xfId="0" applyAlignment="1" applyBorder="1" applyFont="1" applyNumberFormat="1">
      <alignment horizontal="center" readingOrder="0" vertical="bottom"/>
    </xf>
    <xf borderId="0" fillId="159" fontId="55" numFmtId="10" xfId="0" applyAlignment="1" applyFont="1" applyNumberFormat="1">
      <alignment horizontal="center" readingOrder="0" vertical="bottom"/>
    </xf>
    <xf borderId="0" fillId="176" fontId="54" numFmtId="10" xfId="0" applyAlignment="1" applyFont="1" applyNumberFormat="1">
      <alignment horizontal="center" readingOrder="0" vertical="bottom"/>
    </xf>
    <xf borderId="0" fillId="176" fontId="54" numFmtId="3" xfId="0" applyAlignment="1" applyFont="1" applyNumberFormat="1">
      <alignment horizontal="center" readingOrder="0" vertical="bottom"/>
    </xf>
    <xf borderId="0" fillId="16" fontId="54" numFmtId="10" xfId="0" applyAlignment="1" applyFont="1" applyNumberFormat="1">
      <alignment horizontal="center" readingOrder="0" vertical="bottom"/>
    </xf>
    <xf borderId="0" fillId="16" fontId="54" numFmtId="3" xfId="0" applyAlignment="1" applyFont="1" applyNumberFormat="1">
      <alignment horizontal="center" readingOrder="0" vertical="bottom"/>
    </xf>
    <xf borderId="21" fillId="145" fontId="55" numFmtId="10" xfId="0" applyAlignment="1" applyBorder="1" applyFont="1" applyNumberFormat="1">
      <alignment horizontal="center" readingOrder="0" vertical="bottom"/>
    </xf>
    <xf borderId="21" fillId="178" fontId="55" numFmtId="10" xfId="0" applyAlignment="1" applyBorder="1" applyFont="1" applyNumberFormat="1">
      <alignment horizontal="center" readingOrder="0" vertical="bottom"/>
    </xf>
    <xf borderId="0" fillId="15" fontId="54" numFmtId="10" xfId="0" applyAlignment="1" applyFont="1" applyNumberFormat="1">
      <alignment horizontal="center" readingOrder="0" vertical="bottom"/>
    </xf>
    <xf borderId="0" fillId="15" fontId="54" numFmtId="3" xfId="0" applyAlignment="1" applyFont="1" applyNumberFormat="1">
      <alignment horizontal="center" readingOrder="0" vertical="bottom"/>
    </xf>
    <xf borderId="26" fillId="168" fontId="54" numFmtId="10" xfId="0" applyAlignment="1" applyBorder="1" applyFont="1" applyNumberFormat="1">
      <alignment horizontal="center" readingOrder="0" vertical="bottom"/>
    </xf>
    <xf borderId="26" fillId="85" fontId="54" numFmtId="10" xfId="0" applyAlignment="1" applyBorder="1" applyFont="1" applyNumberFormat="1">
      <alignment horizontal="center" readingOrder="0" vertical="bottom"/>
    </xf>
    <xf borderId="0" fillId="2" fontId="50" numFmtId="0" xfId="0" applyAlignment="1" applyFont="1">
      <alignment readingOrder="0"/>
    </xf>
    <xf borderId="0" fillId="2" fontId="54" numFmtId="0" xfId="0" applyFont="1"/>
    <xf borderId="0" fillId="2" fontId="54" numFmtId="0" xfId="0" applyAlignment="1" applyFont="1">
      <alignment vertical="bottom"/>
    </xf>
    <xf borderId="0" fillId="2" fontId="52" numFmtId="0" xfId="0" applyAlignment="1" applyFont="1">
      <alignment readingOrder="0"/>
    </xf>
    <xf borderId="0" fillId="2" fontId="51" numFmtId="0" xfId="0" applyAlignment="1" applyFont="1">
      <alignment horizontal="left" readingOrder="0" textRotation="90" vertical="center"/>
    </xf>
    <xf borderId="0" fillId="2" fontId="62" numFmtId="0" xfId="0" applyAlignment="1" applyFont="1">
      <alignment horizontal="left" readingOrder="0" textRotation="90" vertical="center"/>
    </xf>
    <xf borderId="0" fillId="2" fontId="54" numFmtId="10" xfId="0" applyAlignment="1" applyFont="1" applyNumberFormat="1">
      <alignment horizontal="center" readingOrder="0"/>
    </xf>
    <xf borderId="0" fillId="180" fontId="2" numFmtId="0" xfId="0" applyFill="1" applyFont="1"/>
    <xf borderId="0" fillId="180" fontId="50" numFmtId="0" xfId="0" applyAlignment="1" applyFont="1">
      <alignment readingOrder="0" shrinkToFit="0" vertical="bottom" wrapText="0"/>
    </xf>
    <xf borderId="41" fillId="2" fontId="50" numFmtId="0" xfId="0" applyAlignment="1" applyBorder="1" applyFont="1">
      <alignment readingOrder="0" shrinkToFit="0" vertical="bottom" wrapText="0"/>
    </xf>
    <xf borderId="41" fillId="2" fontId="52" numFmtId="0" xfId="0" applyAlignment="1" applyBorder="1" applyFont="1">
      <alignment shrinkToFit="0" vertical="bottom" wrapText="0"/>
    </xf>
    <xf borderId="0" fillId="2" fontId="52" numFmtId="0" xfId="0" applyAlignment="1" applyFont="1">
      <alignment readingOrder="0" shrinkToFit="0" vertical="bottom" wrapText="0"/>
    </xf>
    <xf borderId="0" fillId="2" fontId="53" numFmtId="165" xfId="0" applyAlignment="1" applyFont="1" applyNumberFormat="1">
      <alignment horizontal="right" vertical="bottom"/>
    </xf>
    <xf borderId="0" fillId="48" fontId="54" numFmtId="10" xfId="0" applyAlignment="1" applyFont="1" applyNumberFormat="1">
      <alignment horizontal="center" readingOrder="0" vertical="bottom"/>
    </xf>
    <xf borderId="0" fillId="44" fontId="54" numFmtId="165" xfId="0" applyAlignment="1" applyFont="1" applyNumberFormat="1">
      <alignment horizontal="center" readingOrder="0" vertical="bottom"/>
    </xf>
    <xf borderId="0" fillId="45" fontId="54" numFmtId="165" xfId="0" applyAlignment="1" applyFont="1" applyNumberFormat="1">
      <alignment horizontal="center" readingOrder="0" vertical="bottom"/>
    </xf>
    <xf borderId="0" fillId="46" fontId="54" numFmtId="165" xfId="0" applyAlignment="1" applyFont="1" applyNumberFormat="1">
      <alignment horizontal="center" readingOrder="0" vertical="bottom"/>
    </xf>
    <xf borderId="0" fillId="47" fontId="54" numFmtId="165" xfId="0" applyAlignment="1" applyFont="1" applyNumberFormat="1">
      <alignment horizontal="center" readingOrder="0" vertical="bottom"/>
    </xf>
    <xf borderId="0" fillId="48" fontId="54" numFmtId="165" xfId="0" applyAlignment="1" applyFont="1" applyNumberFormat="1">
      <alignment horizontal="center" readingOrder="0" vertical="bottom"/>
    </xf>
    <xf borderId="0" fillId="49" fontId="54" numFmtId="165" xfId="0" applyAlignment="1" applyFont="1" applyNumberFormat="1">
      <alignment horizontal="center" readingOrder="0" vertical="bottom"/>
    </xf>
    <xf borderId="0" fillId="50" fontId="54" numFmtId="165" xfId="0" applyAlignment="1" applyFont="1" applyNumberFormat="1">
      <alignment horizontal="center" readingOrder="0" vertical="bottom"/>
    </xf>
    <xf borderId="0" fillId="51" fontId="54" numFmtId="165" xfId="0" applyAlignment="1" applyFont="1" applyNumberFormat="1">
      <alignment horizontal="center" readingOrder="0" vertical="bottom"/>
    </xf>
    <xf borderId="0" fillId="52" fontId="54" numFmtId="165" xfId="0" applyAlignment="1" applyFont="1" applyNumberFormat="1">
      <alignment horizontal="center" readingOrder="0" vertical="bottom"/>
    </xf>
    <xf borderId="0" fillId="43" fontId="54" numFmtId="165" xfId="0" applyAlignment="1" applyFont="1" applyNumberFormat="1">
      <alignment horizontal="center" readingOrder="0" vertical="bottom"/>
    </xf>
    <xf borderId="0" fillId="64" fontId="55" numFmtId="10" xfId="0" applyAlignment="1" applyFont="1" applyNumberFormat="1">
      <alignment horizontal="center" readingOrder="0" vertical="bottom"/>
    </xf>
    <xf borderId="0" fillId="60" fontId="55" numFmtId="165" xfId="0" applyAlignment="1" applyFont="1" applyNumberFormat="1">
      <alignment horizontal="center" readingOrder="0" vertical="bottom"/>
    </xf>
    <xf borderId="0" fillId="61" fontId="55" numFmtId="165" xfId="0" applyAlignment="1" applyFont="1" applyNumberFormat="1">
      <alignment horizontal="center" readingOrder="0" vertical="bottom"/>
    </xf>
    <xf borderId="0" fillId="62" fontId="55" numFmtId="165" xfId="0" applyAlignment="1" applyFont="1" applyNumberFormat="1">
      <alignment horizontal="center" readingOrder="0" vertical="bottom"/>
    </xf>
    <xf borderId="0" fillId="63" fontId="55" numFmtId="165" xfId="0" applyAlignment="1" applyFont="1" applyNumberFormat="1">
      <alignment horizontal="center" readingOrder="0" vertical="bottom"/>
    </xf>
    <xf borderId="0" fillId="64" fontId="55" numFmtId="165" xfId="0" applyAlignment="1" applyFont="1" applyNumberFormat="1">
      <alignment horizontal="center" readingOrder="0" vertical="bottom"/>
    </xf>
    <xf borderId="0" fillId="65" fontId="55" numFmtId="165" xfId="0" applyAlignment="1" applyFont="1" applyNumberFormat="1">
      <alignment horizontal="center" readingOrder="0" vertical="bottom"/>
    </xf>
    <xf borderId="0" fillId="59" fontId="55" numFmtId="165" xfId="0" applyAlignment="1" applyFont="1" applyNumberFormat="1">
      <alignment horizontal="center" readingOrder="0" vertical="bottom"/>
    </xf>
    <xf borderId="0" fillId="66" fontId="55" numFmtId="165" xfId="0" applyAlignment="1" applyFont="1" applyNumberFormat="1">
      <alignment horizontal="center" readingOrder="0" vertical="bottom"/>
    </xf>
    <xf borderId="0" fillId="67" fontId="55" numFmtId="165" xfId="0" applyAlignment="1" applyFont="1" applyNumberFormat="1">
      <alignment horizontal="center" readingOrder="0" vertical="bottom"/>
    </xf>
    <xf borderId="0" fillId="68" fontId="55" numFmtId="165" xfId="0" applyAlignment="1" applyFont="1" applyNumberFormat="1">
      <alignment horizontal="center" readingOrder="0" vertical="bottom"/>
    </xf>
    <xf borderId="0" fillId="75" fontId="54" numFmtId="165" xfId="0" applyAlignment="1" applyFont="1" applyNumberFormat="1">
      <alignment horizontal="center" readingOrder="0" vertical="bottom"/>
    </xf>
    <xf borderId="0" fillId="76" fontId="54" numFmtId="165" xfId="0" applyAlignment="1" applyFont="1" applyNumberFormat="1">
      <alignment horizontal="center" readingOrder="0" vertical="bottom"/>
    </xf>
    <xf borderId="0" fillId="77" fontId="54" numFmtId="165" xfId="0" applyAlignment="1" applyFont="1" applyNumberFormat="1">
      <alignment horizontal="center" readingOrder="0" vertical="bottom"/>
    </xf>
    <xf borderId="0" fillId="78" fontId="54" numFmtId="165" xfId="0" applyAlignment="1" applyFont="1" applyNumberFormat="1">
      <alignment horizontal="center" readingOrder="0" vertical="bottom"/>
    </xf>
    <xf borderId="0" fillId="60" fontId="54" numFmtId="165" xfId="0" applyAlignment="1" applyFont="1" applyNumberFormat="1">
      <alignment horizontal="center" readingOrder="0" vertical="bottom"/>
    </xf>
    <xf borderId="0" fillId="79" fontId="54" numFmtId="165" xfId="0" applyAlignment="1" applyFont="1" applyNumberFormat="1">
      <alignment horizontal="center" readingOrder="0" vertical="bottom"/>
    </xf>
    <xf borderId="0" fillId="80" fontId="54" numFmtId="165" xfId="0" applyAlignment="1" applyFont="1" applyNumberFormat="1">
      <alignment horizontal="center" readingOrder="0" vertical="bottom"/>
    </xf>
    <xf borderId="0" fillId="81" fontId="54" numFmtId="165" xfId="0" applyAlignment="1" applyFont="1" applyNumberFormat="1">
      <alignment horizontal="center" readingOrder="0" vertical="bottom"/>
    </xf>
    <xf borderId="0" fillId="82" fontId="54" numFmtId="165" xfId="0" applyAlignment="1" applyFont="1" applyNumberFormat="1">
      <alignment horizontal="center" readingOrder="0" vertical="bottom"/>
    </xf>
    <xf borderId="0" fillId="83" fontId="54" numFmtId="165" xfId="0" applyAlignment="1" applyFont="1" applyNumberFormat="1">
      <alignment horizontal="center" readingOrder="0" vertical="bottom"/>
    </xf>
    <xf borderId="0" fillId="0" fontId="54" numFmtId="165" xfId="0" applyAlignment="1" applyFont="1" applyNumberFormat="1">
      <alignment horizontal="center" readingOrder="0"/>
    </xf>
    <xf borderId="0" fillId="181" fontId="54" numFmtId="165" xfId="0" applyAlignment="1" applyFill="1" applyFont="1" applyNumberFormat="1">
      <alignment horizontal="center" readingOrder="0" vertical="bottom"/>
    </xf>
    <xf borderId="0" fillId="182" fontId="54" numFmtId="165" xfId="0" applyAlignment="1" applyFill="1" applyFont="1" applyNumberFormat="1">
      <alignment horizontal="center" readingOrder="0" vertical="bottom"/>
    </xf>
    <xf borderId="0" fillId="183" fontId="54" numFmtId="165" xfId="0" applyAlignment="1" applyFill="1" applyFont="1" applyNumberFormat="1">
      <alignment horizontal="center" readingOrder="0" vertical="bottom"/>
    </xf>
    <xf borderId="0" fillId="184" fontId="54" numFmtId="165" xfId="0" applyAlignment="1" applyFill="1" applyFont="1" applyNumberFormat="1">
      <alignment horizontal="center" readingOrder="0" vertical="bottom"/>
    </xf>
    <xf borderId="0" fillId="185" fontId="54" numFmtId="165" xfId="0" applyAlignment="1" applyFill="1" applyFont="1" applyNumberFormat="1">
      <alignment horizontal="center" readingOrder="0" vertical="bottom"/>
    </xf>
    <xf borderId="0" fillId="72" fontId="54" numFmtId="165" xfId="0" applyAlignment="1" applyFont="1" applyNumberFormat="1">
      <alignment horizontal="center" readingOrder="0" vertical="bottom"/>
    </xf>
    <xf borderId="0" fillId="89" fontId="54" numFmtId="165" xfId="0" applyAlignment="1" applyFont="1" applyNumberFormat="1">
      <alignment horizontal="center" readingOrder="0" vertical="bottom"/>
    </xf>
    <xf borderId="0" fillId="91" fontId="54" numFmtId="165" xfId="0" applyAlignment="1" applyFont="1" applyNumberFormat="1">
      <alignment horizontal="center" readingOrder="0" vertical="bottom"/>
    </xf>
    <xf borderId="0" fillId="90" fontId="54" numFmtId="165" xfId="0" applyAlignment="1" applyFont="1" applyNumberFormat="1">
      <alignment horizontal="center" readingOrder="0" vertical="bottom"/>
    </xf>
    <xf borderId="0" fillId="92" fontId="54" numFmtId="165" xfId="0" applyAlignment="1" applyFont="1" applyNumberFormat="1">
      <alignment horizontal="center" readingOrder="0" vertical="bottom"/>
    </xf>
    <xf borderId="0" fillId="93" fontId="54" numFmtId="165" xfId="0" applyAlignment="1" applyFont="1" applyNumberFormat="1">
      <alignment horizontal="center" readingOrder="0" vertical="bottom"/>
    </xf>
    <xf borderId="0" fillId="94" fontId="54" numFmtId="165" xfId="0" applyAlignment="1" applyFont="1" applyNumberFormat="1">
      <alignment horizontal="center" readingOrder="0" vertical="bottom"/>
    </xf>
    <xf borderId="0" fillId="95" fontId="54" numFmtId="165" xfId="0" applyAlignment="1" applyFont="1" applyNumberFormat="1">
      <alignment horizontal="center" readingOrder="0" vertical="bottom"/>
    </xf>
    <xf borderId="0" fillId="96" fontId="54" numFmtId="165" xfId="0" applyAlignment="1" applyFont="1" applyNumberFormat="1">
      <alignment horizontal="center" readingOrder="0" vertical="bottom"/>
    </xf>
    <xf borderId="0" fillId="0" fontId="55" numFmtId="165" xfId="0" applyAlignment="1" applyFont="1" applyNumberFormat="1">
      <alignment horizontal="center" readingOrder="0"/>
    </xf>
    <xf borderId="0" fillId="186" fontId="55" numFmtId="165" xfId="0" applyAlignment="1" applyFill="1" applyFont="1" applyNumberFormat="1">
      <alignment horizontal="center" readingOrder="0" vertical="bottom"/>
    </xf>
    <xf borderId="0" fillId="187" fontId="55" numFmtId="165" xfId="0" applyAlignment="1" applyFill="1" applyFont="1" applyNumberFormat="1">
      <alignment horizontal="center" readingOrder="0" vertical="bottom"/>
    </xf>
    <xf borderId="0" fillId="188" fontId="55" numFmtId="165" xfId="0" applyAlignment="1" applyFill="1" applyFont="1" applyNumberFormat="1">
      <alignment horizontal="center" readingOrder="0" vertical="bottom"/>
    </xf>
    <xf borderId="0" fillId="189" fontId="55" numFmtId="165" xfId="0" applyAlignment="1" applyFill="1" applyFont="1" applyNumberFormat="1">
      <alignment horizontal="center" readingOrder="0" vertical="bottom"/>
    </xf>
    <xf borderId="0" fillId="190" fontId="55" numFmtId="165" xfId="0" applyAlignment="1" applyFill="1" applyFont="1" applyNumberFormat="1">
      <alignment horizontal="center" readingOrder="0" vertical="bottom"/>
    </xf>
    <xf borderId="0" fillId="105" fontId="54" numFmtId="10" xfId="0" applyAlignment="1" applyFont="1" applyNumberFormat="1">
      <alignment horizontal="center" readingOrder="0" vertical="bottom"/>
    </xf>
    <xf borderId="0" fillId="103" fontId="54" numFmtId="165" xfId="0" applyAlignment="1" applyFont="1" applyNumberFormat="1">
      <alignment horizontal="center" readingOrder="0" vertical="bottom"/>
    </xf>
    <xf borderId="0" fillId="54" fontId="54" numFmtId="165" xfId="0" applyAlignment="1" applyFont="1" applyNumberFormat="1">
      <alignment horizontal="center" readingOrder="0" vertical="bottom"/>
    </xf>
    <xf borderId="0" fillId="104" fontId="54" numFmtId="165" xfId="0" applyAlignment="1" applyFont="1" applyNumberFormat="1">
      <alignment horizontal="center" readingOrder="0" vertical="bottom"/>
    </xf>
    <xf borderId="0" fillId="105" fontId="54" numFmtId="165" xfId="0" applyAlignment="1" applyFont="1" applyNumberFormat="1">
      <alignment horizontal="center" readingOrder="0" vertical="bottom"/>
    </xf>
    <xf borderId="0" fillId="106" fontId="54" numFmtId="165" xfId="0" applyAlignment="1" applyFont="1" applyNumberFormat="1">
      <alignment horizontal="center" readingOrder="0" vertical="bottom"/>
    </xf>
    <xf borderId="0" fillId="55" fontId="54" numFmtId="165" xfId="0" applyAlignment="1" applyFont="1" applyNumberFormat="1">
      <alignment horizontal="center" readingOrder="0" vertical="bottom"/>
    </xf>
    <xf borderId="0" fillId="107" fontId="54" numFmtId="165" xfId="0" applyAlignment="1" applyFont="1" applyNumberFormat="1">
      <alignment horizontal="center" readingOrder="0" vertical="bottom"/>
    </xf>
    <xf borderId="0" fillId="191" fontId="54" numFmtId="165" xfId="0" applyAlignment="1" applyFill="1" applyFont="1" applyNumberFormat="1">
      <alignment horizontal="center" readingOrder="0" vertical="bottom"/>
    </xf>
    <xf borderId="0" fillId="192" fontId="54" numFmtId="165" xfId="0" applyAlignment="1" applyFill="1" applyFont="1" applyNumberFormat="1">
      <alignment horizontal="center" readingOrder="0" vertical="bottom"/>
    </xf>
    <xf borderId="0" fillId="193" fontId="54" numFmtId="165" xfId="0" applyAlignment="1" applyFill="1" applyFont="1" applyNumberFormat="1">
      <alignment horizontal="center" readingOrder="0" vertical="bottom"/>
    </xf>
    <xf borderId="0" fillId="194" fontId="54" numFmtId="165" xfId="0" applyAlignment="1" applyFill="1" applyFont="1" applyNumberFormat="1">
      <alignment horizontal="center" readingOrder="0" vertical="bottom"/>
    </xf>
    <xf borderId="0" fillId="56" fontId="54" numFmtId="165" xfId="0" applyAlignment="1" applyFont="1" applyNumberFormat="1">
      <alignment horizontal="center" readingOrder="0" vertical="bottom"/>
    </xf>
    <xf borderId="0" fillId="195" fontId="54" numFmtId="165" xfId="0" applyAlignment="1" applyFill="1" applyFont="1" applyNumberFormat="1">
      <alignment horizontal="center" readingOrder="0" vertical="bottom"/>
    </xf>
    <xf borderId="0" fillId="196" fontId="54" numFmtId="165" xfId="0" applyAlignment="1" applyFill="1" applyFont="1" applyNumberFormat="1">
      <alignment horizontal="center" readingOrder="0" vertical="bottom"/>
    </xf>
    <xf borderId="0" fillId="87" fontId="54" numFmtId="165" xfId="0" applyAlignment="1" applyFont="1" applyNumberFormat="1">
      <alignment horizontal="center" readingOrder="0" vertical="bottom"/>
    </xf>
    <xf borderId="0" fillId="71" fontId="54" numFmtId="165" xfId="0" applyAlignment="1" applyFont="1" applyNumberFormat="1">
      <alignment horizontal="center" readingOrder="0" vertical="bottom"/>
    </xf>
    <xf borderId="0" fillId="113" fontId="54" numFmtId="165" xfId="0" applyAlignment="1" applyFont="1" applyNumberFormat="1">
      <alignment horizontal="center" readingOrder="0" vertical="bottom"/>
    </xf>
    <xf borderId="0" fillId="114" fontId="54" numFmtId="165" xfId="0" applyAlignment="1" applyFont="1" applyNumberFormat="1">
      <alignment horizontal="center" readingOrder="0" vertical="bottom"/>
    </xf>
    <xf borderId="0" fillId="115" fontId="54" numFmtId="165" xfId="0" applyAlignment="1" applyFont="1" applyNumberFormat="1">
      <alignment horizontal="center" readingOrder="0" vertical="bottom"/>
    </xf>
    <xf borderId="0" fillId="116" fontId="54" numFmtId="165" xfId="0" applyAlignment="1" applyFont="1" applyNumberFormat="1">
      <alignment horizontal="center" readingOrder="0" vertical="bottom"/>
    </xf>
    <xf borderId="0" fillId="119" fontId="54" numFmtId="165" xfId="0" applyAlignment="1" applyFont="1" applyNumberFormat="1">
      <alignment horizontal="center" readingOrder="0" vertical="bottom"/>
    </xf>
    <xf borderId="0" fillId="127" fontId="54" numFmtId="165" xfId="0" applyAlignment="1" applyFont="1" applyNumberFormat="1">
      <alignment horizontal="center" readingOrder="0" vertical="bottom"/>
    </xf>
    <xf borderId="0" fillId="73" fontId="54" numFmtId="165" xfId="0" applyAlignment="1" applyFont="1" applyNumberFormat="1">
      <alignment horizontal="center" readingOrder="0" vertical="bottom"/>
    </xf>
    <xf borderId="0" fillId="122" fontId="54" numFmtId="165" xfId="0" applyAlignment="1" applyFont="1" applyNumberFormat="1">
      <alignment horizontal="center" readingOrder="0" vertical="bottom"/>
    </xf>
    <xf borderId="0" fillId="123" fontId="54" numFmtId="165" xfId="0" applyAlignment="1" applyFont="1" applyNumberFormat="1">
      <alignment horizontal="center" readingOrder="0" vertical="bottom"/>
    </xf>
    <xf borderId="0" fillId="124" fontId="54" numFmtId="165" xfId="0" applyAlignment="1" applyFont="1" applyNumberFormat="1">
      <alignment horizontal="center" readingOrder="0" vertical="bottom"/>
    </xf>
    <xf borderId="0" fillId="125" fontId="54" numFmtId="165" xfId="0" applyAlignment="1" applyFont="1" applyNumberFormat="1">
      <alignment horizontal="center" readingOrder="0" vertical="bottom"/>
    </xf>
    <xf borderId="0" fillId="101" fontId="54" numFmtId="165" xfId="0" applyAlignment="1" applyFont="1" applyNumberFormat="1">
      <alignment horizontal="center" readingOrder="0" vertical="bottom"/>
    </xf>
    <xf borderId="0" fillId="126" fontId="54" numFmtId="165" xfId="0" applyAlignment="1" applyFont="1" applyNumberFormat="1">
      <alignment horizontal="center" readingOrder="0" vertical="bottom"/>
    </xf>
    <xf borderId="0" fillId="128" fontId="54" numFmtId="165" xfId="0" applyAlignment="1" applyFont="1" applyNumberFormat="1">
      <alignment horizontal="center" readingOrder="0" vertical="bottom"/>
    </xf>
    <xf borderId="0" fillId="158" fontId="54" numFmtId="165" xfId="0" applyAlignment="1" applyFont="1" applyNumberFormat="1">
      <alignment horizontal="center" readingOrder="0" vertical="bottom"/>
    </xf>
    <xf borderId="0" fillId="160" fontId="54" numFmtId="165" xfId="0" applyAlignment="1" applyFont="1" applyNumberFormat="1">
      <alignment horizontal="center" readingOrder="0" vertical="bottom"/>
    </xf>
    <xf borderId="0" fillId="197" fontId="54" numFmtId="165" xfId="0" applyAlignment="1" applyFill="1" applyFont="1" applyNumberFormat="1">
      <alignment horizontal="center" readingOrder="0" vertical="bottom"/>
    </xf>
    <xf borderId="0" fillId="86" fontId="54" numFmtId="165" xfId="0" applyAlignment="1" applyFont="1" applyNumberFormat="1">
      <alignment horizontal="center" readingOrder="0" vertical="bottom"/>
    </xf>
    <xf borderId="0" fillId="132" fontId="54" numFmtId="165" xfId="0" applyAlignment="1" applyFont="1" applyNumberFormat="1">
      <alignment horizontal="center" readingOrder="0" vertical="bottom"/>
    </xf>
    <xf borderId="0" fillId="53" fontId="54" numFmtId="165" xfId="0" applyAlignment="1" applyFont="1" applyNumberFormat="1">
      <alignment horizontal="center" readingOrder="0" vertical="bottom"/>
    </xf>
    <xf borderId="0" fillId="133" fontId="54" numFmtId="165" xfId="0" applyAlignment="1" applyFont="1" applyNumberFormat="1">
      <alignment horizontal="center" readingOrder="0" vertical="bottom"/>
    </xf>
    <xf borderId="0" fillId="134" fontId="54" numFmtId="165" xfId="0" applyAlignment="1" applyFont="1" applyNumberFormat="1">
      <alignment horizontal="center" readingOrder="0" vertical="bottom"/>
    </xf>
    <xf borderId="0" fillId="143" fontId="54" numFmtId="165" xfId="0" applyAlignment="1" applyFont="1" applyNumberFormat="1">
      <alignment horizontal="center" readingOrder="0" vertical="bottom"/>
    </xf>
    <xf borderId="0" fillId="85" fontId="54" numFmtId="165" xfId="0" applyAlignment="1" applyFont="1" applyNumberFormat="1">
      <alignment horizontal="center" readingOrder="0" vertical="bottom"/>
    </xf>
    <xf borderId="0" fillId="137" fontId="54" numFmtId="165" xfId="0" applyAlignment="1" applyFont="1" applyNumberFormat="1">
      <alignment horizontal="center" readingOrder="0" vertical="bottom"/>
    </xf>
    <xf borderId="0" fillId="138" fontId="54" numFmtId="165" xfId="0" applyAlignment="1" applyFont="1" applyNumberFormat="1">
      <alignment horizontal="center" readingOrder="0" vertical="bottom"/>
    </xf>
    <xf borderId="0" fillId="198" fontId="54" numFmtId="165" xfId="0" applyAlignment="1" applyFill="1" applyFont="1" applyNumberFormat="1">
      <alignment horizontal="center" readingOrder="0" vertical="bottom"/>
    </xf>
    <xf borderId="0" fillId="140" fontId="54" numFmtId="165" xfId="0" applyAlignment="1" applyFont="1" applyNumberFormat="1">
      <alignment horizontal="center" readingOrder="0" vertical="bottom"/>
    </xf>
    <xf borderId="0" fillId="139" fontId="54" numFmtId="165" xfId="0" applyAlignment="1" applyFont="1" applyNumberFormat="1">
      <alignment horizontal="center" readingOrder="0" vertical="bottom"/>
    </xf>
    <xf borderId="0" fillId="100" fontId="55" numFmtId="10" xfId="0" applyAlignment="1" applyFont="1" applyNumberFormat="1">
      <alignment horizontal="center" readingOrder="0" vertical="bottom"/>
    </xf>
    <xf borderId="0" fillId="131" fontId="55" numFmtId="165" xfId="0" applyAlignment="1" applyFont="1" applyNumberFormat="1">
      <alignment horizontal="center" readingOrder="0" vertical="bottom"/>
    </xf>
    <xf borderId="0" fillId="86" fontId="55" numFmtId="165" xfId="0" applyAlignment="1" applyFont="1" applyNumberFormat="1">
      <alignment horizontal="center" readingOrder="0" vertical="bottom"/>
    </xf>
    <xf borderId="0" fillId="138" fontId="55" numFmtId="165" xfId="0" applyAlignment="1" applyFont="1" applyNumberFormat="1">
      <alignment horizontal="center" readingOrder="0" vertical="bottom"/>
    </xf>
    <xf borderId="0" fillId="53" fontId="55" numFmtId="165" xfId="0" applyAlignment="1" applyFont="1" applyNumberFormat="1">
      <alignment horizontal="center" readingOrder="0" vertical="bottom"/>
    </xf>
    <xf borderId="0" fillId="100" fontId="55" numFmtId="165" xfId="0" applyAlignment="1" applyFont="1" applyNumberFormat="1">
      <alignment horizontal="center" readingOrder="0" vertical="bottom"/>
    </xf>
    <xf borderId="0" fillId="133" fontId="55" numFmtId="165" xfId="0" applyAlignment="1" applyFont="1" applyNumberFormat="1">
      <alignment horizontal="center" readingOrder="0" vertical="bottom"/>
    </xf>
    <xf borderId="0" fillId="139" fontId="55" numFmtId="165" xfId="0" applyAlignment="1" applyFont="1" applyNumberFormat="1">
      <alignment horizontal="center" readingOrder="0" vertical="bottom"/>
    </xf>
    <xf borderId="0" fillId="140" fontId="55" numFmtId="165" xfId="0" applyAlignment="1" applyFont="1" applyNumberFormat="1">
      <alignment horizontal="center" readingOrder="0" vertical="bottom"/>
    </xf>
    <xf borderId="0" fillId="141" fontId="55" numFmtId="165" xfId="0" applyAlignment="1" applyFont="1" applyNumberFormat="1">
      <alignment horizontal="center" readingOrder="0" vertical="bottom"/>
    </xf>
    <xf borderId="0" fillId="125" fontId="55" numFmtId="165" xfId="0" applyAlignment="1" applyFont="1" applyNumberFormat="1">
      <alignment horizontal="center" readingOrder="0" vertical="bottom"/>
    </xf>
    <xf borderId="0" fillId="142" fontId="54" numFmtId="165" xfId="0" applyAlignment="1" applyFont="1" applyNumberFormat="1">
      <alignment horizontal="center" readingOrder="0" vertical="bottom"/>
    </xf>
    <xf borderId="0" fillId="98" fontId="54" numFmtId="165" xfId="0" applyAlignment="1" applyFont="1" applyNumberFormat="1">
      <alignment horizontal="center" readingOrder="0" vertical="bottom"/>
    </xf>
    <xf borderId="0" fillId="159" fontId="54" numFmtId="165" xfId="0" applyAlignment="1" applyFont="1" applyNumberFormat="1">
      <alignment horizontal="center" readingOrder="0" vertical="bottom"/>
    </xf>
    <xf borderId="0" fillId="150" fontId="54" numFmtId="165" xfId="0" applyAlignment="1" applyFont="1" applyNumberFormat="1">
      <alignment horizontal="center" readingOrder="0" vertical="bottom"/>
    </xf>
    <xf borderId="0" fillId="146" fontId="54" numFmtId="165" xfId="0" applyAlignment="1" applyFont="1" applyNumberFormat="1">
      <alignment horizontal="center" readingOrder="0" vertical="bottom"/>
    </xf>
    <xf borderId="0" fillId="131" fontId="54" numFmtId="165" xfId="0" applyAlignment="1" applyFont="1" applyNumberFormat="1">
      <alignment horizontal="center" readingOrder="0" vertical="bottom"/>
    </xf>
    <xf borderId="0" fillId="100" fontId="54" numFmtId="165" xfId="0" applyAlignment="1" applyFont="1" applyNumberFormat="1">
      <alignment horizontal="center" readingOrder="0" vertical="bottom"/>
    </xf>
    <xf borderId="0" fillId="161" fontId="54" numFmtId="165" xfId="0" applyAlignment="1" applyFont="1" applyNumberFormat="1">
      <alignment horizontal="center" readingOrder="0" vertical="bottom"/>
    </xf>
    <xf borderId="0" fillId="109" fontId="54" numFmtId="165" xfId="0" applyAlignment="1" applyFont="1" applyNumberFormat="1">
      <alignment horizontal="center" readingOrder="0" vertical="bottom"/>
    </xf>
    <xf borderId="0" fillId="110" fontId="54" numFmtId="165" xfId="0" applyAlignment="1" applyFont="1" applyNumberFormat="1">
      <alignment horizontal="center" readingOrder="0" vertical="bottom"/>
    </xf>
    <xf borderId="0" fillId="69" fontId="54" numFmtId="165" xfId="0" applyAlignment="1" applyFont="1" applyNumberFormat="1">
      <alignment horizontal="center" readingOrder="0" vertical="bottom"/>
    </xf>
    <xf borderId="0" fillId="111" fontId="54" numFmtId="165" xfId="0" applyAlignment="1" applyFont="1" applyNumberFormat="1">
      <alignment horizontal="center" readingOrder="0" vertical="bottom"/>
    </xf>
    <xf borderId="0" fillId="169" fontId="54" numFmtId="165" xfId="0" applyAlignment="1" applyFont="1" applyNumberFormat="1">
      <alignment horizontal="center" readingOrder="0" vertical="bottom"/>
    </xf>
    <xf borderId="0" fillId="120" fontId="54" numFmtId="165" xfId="0" applyAlignment="1" applyFont="1" applyNumberFormat="1">
      <alignment horizontal="center" readingOrder="0" vertical="bottom"/>
    </xf>
    <xf borderId="0" fillId="121" fontId="54" numFmtId="165" xfId="0" applyAlignment="1" applyFont="1" applyNumberFormat="1">
      <alignment horizontal="center" readingOrder="0" vertical="bottom"/>
    </xf>
    <xf borderId="0" fillId="4" fontId="55" numFmtId="165" xfId="0" applyAlignment="1" applyFont="1" applyNumberFormat="1">
      <alignment horizontal="center" readingOrder="0"/>
    </xf>
    <xf borderId="0" fillId="15" fontId="55" numFmtId="165" xfId="0" applyAlignment="1" applyFont="1" applyNumberFormat="1">
      <alignment horizontal="center" readingOrder="0" vertical="bottom"/>
    </xf>
    <xf borderId="0" fillId="199" fontId="55" numFmtId="165" xfId="0" applyAlignment="1" applyFill="1" applyFont="1" applyNumberFormat="1">
      <alignment horizontal="center" readingOrder="0" vertical="bottom"/>
    </xf>
    <xf borderId="0" fillId="118" fontId="55" numFmtId="165" xfId="0" applyAlignment="1" applyFont="1" applyNumberFormat="1">
      <alignment horizontal="center" readingOrder="0" vertical="bottom"/>
    </xf>
    <xf borderId="0" fillId="173" fontId="55" numFmtId="165" xfId="0" applyAlignment="1" applyFont="1" applyNumberFormat="1">
      <alignment horizontal="center" readingOrder="0" vertical="bottom"/>
    </xf>
    <xf borderId="0" fillId="165" fontId="55" numFmtId="165" xfId="0" applyAlignment="1" applyFont="1" applyNumberFormat="1">
      <alignment horizontal="center" readingOrder="0" vertical="bottom"/>
    </xf>
    <xf borderId="0" fillId="111" fontId="55" numFmtId="165" xfId="0" applyAlignment="1" applyFont="1" applyNumberFormat="1">
      <alignment horizontal="center" readingOrder="0" vertical="bottom"/>
    </xf>
    <xf borderId="0" fillId="146" fontId="55" numFmtId="165" xfId="0" applyAlignment="1" applyFont="1" applyNumberFormat="1">
      <alignment horizontal="center" readingOrder="0" vertical="bottom"/>
    </xf>
    <xf borderId="0" fillId="200" fontId="55" numFmtId="165" xfId="0" applyAlignment="1" applyFill="1" applyFont="1" applyNumberFormat="1">
      <alignment horizontal="center" readingOrder="0" vertical="bottom"/>
    </xf>
    <xf borderId="0" fillId="153" fontId="54" numFmtId="165" xfId="0" applyAlignment="1" applyFont="1" applyNumberFormat="1">
      <alignment horizontal="center" readingOrder="0" vertical="bottom"/>
    </xf>
    <xf borderId="0" fillId="4" fontId="54" numFmtId="165" xfId="0" applyAlignment="1" applyFont="1" applyNumberFormat="1">
      <alignment horizontal="center" readingOrder="0"/>
    </xf>
    <xf borderId="0" fillId="10" fontId="54" numFmtId="165" xfId="0" applyAlignment="1" applyFont="1" applyNumberFormat="1">
      <alignment horizontal="center" readingOrder="0" vertical="bottom"/>
    </xf>
    <xf borderId="0" fillId="149" fontId="54" numFmtId="165" xfId="0" applyAlignment="1" applyFont="1" applyNumberFormat="1">
      <alignment horizontal="center" readingOrder="0" vertical="bottom"/>
    </xf>
    <xf borderId="0" fillId="130" fontId="54" numFmtId="165" xfId="0" applyAlignment="1" applyFont="1" applyNumberFormat="1">
      <alignment horizontal="center" readingOrder="0" vertical="bottom"/>
    </xf>
    <xf borderId="0" fillId="118" fontId="54" numFmtId="165" xfId="0" applyAlignment="1" applyFont="1" applyNumberFormat="1">
      <alignment horizontal="center" readingOrder="0" vertical="bottom"/>
    </xf>
    <xf borderId="0" fillId="145" fontId="54" numFmtId="165" xfId="0" applyAlignment="1" applyFont="1" applyNumberFormat="1">
      <alignment horizontal="center" readingOrder="0" vertical="bottom"/>
    </xf>
    <xf borderId="0" fillId="175" fontId="54" numFmtId="165" xfId="0" applyAlignment="1" applyFont="1" applyNumberFormat="1">
      <alignment horizontal="center" readingOrder="0" vertical="bottom"/>
    </xf>
    <xf borderId="0" fillId="70" fontId="54" numFmtId="165" xfId="0" applyAlignment="1" applyFont="1" applyNumberFormat="1">
      <alignment horizontal="center" readingOrder="0" vertical="bottom"/>
    </xf>
    <xf borderId="0" fillId="201" fontId="54" numFmtId="165" xfId="0" applyAlignment="1" applyFill="1" applyFont="1" applyNumberFormat="1">
      <alignment horizontal="center" readingOrder="0" vertical="bottom"/>
    </xf>
    <xf borderId="0" fillId="156" fontId="54" numFmtId="165" xfId="0" applyAlignment="1" applyFont="1" applyNumberFormat="1">
      <alignment horizontal="center" readingOrder="0" vertical="bottom"/>
    </xf>
    <xf borderId="0" fillId="117" fontId="54" numFmtId="165" xfId="0" applyAlignment="1" applyFont="1" applyNumberFormat="1">
      <alignment horizontal="center" readingOrder="0" vertical="bottom"/>
    </xf>
    <xf borderId="0" fillId="172" fontId="54" numFmtId="165" xfId="0" applyAlignment="1" applyFont="1" applyNumberFormat="1">
      <alignment horizontal="center" readingOrder="0" vertical="bottom"/>
    </xf>
    <xf borderId="0" fillId="173" fontId="54" numFmtId="165" xfId="0" applyAlignment="1" applyFont="1" applyNumberFormat="1">
      <alignment horizontal="center" readingOrder="0" vertical="bottom"/>
    </xf>
    <xf borderId="0" fillId="136" fontId="54" numFmtId="165" xfId="0" applyAlignment="1" applyFont="1" applyNumberFormat="1">
      <alignment horizontal="center" readingOrder="0" vertical="bottom"/>
    </xf>
    <xf borderId="0" fillId="165" fontId="54" numFmtId="165" xfId="0" applyAlignment="1" applyFont="1" applyNumberFormat="1">
      <alignment horizontal="center" readingOrder="0" vertical="bottom"/>
    </xf>
    <xf borderId="0" fillId="202" fontId="54" numFmtId="165" xfId="0" applyAlignment="1" applyFill="1" applyFont="1" applyNumberFormat="1">
      <alignment horizontal="center" readingOrder="0" vertical="bottom"/>
    </xf>
    <xf borderId="0" fillId="167" fontId="54" numFmtId="165" xfId="0" applyAlignment="1" applyFont="1" applyNumberFormat="1">
      <alignment horizontal="center" readingOrder="0" vertical="bottom"/>
    </xf>
    <xf borderId="0" fillId="157" fontId="54" numFmtId="165" xfId="0" applyAlignment="1" applyFont="1" applyNumberFormat="1">
      <alignment horizontal="center" readingOrder="0" vertical="bottom"/>
    </xf>
    <xf borderId="0" fillId="203" fontId="54" numFmtId="165" xfId="0" applyAlignment="1" applyFill="1" applyFont="1" applyNumberFormat="1">
      <alignment horizontal="center" readingOrder="0" vertical="bottom"/>
    </xf>
    <xf borderId="0" fillId="84" fontId="54" numFmtId="165" xfId="0" applyAlignment="1" applyFont="1" applyNumberFormat="1">
      <alignment horizontal="center" readingOrder="0" vertical="bottom"/>
    </xf>
    <xf borderId="0" fillId="177" fontId="54" numFmtId="165" xfId="0" applyAlignment="1" applyFont="1" applyNumberFormat="1">
      <alignment horizontal="center" readingOrder="0" vertical="bottom"/>
    </xf>
    <xf borderId="0" fillId="168" fontId="54" numFmtId="165" xfId="0" applyAlignment="1" applyFont="1" applyNumberFormat="1">
      <alignment horizontal="center" readingOrder="0" vertical="bottom"/>
    </xf>
    <xf borderId="0" fillId="204" fontId="54" numFmtId="165" xfId="0" applyAlignment="1" applyFill="1" applyFont="1" applyNumberFormat="1">
      <alignment horizontal="center" readingOrder="0" vertical="bottom"/>
    </xf>
    <xf borderId="0" fillId="19" fontId="54" numFmtId="165" xfId="0" applyAlignment="1" applyFont="1" applyNumberFormat="1">
      <alignment horizontal="center" readingOrder="0" vertical="bottom"/>
    </xf>
    <xf borderId="0" fillId="144" fontId="54" numFmtId="165" xfId="0" applyAlignment="1" applyFont="1" applyNumberFormat="1">
      <alignment horizontal="center" readingOrder="0" vertical="bottom"/>
    </xf>
    <xf borderId="0" fillId="205" fontId="54" numFmtId="165" xfId="0" applyAlignment="1" applyFill="1" applyFont="1" applyNumberFormat="1">
      <alignment horizontal="center" readingOrder="0" vertical="bottom"/>
    </xf>
    <xf borderId="0" fillId="206" fontId="54" numFmtId="165" xfId="0" applyAlignment="1" applyFill="1" applyFont="1" applyNumberFormat="1">
      <alignment horizontal="center" readingOrder="0" vertical="bottom"/>
    </xf>
    <xf borderId="0" fillId="164" fontId="54" numFmtId="165" xfId="0" applyAlignment="1" applyFont="1" applyNumberFormat="1">
      <alignment horizontal="center" readingOrder="0" vertical="bottom"/>
    </xf>
    <xf borderId="0" fillId="98" fontId="55" numFmtId="165" xfId="0" applyAlignment="1" applyFont="1" applyNumberFormat="1">
      <alignment horizontal="center" readingOrder="0" vertical="bottom"/>
    </xf>
    <xf borderId="0" fillId="175" fontId="55" numFmtId="165" xfId="0" applyAlignment="1" applyFont="1" applyNumberFormat="1">
      <alignment horizontal="center" readingOrder="0" vertical="bottom"/>
    </xf>
    <xf borderId="0" fillId="85" fontId="55" numFmtId="165" xfId="0" applyAlignment="1" applyFont="1" applyNumberFormat="1">
      <alignment horizontal="center" readingOrder="0" vertical="bottom"/>
    </xf>
    <xf borderId="0" fillId="159" fontId="55" numFmtId="165" xfId="0" applyAlignment="1" applyFont="1" applyNumberFormat="1">
      <alignment horizontal="center" readingOrder="0" vertical="bottom"/>
    </xf>
    <xf borderId="0" fillId="24" fontId="54" numFmtId="165" xfId="0" applyAlignment="1" applyFont="1" applyNumberFormat="1">
      <alignment horizontal="center" readingOrder="0" vertical="bottom"/>
    </xf>
    <xf borderId="0" fillId="154" fontId="54" numFmtId="165" xfId="0" applyAlignment="1" applyFont="1" applyNumberFormat="1">
      <alignment horizontal="center" readingOrder="0" vertical="bottom"/>
    </xf>
    <xf borderId="0" fillId="148" fontId="54" numFmtId="165" xfId="0" applyAlignment="1" applyFont="1" applyNumberFormat="1">
      <alignment horizontal="center" readingOrder="0" vertical="bottom"/>
    </xf>
    <xf borderId="0" fillId="207" fontId="54" numFmtId="165" xfId="0" applyAlignment="1" applyFill="1" applyFont="1" applyNumberFormat="1">
      <alignment horizontal="center" readingOrder="0" vertical="bottom"/>
    </xf>
    <xf borderId="0" fillId="97" fontId="54" numFmtId="165" xfId="0" applyAlignment="1" applyFont="1" applyNumberFormat="1">
      <alignment horizontal="center" readingOrder="0" vertical="bottom"/>
    </xf>
    <xf borderId="0" fillId="2" fontId="63" numFmtId="0" xfId="0" applyAlignment="1" applyFont="1">
      <alignment horizontal="center" readingOrder="0"/>
    </xf>
    <xf borderId="0" fillId="99" fontId="54" numFmtId="165" xfId="0" applyAlignment="1" applyFont="1" applyNumberFormat="1">
      <alignment horizontal="center" readingOrder="0" vertical="bottom"/>
    </xf>
    <xf borderId="0" fillId="26" fontId="54" numFmtId="165" xfId="0" applyAlignment="1" applyFont="1" applyNumberFormat="1">
      <alignment horizontal="center" readingOrder="0" vertical="bottom"/>
    </xf>
    <xf borderId="0" fillId="166" fontId="54" numFmtId="165" xfId="0" applyAlignment="1" applyFont="1" applyNumberFormat="1">
      <alignment horizontal="center" readingOrder="0" vertical="bottom"/>
    </xf>
    <xf borderId="0" fillId="171" fontId="54" numFmtId="165" xfId="0" applyAlignment="1" applyFont="1" applyNumberFormat="1">
      <alignment horizontal="center" readingOrder="0" vertical="bottom"/>
    </xf>
    <xf borderId="0" fillId="152" fontId="54" numFmtId="165" xfId="0" applyAlignment="1" applyFont="1" applyNumberFormat="1">
      <alignment horizontal="center" readingOrder="0" vertical="bottom"/>
    </xf>
    <xf borderId="0" fillId="199" fontId="54" numFmtId="165" xfId="0" applyAlignment="1" applyFont="1" applyNumberFormat="1">
      <alignment horizontal="center" readingOrder="0" vertical="bottom"/>
    </xf>
    <xf borderId="0" fillId="145" fontId="55" numFmtId="10" xfId="0" applyAlignment="1" applyFont="1" applyNumberFormat="1">
      <alignment horizontal="center" readingOrder="0" vertical="bottom"/>
    </xf>
    <xf borderId="0" fillId="145" fontId="55" numFmtId="165" xfId="0" applyAlignment="1" applyFont="1" applyNumberFormat="1">
      <alignment horizontal="center" readingOrder="0" vertical="bottom"/>
    </xf>
    <xf borderId="0" fillId="69" fontId="55" numFmtId="165" xfId="0" applyAlignment="1" applyFont="1" applyNumberFormat="1">
      <alignment horizontal="center" readingOrder="0" vertical="bottom"/>
    </xf>
    <xf borderId="0" fillId="178" fontId="55" numFmtId="165" xfId="0" applyAlignment="1" applyFont="1" applyNumberFormat="1">
      <alignment horizontal="center" readingOrder="0" vertical="bottom"/>
    </xf>
    <xf borderId="0" fillId="28" fontId="55" numFmtId="165" xfId="0" applyAlignment="1" applyFont="1" applyNumberFormat="1">
      <alignment horizontal="center" readingOrder="0" vertical="bottom"/>
    </xf>
    <xf borderId="0" fillId="20" fontId="55" numFmtId="165" xfId="0" applyAlignment="1" applyFont="1" applyNumberFormat="1">
      <alignment horizontal="center" readingOrder="0" vertical="bottom"/>
    </xf>
    <xf borderId="0" fillId="142" fontId="55" numFmtId="165" xfId="0" applyAlignment="1" applyFont="1" applyNumberFormat="1">
      <alignment horizontal="center" readingOrder="0" vertical="bottom"/>
    </xf>
    <xf borderId="0" fillId="148" fontId="55" numFmtId="165" xfId="0" applyAlignment="1" applyFont="1" applyNumberFormat="1">
      <alignment horizontal="center" readingOrder="0" vertical="bottom"/>
    </xf>
    <xf borderId="0" fillId="143" fontId="55" numFmtId="165" xfId="0" applyAlignment="1" applyFont="1" applyNumberFormat="1">
      <alignment horizontal="center" readingOrder="0" vertical="bottom"/>
    </xf>
    <xf borderId="0" fillId="144" fontId="55" numFmtId="165" xfId="0" applyAlignment="1" applyFont="1" applyNumberFormat="1">
      <alignment horizontal="center" readingOrder="0" vertical="bottom"/>
    </xf>
    <xf borderId="0" fillId="152" fontId="55" numFmtId="165" xfId="0" applyAlignment="1" applyFont="1" applyNumberFormat="1">
      <alignment horizontal="center" readingOrder="0" vertical="bottom"/>
    </xf>
    <xf borderId="0" fillId="30" fontId="54" numFmtId="165" xfId="0" applyAlignment="1" applyFont="1" applyNumberFormat="1">
      <alignment horizontal="center" readingOrder="0" vertical="bottom"/>
    </xf>
    <xf borderId="0" fillId="176" fontId="54" numFmtId="165" xfId="0" applyAlignment="1" applyFont="1" applyNumberFormat="1">
      <alignment horizontal="center" readingOrder="0" vertical="bottom"/>
    </xf>
    <xf borderId="0" fillId="147" fontId="54" numFmtId="165" xfId="0" applyAlignment="1" applyFont="1" applyNumberFormat="1">
      <alignment horizontal="center" readingOrder="0" vertical="bottom"/>
    </xf>
    <xf borderId="0" fillId="135" fontId="54" numFmtId="165" xfId="0" applyAlignment="1" applyFont="1" applyNumberFormat="1">
      <alignment horizontal="center" readingOrder="0" vertical="bottom"/>
    </xf>
    <xf borderId="0" fillId="129" fontId="54" numFmtId="165" xfId="0" applyAlignment="1" applyFont="1" applyNumberFormat="1">
      <alignment horizontal="center" readingOrder="0" vertical="bottom"/>
    </xf>
    <xf borderId="0" fillId="108" fontId="54" numFmtId="165" xfId="0" applyAlignment="1" applyFont="1" applyNumberFormat="1">
      <alignment horizontal="center" readingOrder="0" vertical="bottom"/>
    </xf>
    <xf borderId="0" fillId="17" fontId="55" numFmtId="165" xfId="0" applyAlignment="1" applyFont="1" applyNumberFormat="1">
      <alignment horizontal="center" readingOrder="0" vertical="bottom"/>
    </xf>
    <xf borderId="0" fillId="151" fontId="55" numFmtId="165" xfId="0" applyAlignment="1" applyFont="1" applyNumberFormat="1">
      <alignment horizontal="center" readingOrder="0" vertical="bottom"/>
    </xf>
    <xf borderId="0" fillId="155" fontId="55" numFmtId="165" xfId="0" applyAlignment="1" applyFont="1" applyNumberFormat="1">
      <alignment horizontal="center" readingOrder="0" vertical="bottom"/>
    </xf>
    <xf borderId="0" fillId="208" fontId="55" numFmtId="165" xfId="0" applyAlignment="1" applyFill="1" applyFont="1" applyNumberFormat="1">
      <alignment horizontal="center" readingOrder="0" vertical="bottom"/>
    </xf>
    <xf borderId="0" fillId="19" fontId="55" numFmtId="165" xfId="0" applyAlignment="1" applyFont="1" applyNumberFormat="1">
      <alignment horizontal="center" readingOrder="0" vertical="bottom"/>
    </xf>
    <xf borderId="0" fillId="149" fontId="55" numFmtId="165" xfId="0" applyAlignment="1" applyFont="1" applyNumberFormat="1">
      <alignment horizontal="center" readingOrder="0" vertical="bottom"/>
    </xf>
    <xf borderId="0" fillId="209" fontId="55" numFmtId="165" xfId="0" applyAlignment="1" applyFill="1" applyFont="1" applyNumberFormat="1">
      <alignment horizontal="center" readingOrder="0" vertical="bottom"/>
    </xf>
    <xf borderId="0" fillId="4" fontId="55" numFmtId="165" xfId="0" applyAlignment="1" applyFont="1" applyNumberFormat="1">
      <alignment horizontal="center" readingOrder="0" vertical="bottom"/>
    </xf>
    <xf borderId="0" fillId="13" fontId="55" numFmtId="165" xfId="0" applyAlignment="1" applyFont="1" applyNumberFormat="1">
      <alignment horizontal="center" readingOrder="0" vertical="bottom"/>
    </xf>
    <xf borderId="0" fillId="154" fontId="55" numFmtId="165" xfId="0" applyAlignment="1" applyFont="1" applyNumberFormat="1">
      <alignment horizontal="center" readingOrder="0" vertical="bottom"/>
    </xf>
    <xf borderId="0" fillId="210" fontId="55" numFmtId="165" xfId="0" applyAlignment="1" applyFill="1" applyFont="1" applyNumberFormat="1">
      <alignment horizontal="center" readingOrder="0" vertical="bottom"/>
    </xf>
    <xf borderId="0" fillId="171" fontId="55" numFmtId="165" xfId="0" applyAlignment="1" applyFont="1" applyNumberFormat="1">
      <alignment horizontal="center" readingOrder="0" vertical="bottom"/>
    </xf>
    <xf borderId="0" fillId="4" fontId="55" numFmtId="165" xfId="0" applyAlignment="1" applyFont="1" applyNumberFormat="1">
      <alignment horizontal="center" readingOrder="0" vertical="bottom"/>
    </xf>
    <xf borderId="0" fillId="98" fontId="55" numFmtId="165" xfId="0" applyAlignment="1" applyFont="1" applyNumberFormat="1">
      <alignment horizontal="center" readingOrder="0" vertical="bottom"/>
    </xf>
    <xf borderId="0" fillId="165" fontId="55" numFmtId="165" xfId="0" applyAlignment="1" applyFont="1" applyNumberFormat="1">
      <alignment horizontal="center" readingOrder="0" vertical="bottom"/>
    </xf>
    <xf borderId="0" fillId="145" fontId="55" numFmtId="165" xfId="0" applyAlignment="1" applyFont="1" applyNumberFormat="1">
      <alignment horizontal="center" readingOrder="0" vertical="bottom"/>
    </xf>
    <xf borderId="0" fillId="69" fontId="55" numFmtId="165" xfId="0" applyAlignment="1" applyFont="1" applyNumberFormat="1">
      <alignment horizontal="center" readingOrder="0" vertical="bottom"/>
    </xf>
    <xf borderId="0" fillId="99" fontId="55" numFmtId="165" xfId="0" applyAlignment="1" applyFont="1" applyNumberFormat="1">
      <alignment horizontal="center" readingOrder="0" vertical="bottom"/>
    </xf>
    <xf borderId="0" fillId="111" fontId="55" numFmtId="165" xfId="0" applyAlignment="1" applyFont="1" applyNumberFormat="1">
      <alignment horizontal="center" readingOrder="0" vertical="bottom"/>
    </xf>
    <xf borderId="0" fillId="98" fontId="55" numFmtId="164" xfId="0" applyAlignment="1" applyFont="1" applyNumberFormat="1">
      <alignment horizontal="center" readingOrder="0" vertical="bottom"/>
    </xf>
    <xf borderId="0" fillId="165" fontId="55" numFmtId="164" xfId="0" applyAlignment="1" applyFont="1" applyNumberFormat="1">
      <alignment horizontal="center" readingOrder="0" vertical="bottom"/>
    </xf>
    <xf borderId="0" fillId="145" fontId="55" numFmtId="164" xfId="0" applyAlignment="1" applyFont="1" applyNumberFormat="1">
      <alignment horizontal="center" readingOrder="0" vertical="bottom"/>
    </xf>
    <xf borderId="0" fillId="69" fontId="55" numFmtId="164" xfId="0" applyAlignment="1" applyFont="1" applyNumberFormat="1">
      <alignment horizontal="center" readingOrder="0" vertical="bottom"/>
    </xf>
    <xf borderId="0" fillId="99" fontId="55" numFmtId="164" xfId="0" applyAlignment="1" applyFont="1" applyNumberFormat="1">
      <alignment horizontal="center" readingOrder="0" vertical="bottom"/>
    </xf>
    <xf borderId="0" fillId="111" fontId="55" numFmtId="164" xfId="0" applyAlignment="1" applyFont="1" applyNumberFormat="1">
      <alignment horizontal="center" readingOrder="0" vertical="bottom"/>
    </xf>
    <xf borderId="0" fillId="0" fontId="73" numFmtId="0" xfId="0" applyFont="1"/>
    <xf borderId="0" fillId="0" fontId="74" numFmtId="0" xfId="0" applyAlignment="1" applyFont="1">
      <alignment readingOrder="0"/>
    </xf>
    <xf borderId="5" fillId="3" fontId="57" numFmtId="10" xfId="0" applyBorder="1" applyFont="1" applyNumberFormat="1"/>
    <xf borderId="5" fillId="6" fontId="57" numFmtId="9" xfId="0" applyAlignment="1" applyBorder="1" applyFont="1" applyNumberFormat="1">
      <alignment readingOrder="0"/>
    </xf>
    <xf borderId="19" fillId="7" fontId="61" numFmtId="165" xfId="0" applyBorder="1" applyFont="1" applyNumberFormat="1"/>
    <xf borderId="1" fillId="34" fontId="43" numFmtId="0" xfId="0" applyAlignment="1" applyBorder="1" applyFont="1">
      <alignment horizontal="center" readingOrder="0" shrinkToFit="0" vertical="center" wrapText="1"/>
    </xf>
    <xf borderId="1" fillId="5" fontId="43" numFmtId="0" xfId="0" applyAlignment="1" applyBorder="1" applyFont="1">
      <alignment horizontal="center" readingOrder="0" shrinkToFit="0" vertical="center" wrapText="1"/>
    </xf>
    <xf borderId="1" fillId="211" fontId="51" numFmtId="0" xfId="0" applyAlignment="1" applyBorder="1" applyFill="1" applyFont="1">
      <alignment horizontal="center" readingOrder="0" shrinkToFit="0" vertical="center" wrapText="1"/>
    </xf>
    <xf borderId="0" fillId="33" fontId="75" numFmtId="0" xfId="0" applyAlignment="1" applyFont="1">
      <alignment horizontal="center" readingOrder="0" shrinkToFit="0" vertical="center" wrapText="1"/>
    </xf>
    <xf borderId="0" fillId="33" fontId="46" numFmtId="0" xfId="0" applyAlignment="1" applyFont="1">
      <alignment horizontal="center" readingOrder="0" shrinkToFit="0" vertical="center" wrapText="1"/>
    </xf>
    <xf borderId="1" fillId="211" fontId="76" numFmtId="0" xfId="0" applyAlignment="1" applyBorder="1" applyFont="1">
      <alignment horizontal="center" readingOrder="0" shrinkToFit="0" vertical="center" wrapText="1"/>
    </xf>
    <xf borderId="0" fillId="33" fontId="46" numFmtId="0" xfId="0" applyAlignment="1" applyFont="1">
      <alignment horizontal="center" readingOrder="0" shrinkToFit="0" wrapText="1"/>
    </xf>
    <xf borderId="1" fillId="211" fontId="77" numFmtId="0" xfId="0" applyAlignment="1" applyBorder="1" applyFont="1">
      <alignment horizontal="center" readingOrder="0" shrinkToFit="0" vertical="center" wrapText="1"/>
    </xf>
    <xf borderId="0" fillId="0" fontId="2" numFmtId="168" xfId="0" applyFont="1" applyNumberFormat="1"/>
    <xf borderId="0" fillId="212" fontId="78" numFmtId="0" xfId="0" applyAlignment="1" applyFill="1" applyFont="1">
      <alignment horizontal="center" readingOrder="0" shrinkToFit="0" wrapText="1"/>
    </xf>
    <xf borderId="0" fillId="212" fontId="2" numFmtId="0" xfId="0" applyFont="1"/>
    <xf borderId="0" fillId="212" fontId="12" numFmtId="0" xfId="0" applyAlignment="1" applyFont="1">
      <alignment horizontal="center"/>
    </xf>
    <xf borderId="0" fillId="212" fontId="2" numFmtId="0" xfId="0" applyAlignment="1" applyFont="1">
      <alignment horizontal="center"/>
    </xf>
    <xf borderId="0" fillId="212" fontId="54" numFmtId="0" xfId="0" applyAlignment="1" applyFont="1">
      <alignment horizontal="center" shrinkToFit="0" wrapText="1"/>
    </xf>
    <xf borderId="0" fillId="0" fontId="54" numFmtId="0" xfId="0" applyAlignment="1" applyFont="1">
      <alignment horizontal="center" shrinkToFit="0" wrapText="1"/>
    </xf>
    <xf borderId="1" fillId="213" fontId="79" numFmtId="0" xfId="0" applyAlignment="1" applyBorder="1" applyFill="1" applyFont="1">
      <alignment horizontal="center" readingOrder="0" vertical="center"/>
    </xf>
    <xf borderId="12" fillId="213" fontId="80" numFmtId="0" xfId="0" applyAlignment="1" applyBorder="1" applyFont="1">
      <alignment horizontal="center" readingOrder="0" vertical="center"/>
    </xf>
    <xf borderId="0" fillId="4" fontId="81" numFmtId="0" xfId="0" applyAlignment="1" applyFont="1">
      <alignment horizontal="center" readingOrder="0" shrinkToFit="0" vertical="center" wrapText="1"/>
    </xf>
    <xf borderId="0" fillId="214" fontId="81" numFmtId="0" xfId="0" applyAlignment="1" applyFill="1" applyFont="1">
      <alignment horizontal="center" readingOrder="0" shrinkToFit="0" vertical="center" wrapText="1"/>
    </xf>
    <xf borderId="0" fillId="0" fontId="82" numFmtId="0" xfId="0" applyFont="1"/>
    <xf borderId="1" fillId="215" fontId="79" numFmtId="0" xfId="0" applyAlignment="1" applyBorder="1" applyFill="1" applyFont="1">
      <alignment horizontal="center" readingOrder="0" vertical="center"/>
    </xf>
    <xf borderId="4" fillId="215" fontId="79" numFmtId="165" xfId="0" applyAlignment="1" applyBorder="1" applyFont="1" applyNumberFormat="1">
      <alignment horizontal="center" readingOrder="0" vertical="center"/>
    </xf>
    <xf borderId="0" fillId="4" fontId="83" numFmtId="0" xfId="0" applyAlignment="1" applyFont="1">
      <alignment readingOrder="0"/>
    </xf>
    <xf borderId="0" fillId="4" fontId="82" numFmtId="0" xfId="0" applyFont="1"/>
    <xf borderId="6" fillId="2" fontId="84" numFmtId="0" xfId="0" applyAlignment="1" applyBorder="1" applyFont="1">
      <alignment readingOrder="0"/>
    </xf>
    <xf borderId="7" fillId="2" fontId="85" numFmtId="0" xfId="0" applyBorder="1" applyFont="1"/>
    <xf borderId="1" fillId="2" fontId="84" numFmtId="0" xfId="0" applyAlignment="1" applyBorder="1" applyFont="1">
      <alignment readingOrder="0"/>
    </xf>
    <xf borderId="3" fillId="2" fontId="84" numFmtId="0" xfId="0" applyAlignment="1" applyBorder="1" applyFont="1">
      <alignment horizontal="right" readingOrder="0"/>
    </xf>
    <xf borderId="4" fillId="3" fontId="82" numFmtId="0" xfId="0" applyAlignment="1" applyBorder="1" applyFont="1">
      <alignment readingOrder="0"/>
    </xf>
    <xf borderId="5" fillId="3" fontId="86" numFmtId="165" xfId="0" applyAlignment="1" applyBorder="1" applyFont="1" applyNumberFormat="1">
      <alignment readingOrder="0"/>
    </xf>
    <xf borderId="4" fillId="3" fontId="87" numFmtId="0" xfId="0" applyAlignment="1" applyBorder="1" applyFont="1">
      <alignment readingOrder="0"/>
    </xf>
    <xf borderId="5" fillId="3" fontId="87" numFmtId="0" xfId="0" applyAlignment="1" applyBorder="1" applyFont="1">
      <alignment horizontal="right" readingOrder="0"/>
    </xf>
    <xf borderId="5" fillId="3" fontId="87" numFmtId="0" xfId="0" applyAlignment="1" applyBorder="1" applyFont="1">
      <alignment readingOrder="0"/>
    </xf>
    <xf borderId="5" fillId="3" fontId="82" numFmtId="1" xfId="0" applyBorder="1" applyFont="1" applyNumberFormat="1"/>
    <xf borderId="5" fillId="3" fontId="86" numFmtId="3" xfId="0" applyAlignment="1" applyBorder="1" applyFont="1" applyNumberFormat="1">
      <alignment readingOrder="0"/>
    </xf>
    <xf borderId="5" fillId="3" fontId="82" numFmtId="171" xfId="0" applyBorder="1" applyFont="1" applyNumberFormat="1"/>
    <xf borderId="5" fillId="3" fontId="86" numFmtId="9" xfId="0" applyAlignment="1" applyBorder="1" applyFont="1" applyNumberFormat="1">
      <alignment readingOrder="0"/>
    </xf>
    <xf borderId="5" fillId="3" fontId="82" numFmtId="3" xfId="0" applyBorder="1" applyFont="1" applyNumberFormat="1"/>
    <xf borderId="10" fillId="3" fontId="82" numFmtId="0" xfId="0" applyAlignment="1" applyBorder="1" applyFont="1">
      <alignment readingOrder="0"/>
    </xf>
    <xf borderId="11" fillId="3" fontId="87" numFmtId="0" xfId="0" applyAlignment="1" applyBorder="1" applyFont="1">
      <alignment readingOrder="0"/>
    </xf>
    <xf borderId="11" fillId="3" fontId="82" numFmtId="10" xfId="0" applyBorder="1" applyFont="1" applyNumberFormat="1"/>
    <xf borderId="0" fillId="4" fontId="82" numFmtId="0" xfId="0" applyAlignment="1" applyFont="1">
      <alignment readingOrder="0"/>
    </xf>
    <xf borderId="0" fillId="4" fontId="87" numFmtId="0" xfId="0" applyAlignment="1" applyFont="1">
      <alignment readingOrder="0"/>
    </xf>
    <xf borderId="0" fillId="4" fontId="82" numFmtId="10" xfId="0" applyFont="1" applyNumberFormat="1"/>
    <xf borderId="3" fillId="2" fontId="85" numFmtId="0" xfId="0" applyBorder="1" applyFont="1"/>
    <xf borderId="0" fillId="4" fontId="88" numFmtId="0" xfId="0" applyAlignment="1" applyFont="1">
      <alignment readingOrder="0"/>
    </xf>
    <xf borderId="0" fillId="4" fontId="88" numFmtId="0" xfId="0" applyAlignment="1" applyFont="1">
      <alignment horizontal="right" readingOrder="0"/>
    </xf>
    <xf borderId="0" fillId="4" fontId="86" numFmtId="3" xfId="0" applyAlignment="1" applyFont="1" applyNumberFormat="1">
      <alignment readingOrder="0"/>
    </xf>
    <xf borderId="11" fillId="3" fontId="87" numFmtId="166" xfId="0" applyAlignment="1" applyBorder="1" applyFont="1" applyNumberFormat="1">
      <alignment readingOrder="0"/>
    </xf>
    <xf borderId="0" fillId="4" fontId="82" numFmtId="3" xfId="0" applyAlignment="1" applyFont="1" applyNumberFormat="1">
      <alignment readingOrder="0"/>
    </xf>
    <xf borderId="0" fillId="4" fontId="86" numFmtId="166" xfId="0" applyAlignment="1" applyFont="1" applyNumberFormat="1">
      <alignment readingOrder="0"/>
    </xf>
    <xf borderId="0" fillId="4" fontId="82" numFmtId="2" xfId="0" applyAlignment="1" applyFont="1" applyNumberFormat="1">
      <alignment horizontal="right"/>
    </xf>
    <xf borderId="1" fillId="2" fontId="84" numFmtId="0" xfId="0" applyAlignment="1" applyBorder="1" applyFont="1">
      <alignment horizontal="left" readingOrder="0"/>
    </xf>
    <xf borderId="3" fillId="2" fontId="85" numFmtId="0" xfId="0" applyAlignment="1" applyBorder="1" applyFont="1">
      <alignment readingOrder="0"/>
    </xf>
    <xf borderId="7" fillId="2" fontId="84" numFmtId="0" xfId="0" applyBorder="1" applyFont="1"/>
    <xf borderId="5" fillId="3" fontId="82" numFmtId="0" xfId="0" applyAlignment="1" applyBorder="1" applyFont="1">
      <alignment horizontal="center" readingOrder="0"/>
    </xf>
    <xf borderId="4" fillId="3" fontId="89" numFmtId="0" xfId="0" applyAlignment="1" applyBorder="1" applyFont="1">
      <alignment readingOrder="0"/>
    </xf>
    <xf borderId="5" fillId="3" fontId="89" numFmtId="0" xfId="0" applyBorder="1" applyFont="1"/>
    <xf borderId="11" fillId="3" fontId="82" numFmtId="0" xfId="0" applyAlignment="1" applyBorder="1" applyFont="1">
      <alignment horizontal="center" readingOrder="0"/>
    </xf>
    <xf borderId="5" fillId="3" fontId="90" numFmtId="10" xfId="0" applyBorder="1" applyFont="1" applyNumberFormat="1"/>
    <xf borderId="5" fillId="3" fontId="82" numFmtId="166" xfId="0" applyBorder="1" applyFont="1" applyNumberFormat="1"/>
    <xf borderId="5" fillId="3" fontId="89" numFmtId="165" xfId="0" applyBorder="1" applyFont="1" applyNumberFormat="1"/>
    <xf borderId="5" fillId="3" fontId="91" numFmtId="10" xfId="0" applyBorder="1" applyFont="1" applyNumberFormat="1"/>
    <xf borderId="0" fillId="4" fontId="82" numFmtId="0" xfId="0" applyAlignment="1" applyFont="1">
      <alignment horizontal="center" readingOrder="0"/>
    </xf>
    <xf borderId="0" fillId="4" fontId="79" numFmtId="0" xfId="0" applyAlignment="1" applyFont="1">
      <alignment horizontal="center" readingOrder="0" vertical="center"/>
    </xf>
    <xf borderId="18" fillId="2" fontId="92" numFmtId="0" xfId="0" applyAlignment="1" applyBorder="1" applyFont="1">
      <alignment readingOrder="0"/>
    </xf>
    <xf borderId="19" fillId="2" fontId="93" numFmtId="165" xfId="0" applyBorder="1" applyFont="1" applyNumberFormat="1"/>
    <xf borderId="8" fillId="2" fontId="84" numFmtId="0" xfId="0" applyAlignment="1" applyBorder="1" applyFont="1">
      <alignment readingOrder="0"/>
    </xf>
    <xf borderId="9" fillId="2" fontId="93" numFmtId="164" xfId="0" applyBorder="1" applyFont="1" applyNumberFormat="1"/>
    <xf borderId="5" fillId="3" fontId="86" numFmtId="0" xfId="0" applyAlignment="1" applyBorder="1" applyFont="1">
      <alignment readingOrder="0"/>
    </xf>
    <xf borderId="4" fillId="6" fontId="89" numFmtId="0" xfId="0" applyAlignment="1" applyBorder="1" applyFont="1">
      <alignment readingOrder="0"/>
    </xf>
    <xf borderId="5" fillId="6" fontId="89" numFmtId="165" xfId="0" applyBorder="1" applyFont="1" applyNumberFormat="1"/>
    <xf borderId="5" fillId="3" fontId="86" numFmtId="10" xfId="0" applyAlignment="1" applyBorder="1" applyFont="1" applyNumberFormat="1">
      <alignment readingOrder="0"/>
    </xf>
    <xf borderId="5" fillId="6" fontId="89" numFmtId="165" xfId="0" applyAlignment="1" applyBorder="1" applyFont="1" applyNumberFormat="1">
      <alignment readingOrder="0"/>
    </xf>
    <xf borderId="4" fillId="6" fontId="82" numFmtId="0" xfId="0" applyAlignment="1" applyBorder="1" applyFont="1">
      <alignment readingOrder="0"/>
    </xf>
    <xf borderId="5" fillId="6" fontId="82" numFmtId="165" xfId="0" applyBorder="1" applyFont="1" applyNumberFormat="1"/>
    <xf borderId="5" fillId="3" fontId="87" numFmtId="168" xfId="0" applyAlignment="1" applyBorder="1" applyFont="1" applyNumberFormat="1">
      <alignment readingOrder="0"/>
    </xf>
    <xf borderId="8" fillId="6" fontId="91" numFmtId="0" xfId="0" applyAlignment="1" applyBorder="1" applyFont="1">
      <alignment readingOrder="0"/>
    </xf>
    <xf borderId="9" fillId="6" fontId="91" numFmtId="165" xfId="0" applyBorder="1" applyFont="1" applyNumberFormat="1"/>
    <xf borderId="4" fillId="6" fontId="91" numFmtId="0" xfId="0" applyAlignment="1" applyBorder="1" applyFont="1">
      <alignment readingOrder="0"/>
    </xf>
    <xf borderId="5" fillId="7" fontId="94" numFmtId="165" xfId="0" applyBorder="1" applyFont="1" applyNumberFormat="1"/>
    <xf borderId="5" fillId="3" fontId="87" numFmtId="165" xfId="0" applyAlignment="1" applyBorder="1" applyFont="1" applyNumberFormat="1">
      <alignment readingOrder="0"/>
    </xf>
    <xf borderId="10" fillId="6" fontId="91" numFmtId="0" xfId="0" applyAlignment="1" applyBorder="1" applyFont="1">
      <alignment readingOrder="0"/>
    </xf>
    <xf borderId="11" fillId="7" fontId="81" numFmtId="10" xfId="0" applyBorder="1" applyFont="1" applyNumberFormat="1"/>
    <xf borderId="18" fillId="3" fontId="95" numFmtId="0" xfId="0" applyAlignment="1" applyBorder="1" applyFont="1">
      <alignment readingOrder="0"/>
    </xf>
    <xf borderId="19" fillId="3" fontId="95" numFmtId="0" xfId="0" applyAlignment="1" applyBorder="1" applyFont="1">
      <alignment horizontal="right" readingOrder="0"/>
    </xf>
    <xf borderId="4" fillId="3" fontId="95" numFmtId="0" xfId="0" applyAlignment="1" applyBorder="1" applyFont="1">
      <alignment readingOrder="0"/>
    </xf>
    <xf borderId="5" fillId="3" fontId="95" numFmtId="0" xfId="0" applyAlignment="1" applyBorder="1" applyFont="1">
      <alignment horizontal="right" readingOrder="0"/>
    </xf>
    <xf borderId="8" fillId="3" fontId="82" numFmtId="0" xfId="0" applyAlignment="1" applyBorder="1" applyFont="1">
      <alignment readingOrder="0"/>
    </xf>
    <xf borderId="9" fillId="3" fontId="82" numFmtId="1" xfId="0" applyAlignment="1" applyBorder="1" applyFont="1" applyNumberFormat="1">
      <alignment horizontal="right"/>
    </xf>
    <xf borderId="5" fillId="3" fontId="82" numFmtId="165" xfId="0" applyAlignment="1" applyBorder="1" applyFont="1" applyNumberFormat="1">
      <alignment horizontal="right" readingOrder="0"/>
    </xf>
    <xf borderId="10" fillId="3" fontId="95" numFmtId="0" xfId="0" applyAlignment="1" applyBorder="1" applyFont="1">
      <alignment readingOrder="0"/>
    </xf>
    <xf borderId="11" fillId="3" fontId="95" numFmtId="0" xfId="0" applyBorder="1" applyFont="1"/>
    <xf borderId="5" fillId="3" fontId="54" numFmtId="0" xfId="0" applyAlignment="1" applyBorder="1" applyFont="1">
      <alignment horizontal="right" readingOrder="0"/>
    </xf>
    <xf borderId="11" fillId="3" fontId="70" numFmtId="168" xfId="0" applyBorder="1" applyFont="1" applyNumberFormat="1"/>
    <xf borderId="0" fillId="4" fontId="72" numFmtId="0" xfId="0" applyAlignment="1" applyFont="1">
      <alignment horizontal="center" readingOrder="0" vertical="center"/>
    </xf>
    <xf borderId="0" fillId="4" fontId="84" numFmtId="0" xfId="0" applyAlignment="1" applyFont="1">
      <alignment readingOrder="0"/>
    </xf>
    <xf borderId="0" fillId="4" fontId="84" numFmtId="0" xfId="0" applyFont="1"/>
    <xf borderId="0" fillId="4" fontId="89" numFmtId="0" xfId="0" applyAlignment="1" applyFont="1">
      <alignment readingOrder="0"/>
    </xf>
    <xf borderId="0" fillId="4" fontId="86" numFmtId="10" xfId="0" applyAlignment="1" applyFont="1" applyNumberFormat="1">
      <alignment horizontal="center" readingOrder="0"/>
    </xf>
    <xf borderId="0" fillId="4" fontId="96" numFmtId="4" xfId="0" applyAlignment="1" applyFont="1" applyNumberFormat="1">
      <alignment horizontal="center" readingOrder="0"/>
    </xf>
    <xf borderId="0" fillId="4" fontId="86" numFmtId="9" xfId="0" applyAlignment="1" applyFont="1" applyNumberFormat="1">
      <alignment horizontal="center" readingOrder="0"/>
    </xf>
    <xf borderId="0" fillId="4" fontId="82" numFmtId="0" xfId="0" applyAlignment="1" applyFont="1">
      <alignment vertical="bottom"/>
    </xf>
    <xf borderId="0" fillId="4" fontId="86" numFmtId="10" xfId="0" applyAlignment="1" applyFont="1" applyNumberFormat="1">
      <alignment horizontal="center" vertical="bottom"/>
    </xf>
    <xf borderId="0" fillId="4" fontId="86" numFmtId="4" xfId="0" applyAlignment="1" applyFont="1" applyNumberFormat="1">
      <alignment horizontal="center" readingOrder="0"/>
    </xf>
    <xf borderId="0" fillId="4" fontId="86" numFmtId="3" xfId="0" applyAlignment="1" applyFont="1" applyNumberFormat="1">
      <alignment horizontal="center" readingOrder="0"/>
    </xf>
    <xf borderId="0" fillId="4" fontId="96" numFmtId="165" xfId="0" applyAlignment="1" applyFont="1" applyNumberFormat="1">
      <alignment horizontal="center" readingOrder="0"/>
    </xf>
    <xf borderId="0" fillId="4" fontId="96" numFmtId="10" xfId="0" applyAlignment="1" applyFont="1" applyNumberFormat="1">
      <alignment horizontal="center" readingOrder="0"/>
    </xf>
    <xf borderId="41" fillId="4" fontId="50" numFmtId="0" xfId="0" applyAlignment="1" applyBorder="1" applyFont="1">
      <alignment readingOrder="0" shrinkToFit="0" vertical="bottom" wrapText="0"/>
    </xf>
    <xf borderId="41" fillId="4" fontId="19" numFmtId="0" xfId="0" applyAlignment="1" applyBorder="1" applyFont="1">
      <alignment vertical="bottom"/>
    </xf>
    <xf borderId="41" fillId="4" fontId="52" numFmtId="0" xfId="0" applyAlignment="1" applyBorder="1" applyFont="1">
      <alignment shrinkToFit="0" vertical="bottom" wrapText="0"/>
    </xf>
    <xf borderId="23" fillId="60" fontId="55" numFmtId="10" xfId="0" applyAlignment="1" applyBorder="1" applyFont="1" applyNumberFormat="1">
      <alignment horizontal="center" readingOrder="0" vertical="bottom"/>
    </xf>
    <xf borderId="23" fillId="61" fontId="55" numFmtId="10" xfId="0" applyAlignment="1" applyBorder="1" applyFont="1" applyNumberFormat="1">
      <alignment horizontal="center" readingOrder="0" vertical="bottom"/>
    </xf>
    <xf borderId="23" fillId="62" fontId="55" numFmtId="10" xfId="0" applyAlignment="1" applyBorder="1" applyFont="1" applyNumberFormat="1">
      <alignment horizontal="center" readingOrder="0" vertical="bottom"/>
    </xf>
    <xf borderId="23" fillId="63" fontId="55" numFmtId="10" xfId="0" applyAlignment="1" applyBorder="1" applyFont="1" applyNumberFormat="1">
      <alignment horizontal="center" readingOrder="0" vertical="bottom"/>
    </xf>
    <xf borderId="23" fillId="64" fontId="55" numFmtId="10" xfId="0" applyAlignment="1" applyBorder="1" applyFont="1" applyNumberFormat="1">
      <alignment horizontal="center" readingOrder="0" vertical="bottom"/>
    </xf>
    <xf borderId="23" fillId="65" fontId="55" numFmtId="10" xfId="0" applyAlignment="1" applyBorder="1" applyFont="1" applyNumberFormat="1">
      <alignment horizontal="center" readingOrder="0" vertical="bottom"/>
    </xf>
    <xf borderId="23" fillId="59" fontId="55" numFmtId="10" xfId="0" applyAlignment="1" applyBorder="1" applyFont="1" applyNumberFormat="1">
      <alignment horizontal="center" readingOrder="0" vertical="bottom"/>
    </xf>
    <xf borderId="23" fillId="66" fontId="55" numFmtId="10" xfId="0" applyAlignment="1" applyBorder="1" applyFont="1" applyNumberFormat="1">
      <alignment horizontal="center" readingOrder="0" vertical="bottom"/>
    </xf>
    <xf borderId="23" fillId="67" fontId="55" numFmtId="10" xfId="0" applyAlignment="1" applyBorder="1" applyFont="1" applyNumberFormat="1">
      <alignment horizontal="center" readingOrder="0" vertical="bottom"/>
    </xf>
    <xf borderId="24" fillId="68" fontId="55" numFmtId="10" xfId="0" applyAlignment="1" applyBorder="1" applyFont="1" applyNumberFormat="1">
      <alignment horizontal="center" readingOrder="0" vertical="bottom"/>
    </xf>
    <xf borderId="0" fillId="4" fontId="54" numFmtId="165" xfId="0" applyAlignment="1" applyFont="1" applyNumberFormat="1">
      <alignment horizontal="center" readingOrder="0" vertical="bottom"/>
    </xf>
    <xf borderId="0" fillId="4" fontId="52" numFmtId="0" xfId="0" applyAlignment="1" applyFont="1">
      <alignment readingOrder="0" shrinkToFit="0" vertical="bottom" wrapText="0"/>
    </xf>
    <xf borderId="0" fillId="4" fontId="53" numFmtId="165" xfId="0" applyAlignment="1" applyFont="1" applyNumberFormat="1">
      <alignment horizontal="right" vertical="bottom"/>
    </xf>
    <xf borderId="0" fillId="216" fontId="1" numFmtId="0" xfId="0" applyAlignment="1" applyFill="1" applyFont="1">
      <alignment horizontal="center" readingOrder="0" vertical="center"/>
    </xf>
    <xf borderId="4" fillId="215" fontId="79" numFmtId="0" xfId="0" applyAlignment="1" applyBorder="1" applyFont="1">
      <alignment horizontal="center" readingOrder="0" vertical="center"/>
    </xf>
    <xf borderId="0" fillId="2" fontId="9" numFmtId="0" xfId="0" applyAlignment="1" applyFont="1">
      <alignment readingOrder="0"/>
    </xf>
    <xf borderId="0" fillId="2" fontId="51" numFmtId="0" xfId="0" applyAlignment="1" applyFont="1">
      <alignment horizontal="center" textRotation="90"/>
    </xf>
    <xf borderId="21" fillId="84" fontId="54" numFmtId="0" xfId="0" applyAlignment="1" applyBorder="1" applyFont="1">
      <alignment horizontal="center" readingOrder="0" vertical="bottom"/>
    </xf>
    <xf borderId="21" fillId="97" fontId="54" numFmtId="0" xfId="0" applyAlignment="1" applyBorder="1" applyFont="1">
      <alignment horizontal="center" readingOrder="0" vertical="bottom"/>
    </xf>
    <xf borderId="21" fillId="19" fontId="54" numFmtId="0" xfId="0" applyAlignment="1" applyBorder="1" applyFont="1">
      <alignment horizontal="center" readingOrder="0" vertical="bottom"/>
    </xf>
    <xf borderId="21" fillId="129" fontId="54" numFmtId="0" xfId="0" applyAlignment="1" applyBorder="1" applyFont="1">
      <alignment horizontal="center" readingOrder="0" vertical="bottom"/>
    </xf>
    <xf borderId="3" fillId="2" fontId="85" numFmtId="0" xfId="0" applyAlignment="1" applyBorder="1" applyFont="1">
      <alignment readingOrder="0"/>
    </xf>
    <xf borderId="5" fillId="3" fontId="86" numFmtId="10" xfId="0" applyAlignment="1" applyBorder="1" applyFont="1" applyNumberFormat="1">
      <alignment horizontal="right" readingOrder="0"/>
    </xf>
    <xf borderId="11" fillId="3" fontId="87" numFmtId="3" xfId="0" applyAlignment="1" applyBorder="1" applyFont="1" applyNumberFormat="1">
      <alignment readingOrder="0"/>
    </xf>
    <xf borderId="5" fillId="3" fontId="95" numFmtId="10" xfId="0" applyBorder="1" applyFont="1" applyNumberFormat="1"/>
    <xf borderId="5" fillId="3" fontId="82" numFmtId="172" xfId="0" applyBorder="1" applyFont="1" applyNumberFormat="1"/>
    <xf borderId="49" fillId="3" fontId="82" numFmtId="0" xfId="0" applyAlignment="1" applyBorder="1" applyFont="1">
      <alignment readingOrder="0"/>
    </xf>
    <xf borderId="50" fillId="3" fontId="82" numFmtId="172" xfId="0" applyBorder="1" applyFont="1" applyNumberFormat="1"/>
    <xf borderId="51" fillId="3" fontId="89" numFmtId="0" xfId="0" applyAlignment="1" applyBorder="1" applyFont="1">
      <alignment readingOrder="0"/>
    </xf>
    <xf borderId="52" fillId="3" fontId="89" numFmtId="165" xfId="0" applyBorder="1" applyFont="1" applyNumberFormat="1"/>
    <xf borderId="23" fillId="4" fontId="55" numFmtId="164" xfId="0" applyAlignment="1" applyBorder="1" applyFont="1" applyNumberFormat="1">
      <alignment horizontal="center" readingOrder="0"/>
    </xf>
    <xf borderId="24" fillId="4" fontId="55" numFmtId="164" xfId="0" applyAlignment="1" applyBorder="1" applyFont="1" applyNumberFormat="1">
      <alignment horizontal="center" readingOrder="0"/>
    </xf>
    <xf borderId="42" fillId="2" fontId="52" numFmtId="3" xfId="0" applyAlignment="1" applyBorder="1" applyFont="1" applyNumberFormat="1">
      <alignment horizontal="center" readingOrder="0"/>
    </xf>
    <xf borderId="43" fillId="0" fontId="55" numFmtId="165" xfId="0" applyAlignment="1" applyBorder="1" applyFont="1" applyNumberFormat="1">
      <alignment horizontal="center" readingOrder="0"/>
    </xf>
    <xf borderId="33" fillId="0" fontId="55" numFmtId="165" xfId="0" applyAlignment="1" applyBorder="1" applyFont="1" applyNumberFormat="1">
      <alignment horizontal="center" readingOrder="0"/>
    </xf>
    <xf borderId="43" fillId="0" fontId="55" numFmtId="164" xfId="0" applyAlignment="1" applyBorder="1" applyFont="1" applyNumberFormat="1">
      <alignment horizontal="center" readingOrder="0"/>
    </xf>
    <xf borderId="33" fillId="0" fontId="55" numFmtId="164" xfId="0" applyAlignment="1" applyBorder="1" applyFont="1" applyNumberFormat="1">
      <alignment horizontal="center" readingOrder="0"/>
    </xf>
    <xf borderId="53" fillId="2" fontId="52" numFmtId="3" xfId="0" applyAlignment="1" applyBorder="1" applyFont="1" applyNumberFormat="1">
      <alignment horizontal="center"/>
    </xf>
    <xf borderId="32" fillId="0" fontId="54" numFmtId="165" xfId="0" applyAlignment="1" applyBorder="1" applyFont="1" applyNumberFormat="1">
      <alignment horizontal="center" readingOrder="0"/>
    </xf>
    <xf borderId="32" fillId="0" fontId="54" numFmtId="164" xfId="0" applyAlignment="1" applyBorder="1" applyFont="1" applyNumberFormat="1">
      <alignment horizontal="center" readingOrder="0"/>
    </xf>
    <xf borderId="44" fillId="2" fontId="52" numFmtId="3" xfId="0" applyAlignment="1" applyBorder="1" applyFont="1" applyNumberFormat="1">
      <alignment horizontal="center"/>
    </xf>
    <xf borderId="45" fillId="0" fontId="54" numFmtId="165" xfId="0" applyAlignment="1" applyBorder="1" applyFont="1" applyNumberFormat="1">
      <alignment horizontal="center" readingOrder="0"/>
    </xf>
    <xf borderId="34" fillId="0" fontId="54" numFmtId="165" xfId="0" applyAlignment="1" applyBorder="1" applyFont="1" applyNumberFormat="1">
      <alignment horizontal="center" readingOrder="0"/>
    </xf>
    <xf borderId="45" fillId="0" fontId="54" numFmtId="164" xfId="0" applyAlignment="1" applyBorder="1" applyFont="1" applyNumberFormat="1">
      <alignment horizontal="center" readingOrder="0"/>
    </xf>
    <xf borderId="34" fillId="0" fontId="54" numFmtId="164" xfId="0" applyAlignment="1" applyBorder="1" applyFont="1" applyNumberFormat="1">
      <alignment horizontal="center" readingOrder="0"/>
    </xf>
    <xf borderId="21" fillId="44" fontId="54" numFmtId="10" xfId="0" applyAlignment="1" applyBorder="1" applyFont="1" applyNumberFormat="1">
      <alignment horizontal="center" readingOrder="0" vertical="bottom"/>
    </xf>
    <xf borderId="21" fillId="60" fontId="55" numFmtId="10" xfId="0" applyAlignment="1" applyBorder="1" applyFont="1" applyNumberFormat="1">
      <alignment horizontal="center" readingOrder="0" vertical="bottom"/>
    </xf>
    <xf borderId="21" fillId="75" fontId="54" numFmtId="10" xfId="0" applyAlignment="1" applyBorder="1" applyFont="1" applyNumberFormat="1">
      <alignment horizontal="center" readingOrder="0" vertical="bottom"/>
    </xf>
    <xf borderId="21" fillId="103" fontId="54" numFmtId="10" xfId="0" applyAlignment="1" applyBorder="1" applyFont="1" applyNumberFormat="1">
      <alignment horizontal="center" readingOrder="0" vertical="bottom"/>
    </xf>
    <xf borderId="21" fillId="87" fontId="54" numFmtId="10" xfId="0" applyAlignment="1" applyBorder="1" applyFont="1" applyNumberFormat="1">
      <alignment horizontal="center" readingOrder="0" vertical="bottom"/>
    </xf>
    <xf borderId="21" fillId="122" fontId="54" numFmtId="10" xfId="0" applyAlignment="1" applyBorder="1" applyFont="1" applyNumberFormat="1">
      <alignment horizontal="center" readingOrder="0" vertical="bottom"/>
    </xf>
    <xf borderId="21" fillId="131" fontId="55" numFmtId="10" xfId="0" applyAlignment="1" applyBorder="1" applyFont="1" applyNumberFormat="1">
      <alignment horizontal="center" readingOrder="0" vertical="bottom"/>
    </xf>
    <xf borderId="21" fillId="119" fontId="54" numFmtId="10" xfId="0" applyAlignment="1" applyBorder="1" applyFont="1" applyNumberFormat="1">
      <alignment horizontal="center" readingOrder="0" vertical="bottom"/>
    </xf>
    <xf borderId="21" fillId="165" fontId="54" numFmtId="10" xfId="0" applyAlignment="1" applyBorder="1" applyFont="1" applyNumberFormat="1">
      <alignment horizontal="center" readingOrder="0" vertical="bottom"/>
    </xf>
    <xf borderId="21" fillId="110" fontId="54" numFmtId="10" xfId="0" applyAlignment="1" applyBorder="1" applyFont="1" applyNumberFormat="1">
      <alignment horizontal="center" readingOrder="0" vertical="bottom"/>
    </xf>
    <xf borderId="21" fillId="173" fontId="54" numFmtId="10" xfId="0" applyAlignment="1" applyBorder="1" applyFont="1" applyNumberFormat="1">
      <alignment horizontal="center" readingOrder="0" vertical="bottom"/>
    </xf>
    <xf borderId="21" fillId="98" fontId="55" numFmtId="10" xfId="0" applyAlignment="1" applyBorder="1" applyFont="1" applyNumberFormat="1">
      <alignment horizontal="center" readingOrder="0" vertical="bottom"/>
    </xf>
    <xf borderId="21" fillId="177" fontId="54" numFmtId="10" xfId="0" applyAlignment="1" applyBorder="1" applyFont="1" applyNumberFormat="1">
      <alignment horizontal="center" readingOrder="0" vertical="bottom"/>
    </xf>
    <xf borderId="21" fillId="118" fontId="55" numFmtId="10" xfId="0" applyAlignment="1" applyBorder="1" applyFont="1" applyNumberFormat="1">
      <alignment horizontal="center" readingOrder="0" vertical="bottom"/>
    </xf>
    <xf borderId="26" fillId="118" fontId="54" numFmtId="10" xfId="0" applyAlignment="1" applyBorder="1" applyFont="1" applyNumberFormat="1">
      <alignment horizontal="center" readingOrder="0" vertical="bottom"/>
    </xf>
    <xf borderId="0" fillId="0" fontId="2" numFmtId="0" xfId="0" applyAlignment="1" applyFont="1">
      <alignment horizontal="center"/>
    </xf>
    <xf borderId="54" fillId="217" fontId="7" numFmtId="0" xfId="0" applyAlignment="1" applyBorder="1" applyFill="1" applyFont="1">
      <alignment horizontal="center" readingOrder="0"/>
    </xf>
    <xf borderId="55" fillId="217" fontId="7" numFmtId="0" xfId="0" applyAlignment="1" applyBorder="1" applyFont="1">
      <alignment horizontal="center"/>
    </xf>
    <xf borderId="55" fillId="217" fontId="2" numFmtId="0" xfId="0" applyBorder="1" applyFont="1"/>
    <xf borderId="56" fillId="217" fontId="7" numFmtId="0" xfId="0" applyAlignment="1" applyBorder="1" applyFont="1">
      <alignment horizontal="center" readingOrder="0"/>
    </xf>
    <xf borderId="0" fillId="217" fontId="7" numFmtId="0" xfId="0" applyAlignment="1" applyFont="1">
      <alignment horizontal="center" readingOrder="0"/>
    </xf>
    <xf borderId="0" fillId="217" fontId="7" numFmtId="0" xfId="0" applyAlignment="1" applyFont="1">
      <alignment horizontal="center"/>
    </xf>
    <xf borderId="56" fillId="0" fontId="2" numFmtId="0" xfId="0" applyAlignment="1" applyBorder="1" applyFont="1">
      <alignment horizontal="center" readingOrder="0"/>
    </xf>
    <xf borderId="0" fillId="0" fontId="2" numFmtId="166" xfId="0" applyAlignment="1" applyFont="1" applyNumberFormat="1">
      <alignment horizontal="center"/>
    </xf>
    <xf borderId="0" fillId="0" fontId="2" numFmtId="2" xfId="0" applyAlignment="1" applyFont="1" applyNumberFormat="1">
      <alignment horizontal="center"/>
    </xf>
    <xf borderId="0" fillId="0" fontId="2" numFmtId="10" xfId="0" applyAlignment="1" applyFont="1" applyNumberFormat="1">
      <alignment horizontal="center"/>
    </xf>
    <xf borderId="0" fillId="0" fontId="2" numFmtId="3" xfId="0" applyAlignment="1" applyFont="1" applyNumberFormat="1">
      <alignment horizontal="center"/>
    </xf>
    <xf borderId="0" fillId="0" fontId="2" numFmtId="165" xfId="0" applyAlignment="1" applyFont="1" applyNumberFormat="1">
      <alignment horizontal="center"/>
    </xf>
    <xf borderId="0" fillId="0" fontId="2" numFmtId="165" xfId="0" applyAlignment="1" applyFont="1" applyNumberFormat="1">
      <alignment horizontal="center"/>
    </xf>
    <xf borderId="0" fillId="0" fontId="2" numFmtId="173" xfId="0" applyAlignment="1" applyFont="1" applyNumberFormat="1">
      <alignment horizontal="center"/>
    </xf>
    <xf borderId="57" fillId="0" fontId="2" numFmtId="165" xfId="0" applyBorder="1" applyFont="1" applyNumberFormat="1"/>
    <xf borderId="0" fillId="4" fontId="68" numFmtId="3" xfId="0" applyAlignment="1" applyFont="1" applyNumberFormat="1">
      <alignment horizontal="center" readingOrder="0"/>
    </xf>
    <xf borderId="0" fillId="0" fontId="2" numFmtId="165" xfId="0" applyFont="1" applyNumberFormat="1"/>
    <xf borderId="0" fillId="4" fontId="68" numFmtId="3" xfId="0" applyAlignment="1" applyFont="1" applyNumberFormat="1">
      <alignment horizontal="center"/>
    </xf>
    <xf borderId="0" fillId="4" fontId="63" numFmtId="0" xfId="0" applyAlignment="1" applyFont="1">
      <alignment horizontal="center" readingOrder="0" shrinkToFit="0" vertical="center" wrapText="1"/>
    </xf>
    <xf borderId="0" fillId="4" fontId="64" numFmtId="0" xfId="0" applyAlignment="1" applyFont="1">
      <alignment horizontal="center" readingOrder="0" vertical="center"/>
    </xf>
    <xf borderId="0" fillId="0" fontId="12" numFmtId="0" xfId="0" applyAlignment="1" applyFont="1">
      <alignment readingOrder="0"/>
    </xf>
    <xf borderId="0" fillId="0" fontId="2" numFmtId="4" xfId="0" applyFont="1" applyNumberFormat="1"/>
    <xf borderId="0" fillId="4" fontId="97" numFmtId="0" xfId="0" applyAlignment="1" applyFont="1">
      <alignment readingOrder="0"/>
    </xf>
    <xf borderId="0" fillId="0" fontId="98" numFmtId="10" xfId="0" applyAlignment="1" applyFont="1" applyNumberFormat="1">
      <alignment horizontal="center"/>
    </xf>
    <xf borderId="58" fillId="0" fontId="2" numFmtId="0" xfId="0" applyAlignment="1" applyBorder="1" applyFont="1">
      <alignment horizontal="center" readingOrder="0"/>
    </xf>
    <xf borderId="59" fillId="0" fontId="2" numFmtId="166" xfId="0" applyAlignment="1" applyBorder="1" applyFont="1" applyNumberFormat="1">
      <alignment horizontal="center"/>
    </xf>
    <xf borderId="59" fillId="0" fontId="2" numFmtId="2" xfId="0" applyAlignment="1" applyBorder="1" applyFont="1" applyNumberFormat="1">
      <alignment horizontal="center"/>
    </xf>
    <xf borderId="59" fillId="0" fontId="2" numFmtId="10" xfId="0" applyAlignment="1" applyBorder="1" applyFont="1" applyNumberFormat="1">
      <alignment horizontal="center"/>
    </xf>
    <xf borderId="59" fillId="0" fontId="2" numFmtId="3" xfId="0" applyAlignment="1" applyBorder="1" applyFont="1" applyNumberFormat="1">
      <alignment horizontal="center"/>
    </xf>
    <xf borderId="59" fillId="0" fontId="2" numFmtId="165" xfId="0" applyAlignment="1" applyBorder="1" applyFont="1" applyNumberFormat="1">
      <alignment horizontal="center"/>
    </xf>
    <xf borderId="59" fillId="0" fontId="2" numFmtId="165" xfId="0" applyAlignment="1" applyBorder="1" applyFont="1" applyNumberFormat="1">
      <alignment horizontal="center"/>
    </xf>
    <xf borderId="59" fillId="0" fontId="2" numFmtId="173" xfId="0" applyAlignment="1" applyBorder="1" applyFont="1" applyNumberFormat="1">
      <alignment horizontal="center"/>
    </xf>
    <xf borderId="59" fillId="0" fontId="2" numFmtId="10" xfId="0" applyAlignment="1" applyBorder="1" applyFont="1" applyNumberFormat="1">
      <alignment horizontal="center" readingOrder="0"/>
    </xf>
    <xf borderId="60" fillId="0" fontId="2" numFmtId="165" xfId="0" applyBorder="1" applyFont="1" applyNumberFormat="1"/>
    <xf borderId="1" fillId="217" fontId="7" numFmtId="0" xfId="0" applyAlignment="1" applyBorder="1" applyFont="1">
      <alignment horizontal="left" readingOrder="0"/>
    </xf>
    <xf borderId="2" fillId="217" fontId="7" numFmtId="0" xfId="0" applyAlignment="1" applyBorder="1" applyFont="1">
      <alignment horizontal="center"/>
    </xf>
    <xf borderId="3" fillId="217" fontId="7" numFmtId="0" xfId="0" applyAlignment="1" applyBorder="1" applyFont="1">
      <alignment horizontal="center"/>
    </xf>
    <xf borderId="4" fillId="0" fontId="2" numFmtId="0" xfId="0" applyAlignment="1" applyBorder="1" applyFont="1">
      <alignment readingOrder="0"/>
    </xf>
    <xf borderId="0" fillId="0" fontId="2" numFmtId="0" xfId="0" applyAlignment="1" applyFont="1">
      <alignment horizontal="center" readingOrder="0"/>
    </xf>
    <xf borderId="5" fillId="0" fontId="2" numFmtId="0" xfId="0" applyAlignment="1" applyBorder="1" applyFont="1">
      <alignment horizontal="center" readingOrder="0"/>
    </xf>
    <xf borderId="4" fillId="0" fontId="2" numFmtId="0" xfId="0" applyAlignment="1" applyBorder="1" applyFont="1">
      <alignment horizontal="center" readingOrder="0"/>
    </xf>
    <xf borderId="5" fillId="0" fontId="2" numFmtId="164" xfId="0" applyAlignment="1" applyBorder="1" applyFont="1" applyNumberFormat="1">
      <alignment horizontal="center"/>
    </xf>
    <xf borderId="0" fillId="0" fontId="2" numFmtId="174" xfId="0" applyFont="1" applyNumberFormat="1"/>
    <xf borderId="5" fillId="0" fontId="2" numFmtId="10" xfId="0" applyAlignment="1" applyBorder="1" applyFont="1" applyNumberFormat="1">
      <alignment horizontal="center"/>
    </xf>
    <xf borderId="10" fillId="0" fontId="2" numFmtId="0" xfId="0" applyAlignment="1" applyBorder="1" applyFont="1">
      <alignment horizontal="center" readingOrder="0"/>
    </xf>
    <xf borderId="25" fillId="0" fontId="2" numFmtId="165" xfId="0" applyAlignment="1" applyBorder="1" applyFont="1" applyNumberFormat="1">
      <alignment horizontal="center"/>
    </xf>
    <xf borderId="25" fillId="0" fontId="2" numFmtId="10" xfId="0" applyAlignment="1" applyBorder="1" applyFont="1" applyNumberFormat="1">
      <alignment horizontal="center"/>
    </xf>
    <xf borderId="11" fillId="0" fontId="2" numFmtId="10" xfId="0" applyAlignment="1" applyBorder="1" applyFont="1" applyNumberFormat="1">
      <alignment horizontal="center"/>
    </xf>
    <xf borderId="0" fillId="4" fontId="7" numFmtId="0" xfId="0" applyAlignment="1" applyFont="1">
      <alignment horizontal="left" readingOrder="0"/>
    </xf>
    <xf borderId="0" fillId="4" fontId="2" numFmtId="0" xfId="0" applyAlignment="1" applyFont="1">
      <alignment horizontal="center"/>
    </xf>
    <xf borderId="3" fillId="2" fontId="84" numFmtId="0" xfId="0" applyBorder="1" applyFont="1"/>
    <xf borderId="5" fillId="3" fontId="86" numFmtId="10" xfId="0" applyAlignment="1" applyBorder="1" applyFont="1" applyNumberFormat="1">
      <alignment horizontal="center" readingOrder="0"/>
    </xf>
    <xf borderId="5" fillId="3" fontId="96" numFmtId="4" xfId="0" applyAlignment="1" applyBorder="1" applyFont="1" applyNumberFormat="1">
      <alignment horizontal="center" readingOrder="0"/>
    </xf>
    <xf borderId="5" fillId="3" fontId="86" numFmtId="9" xfId="0" applyAlignment="1" applyBorder="1" applyFont="1" applyNumberFormat="1">
      <alignment horizontal="center" readingOrder="0"/>
    </xf>
    <xf borderId="4" fillId="3" fontId="82" numFmtId="0" xfId="0" applyAlignment="1" applyBorder="1" applyFont="1">
      <alignment vertical="bottom"/>
    </xf>
    <xf borderId="5" fillId="3" fontId="86" numFmtId="10" xfId="0" applyAlignment="1" applyBorder="1" applyFont="1" applyNumberFormat="1">
      <alignment horizontal="center" vertical="bottom"/>
    </xf>
    <xf borderId="10" fillId="3" fontId="89" numFmtId="0" xfId="0" applyAlignment="1" applyBorder="1" applyFont="1">
      <alignment readingOrder="0"/>
    </xf>
    <xf borderId="11" fillId="3" fontId="86" numFmtId="4" xfId="0" applyAlignment="1" applyBorder="1" applyFont="1" applyNumberFormat="1">
      <alignment horizontal="center" readingOrder="0"/>
    </xf>
    <xf borderId="5" fillId="3" fontId="86" numFmtId="3" xfId="0" applyAlignment="1" applyBorder="1" applyFont="1" applyNumberFormat="1">
      <alignment horizontal="center" readingOrder="0"/>
    </xf>
    <xf borderId="5" fillId="3" fontId="96" numFmtId="165" xfId="0" applyAlignment="1" applyBorder="1" applyFont="1" applyNumberFormat="1">
      <alignment horizontal="center" readingOrder="0"/>
    </xf>
    <xf borderId="11" fillId="3" fontId="96" numFmtId="10" xfId="0" applyAlignment="1" applyBorder="1" applyFont="1" applyNumberFormat="1">
      <alignment horizontal="center" readingOrder="0"/>
    </xf>
    <xf borderId="5" fillId="3" fontId="96" numFmtId="10" xfId="0" applyAlignment="1" applyBorder="1" applyFont="1" applyNumberFormat="1">
      <alignment horizontal="center" readingOrder="0"/>
    </xf>
    <xf borderId="11" fillId="3" fontId="86" numFmtId="10" xfId="0" applyAlignment="1" applyBorder="1" applyFont="1" applyNumberFormat="1">
      <alignment horizontal="center" readingOrder="0"/>
    </xf>
    <xf borderId="57" fillId="0" fontId="2" numFmtId="0" xfId="0" applyBorder="1" applyFont="1"/>
    <xf borderId="0" fillId="0" fontId="99" numFmtId="0" xfId="0" applyAlignment="1" applyFont="1">
      <alignment readingOrder="0"/>
    </xf>
    <xf borderId="57" fillId="0" fontId="2" numFmtId="0" xfId="0" applyAlignment="1" applyBorder="1" applyFont="1">
      <alignment readingOrder="0"/>
    </xf>
    <xf borderId="54" fillId="0" fontId="2" numFmtId="0" xfId="0" applyAlignment="1" applyBorder="1" applyFont="1">
      <alignment horizontal="center" readingOrder="0"/>
    </xf>
    <xf borderId="55" fillId="0" fontId="12" numFmtId="0" xfId="0" applyAlignment="1" applyBorder="1" applyFont="1">
      <alignment horizontal="center" readingOrder="0"/>
    </xf>
    <xf borderId="61" fillId="0" fontId="12" numFmtId="0" xfId="0" applyAlignment="1" applyBorder="1" applyFont="1">
      <alignment horizontal="center" readingOrder="0"/>
    </xf>
    <xf borderId="56" fillId="0" fontId="2" numFmtId="0" xfId="0" applyBorder="1" applyFont="1"/>
    <xf borderId="0" fillId="0" fontId="12" numFmtId="0" xfId="0" applyAlignment="1" applyFont="1">
      <alignment horizontal="center" readingOrder="0"/>
    </xf>
    <xf borderId="0" fillId="0" fontId="12" numFmtId="0" xfId="0" applyAlignment="1" applyFont="1">
      <alignment horizontal="center"/>
    </xf>
    <xf borderId="57" fillId="0" fontId="2" numFmtId="0" xfId="0" applyAlignment="1" applyBorder="1" applyFont="1">
      <alignment horizontal="center"/>
    </xf>
    <xf borderId="56" fillId="0" fontId="2" numFmtId="0" xfId="0" applyAlignment="1" applyBorder="1" applyFont="1">
      <alignment readingOrder="0"/>
    </xf>
    <xf borderId="0" fillId="218" fontId="2" numFmtId="3" xfId="0" applyAlignment="1" applyFill="1" applyFont="1" applyNumberFormat="1">
      <alignment readingOrder="0"/>
    </xf>
    <xf borderId="0" fillId="218" fontId="2" numFmtId="3" xfId="0" applyAlignment="1" applyFont="1" applyNumberFormat="1">
      <alignment horizontal="center" readingOrder="0"/>
    </xf>
    <xf borderId="0" fillId="0" fontId="11" numFmtId="3" xfId="0" applyAlignment="1" applyFont="1" applyNumberFormat="1">
      <alignment readingOrder="0"/>
    </xf>
    <xf borderId="57" fillId="0" fontId="2" numFmtId="3" xfId="0" applyAlignment="1" applyBorder="1" applyFont="1" applyNumberFormat="1">
      <alignment horizontal="center"/>
    </xf>
    <xf borderId="0" fillId="218" fontId="2" numFmtId="0" xfId="0" applyFont="1"/>
    <xf borderId="57" fillId="0" fontId="2" numFmtId="165" xfId="0" applyAlignment="1" applyBorder="1" applyFont="1" applyNumberFormat="1">
      <alignment horizontal="center"/>
    </xf>
    <xf borderId="0" fillId="218" fontId="11" numFmtId="10" xfId="0" applyAlignment="1" applyFont="1" applyNumberFormat="1">
      <alignment horizontal="center" readingOrder="0"/>
    </xf>
    <xf borderId="0" fillId="0" fontId="11" numFmtId="10" xfId="0" applyAlignment="1" applyFont="1" applyNumberFormat="1">
      <alignment horizontal="center" readingOrder="0"/>
    </xf>
    <xf borderId="57" fillId="0" fontId="11" numFmtId="10" xfId="0" applyAlignment="1" applyBorder="1" applyFont="1" applyNumberFormat="1">
      <alignment horizontal="center" readingOrder="0"/>
    </xf>
    <xf borderId="0" fillId="218" fontId="2" numFmtId="10" xfId="0" applyFont="1" applyNumberFormat="1"/>
    <xf borderId="0" fillId="218" fontId="2" numFmtId="4" xfId="0" applyFont="1" applyNumberFormat="1"/>
    <xf borderId="0" fillId="218" fontId="2" numFmtId="4" xfId="0" applyAlignment="1" applyFont="1" applyNumberFormat="1">
      <alignment horizontal="center"/>
    </xf>
    <xf borderId="0" fillId="4" fontId="2" numFmtId="4" xfId="0" applyAlignment="1" applyFont="1" applyNumberFormat="1">
      <alignment horizontal="center"/>
    </xf>
    <xf borderId="57" fillId="0" fontId="2" numFmtId="4" xfId="0" applyBorder="1" applyFont="1" applyNumberFormat="1"/>
    <xf borderId="57" fillId="0" fontId="2" numFmtId="4" xfId="0" applyAlignment="1" applyBorder="1" applyFont="1" applyNumberFormat="1">
      <alignment horizontal="center"/>
    </xf>
    <xf borderId="0" fillId="0" fontId="2" numFmtId="171" xfId="0" applyAlignment="1" applyFont="1" applyNumberFormat="1">
      <alignment horizontal="center"/>
    </xf>
    <xf borderId="56" fillId="0" fontId="2" numFmtId="0" xfId="0" applyAlignment="1" applyBorder="1" applyFont="1">
      <alignment horizontal="left" readingOrder="0"/>
    </xf>
    <xf borderId="0" fillId="0" fontId="12" numFmtId="3" xfId="0" applyAlignment="1" applyFont="1" applyNumberFormat="1">
      <alignment horizontal="center"/>
    </xf>
    <xf borderId="57" fillId="0" fontId="12" numFmtId="3" xfId="0" applyAlignment="1" applyBorder="1" applyFont="1" applyNumberFormat="1">
      <alignment horizontal="center"/>
    </xf>
    <xf borderId="58" fillId="0" fontId="2" numFmtId="0" xfId="0" applyAlignment="1" applyBorder="1" applyFont="1">
      <alignment readingOrder="0"/>
    </xf>
    <xf borderId="59" fillId="0" fontId="12" numFmtId="3" xfId="0" applyAlignment="1" applyBorder="1" applyFont="1" applyNumberFormat="1">
      <alignment horizontal="center"/>
    </xf>
    <xf borderId="60" fillId="0" fontId="12" numFmtId="3" xfId="0" applyAlignment="1" applyBorder="1" applyFont="1" applyNumberFormat="1">
      <alignment horizontal="center"/>
    </xf>
    <xf borderId="60" fillId="0" fontId="12" numFmtId="0" xfId="0" applyAlignment="1" applyBorder="1" applyFont="1">
      <alignment horizontal="center"/>
    </xf>
    <xf borderId="62" fillId="0" fontId="2" numFmtId="0" xfId="0" applyBorder="1" applyFont="1"/>
    <xf borderId="54" fillId="0" fontId="2" numFmtId="0" xfId="0" applyAlignment="1" applyBorder="1" applyFont="1">
      <alignment readingOrder="0"/>
    </xf>
    <xf borderId="55" fillId="0" fontId="2" numFmtId="3" xfId="0" applyAlignment="1" applyBorder="1" applyFont="1" applyNumberFormat="1">
      <alignment horizontal="center"/>
    </xf>
    <xf borderId="55" fillId="0" fontId="2" numFmtId="3" xfId="0" applyBorder="1" applyFont="1" applyNumberFormat="1"/>
    <xf borderId="61" fillId="0" fontId="2" numFmtId="3" xfId="0" applyBorder="1" applyFont="1" applyNumberFormat="1"/>
    <xf borderId="61" fillId="0" fontId="2" numFmtId="3" xfId="0" applyAlignment="1" applyBorder="1" applyFont="1" applyNumberFormat="1">
      <alignment horizontal="center"/>
    </xf>
    <xf borderId="0" fillId="4" fontId="100" numFmtId="0" xfId="0" applyAlignment="1" applyFont="1">
      <alignment horizontal="center" readingOrder="0" vertical="center"/>
    </xf>
    <xf borderId="0" fillId="0" fontId="2" numFmtId="175" xfId="0" applyAlignment="1" applyFont="1" applyNumberFormat="1">
      <alignment horizontal="center"/>
    </xf>
    <xf borderId="57" fillId="0" fontId="2" numFmtId="175" xfId="0" applyAlignment="1" applyBorder="1" applyFont="1" applyNumberFormat="1">
      <alignment horizontal="center"/>
    </xf>
    <xf borderId="59" fillId="180" fontId="7" numFmtId="1" xfId="0" applyAlignment="1" applyBorder="1" applyFont="1" applyNumberFormat="1">
      <alignment horizontal="center"/>
    </xf>
    <xf borderId="60" fillId="180" fontId="7" numFmtId="1" xfId="0" applyAlignment="1" applyBorder="1" applyFont="1" applyNumberFormat="1">
      <alignment horizontal="center"/>
    </xf>
    <xf borderId="0" fillId="180" fontId="7" numFmtId="1" xfId="0" applyAlignment="1" applyFont="1" applyNumberFormat="1">
      <alignment horizontal="center"/>
    </xf>
    <xf borderId="57" fillId="180" fontId="7" numFmtId="1" xfId="0" applyAlignment="1" applyBorder="1" applyFont="1" applyNumberFormat="1">
      <alignment horizontal="center"/>
    </xf>
    <xf borderId="54" fillId="0" fontId="101" numFmtId="0" xfId="0" applyAlignment="1" applyBorder="1" applyFont="1">
      <alignment readingOrder="0"/>
    </xf>
    <xf borderId="55" fillId="0" fontId="2" numFmtId="0" xfId="0" applyBorder="1" applyFont="1"/>
    <xf borderId="61" fillId="0" fontId="2" numFmtId="0" xfId="0" applyBorder="1" applyFont="1"/>
    <xf borderId="61" fillId="0" fontId="2" numFmtId="0" xfId="0" applyAlignment="1" applyBorder="1" applyFont="1">
      <alignment horizontal="center"/>
    </xf>
    <xf borderId="57" fillId="0" fontId="2" numFmtId="3" xfId="0" applyBorder="1" applyFont="1" applyNumberFormat="1"/>
    <xf borderId="56" fillId="4" fontId="2" numFmtId="0" xfId="0" applyAlignment="1" applyBorder="1" applyFont="1">
      <alignment readingOrder="0"/>
    </xf>
    <xf borderId="63" fillId="0" fontId="97" numFmtId="0" xfId="0" applyAlignment="1" applyBorder="1" applyFont="1">
      <alignment readingOrder="0"/>
    </xf>
    <xf borderId="64" fillId="0" fontId="97" numFmtId="0" xfId="0" applyBorder="1" applyFont="1"/>
    <xf borderId="64" fillId="0" fontId="97" numFmtId="3" xfId="0" applyBorder="1" applyFont="1" applyNumberFormat="1"/>
    <xf borderId="65" fillId="0" fontId="97" numFmtId="3" xfId="0" applyBorder="1" applyFont="1" applyNumberFormat="1"/>
    <xf borderId="65" fillId="0" fontId="97" numFmtId="0" xfId="0" applyBorder="1" applyFont="1"/>
    <xf borderId="58" fillId="4" fontId="2" numFmtId="0" xfId="0" applyAlignment="1" applyBorder="1" applyFont="1">
      <alignment readingOrder="0"/>
    </xf>
    <xf borderId="59" fillId="0" fontId="2" numFmtId="171" xfId="0" applyBorder="1" applyFont="1" applyNumberFormat="1"/>
    <xf borderId="59" fillId="0" fontId="2" numFmtId="3" xfId="0" applyBorder="1" applyFont="1" applyNumberFormat="1"/>
    <xf borderId="60" fillId="0" fontId="2" numFmtId="3" xfId="0" applyBorder="1" applyFont="1" applyNumberFormat="1"/>
    <xf borderId="54" fillId="0" fontId="102" numFmtId="0" xfId="0" applyAlignment="1" applyBorder="1" applyFont="1">
      <alignment readingOrder="0"/>
    </xf>
    <xf borderId="0" fillId="0" fontId="2" numFmtId="2" xfId="0" applyFont="1" applyNumberFormat="1"/>
    <xf borderId="57" fillId="0" fontId="2" numFmtId="2" xfId="0" applyBorder="1" applyFont="1" applyNumberFormat="1"/>
    <xf borderId="0" fillId="0" fontId="2" numFmtId="176" xfId="0" applyFont="1" applyNumberFormat="1"/>
    <xf borderId="57" fillId="0" fontId="2" numFmtId="176" xfId="0" applyBorder="1" applyFont="1" applyNumberFormat="1"/>
    <xf borderId="59" fillId="0" fontId="2" numFmtId="0" xfId="0" applyBorder="1" applyFont="1"/>
    <xf borderId="59" fillId="0" fontId="2" numFmtId="10" xfId="0" applyBorder="1" applyFont="1" applyNumberFormat="1"/>
    <xf borderId="60" fillId="0" fontId="2" numFmtId="10" xfId="0" applyBorder="1" applyFont="1" applyNumberFormat="1"/>
    <xf borderId="57" fillId="0" fontId="2" numFmtId="10" xfId="0" applyBorder="1" applyFont="1" applyNumberFormat="1"/>
    <xf borderId="0" fillId="4" fontId="2" numFmtId="4" xfId="0" applyFont="1" applyNumberFormat="1"/>
    <xf borderId="39" fillId="213" fontId="7" numFmtId="0" xfId="0" applyAlignment="1" applyBorder="1" applyFont="1">
      <alignment readingOrder="0"/>
    </xf>
    <xf borderId="35" fillId="214" fontId="2" numFmtId="177" xfId="0" applyBorder="1" applyFont="1" applyNumberFormat="1"/>
    <xf borderId="35" fillId="0" fontId="2" numFmtId="0" xfId="0" applyBorder="1" applyFont="1"/>
    <xf borderId="66" fillId="0" fontId="2" numFmtId="0" xfId="0" applyBorder="1" applyFont="1"/>
    <xf borderId="14" fillId="219" fontId="2" numFmtId="0" xfId="0" applyAlignment="1" applyBorder="1" applyFill="1" applyFont="1">
      <alignment readingOrder="0"/>
    </xf>
    <xf borderId="0" fillId="219" fontId="2" numFmtId="177" xfId="0" applyFont="1" applyNumberFormat="1"/>
    <xf borderId="57" fillId="219" fontId="2" numFmtId="177" xfId="0" applyBorder="1" applyFont="1" applyNumberFormat="1"/>
    <xf borderId="0" fillId="4" fontId="2" numFmtId="177" xfId="0" applyFont="1" applyNumberFormat="1"/>
    <xf borderId="0" fillId="4" fontId="2" numFmtId="177" xfId="0" applyAlignment="1" applyFont="1" applyNumberFormat="1">
      <alignment horizontal="center"/>
    </xf>
    <xf borderId="16" fillId="0" fontId="2" numFmtId="0" xfId="0" applyAlignment="1" applyBorder="1" applyFont="1">
      <alignment readingOrder="0"/>
    </xf>
    <xf borderId="31" fillId="0" fontId="2" numFmtId="0" xfId="0" applyBorder="1" applyFont="1"/>
    <xf borderId="31" fillId="0" fontId="2" numFmtId="10" xfId="0" applyBorder="1" applyFont="1" applyNumberFormat="1"/>
    <xf borderId="0" fillId="4" fontId="2" numFmtId="175" xfId="0" applyFont="1" applyNumberFormat="1"/>
    <xf borderId="0" fillId="4" fontId="2" numFmtId="175" xfId="0" applyAlignment="1" applyFont="1" applyNumberFormat="1">
      <alignment horizontal="center"/>
    </xf>
    <xf borderId="38" fillId="180" fontId="2" numFmtId="10" xfId="0" applyAlignment="1" applyBorder="1" applyFont="1" applyNumberFormat="1">
      <alignment readingOrder="0"/>
    </xf>
    <xf borderId="0" fillId="0" fontId="2" numFmtId="175" xfId="0" applyFont="1" applyNumberFormat="1"/>
    <xf borderId="57" fillId="0" fontId="2" numFmtId="175" xfId="0" applyBorder="1" applyFont="1" applyNumberFormat="1"/>
    <xf borderId="56" fillId="0" fontId="103" numFmtId="0" xfId="0" applyAlignment="1" applyBorder="1" applyFont="1">
      <alignment readingOrder="0"/>
    </xf>
    <xf borderId="0" fillId="0" fontId="11" numFmtId="175" xfId="0" applyAlignment="1" applyFont="1" applyNumberFormat="1">
      <alignment readingOrder="0"/>
    </xf>
    <xf borderId="57" fillId="0" fontId="11" numFmtId="175" xfId="0" applyAlignment="1" applyBorder="1" applyFont="1" applyNumberFormat="1">
      <alignment readingOrder="0"/>
    </xf>
    <xf borderId="0" fillId="4" fontId="98" numFmtId="4" xfId="0" applyFont="1" applyNumberFormat="1"/>
    <xf borderId="0" fillId="4" fontId="98" numFmtId="4" xfId="0" applyAlignment="1" applyFont="1" applyNumberFormat="1">
      <alignment horizontal="center"/>
    </xf>
    <xf borderId="57" fillId="0" fontId="2" numFmtId="1" xfId="0" applyBorder="1" applyFont="1" applyNumberFormat="1"/>
    <xf borderId="57" fillId="0" fontId="2" numFmtId="174" xfId="0" applyBorder="1" applyFont="1" applyNumberFormat="1"/>
    <xf borderId="56" fillId="33" fontId="2" numFmtId="0" xfId="0" applyAlignment="1" applyBorder="1" applyFont="1">
      <alignment readingOrder="0"/>
    </xf>
    <xf borderId="0" fillId="33" fontId="2" numFmtId="178" xfId="0" applyFont="1" applyNumberFormat="1"/>
    <xf borderId="0" fillId="180" fontId="2" numFmtId="178" xfId="0" applyFont="1" applyNumberFormat="1"/>
    <xf borderId="57" fillId="33" fontId="2" numFmtId="178" xfId="0" applyBorder="1" applyFont="1" applyNumberFormat="1"/>
    <xf borderId="0" fillId="4" fontId="2" numFmtId="178" xfId="0" applyFont="1" applyNumberFormat="1"/>
    <xf borderId="0" fillId="4" fontId="2" numFmtId="178" xfId="0" applyAlignment="1" applyFont="1" applyNumberFormat="1">
      <alignment horizontal="center"/>
    </xf>
    <xf borderId="54" fillId="0" fontId="12" numFmtId="0" xfId="0" applyAlignment="1" applyBorder="1" applyFont="1">
      <alignment readingOrder="0"/>
    </xf>
    <xf borderId="0" fillId="4" fontId="2" numFmtId="10" xfId="0" applyFont="1" applyNumberFormat="1"/>
    <xf borderId="0" fillId="4" fontId="2" numFmtId="10" xfId="0" applyAlignment="1" applyFont="1" applyNumberFormat="1">
      <alignment horizontal="center"/>
    </xf>
    <xf borderId="0" fillId="0" fontId="11" numFmtId="0" xfId="0" applyAlignment="1" applyFont="1">
      <alignment readingOrder="0"/>
    </xf>
    <xf borderId="0" fillId="4" fontId="11" numFmtId="0" xfId="0" applyAlignment="1" applyFont="1">
      <alignment readingOrder="0"/>
    </xf>
    <xf borderId="0" fillId="4" fontId="11" numFmtId="4" xfId="0" applyAlignment="1" applyFont="1" applyNumberFormat="1">
      <alignment readingOrder="0"/>
    </xf>
    <xf borderId="0" fillId="0" fontId="11" numFmtId="4" xfId="0" applyAlignment="1" applyFont="1" applyNumberFormat="1">
      <alignment readingOrder="0"/>
    </xf>
    <xf borderId="57" fillId="0" fontId="11" numFmtId="4" xfId="0" applyAlignment="1" applyBorder="1" applyFont="1" applyNumberFormat="1">
      <alignment readingOrder="0"/>
    </xf>
    <xf borderId="57" fillId="0" fontId="11" numFmtId="0" xfId="0" applyAlignment="1" applyBorder="1" applyFont="1">
      <alignment readingOrder="0"/>
    </xf>
    <xf borderId="0" fillId="0" fontId="2" numFmtId="166" xfId="0" applyFont="1" applyNumberFormat="1"/>
    <xf borderId="57" fillId="0" fontId="2" numFmtId="166" xfId="0" applyBorder="1" applyFont="1" applyNumberFormat="1"/>
    <xf borderId="59" fillId="0" fontId="2" numFmtId="166" xfId="0" applyBorder="1" applyFont="1" applyNumberFormat="1"/>
    <xf borderId="60" fillId="0" fontId="2" numFmtId="166" xfId="0" applyBorder="1" applyFont="1" applyNumberFormat="1"/>
    <xf borderId="0" fillId="4" fontId="2" numFmtId="166" xfId="0" applyFont="1" applyNumberFormat="1"/>
    <xf borderId="0" fillId="4" fontId="2" numFmtId="166" xfId="0" applyAlignment="1" applyFont="1" applyNumberFormat="1">
      <alignment horizontal="center"/>
    </xf>
    <xf borderId="0" fillId="0" fontId="104" numFmtId="165" xfId="0" applyAlignment="1" applyFont="1" applyNumberFormat="1">
      <alignment horizontal="center" readingOrder="0"/>
    </xf>
    <xf borderId="0" fillId="0" fontId="10" numFmtId="165" xfId="0" applyAlignment="1" applyFont="1" applyNumberFormat="1">
      <alignment horizontal="center"/>
    </xf>
    <xf borderId="57" fillId="0" fontId="10" numFmtId="165" xfId="0" applyAlignment="1" applyBorder="1" applyFont="1" applyNumberFormat="1">
      <alignment horizontal="center"/>
    </xf>
    <xf borderId="57" fillId="0" fontId="2" numFmtId="166" xfId="0" applyAlignment="1" applyBorder="1" applyFont="1" applyNumberFormat="1">
      <alignment horizontal="center"/>
    </xf>
    <xf borderId="0" fillId="4" fontId="10" numFmtId="165" xfId="0" applyAlignment="1" applyFont="1" applyNumberFormat="1">
      <alignment horizontal="center"/>
    </xf>
    <xf borderId="0" fillId="0" fontId="2" numFmtId="179" xfId="0" applyAlignment="1" applyFont="1" applyNumberFormat="1">
      <alignment horizontal="center"/>
    </xf>
    <xf borderId="57" fillId="0" fontId="2" numFmtId="179" xfId="0" applyAlignment="1" applyBorder="1" applyFont="1" applyNumberFormat="1">
      <alignment horizontal="center"/>
    </xf>
    <xf borderId="63" fillId="214" fontId="2" numFmtId="0" xfId="0" applyAlignment="1" applyBorder="1" applyFont="1">
      <alignment readingOrder="0"/>
    </xf>
    <xf borderId="64" fillId="214" fontId="2" numFmtId="0" xfId="0" applyAlignment="1" applyBorder="1" applyFont="1">
      <alignment horizontal="center"/>
    </xf>
    <xf borderId="64" fillId="214" fontId="2" numFmtId="165" xfId="0" applyAlignment="1" applyBorder="1" applyFont="1" applyNumberFormat="1">
      <alignment horizontal="center"/>
    </xf>
    <xf borderId="65" fillId="214" fontId="2" numFmtId="165" xfId="0" applyAlignment="1" applyBorder="1" applyFont="1" applyNumberFormat="1">
      <alignment horizontal="center"/>
    </xf>
    <xf borderId="65" fillId="214" fontId="2" numFmtId="0" xfId="0" applyAlignment="1" applyBorder="1" applyFont="1">
      <alignment horizontal="center"/>
    </xf>
    <xf borderId="67" fillId="4" fontId="105" numFmtId="0" xfId="0" applyAlignment="1" applyBorder="1" applyFont="1">
      <alignment horizontal="center"/>
    </xf>
    <xf borderId="54" fillId="220" fontId="7" numFmtId="0" xfId="0" applyBorder="1" applyFill="1" applyFont="1"/>
    <xf borderId="55" fillId="220" fontId="7" numFmtId="0" xfId="0" applyBorder="1" applyFont="1"/>
    <xf borderId="55" fillId="220" fontId="7" numFmtId="0" xfId="0" applyAlignment="1" applyBorder="1" applyFont="1">
      <alignment horizontal="center" readingOrder="0"/>
    </xf>
    <xf borderId="55" fillId="220" fontId="7" numFmtId="0" xfId="0" applyAlignment="1" applyBorder="1" applyFont="1">
      <alignment horizontal="center"/>
    </xf>
    <xf borderId="61" fillId="220" fontId="7" numFmtId="0" xfId="0" applyAlignment="1" applyBorder="1" applyFont="1">
      <alignment horizontal="center"/>
    </xf>
    <xf borderId="56" fillId="220" fontId="7" numFmtId="0" xfId="0" applyAlignment="1" applyBorder="1" applyFont="1">
      <alignment readingOrder="0"/>
    </xf>
    <xf borderId="0" fillId="220" fontId="7" numFmtId="0" xfId="0" applyFont="1"/>
    <xf borderId="0" fillId="220" fontId="7" numFmtId="10" xfId="0" applyAlignment="1" applyFont="1" applyNumberFormat="1">
      <alignment horizontal="center" readingOrder="0"/>
    </xf>
    <xf borderId="0" fillId="220" fontId="106" numFmtId="10" xfId="0" applyAlignment="1" applyFont="1" applyNumberFormat="1">
      <alignment horizontal="center" readingOrder="0"/>
    </xf>
    <xf borderId="57" fillId="220" fontId="7" numFmtId="10" xfId="0" applyAlignment="1" applyBorder="1" applyFont="1" applyNumberFormat="1">
      <alignment horizontal="center" readingOrder="0"/>
    </xf>
    <xf borderId="56" fillId="220" fontId="7" numFmtId="0" xfId="0" applyBorder="1" applyFont="1"/>
    <xf borderId="0" fillId="220" fontId="7" numFmtId="0" xfId="0" applyAlignment="1" applyFont="1">
      <alignment readingOrder="0"/>
    </xf>
    <xf borderId="57" fillId="220" fontId="7" numFmtId="0" xfId="0" applyAlignment="1" applyBorder="1" applyFont="1">
      <alignment readingOrder="0"/>
    </xf>
    <xf borderId="0" fillId="4" fontId="7" numFmtId="10" xfId="0" applyAlignment="1" applyFont="1" applyNumberFormat="1">
      <alignment horizontal="center" readingOrder="0"/>
    </xf>
    <xf borderId="68" fillId="0" fontId="12" numFmtId="0" xfId="0" applyAlignment="1" applyBorder="1" applyFont="1">
      <alignment readingOrder="0"/>
    </xf>
    <xf borderId="69" fillId="0" fontId="2" numFmtId="0" xfId="0" applyBorder="1" applyFont="1"/>
    <xf borderId="70" fillId="0" fontId="2" numFmtId="0" xfId="0" applyBorder="1" applyFont="1"/>
    <xf borderId="0" fillId="4" fontId="37" numFmtId="0" xfId="0" applyAlignment="1" applyFont="1">
      <alignment readingOrder="0"/>
    </xf>
    <xf borderId="57" fillId="0" fontId="2" numFmtId="10" xfId="0" applyAlignment="1" applyBorder="1" applyFont="1" applyNumberFormat="1">
      <alignment horizontal="center"/>
    </xf>
    <xf borderId="0" fillId="4" fontId="2" numFmtId="165" xfId="0" applyAlignment="1" applyFont="1" applyNumberFormat="1">
      <alignment horizontal="center"/>
    </xf>
    <xf borderId="57" fillId="0" fontId="2" numFmtId="10" xfId="0" applyAlignment="1" applyBorder="1" applyFont="1" applyNumberFormat="1">
      <alignment horizontal="center" readingOrder="0"/>
    </xf>
    <xf borderId="0" fillId="4" fontId="2" numFmtId="2" xfId="0" applyAlignment="1" applyFont="1" applyNumberFormat="1">
      <alignment horizontal="center" readingOrder="0"/>
    </xf>
    <xf borderId="0" fillId="0" fontId="2" numFmtId="2" xfId="0" applyAlignment="1" applyFont="1" applyNumberFormat="1">
      <alignment horizontal="center" readingOrder="0"/>
    </xf>
    <xf borderId="57" fillId="0" fontId="2" numFmtId="2" xfId="0" applyAlignment="1" applyBorder="1" applyFont="1" applyNumberFormat="1">
      <alignment horizontal="center" readingOrder="0"/>
    </xf>
    <xf borderId="71" fillId="214" fontId="2" numFmtId="0" xfId="0" applyAlignment="1" applyBorder="1" applyFont="1">
      <alignment readingOrder="0"/>
    </xf>
    <xf borderId="72" fillId="214" fontId="2" numFmtId="0" xfId="0" applyAlignment="1" applyBorder="1" applyFont="1">
      <alignment horizontal="center"/>
    </xf>
    <xf borderId="72" fillId="214" fontId="2" numFmtId="165" xfId="0" applyAlignment="1" applyBorder="1" applyFont="1" applyNumberFormat="1">
      <alignment horizontal="center"/>
    </xf>
    <xf borderId="56" fillId="214" fontId="2" numFmtId="0" xfId="0" applyAlignment="1" applyBorder="1" applyFont="1">
      <alignment readingOrder="0"/>
    </xf>
    <xf borderId="0" fillId="214" fontId="2" numFmtId="10" xfId="0" applyAlignment="1" applyFont="1" applyNumberFormat="1">
      <alignment horizontal="center"/>
    </xf>
    <xf borderId="57" fillId="214" fontId="2" numFmtId="10" xfId="0" applyAlignment="1" applyBorder="1" applyFont="1" applyNumberFormat="1">
      <alignment horizontal="center"/>
    </xf>
    <xf borderId="73" fillId="31" fontId="37" numFmtId="0" xfId="0" applyAlignment="1" applyBorder="1" applyFont="1">
      <alignment readingOrder="0"/>
    </xf>
    <xf borderId="74" fillId="31" fontId="37" numFmtId="0" xfId="0" applyBorder="1" applyFont="1"/>
    <xf borderId="74" fillId="31" fontId="37" numFmtId="165" xfId="0" applyAlignment="1" applyBorder="1" applyFont="1" applyNumberFormat="1">
      <alignment horizontal="center"/>
    </xf>
    <xf borderId="75" fillId="31" fontId="37" numFmtId="165" xfId="0" applyAlignment="1" applyBorder="1" applyFont="1" applyNumberFormat="1">
      <alignment horizontal="center"/>
    </xf>
    <xf borderId="58" fillId="31" fontId="37" numFmtId="0" xfId="0" applyAlignment="1" applyBorder="1" applyFont="1">
      <alignment readingOrder="0"/>
    </xf>
    <xf borderId="59" fillId="31" fontId="37" numFmtId="0" xfId="0" applyBorder="1" applyFont="1"/>
    <xf borderId="59" fillId="31" fontId="37" numFmtId="10" xfId="0" applyAlignment="1" applyBorder="1" applyFont="1" applyNumberFormat="1">
      <alignment horizontal="center"/>
    </xf>
    <xf borderId="60" fillId="31" fontId="37" numFmtId="10" xfId="0" applyAlignment="1" applyBorder="1" applyFont="1" applyNumberFormat="1">
      <alignment horizontal="center"/>
    </xf>
    <xf borderId="0" fillId="218" fontId="2" numFmtId="0" xfId="0" applyAlignment="1" applyFont="1">
      <alignment horizontal="center" readingOrder="0"/>
    </xf>
    <xf borderId="0" fillId="218" fontId="2" numFmtId="165" xfId="0" applyAlignment="1" applyFont="1" applyNumberFormat="1">
      <alignment horizontal="center" readingOrder="0"/>
    </xf>
    <xf borderId="76" fillId="221" fontId="105" numFmtId="0" xfId="0" applyAlignment="1" applyBorder="1" applyFill="1" applyFont="1">
      <alignment horizontal="left" readingOrder="0"/>
    </xf>
    <xf borderId="67" fillId="221" fontId="105" numFmtId="0" xfId="0" applyAlignment="1" applyBorder="1" applyFont="1">
      <alignment horizontal="center"/>
    </xf>
    <xf borderId="67" fillId="221" fontId="105" numFmtId="165" xfId="0" applyAlignment="1" applyBorder="1" applyFont="1" applyNumberFormat="1">
      <alignment horizontal="center"/>
    </xf>
    <xf borderId="0" fillId="4" fontId="2" numFmtId="9" xfId="0" applyAlignment="1" applyFont="1" applyNumberFormat="1">
      <alignment horizontal="center"/>
    </xf>
    <xf borderId="0" fillId="4" fontId="37" numFmtId="0" xfId="0" applyAlignment="1" applyFont="1">
      <alignment horizontal="center"/>
    </xf>
    <xf borderId="0" fillId="0" fontId="11" numFmtId="10" xfId="0" applyAlignment="1" applyFont="1" applyNumberFormat="1">
      <alignment horizontal="center"/>
    </xf>
    <xf borderId="0" fillId="4" fontId="37" numFmtId="10" xfId="0" applyAlignment="1" applyFont="1" applyNumberFormat="1">
      <alignment horizontal="center"/>
    </xf>
    <xf borderId="0" fillId="4" fontId="37" numFmtId="4" xfId="0" applyAlignment="1" applyFont="1" applyNumberFormat="1">
      <alignment horizontal="center"/>
    </xf>
    <xf borderId="55" fillId="0" fontId="2" numFmtId="0" xfId="0" applyAlignment="1" applyBorder="1" applyFont="1">
      <alignment horizontal="center" readingOrder="0"/>
    </xf>
    <xf borderId="0" fillId="4" fontId="2" numFmtId="0" xfId="0" applyAlignment="1" applyFont="1">
      <alignment horizontal="left" readingOrder="0"/>
    </xf>
    <xf borderId="0" fillId="4" fontId="11" numFmtId="10" xfId="0" applyAlignment="1" applyFont="1" applyNumberFormat="1">
      <alignment horizontal="center" readingOrder="0"/>
    </xf>
    <xf borderId="0" fillId="4" fontId="11" numFmtId="10" xfId="0" applyAlignment="1" applyFont="1" applyNumberFormat="1">
      <alignment horizontal="center"/>
    </xf>
    <xf borderId="0" fillId="0" fontId="2" numFmtId="178" xfId="0" applyFont="1" applyNumberFormat="1"/>
    <xf borderId="57" fillId="0" fontId="2" numFmtId="178" xfId="0" applyBorder="1" applyFont="1" applyNumberFormat="1"/>
    <xf borderId="59" fillId="0" fontId="2" numFmtId="178" xfId="0" applyBorder="1" applyFont="1" applyNumberFormat="1"/>
    <xf borderId="60" fillId="0" fontId="2" numFmtId="178" xfId="0" applyBorder="1" applyFont="1" applyNumberFormat="1"/>
    <xf borderId="77" fillId="0" fontId="12" numFmtId="0" xfId="0" applyAlignment="1" applyBorder="1" applyFont="1">
      <alignment readingOrder="0"/>
    </xf>
    <xf borderId="78" fillId="0" fontId="2" numFmtId="0" xfId="0" applyAlignment="1" applyBorder="1" applyFont="1">
      <alignment readingOrder="0"/>
    </xf>
    <xf borderId="79" fillId="0" fontId="2" numFmtId="0" xfId="0" applyAlignment="1" applyBorder="1" applyFont="1">
      <alignment horizontal="center" readingOrder="0"/>
    </xf>
    <xf borderId="80" fillId="214" fontId="2" numFmtId="0" xfId="0" applyAlignment="1" applyBorder="1" applyFont="1">
      <alignment readingOrder="0"/>
    </xf>
    <xf borderId="81" fillId="214" fontId="2" numFmtId="0" xfId="0" applyAlignment="1" applyBorder="1" applyFont="1">
      <alignment readingOrder="0"/>
    </xf>
    <xf borderId="64" fillId="214" fontId="2" numFmtId="10" xfId="0" applyAlignment="1" applyBorder="1" applyFont="1" applyNumberFormat="1">
      <alignment horizontal="center"/>
    </xf>
    <xf borderId="82" fillId="31" fontId="37" numFmtId="0" xfId="0" applyAlignment="1" applyBorder="1" applyFont="1">
      <alignment readingOrder="0"/>
    </xf>
    <xf borderId="67" fillId="0" fontId="2" numFmtId="0" xfId="0" applyBorder="1" applyFont="1"/>
    <xf borderId="67" fillId="31" fontId="2" numFmtId="165" xfId="0" applyAlignment="1" applyBorder="1" applyFont="1" applyNumberFormat="1">
      <alignment readingOrder="0"/>
    </xf>
    <xf borderId="67" fillId="4" fontId="64" numFmtId="0" xfId="0" applyAlignment="1" applyBorder="1" applyFont="1">
      <alignment horizontal="center" readingOrder="0" vertical="center"/>
    </xf>
    <xf borderId="16" fillId="31" fontId="37" numFmtId="0" xfId="0" applyAlignment="1" applyBorder="1" applyFont="1">
      <alignment readingOrder="0"/>
    </xf>
    <xf borderId="31" fillId="31" fontId="37" numFmtId="10" xfId="0" applyAlignment="1" applyBorder="1" applyFont="1" applyNumberFormat="1">
      <alignment horizontal="center"/>
    </xf>
    <xf borderId="0" fillId="4" fontId="54" numFmtId="0" xfId="0" applyAlignment="1" applyFont="1">
      <alignment horizontal="center"/>
    </xf>
    <xf borderId="0" fillId="4" fontId="19" numFmtId="10" xfId="0" applyAlignment="1" applyFont="1" applyNumberFormat="1">
      <alignment horizontal="center" vertical="bottom"/>
    </xf>
    <xf borderId="0" fillId="4" fontId="19" numFmtId="0" xfId="0" applyAlignment="1" applyFont="1">
      <alignment horizontal="center" vertical="bottom"/>
    </xf>
    <xf borderId="53" fillId="0" fontId="2" numFmtId="0" xfId="0" applyBorder="1" applyFont="1"/>
    <xf borderId="53" fillId="4" fontId="2" numFmtId="0" xfId="0" applyBorder="1" applyFont="1"/>
    <xf borderId="53" fillId="4" fontId="54" numFmtId="0" xfId="0" applyBorder="1" applyFont="1"/>
    <xf borderId="53" fillId="4" fontId="51" numFmtId="0" xfId="0" applyAlignment="1" applyBorder="1" applyFont="1">
      <alignment horizontal="center" readingOrder="0"/>
    </xf>
    <xf borderId="53" fillId="4" fontId="52" numFmtId="3" xfId="0" applyAlignment="1" applyBorder="1" applyFont="1" applyNumberFormat="1">
      <alignment horizontal="center" readingOrder="0"/>
    </xf>
    <xf borderId="53" fillId="4" fontId="54" numFmtId="165" xfId="0" applyAlignment="1" applyBorder="1" applyFont="1" applyNumberFormat="1">
      <alignment horizontal="center" readingOrder="0"/>
    </xf>
    <xf borderId="53" fillId="4" fontId="55" numFmtId="165" xfId="0" applyAlignment="1" applyBorder="1" applyFont="1" applyNumberFormat="1">
      <alignment horizontal="center" readingOrder="0"/>
    </xf>
    <xf borderId="53" fillId="4" fontId="55" numFmtId="165" xfId="0" applyAlignment="1" applyBorder="1" applyFont="1" applyNumberFormat="1">
      <alignment horizontal="center" readingOrder="0" vertical="bottom"/>
    </xf>
    <xf borderId="0" fillId="4" fontId="107" numFmtId="0" xfId="0" applyFont="1"/>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'Average Validator (Phase 0 - Ge'!$V$41:$V$59</c:f>
            </c:strRef>
          </c:cat>
          <c:val>
            <c:numRef>
              <c:f>'Average Validator (Phase 0 - Ge'!$W$41:$W$59</c:f>
              <c:numCache/>
            </c:numRef>
          </c:val>
          <c:smooth val="0"/>
        </c:ser>
        <c:axId val="992027854"/>
        <c:axId val="1151669033"/>
      </c:lineChart>
      <c:catAx>
        <c:axId val="992027854"/>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151669033"/>
      </c:catAx>
      <c:valAx>
        <c:axId val="1151669033"/>
        <c:scaling>
          <c:orientation val="minMax"/>
          <c:max val="0.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2027854"/>
      </c:valAx>
    </c:plotArea>
    <c:plotVisOnly val="1"/>
  </c:chart>
  <c:spPr>
    <a:solidFill>
      <a:srgbClr val="D9D9D9"/>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(At Home) - 1MM ETH Staked</a:t>
            </a:r>
          </a:p>
        </c:rich>
      </c:tx>
      <c:layout>
        <c:manualLayout>
          <c:xMode val="edge"/>
          <c:yMode val="edge"/>
          <c:x val="0.027777777777777776"/>
          <c:y val="0.04991816693944354"/>
        </c:manualLayout>
      </c:layout>
      <c:overlay val="0"/>
    </c:title>
    <c:plotArea>
      <c:layout/>
      <c:lineChart>
        <c:varyColors val="0"/>
        <c:ser>
          <c:idx val="0"/>
          <c:order val="0"/>
          <c:tx>
            <c:strRef>
              <c:f>'Average Validator (Phase 0 - Ge'!$BJ$121</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'Average Validator (Phase 0 - Ge'!$BK$102:$BX$102</c:f>
            </c:strRef>
          </c:cat>
          <c:val>
            <c:numRef>
              <c:f>'Average Validator (Phase 0 - Ge'!$BK$121:$BX$121</c:f>
              <c:numCache/>
            </c:numRef>
          </c:val>
          <c:smooth val="0"/>
        </c:ser>
        <c:axId val="1774811742"/>
        <c:axId val="1937028697"/>
      </c:lineChart>
      <c:catAx>
        <c:axId val="1774811742"/>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1937028697"/>
      </c:catAx>
      <c:valAx>
        <c:axId val="1937028697"/>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4811742"/>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(VPS)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'Average Validator (Phase 0 - Ge'!$AF$160:$AF$178</c:f>
            </c:strRef>
          </c:cat>
          <c:val>
            <c:numRef>
              <c:f>'Average Validator (Phase 0 - Ge'!$AK$160:$AK$178</c:f>
              <c:numCache/>
            </c:numRef>
          </c:val>
          <c:smooth val="0"/>
        </c:ser>
        <c:axId val="1732560584"/>
        <c:axId val="1693032810"/>
      </c:lineChart>
      <c:catAx>
        <c:axId val="1732560584"/>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693032810"/>
      </c:catAx>
      <c:valAx>
        <c:axId val="1693032810"/>
        <c:scaling>
          <c:orientation val="minMax"/>
          <c:min val="-0.01"/>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32560584"/>
      </c:valAx>
    </c:plotArea>
    <c:plotVisOnly val="1"/>
  </c:chart>
  <c:spPr>
    <a:solidFill>
      <a:srgbClr val="D9D9D9"/>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(VPS) - 1MM ETH Staked</a:t>
            </a:r>
          </a:p>
        </c:rich>
      </c:tx>
      <c:layout>
        <c:manualLayout>
          <c:xMode val="edge"/>
          <c:yMode val="edge"/>
          <c:x val="0.02871939736346516"/>
          <c:y val="0.05155482815057283"/>
        </c:manualLayout>
      </c:layout>
      <c:overlay val="0"/>
    </c:title>
    <c:plotArea>
      <c:layout/>
      <c:lineChart>
        <c:varyColors val="0"/>
        <c:ser>
          <c:idx val="0"/>
          <c:order val="0"/>
          <c:tx>
            <c:strRef>
              <c:f>'Average Validator (Phase 0 - Ge'!$BJ$180</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'Average Validator (Phase 0 - Ge'!$BK$102:$BX$102</c:f>
            </c:strRef>
          </c:cat>
          <c:val>
            <c:numRef>
              <c:f>'Average Validator (Phase 0 - Ge'!$BK$180:$BX$180</c:f>
              <c:numCache/>
            </c:numRef>
          </c:val>
          <c:smooth val="0"/>
        </c:ser>
        <c:axId val="271464210"/>
        <c:axId val="772460929"/>
      </c:lineChart>
      <c:catAx>
        <c:axId val="271464210"/>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772460929"/>
      </c:catAx>
      <c:valAx>
        <c:axId val="772460929"/>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1464210"/>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(At Home)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'Average Validator (Phase 0 - Ge'!$AF$160:$AF$178</c:f>
            </c:strRef>
          </c:cat>
          <c:val>
            <c:numRef>
              <c:f>'Average Validator (Phase 0 - Ge'!$AK$101:$AK$119</c:f>
              <c:numCache/>
            </c:numRef>
          </c:val>
          <c:smooth val="0"/>
        </c:ser>
        <c:axId val="1384516036"/>
        <c:axId val="573533743"/>
      </c:lineChart>
      <c:catAx>
        <c:axId val="1384516036"/>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573533743"/>
      </c:catAx>
      <c:valAx>
        <c:axId val="573533743"/>
        <c:scaling>
          <c:orientation val="minMax"/>
          <c:max val="0.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84516036"/>
      </c:valAx>
    </c:plotArea>
    <c:plotVisOnly val="1"/>
  </c:chart>
  <c:spPr>
    <a:solidFill>
      <a:srgbClr val="D9D9D9"/>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 Phase 0 (1M ETH Staked)</a:t>
            </a:r>
          </a:p>
        </c:rich>
      </c:tx>
      <c:overlay val="0"/>
    </c:title>
    <c:plotArea>
      <c:layout/>
      <c:lineChart>
        <c:varyColors val="0"/>
        <c:ser>
          <c:idx val="0"/>
          <c:order val="0"/>
          <c:tx>
            <c:strRef>
              <c:f>'Average Validator (Phase 0 - Ge'!$BJ$61</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'Average Validator (Phase 0 - Ge'!$BK$102:$BX$102</c:f>
            </c:strRef>
          </c:cat>
          <c:val>
            <c:numRef>
              <c:f>'Average Validator (Phase 0 - Ge'!$BK$61:$BX$61</c:f>
              <c:numCache/>
            </c:numRef>
          </c:val>
          <c:smooth val="0"/>
        </c:ser>
        <c:axId val="1292638309"/>
        <c:axId val="1390829936"/>
      </c:lineChart>
      <c:catAx>
        <c:axId val="1292638309"/>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1390829936"/>
      </c:catAx>
      <c:valAx>
        <c:axId val="1390829936"/>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(Gross)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92638309"/>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 (1MM ETH Staked)</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'Average Validator (Phase 0 - Ge'!$AS$43:$AS$52</c:f>
            </c:strRef>
          </c:cat>
          <c:val>
            <c:numRef>
              <c:f>'Average Validator (Phase 0 - Ge'!$AT$43:$AT$52</c:f>
              <c:numCache/>
            </c:numRef>
          </c:val>
          <c:smooth val="0"/>
        </c:ser>
        <c:axId val="2144129114"/>
        <c:axId val="1304655039"/>
      </c:lineChart>
      <c:catAx>
        <c:axId val="2144129114"/>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Average Network % Online</a:t>
                </a:r>
              </a:p>
            </c:rich>
          </c:tx>
          <c:overlay val="0"/>
        </c:title>
        <c:numFmt formatCode="General" sourceLinked="1"/>
        <c:majorTickMark val="none"/>
        <c:minorTickMark val="none"/>
        <c:spPr/>
        <c:txPr>
          <a:bodyPr/>
          <a:lstStyle/>
          <a:p>
            <a:pPr lvl="0">
              <a:defRPr b="0">
                <a:solidFill>
                  <a:srgbClr val="000000"/>
                </a:solidFill>
                <a:latin typeface="+mn-lt"/>
              </a:defRPr>
            </a:pPr>
          </a:p>
        </c:txPr>
        <c:crossAx val="1304655039"/>
      </c:catAx>
      <c:valAx>
        <c:axId val="1304655039"/>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44129114"/>
      </c:valAx>
    </c:plotArea>
    <c:plotVisOnly val="1"/>
  </c:chart>
  <c:spPr>
    <a:solidFill>
      <a:srgbClr val="D9D9D9"/>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(At Home) - 1MM ETH Staked</a:t>
            </a:r>
          </a:p>
        </c:rich>
      </c:tx>
      <c:layout>
        <c:manualLayout>
          <c:xMode val="edge"/>
          <c:yMode val="edge"/>
          <c:x val="0.027777777777777776"/>
          <c:y val="0.051694915254237285"/>
        </c:manualLayout>
      </c:layout>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'Average Validator (Phase 0 - Ge'!$AS$43:$AS$52</c:f>
            </c:strRef>
          </c:cat>
          <c:val>
            <c:numRef>
              <c:f>'Average Validator (Phase 0 - Ge'!$AT$103:$AT$112</c:f>
              <c:numCache/>
            </c:numRef>
          </c:val>
          <c:smooth val="0"/>
        </c:ser>
        <c:axId val="1058082326"/>
        <c:axId val="173635714"/>
      </c:lineChart>
      <c:catAx>
        <c:axId val="1058082326"/>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Average Network % Online</a:t>
                </a:r>
              </a:p>
            </c:rich>
          </c:tx>
          <c:overlay val="0"/>
        </c:title>
        <c:numFmt formatCode="General" sourceLinked="1"/>
        <c:majorTickMark val="none"/>
        <c:minorTickMark val="none"/>
        <c:spPr/>
        <c:txPr>
          <a:bodyPr/>
          <a:lstStyle/>
          <a:p>
            <a:pPr lvl="0">
              <a:defRPr b="0">
                <a:solidFill>
                  <a:srgbClr val="000000"/>
                </a:solidFill>
                <a:latin typeface="+mn-lt"/>
              </a:defRPr>
            </a:pPr>
          </a:p>
        </c:txPr>
        <c:crossAx val="173635714"/>
      </c:catAx>
      <c:valAx>
        <c:axId val="173635714"/>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58082326"/>
      </c:valAx>
    </c:plotArea>
    <c:plotVisOnly val="1"/>
  </c:chart>
  <c:spPr>
    <a:solidFill>
      <a:srgbClr val="D9D9D9"/>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(VPS) - 1MM ETH Staked</a:t>
            </a:r>
          </a:p>
        </c:rich>
      </c:tx>
      <c:layout>
        <c:manualLayout>
          <c:xMode val="edge"/>
          <c:yMode val="edge"/>
          <c:x val="0.027777777777777776"/>
          <c:y val="0.051694915254237285"/>
        </c:manualLayout>
      </c:layout>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'Average Validator (Phase 0 - Ge'!$AS$43:$AS$52</c:f>
            </c:strRef>
          </c:cat>
          <c:val>
            <c:numRef>
              <c:f>'Average Validator (Phase 0 - Ge'!$AT$162:$AT$171</c:f>
              <c:numCache/>
            </c:numRef>
          </c:val>
          <c:smooth val="0"/>
        </c:ser>
        <c:axId val="1257714450"/>
        <c:axId val="1269480160"/>
      </c:lineChart>
      <c:catAx>
        <c:axId val="1257714450"/>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Average Network % Online</a:t>
                </a:r>
              </a:p>
            </c:rich>
          </c:tx>
          <c:overlay val="0"/>
        </c:title>
        <c:numFmt formatCode="General" sourceLinked="1"/>
        <c:majorTickMark val="none"/>
        <c:minorTickMark val="none"/>
        <c:spPr/>
        <c:txPr>
          <a:bodyPr/>
          <a:lstStyle/>
          <a:p>
            <a:pPr lvl="0">
              <a:defRPr b="0">
                <a:solidFill>
                  <a:srgbClr val="000000"/>
                </a:solidFill>
                <a:latin typeface="+mn-lt"/>
              </a:defRPr>
            </a:pPr>
          </a:p>
        </c:txPr>
        <c:crossAx val="1269480160"/>
      </c:catAx>
      <c:valAx>
        <c:axId val="1269480160"/>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7714450"/>
      </c:valAx>
    </c:plotArea>
    <c:plotVisOnly val="1"/>
  </c:chart>
  <c:spPr>
    <a:solidFill>
      <a:srgbClr val="D9D9D9"/>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'Average Validator (Phase 0 - Ge'!$V$41:$V$59</c:f>
            </c:strRef>
          </c:cat>
          <c:val>
            <c:numRef>
              <c:f>'Average Validator (Phase 0 - Ge'!$W$41:$W$59</c:f>
              <c:numCache/>
            </c:numRef>
          </c:val>
          <c:smooth val="0"/>
        </c:ser>
        <c:axId val="1309945103"/>
        <c:axId val="1151111079"/>
      </c:lineChart>
      <c:catAx>
        <c:axId val="1309945103"/>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151111079"/>
      </c:catAx>
      <c:valAx>
        <c:axId val="1151111079"/>
        <c:scaling>
          <c:orientation val="minMax"/>
          <c:max val="0.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09945103"/>
      </c:valAx>
    </c:plotArea>
    <c:plotVisOnly val="1"/>
  </c:chart>
  <c:spPr>
    <a:solidFill>
      <a:srgbClr val="D9D9D9"/>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'Average Validator (Phase 0 - Be'!$V$41:$V$61</c:f>
            </c:strRef>
          </c:cat>
          <c:val>
            <c:numRef>
              <c:f>'Average Validator (Phase 0 - Be'!$W$41:$W$61</c:f>
              <c:numCache/>
            </c:numRef>
          </c:val>
          <c:smooth val="0"/>
        </c:ser>
        <c:axId val="93648298"/>
        <c:axId val="613091392"/>
      </c:lineChart>
      <c:catAx>
        <c:axId val="93648298"/>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613091392"/>
      </c:catAx>
      <c:valAx>
        <c:axId val="613091392"/>
        <c:scaling>
          <c:orientation val="minMax"/>
          <c:max val="0.1"/>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648298"/>
      </c:valAx>
    </c:plotArea>
    <c:plotVisOnly val="1"/>
  </c:chart>
  <c:spPr>
    <a:solidFill>
      <a:srgbClr val="D9D9D9"/>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(At Home) - 1MM ETH Staked</a:t>
            </a:r>
          </a:p>
        </c:rich>
      </c:tx>
      <c:layout>
        <c:manualLayout>
          <c:xMode val="edge"/>
          <c:yMode val="edge"/>
          <c:x val="0.027777777777777776"/>
          <c:y val="0.04991816693944354"/>
        </c:manualLayout>
      </c:layout>
      <c:overlay val="0"/>
    </c:title>
    <c:plotArea>
      <c:layout/>
      <c:lineChart>
        <c:varyColors val="0"/>
        <c:ser>
          <c:idx val="0"/>
          <c:order val="0"/>
          <c:tx>
            <c:strRef>
              <c:f>'Average Validator (Phase 0 - Be'!$BJ$121</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'Average Validator (Phase 0 - Be'!$BK$102:$BX$102</c:f>
            </c:strRef>
          </c:cat>
          <c:val>
            <c:numRef>
              <c:f>'Average Validator (Phase 0 - Be'!$BK$121:$BX$121</c:f>
              <c:numCache/>
            </c:numRef>
          </c:val>
          <c:smooth val="0"/>
        </c:ser>
        <c:axId val="182241665"/>
        <c:axId val="1529780613"/>
      </c:lineChart>
      <c:catAx>
        <c:axId val="182241665"/>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1529780613"/>
      </c:catAx>
      <c:valAx>
        <c:axId val="1529780613"/>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241665"/>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(VPS)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'Average Validator (Phase 0 - Be'!$AF$160:$AF$178</c:f>
            </c:strRef>
          </c:cat>
          <c:val>
            <c:numRef>
              <c:f>'Average Validator (Phase 0 - Be'!$AK$160:$AK$178</c:f>
              <c:numCache/>
            </c:numRef>
          </c:val>
          <c:smooth val="0"/>
        </c:ser>
        <c:axId val="1048843004"/>
        <c:axId val="1285977035"/>
      </c:lineChart>
      <c:catAx>
        <c:axId val="1048843004"/>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285977035"/>
      </c:catAx>
      <c:valAx>
        <c:axId val="1285977035"/>
        <c:scaling>
          <c:orientation val="minMax"/>
          <c:min val="-0.01"/>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8843004"/>
      </c:valAx>
    </c:plotArea>
    <c:plotVisOnly val="1"/>
  </c:chart>
  <c:spPr>
    <a:solidFill>
      <a:srgbClr val="D9D9D9"/>
    </a:solidFill>
  </c:spPr>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(VPS) - 1MM ETH Staked</a:t>
            </a:r>
          </a:p>
        </c:rich>
      </c:tx>
      <c:layout>
        <c:manualLayout>
          <c:xMode val="edge"/>
          <c:yMode val="edge"/>
          <c:x val="0.02871939736346516"/>
          <c:y val="0.05155482815057283"/>
        </c:manualLayout>
      </c:layout>
      <c:overlay val="0"/>
    </c:title>
    <c:plotArea>
      <c:layout/>
      <c:lineChart>
        <c:varyColors val="0"/>
        <c:ser>
          <c:idx val="0"/>
          <c:order val="0"/>
          <c:tx>
            <c:strRef>
              <c:f>'Average Validator (Phase 0 - Be'!$BJ$180</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'Average Validator (Phase 0 - Be'!$BK$102:$BX$102</c:f>
            </c:strRef>
          </c:cat>
          <c:val>
            <c:numRef>
              <c:f>'Average Validator (Phase 0 - Be'!$BK$180:$BX$180</c:f>
              <c:numCache/>
            </c:numRef>
          </c:val>
          <c:smooth val="0"/>
        </c:ser>
        <c:axId val="678828991"/>
        <c:axId val="856528076"/>
      </c:lineChart>
      <c:catAx>
        <c:axId val="678828991"/>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856528076"/>
      </c:catAx>
      <c:valAx>
        <c:axId val="856528076"/>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78828991"/>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(At Home)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'Average Validator (Phase 0 - Be'!$AF$160:$AF$178</c:f>
            </c:strRef>
          </c:cat>
          <c:val>
            <c:numRef>
              <c:f>'Average Validator (Phase 0 - Be'!$AK$101:$AK$119</c:f>
              <c:numCache/>
            </c:numRef>
          </c:val>
          <c:smooth val="0"/>
        </c:ser>
        <c:axId val="1115893047"/>
        <c:axId val="1099241889"/>
      </c:lineChart>
      <c:catAx>
        <c:axId val="1115893047"/>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099241889"/>
      </c:catAx>
      <c:valAx>
        <c:axId val="1099241889"/>
        <c:scaling>
          <c:orientation val="minMax"/>
          <c:max val="0.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15893047"/>
      </c:valAx>
    </c:plotArea>
    <c:plotVisOnly val="1"/>
  </c:chart>
  <c:spPr>
    <a:solidFill>
      <a:srgbClr val="D9D9D9"/>
    </a:solidFill>
  </c:spPr>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 Phase 0 (1M ETH Staked)</a:t>
            </a:r>
          </a:p>
        </c:rich>
      </c:tx>
      <c:overlay val="0"/>
    </c:title>
    <c:plotArea>
      <c:layout/>
      <c:lineChart>
        <c:varyColors val="0"/>
        <c:ser>
          <c:idx val="0"/>
          <c:order val="0"/>
          <c:tx>
            <c:strRef>
              <c:f>'Average Validator (Phase 0 - Be'!$BJ$61</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'Average Validator (Phase 0 - Be'!$BK$102:$BX$102</c:f>
            </c:strRef>
          </c:cat>
          <c:val>
            <c:numRef>
              <c:f>'Average Validator (Phase 0 - Be'!$BK$61:$BX$61</c:f>
              <c:numCache/>
            </c:numRef>
          </c:val>
          <c:smooth val="0"/>
        </c:ser>
        <c:axId val="439854967"/>
        <c:axId val="616513834"/>
      </c:lineChart>
      <c:catAx>
        <c:axId val="439854967"/>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616513834"/>
      </c:catAx>
      <c:valAx>
        <c:axId val="616513834"/>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(Gross)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39854967"/>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 (1MM ETH Staked)</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'Average Validator (Phase 0 - Be'!$AS$43:$AS$52</c:f>
            </c:strRef>
          </c:cat>
          <c:val>
            <c:numRef>
              <c:f>'Average Validator (Phase 0 - Be'!$AT$43:$AT$52</c:f>
              <c:numCache/>
            </c:numRef>
          </c:val>
          <c:smooth val="0"/>
        </c:ser>
        <c:axId val="1710537930"/>
        <c:axId val="406181113"/>
      </c:lineChart>
      <c:catAx>
        <c:axId val="1710537930"/>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Average Network % Online</a:t>
                </a:r>
              </a:p>
            </c:rich>
          </c:tx>
          <c:overlay val="0"/>
        </c:title>
        <c:numFmt formatCode="General" sourceLinked="1"/>
        <c:majorTickMark val="none"/>
        <c:minorTickMark val="none"/>
        <c:spPr/>
        <c:txPr>
          <a:bodyPr/>
          <a:lstStyle/>
          <a:p>
            <a:pPr lvl="0">
              <a:defRPr b="0">
                <a:solidFill>
                  <a:srgbClr val="000000"/>
                </a:solidFill>
                <a:latin typeface="+mn-lt"/>
              </a:defRPr>
            </a:pPr>
          </a:p>
        </c:txPr>
        <c:crossAx val="406181113"/>
      </c:catAx>
      <c:valAx>
        <c:axId val="406181113"/>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10537930"/>
      </c:valAx>
    </c:plotArea>
    <c:plotVisOnly val="1"/>
  </c:chart>
  <c:spPr>
    <a:solidFill>
      <a:srgbClr val="D9D9D9"/>
    </a:solidFill>
  </c:spPr>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(At Home) - 1MM ETH Staked</a:t>
            </a:r>
          </a:p>
        </c:rich>
      </c:tx>
      <c:layout>
        <c:manualLayout>
          <c:xMode val="edge"/>
          <c:yMode val="edge"/>
          <c:x val="0.027777777777777776"/>
          <c:y val="0.051694915254237285"/>
        </c:manualLayout>
      </c:layout>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'Average Validator (Phase 0 - Be'!$AS$43:$AS$52</c:f>
            </c:strRef>
          </c:cat>
          <c:val>
            <c:numRef>
              <c:f>'Average Validator (Phase 0 - Be'!$AT$103:$AT$112</c:f>
              <c:numCache/>
            </c:numRef>
          </c:val>
          <c:smooth val="0"/>
        </c:ser>
        <c:axId val="891169663"/>
        <c:axId val="1849312682"/>
      </c:lineChart>
      <c:catAx>
        <c:axId val="891169663"/>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Average Network % Online</a:t>
                </a:r>
              </a:p>
            </c:rich>
          </c:tx>
          <c:overlay val="0"/>
        </c:title>
        <c:numFmt formatCode="General" sourceLinked="1"/>
        <c:majorTickMark val="none"/>
        <c:minorTickMark val="none"/>
        <c:spPr/>
        <c:txPr>
          <a:bodyPr/>
          <a:lstStyle/>
          <a:p>
            <a:pPr lvl="0">
              <a:defRPr b="0">
                <a:solidFill>
                  <a:srgbClr val="000000"/>
                </a:solidFill>
                <a:latin typeface="+mn-lt"/>
              </a:defRPr>
            </a:pPr>
          </a:p>
        </c:txPr>
        <c:crossAx val="1849312682"/>
      </c:catAx>
      <c:valAx>
        <c:axId val="1849312682"/>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91169663"/>
      </c:valAx>
    </c:plotArea>
    <c:plotVisOnly val="1"/>
  </c:chart>
  <c:spPr>
    <a:solidFill>
      <a:srgbClr val="D9D9D9"/>
    </a:solidFill>
  </c:spPr>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(VPS) - 1MM ETH Staked</a:t>
            </a:r>
          </a:p>
        </c:rich>
      </c:tx>
      <c:layout>
        <c:manualLayout>
          <c:xMode val="edge"/>
          <c:yMode val="edge"/>
          <c:x val="0.027777777777777776"/>
          <c:y val="0.051694915254237285"/>
        </c:manualLayout>
      </c:layout>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'Average Validator (Phase 0 - Be'!$AS$43:$AS$52</c:f>
            </c:strRef>
          </c:cat>
          <c:val>
            <c:numRef>
              <c:f>'Average Validator (Phase 0 - Be'!$AT$162:$AT$171</c:f>
              <c:numCache/>
            </c:numRef>
          </c:val>
          <c:smooth val="0"/>
        </c:ser>
        <c:axId val="1100013446"/>
        <c:axId val="668544990"/>
      </c:lineChart>
      <c:catAx>
        <c:axId val="1100013446"/>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Average Network % Online</a:t>
                </a:r>
              </a:p>
            </c:rich>
          </c:tx>
          <c:overlay val="0"/>
        </c:title>
        <c:numFmt formatCode="General" sourceLinked="1"/>
        <c:majorTickMark val="none"/>
        <c:minorTickMark val="none"/>
        <c:spPr/>
        <c:txPr>
          <a:bodyPr/>
          <a:lstStyle/>
          <a:p>
            <a:pPr lvl="0">
              <a:defRPr b="0">
                <a:solidFill>
                  <a:srgbClr val="000000"/>
                </a:solidFill>
                <a:latin typeface="+mn-lt"/>
              </a:defRPr>
            </a:pPr>
          </a:p>
        </c:txPr>
        <c:crossAx val="668544990"/>
      </c:catAx>
      <c:valAx>
        <c:axId val="668544990"/>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0013446"/>
      </c:valAx>
    </c:plotArea>
    <c:plotVisOnly val="1"/>
  </c:chart>
  <c:spPr>
    <a:solidFill>
      <a:srgbClr val="D9D9D9"/>
    </a:solidFill>
  </c:spPr>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'Average Validator (Phase 0 - Be'!$V$41:$V$59</c:f>
            </c:strRef>
          </c:cat>
          <c:val>
            <c:numRef>
              <c:f>'Average Validator (Phase 0 - Be'!$W$41:$W$59</c:f>
              <c:numCache/>
            </c:numRef>
          </c:val>
          <c:smooth val="0"/>
        </c:ser>
        <c:axId val="378802309"/>
        <c:axId val="754941708"/>
      </c:lineChart>
      <c:catAx>
        <c:axId val="378802309"/>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754941708"/>
      </c:catAx>
      <c:valAx>
        <c:axId val="754941708"/>
        <c:scaling>
          <c:orientation val="minMax"/>
          <c:max val="0.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8802309"/>
      </c:valAx>
    </c:plotArea>
    <c:plotVisOnly val="1"/>
  </c:chart>
  <c:spPr>
    <a:solidFill>
      <a:srgbClr val="D9D9D9"/>
    </a:solidFill>
  </c:spPr>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'Copy of Average Validator (Phas'!$V$41:$V$59</c:f>
            </c:strRef>
          </c:cat>
          <c:val>
            <c:numRef>
              <c:f>'Copy of Average Validator (Phas'!$W$41:$W$59</c:f>
              <c:numCache/>
            </c:numRef>
          </c:val>
          <c:smooth val="0"/>
        </c:ser>
        <c:axId val="1007005570"/>
        <c:axId val="303418370"/>
      </c:lineChart>
      <c:catAx>
        <c:axId val="1007005570"/>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303418370"/>
      </c:catAx>
      <c:valAx>
        <c:axId val="303418370"/>
        <c:scaling>
          <c:orientation val="minMax"/>
          <c:max val="0.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07005570"/>
      </c:valAx>
    </c:plotArea>
    <c:plotVisOnly val="1"/>
  </c:chart>
  <c:spPr>
    <a:solidFill>
      <a:srgbClr val="D9D9D9"/>
    </a:solidFill>
  </c:spPr>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(At Home) - 1MM ETH Staked</a:t>
            </a:r>
          </a:p>
        </c:rich>
      </c:tx>
      <c:layout>
        <c:manualLayout>
          <c:xMode val="edge"/>
          <c:yMode val="edge"/>
          <c:x val="0.027777777777777776"/>
          <c:y val="0.04991816693944354"/>
        </c:manualLayout>
      </c:layout>
      <c:overlay val="0"/>
    </c:title>
    <c:plotArea>
      <c:layout/>
      <c:lineChart>
        <c:varyColors val="0"/>
        <c:ser>
          <c:idx val="0"/>
          <c:order val="0"/>
          <c:tx>
            <c:strRef>
              <c:f>'Copy of Average Validator (Phas'!$BJ$121</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'Copy of Average Validator (Phas'!$BK$102:$BX$102</c:f>
            </c:strRef>
          </c:cat>
          <c:val>
            <c:numRef>
              <c:f>'Copy of Average Validator (Phas'!$BK$121:$BX$121</c:f>
              <c:numCache/>
            </c:numRef>
          </c:val>
          <c:smooth val="0"/>
        </c:ser>
        <c:axId val="471827521"/>
        <c:axId val="1527869658"/>
      </c:lineChart>
      <c:catAx>
        <c:axId val="471827521"/>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1527869658"/>
      </c:catAx>
      <c:valAx>
        <c:axId val="1527869658"/>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71827521"/>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(VPS)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'Copy of Average Validator (Phas'!$AF$160:$AF$178</c:f>
            </c:strRef>
          </c:cat>
          <c:val>
            <c:numRef>
              <c:f>'Copy of Average Validator (Phas'!$AK$160:$AK$178</c:f>
              <c:numCache/>
            </c:numRef>
          </c:val>
          <c:smooth val="0"/>
        </c:ser>
        <c:axId val="467022586"/>
        <c:axId val="1306110416"/>
      </c:lineChart>
      <c:catAx>
        <c:axId val="467022586"/>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306110416"/>
      </c:catAx>
      <c:valAx>
        <c:axId val="1306110416"/>
        <c:scaling>
          <c:orientation val="minMax"/>
          <c:min val="-0.01"/>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7022586"/>
      </c:valAx>
    </c:plotArea>
    <c:plotVisOnly val="1"/>
  </c:chart>
  <c:spPr>
    <a:solidFill>
      <a:srgbClr val="D9D9D9"/>
    </a:solidFill>
  </c:spPr>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(VPS) - 1MM ETH Staked</a:t>
            </a:r>
          </a:p>
        </c:rich>
      </c:tx>
      <c:layout>
        <c:manualLayout>
          <c:xMode val="edge"/>
          <c:yMode val="edge"/>
          <c:x val="0.02871939736346516"/>
          <c:y val="0.05155482815057283"/>
        </c:manualLayout>
      </c:layout>
      <c:overlay val="0"/>
    </c:title>
    <c:plotArea>
      <c:layout/>
      <c:lineChart>
        <c:varyColors val="0"/>
        <c:ser>
          <c:idx val="0"/>
          <c:order val="0"/>
          <c:tx>
            <c:strRef>
              <c:f>'Copy of Average Validator (Phas'!$BJ$180</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'Copy of Average Validator (Phas'!$BK$102:$BX$102</c:f>
            </c:strRef>
          </c:cat>
          <c:val>
            <c:numRef>
              <c:f>'Copy of Average Validator (Phas'!$BK$180:$BX$180</c:f>
              <c:numCache/>
            </c:numRef>
          </c:val>
          <c:smooth val="0"/>
        </c:ser>
        <c:axId val="467086252"/>
        <c:axId val="1629642479"/>
      </c:lineChart>
      <c:catAx>
        <c:axId val="467086252"/>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1629642479"/>
      </c:catAx>
      <c:valAx>
        <c:axId val="1629642479"/>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7086252"/>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(At Home)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'Copy of Average Validator (Phas'!$AF$160:$AF$178</c:f>
            </c:strRef>
          </c:cat>
          <c:val>
            <c:numRef>
              <c:f>'Copy of Average Validator (Phas'!$AK$101:$AK$119</c:f>
              <c:numCache/>
            </c:numRef>
          </c:val>
          <c:smooth val="0"/>
        </c:ser>
        <c:axId val="1231122711"/>
        <c:axId val="867857222"/>
      </c:lineChart>
      <c:catAx>
        <c:axId val="1231122711"/>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867857222"/>
      </c:catAx>
      <c:valAx>
        <c:axId val="867857222"/>
        <c:scaling>
          <c:orientation val="minMax"/>
          <c:max val="0.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31122711"/>
      </c:valAx>
    </c:plotArea>
    <c:plotVisOnly val="1"/>
  </c:chart>
  <c:spPr>
    <a:solidFill>
      <a:srgbClr val="D9D9D9"/>
    </a:solidFill>
  </c:spPr>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 Phase 0 (1M ETH Staked)</a:t>
            </a:r>
          </a:p>
        </c:rich>
      </c:tx>
      <c:overlay val="0"/>
    </c:title>
    <c:plotArea>
      <c:layout/>
      <c:lineChart>
        <c:varyColors val="0"/>
        <c:ser>
          <c:idx val="0"/>
          <c:order val="0"/>
          <c:tx>
            <c:strRef>
              <c:f>'Copy of Average Validator (Phas'!$BJ$61</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'Copy of Average Validator (Phas'!$BK$102:$BX$102</c:f>
            </c:strRef>
          </c:cat>
          <c:val>
            <c:numRef>
              <c:f>'Copy of Average Validator (Phas'!$BK$61:$BX$61</c:f>
              <c:numCache/>
            </c:numRef>
          </c:val>
          <c:smooth val="0"/>
        </c:ser>
        <c:axId val="1197980533"/>
        <c:axId val="2129584814"/>
      </c:lineChart>
      <c:catAx>
        <c:axId val="1197980533"/>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2129584814"/>
      </c:catAx>
      <c:valAx>
        <c:axId val="2129584814"/>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(Gross)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97980533"/>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 (1MM ETH Staked)</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'Copy of Average Validator (Phas'!$AS$43:$AS$52</c:f>
            </c:strRef>
          </c:cat>
          <c:val>
            <c:numRef>
              <c:f>'Copy of Average Validator (Phas'!$AT$43:$AT$52</c:f>
              <c:numCache/>
            </c:numRef>
          </c:val>
          <c:smooth val="0"/>
        </c:ser>
        <c:axId val="1395572085"/>
        <c:axId val="1857989474"/>
      </c:lineChart>
      <c:catAx>
        <c:axId val="1395572085"/>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Average Network % Online</a:t>
                </a:r>
              </a:p>
            </c:rich>
          </c:tx>
          <c:overlay val="0"/>
        </c:title>
        <c:numFmt formatCode="General" sourceLinked="1"/>
        <c:majorTickMark val="none"/>
        <c:minorTickMark val="none"/>
        <c:spPr/>
        <c:txPr>
          <a:bodyPr/>
          <a:lstStyle/>
          <a:p>
            <a:pPr lvl="0">
              <a:defRPr b="0">
                <a:solidFill>
                  <a:srgbClr val="000000"/>
                </a:solidFill>
                <a:latin typeface="+mn-lt"/>
              </a:defRPr>
            </a:pPr>
          </a:p>
        </c:txPr>
        <c:crossAx val="1857989474"/>
      </c:catAx>
      <c:valAx>
        <c:axId val="1857989474"/>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5572085"/>
      </c:valAx>
    </c:plotArea>
    <c:plotVisOnly val="1"/>
  </c:chart>
  <c:spPr>
    <a:solidFill>
      <a:srgbClr val="D9D9D9"/>
    </a:solidFill>
  </c:spPr>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(At Home) - 1MM ETH Staked</a:t>
            </a:r>
          </a:p>
        </c:rich>
      </c:tx>
      <c:layout>
        <c:manualLayout>
          <c:xMode val="edge"/>
          <c:yMode val="edge"/>
          <c:x val="0.027777777777777776"/>
          <c:y val="0.051694915254237285"/>
        </c:manualLayout>
      </c:layout>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'Copy of Average Validator (Phas'!$AS$43:$AS$52</c:f>
            </c:strRef>
          </c:cat>
          <c:val>
            <c:numRef>
              <c:f>'Copy of Average Validator (Phas'!$AT$103:$AT$112</c:f>
              <c:numCache/>
            </c:numRef>
          </c:val>
          <c:smooth val="0"/>
        </c:ser>
        <c:axId val="563332105"/>
        <c:axId val="841986183"/>
      </c:lineChart>
      <c:catAx>
        <c:axId val="563332105"/>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Average Network % Online</a:t>
                </a:r>
              </a:p>
            </c:rich>
          </c:tx>
          <c:overlay val="0"/>
        </c:title>
        <c:numFmt formatCode="General" sourceLinked="1"/>
        <c:majorTickMark val="none"/>
        <c:minorTickMark val="none"/>
        <c:spPr/>
        <c:txPr>
          <a:bodyPr/>
          <a:lstStyle/>
          <a:p>
            <a:pPr lvl="0">
              <a:defRPr b="0">
                <a:solidFill>
                  <a:srgbClr val="000000"/>
                </a:solidFill>
                <a:latin typeface="+mn-lt"/>
              </a:defRPr>
            </a:pPr>
          </a:p>
        </c:txPr>
        <c:crossAx val="841986183"/>
      </c:catAx>
      <c:valAx>
        <c:axId val="841986183"/>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63332105"/>
      </c:valAx>
    </c:plotArea>
    <c:plotVisOnly val="1"/>
  </c:chart>
  <c:spPr>
    <a:solidFill>
      <a:srgbClr val="D9D9D9"/>
    </a:solidFill>
  </c:spPr>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(VPS) - 1MM ETH Staked</a:t>
            </a:r>
          </a:p>
        </c:rich>
      </c:tx>
      <c:layout>
        <c:manualLayout>
          <c:xMode val="edge"/>
          <c:yMode val="edge"/>
          <c:x val="0.027777777777777776"/>
          <c:y val="0.051694915254237285"/>
        </c:manualLayout>
      </c:layout>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'Copy of Average Validator (Phas'!$AS$43:$AS$52</c:f>
            </c:strRef>
          </c:cat>
          <c:val>
            <c:numRef>
              <c:f>'Copy of Average Validator (Phas'!$AT$162:$AT$171</c:f>
              <c:numCache/>
            </c:numRef>
          </c:val>
          <c:smooth val="0"/>
        </c:ser>
        <c:axId val="455354329"/>
        <c:axId val="433401530"/>
      </c:lineChart>
      <c:catAx>
        <c:axId val="455354329"/>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Average Network % Online</a:t>
                </a:r>
              </a:p>
            </c:rich>
          </c:tx>
          <c:overlay val="0"/>
        </c:title>
        <c:numFmt formatCode="General" sourceLinked="1"/>
        <c:majorTickMark val="none"/>
        <c:minorTickMark val="none"/>
        <c:spPr/>
        <c:txPr>
          <a:bodyPr/>
          <a:lstStyle/>
          <a:p>
            <a:pPr lvl="0">
              <a:defRPr b="0">
                <a:solidFill>
                  <a:srgbClr val="000000"/>
                </a:solidFill>
                <a:latin typeface="+mn-lt"/>
              </a:defRPr>
            </a:pPr>
          </a:p>
        </c:txPr>
        <c:crossAx val="433401530"/>
      </c:catAx>
      <c:valAx>
        <c:axId val="433401530"/>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55354329"/>
      </c:valAx>
    </c:plotArea>
    <c:plotVisOnly val="1"/>
  </c:chart>
  <c:spPr>
    <a:solidFill>
      <a:srgbClr val="D9D9D9"/>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'Copy of Average Validator (Phas'!$V$41:$V$59</c:f>
            </c:strRef>
          </c:cat>
          <c:val>
            <c:numRef>
              <c:f>'Copy of Average Validator (Phas'!$W$41:$W$59</c:f>
              <c:numCache/>
            </c:numRef>
          </c:val>
          <c:smooth val="0"/>
        </c:ser>
        <c:axId val="479540283"/>
        <c:axId val="480057624"/>
      </c:lineChart>
      <c:catAx>
        <c:axId val="479540283"/>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480057624"/>
      </c:catAx>
      <c:valAx>
        <c:axId val="480057624"/>
        <c:scaling>
          <c:orientation val="minMax"/>
          <c:max val="0.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79540283"/>
      </c:valAx>
    </c:plotArea>
    <c:plotVisOnly val="1"/>
  </c:chart>
  <c:spPr>
    <a:solidFill>
      <a:srgbClr val="D9D9D9"/>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a:t>
            </a:r>
          </a:p>
        </c:rich>
      </c:tx>
      <c:overlay val="0"/>
    </c:title>
    <c:plotArea>
      <c:layout/>
      <c:lineChart>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'Copy of Average Validator (Phas'!$AF$160:$AF$178</c:f>
            </c:strRef>
          </c:cat>
          <c:val>
            <c:numRef>
              <c:f>'Copy of Average Validator (Phas'!$AK$101:$AK$119</c:f>
              <c:numCache/>
            </c:numRef>
          </c:val>
          <c:smooth val="0"/>
        </c:ser>
        <c:ser>
          <c:idx val="1"/>
          <c:order val="1"/>
          <c:spPr>
            <a:ln cmpd="sng">
              <a:solidFill>
                <a:srgbClr val="EA4335"/>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'Copy of Average Validator (Phas'!$AF$160:$AF$178</c:f>
            </c:strRef>
          </c:cat>
          <c:val>
            <c:numRef>
              <c:f>'Copy of Average Validator (Phas'!$AK$101:$AK$119</c:f>
              <c:numCache/>
            </c:numRef>
          </c:val>
          <c:smooth val="0"/>
        </c:ser>
        <c:ser>
          <c:idx val="2"/>
          <c:order val="2"/>
          <c:spPr>
            <a:ln cmpd="sng">
              <a:solidFill>
                <a:srgbClr val="FBBC04"/>
              </a:solidFill>
            </a:ln>
          </c:spPr>
          <c:marker>
            <c:symbol val="none"/>
          </c:marker>
          <c:cat>
            <c:strRef>
              <c:f>'Copy of Average Validator (Phas'!$AF$160:$AF$178</c:f>
            </c:strRef>
          </c:cat>
          <c:val>
            <c:numRef>
              <c:f>'Copy of Average Validator (Phas'!$AK$160:$AK$178</c:f>
              <c:numCache/>
            </c:numRef>
          </c:val>
          <c:smooth val="0"/>
        </c:ser>
        <c:axId val="1891250241"/>
        <c:axId val="1717727139"/>
      </c:lineChart>
      <c:catAx>
        <c:axId val="1891250241"/>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717727139"/>
      </c:catAx>
      <c:valAx>
        <c:axId val="1717727139"/>
        <c:scaling>
          <c:orientation val="minMax"/>
          <c:max val="0.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91250241"/>
      </c:valAx>
    </c:plotArea>
    <c:plotVisOnly val="1"/>
  </c:chart>
  <c:spPr>
    <a:solidFill>
      <a:srgbClr val="D9D9D9"/>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circle"/>
              <c:size val="14"/>
              <c:spPr>
                <a:solidFill>
                  <a:srgbClr val="FF0000"/>
                </a:solidFill>
                <a:ln cmpd="sng">
                  <a:solidFill>
                    <a:srgbClr val="FF0000"/>
                  </a:solidFill>
                </a:ln>
              </c:spPr>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'Average Validator'!$V$73:$V$89</c:f>
            </c:strRef>
          </c:cat>
          <c:val>
            <c:numRef>
              <c:f>'Average Validator'!$W$73:$W$89</c:f>
              <c:numCache/>
            </c:numRef>
          </c:val>
          <c:smooth val="0"/>
        </c:ser>
        <c:axId val="2024949797"/>
        <c:axId val="382362404"/>
      </c:lineChart>
      <c:catAx>
        <c:axId val="2024949797"/>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382362404"/>
      </c:catAx>
      <c:valAx>
        <c:axId val="3823624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4949797"/>
      </c:valAx>
    </c:plotArea>
    <c:plotVisOnly val="1"/>
  </c:chart>
  <c:spPr>
    <a:solidFill>
      <a:srgbClr val="D9D9D9"/>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(At Home) - Phase 0 (4.2MM ETH Staked)</a:t>
            </a:r>
          </a:p>
        </c:rich>
      </c:tx>
      <c:overlay val="0"/>
    </c:title>
    <c:plotArea>
      <c:layout/>
      <c:lineChart>
        <c:varyColors val="0"/>
        <c:ser>
          <c:idx val="0"/>
          <c:order val="0"/>
          <c:tx>
            <c:strRef>
              <c:f>'Average Validator'!$V$190</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'Average Validator'!$W$184:$AJ$184</c:f>
            </c:strRef>
          </c:cat>
          <c:val>
            <c:numRef>
              <c:f>'Average Validator'!$W$190:$AJ$190</c:f>
              <c:numCache/>
            </c:numRef>
          </c:val>
          <c:smooth val="0"/>
        </c:ser>
        <c:axId val="661109809"/>
        <c:axId val="468329098"/>
      </c:lineChart>
      <c:catAx>
        <c:axId val="661109809"/>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468329098"/>
      </c:catAx>
      <c:valAx>
        <c:axId val="468329098"/>
        <c:scaling>
          <c:orientation val="minMax"/>
          <c:max val="0.08"/>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61109809"/>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(VPS)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circle"/>
              <c:size val="14"/>
              <c:spPr>
                <a:solidFill>
                  <a:srgbClr val="FF0000"/>
                </a:solidFill>
                <a:ln cmpd="sng">
                  <a:solidFill>
                    <a:srgbClr val="FF0000"/>
                  </a:solidFill>
                </a:ln>
              </c:spPr>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'Average Validator'!$AK$95:$AK$111</c:f>
            </c:strRef>
          </c:cat>
          <c:val>
            <c:numRef>
              <c:f>'Average Validator'!$AP$95:$AP$111</c:f>
              <c:numCache/>
            </c:numRef>
          </c:val>
          <c:smooth val="0"/>
        </c:ser>
        <c:axId val="1509155578"/>
        <c:axId val="1190311990"/>
      </c:lineChart>
      <c:catAx>
        <c:axId val="1509155578"/>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190311990"/>
      </c:catAx>
      <c:valAx>
        <c:axId val="1190311990"/>
        <c:scaling>
          <c:orientation val="minMax"/>
          <c:min val="-0.01"/>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09155578"/>
      </c:valAx>
    </c:plotArea>
    <c:plotVisOnly val="1"/>
  </c:chart>
  <c:spPr>
    <a:solidFill>
      <a:srgbClr val="D9D9D9"/>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(VPS) - Phase 0 (4.2MM ETH Staked)</a:t>
            </a:r>
          </a:p>
        </c:rich>
      </c:tx>
      <c:overlay val="0"/>
    </c:title>
    <c:plotArea>
      <c:layout/>
      <c:lineChart>
        <c:varyColors val="0"/>
        <c:ser>
          <c:idx val="0"/>
          <c:order val="0"/>
          <c:tx>
            <c:strRef>
              <c:f>'Average Validator'!$V$145</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'Average Validator'!$W$184:$AJ$184</c:f>
            </c:strRef>
          </c:cat>
          <c:val>
            <c:numRef>
              <c:f>'Average Validator'!$W$145:$AJ$145</c:f>
              <c:numCache/>
            </c:numRef>
          </c:val>
          <c:smooth val="0"/>
        </c:ser>
        <c:axId val="1977535011"/>
        <c:axId val="100662029"/>
      </c:lineChart>
      <c:catAx>
        <c:axId val="1977535011"/>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100662029"/>
      </c:catAx>
      <c:valAx>
        <c:axId val="100662029"/>
        <c:scaling>
          <c:orientation val="minMax"/>
          <c:max val="0.08"/>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77535011"/>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(At Home)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circle"/>
              <c:size val="14"/>
              <c:spPr>
                <a:solidFill>
                  <a:srgbClr val="FF0000"/>
                </a:solidFill>
                <a:ln cmpd="sng">
                  <a:solidFill>
                    <a:srgbClr val="FF0000"/>
                  </a:solidFill>
                </a:ln>
              </c:spPr>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'Average Validator'!$AK$95:$AK$111</c:f>
            </c:strRef>
          </c:cat>
          <c:val>
            <c:numRef>
              <c:f>'Average Validator'!$AP$162:$AP$178</c:f>
              <c:numCache/>
            </c:numRef>
          </c:val>
          <c:smooth val="0"/>
        </c:ser>
        <c:axId val="127105969"/>
        <c:axId val="1125372756"/>
      </c:lineChart>
      <c:catAx>
        <c:axId val="127105969"/>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125372756"/>
      </c:catAx>
      <c:valAx>
        <c:axId val="1125372756"/>
        <c:scaling>
          <c:orientation val="minMax"/>
          <c:max val="0.18"/>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105969"/>
      </c:valAx>
    </c:plotArea>
    <c:plotVisOnly val="1"/>
  </c:chart>
  <c:spPr>
    <a:solidFill>
      <a:srgbClr val="D9D9D9"/>
    </a:solidFill>
  </c:spPr>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 Phase 0 (4.2MM ETH Staked)</a:t>
            </a:r>
          </a:p>
        </c:rich>
      </c:tx>
      <c:overlay val="0"/>
    </c:title>
    <c:plotArea>
      <c:layout/>
      <c:lineChart>
        <c:varyColors val="0"/>
        <c:ser>
          <c:idx val="0"/>
          <c:order val="0"/>
          <c:tx>
            <c:strRef>
              <c:f>'Average Validator'!$AN$145</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'Average Validator'!$W$184:$AJ$184</c:f>
            </c:strRef>
          </c:cat>
          <c:val>
            <c:numRef>
              <c:f>'Average Validator'!$AO$145:$BB$145</c:f>
              <c:numCache/>
            </c:numRef>
          </c:val>
          <c:smooth val="0"/>
        </c:ser>
        <c:axId val="148415821"/>
        <c:axId val="1564997601"/>
      </c:lineChart>
      <c:catAx>
        <c:axId val="148415821"/>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1564997601"/>
      </c:catAx>
      <c:valAx>
        <c:axId val="1564997601"/>
        <c:scaling>
          <c:orientation val="minMax"/>
          <c:max val="0.08"/>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(Gross)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8415821"/>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Sheet10!$V$159:$V$178</c:f>
            </c:strRef>
          </c:cat>
          <c:val>
            <c:numRef>
              <c:f>Sheet10!$W$159:$W$178</c:f>
              <c:numCache/>
            </c:numRef>
          </c:val>
          <c:smooth val="0"/>
        </c:ser>
        <c:axId val="1500788782"/>
        <c:axId val="468220292"/>
      </c:lineChart>
      <c:catAx>
        <c:axId val="1500788782"/>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468220292"/>
      </c:catAx>
      <c:valAx>
        <c:axId val="468220292"/>
        <c:scaling>
          <c:orientation val="minMax"/>
          <c:max val="0.2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00788782"/>
      </c:valAx>
    </c:plotArea>
    <c:plotVisOnly val="1"/>
  </c:chart>
  <c:spPr>
    <a:solidFill>
      <a:srgbClr val="D9D9D9"/>
    </a:solidFill>
  </c:spPr>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(At Home) - 1MM ETH Staked</a:t>
            </a:r>
          </a:p>
        </c:rich>
      </c:tx>
      <c:layout>
        <c:manualLayout>
          <c:xMode val="edge"/>
          <c:yMode val="edge"/>
          <c:x val="0.027777777777777776"/>
          <c:y val="0.04991816693944354"/>
        </c:manualLayout>
      </c:layout>
      <c:overlay val="0"/>
    </c:title>
    <c:plotArea>
      <c:layout/>
      <c:lineChart>
        <c:varyColors val="0"/>
        <c:ser>
          <c:idx val="0"/>
          <c:order val="0"/>
          <c:tx>
            <c:strRef>
              <c:f>Sheet10!$BJ$222</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Sheet10!$BK$220:$BX$220</c:f>
            </c:strRef>
          </c:cat>
          <c:val>
            <c:numRef>
              <c:f>Sheet10!$BK$222:$BX$222</c:f>
              <c:numCache/>
            </c:numRef>
          </c:val>
          <c:smooth val="0"/>
        </c:ser>
        <c:axId val="806655478"/>
        <c:axId val="2022136726"/>
      </c:lineChart>
      <c:catAx>
        <c:axId val="806655478"/>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2022136726"/>
      </c:catAx>
      <c:valAx>
        <c:axId val="2022136726"/>
        <c:scaling>
          <c:orientation val="minMax"/>
          <c:max val="0.1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6655478"/>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(VPS)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Pt>
            <c:idx val="10"/>
            <c:marker>
              <c:symbol val="triangle"/>
              <c:size val="14"/>
              <c:spPr>
                <a:solidFill>
                  <a:srgbClr val="FF0000"/>
                </a:solidFill>
                <a:ln cmpd="sng">
                  <a:solidFill>
                    <a:srgbClr val="FF0000"/>
                  </a:solidFill>
                </a:ln>
              </c:spPr>
            </c:marker>
          </c:dPt>
          <c:dLbls>
            <c:numFmt formatCode="General" sourceLinked="1"/>
            <c:txPr>
              <a:bodyPr/>
              <a:lstStyle/>
              <a:p>
                <a:pPr lvl="0">
                  <a:defRPr b="1" sz="1600"/>
                </a:pPr>
              </a:p>
            </c:txPr>
            <c:showLegendKey val="0"/>
            <c:showVal val="1"/>
            <c:showCatName val="0"/>
            <c:showSerName val="0"/>
            <c:showPercent val="0"/>
            <c:showBubbleSize val="0"/>
          </c:dLbls>
          <c:cat>
            <c:strRef>
              <c:f>Sheet10!$AF$278:$AF$297</c:f>
            </c:strRef>
          </c:cat>
          <c:val>
            <c:numRef>
              <c:f>Sheet10!$W$278:$W$297</c:f>
              <c:numCache/>
            </c:numRef>
          </c:val>
          <c:smooth val="0"/>
        </c:ser>
        <c:axId val="1969760558"/>
        <c:axId val="102865639"/>
      </c:lineChart>
      <c:catAx>
        <c:axId val="1969760558"/>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02865639"/>
      </c:catAx>
      <c:valAx>
        <c:axId val="102865639"/>
        <c:scaling>
          <c:orientation val="minMax"/>
          <c:max val="0.1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69760558"/>
      </c:valAx>
    </c:plotArea>
    <c:plotVisOnly val="1"/>
  </c:chart>
  <c:spPr>
    <a:solidFill>
      <a:srgbClr val="D9D9D9"/>
    </a:solidFill>
  </c:spPr>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(VPS) - 1MM ETH Staked</a:t>
            </a:r>
          </a:p>
        </c:rich>
      </c:tx>
      <c:layout>
        <c:manualLayout>
          <c:xMode val="edge"/>
          <c:yMode val="edge"/>
          <c:x val="0.02871939736346516"/>
          <c:y val="0.05155482815057283"/>
        </c:manualLayout>
      </c:layout>
      <c:overlay val="0"/>
    </c:title>
    <c:plotArea>
      <c:layout/>
      <c:lineChart>
        <c:varyColors val="0"/>
        <c:ser>
          <c:idx val="0"/>
          <c:order val="0"/>
          <c:tx>
            <c:strRef>
              <c:f>Sheet10!$BJ$281</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Sheet10!$BK$279:$BX$279</c:f>
            </c:strRef>
          </c:cat>
          <c:val>
            <c:numRef>
              <c:f>Sheet10!$BK$281:$BX$281</c:f>
              <c:numCache/>
            </c:numRef>
          </c:val>
          <c:smooth val="0"/>
        </c:ser>
        <c:axId val="1886420078"/>
        <c:axId val="69846926"/>
      </c:lineChart>
      <c:catAx>
        <c:axId val="1886420078"/>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69846926"/>
      </c:catAx>
      <c:valAx>
        <c:axId val="69846926"/>
        <c:scaling>
          <c:orientation val="minMax"/>
          <c:max val="0.16"/>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86420078"/>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(At Home)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Pt>
            <c:idx val="18"/>
            <c:marker>
              <c:symbol val="triangle"/>
              <c:size val="14"/>
              <c:spPr>
                <a:solidFill>
                  <a:srgbClr val="FF0000"/>
                </a:solidFill>
                <a:ln cmpd="sng">
                  <a:solidFill>
                    <a:srgbClr val="FF0000"/>
                  </a:solidFill>
                </a:ln>
              </c:spPr>
            </c:marker>
          </c:dPt>
          <c:dPt>
            <c:idx val="19"/>
            <c:marker>
              <c:symbol val="triangle"/>
              <c:size val="14"/>
              <c:spPr>
                <a:solidFill>
                  <a:srgbClr val="FF0000"/>
                </a:solidFill>
                <a:ln cmpd="sng">
                  <a:solidFill>
                    <a:srgbClr val="FF0000"/>
                  </a:solidFill>
                </a:ln>
              </c:spPr>
            </c:marker>
          </c:dPt>
          <c:dLbls>
            <c:numFmt formatCode="General" sourceLinked="1"/>
            <c:txPr>
              <a:bodyPr/>
              <a:lstStyle/>
              <a:p>
                <a:pPr lvl="0">
                  <a:defRPr b="1" sz="1600"/>
                </a:pPr>
              </a:p>
            </c:txPr>
            <c:showLegendKey val="0"/>
            <c:showVal val="1"/>
            <c:showCatName val="0"/>
            <c:showSerName val="0"/>
            <c:showPercent val="0"/>
            <c:showBubbleSize val="0"/>
          </c:dLbls>
          <c:cat>
            <c:strRef>
              <c:f>Sheet10!$AF$219:$AF$238</c:f>
            </c:strRef>
          </c:cat>
          <c:val>
            <c:numRef>
              <c:f>Sheet10!$W$219:$W$238</c:f>
              <c:numCache/>
            </c:numRef>
          </c:val>
          <c:smooth val="0"/>
        </c:ser>
        <c:axId val="332843467"/>
        <c:axId val="1905145491"/>
      </c:lineChart>
      <c:catAx>
        <c:axId val="332843467"/>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905145491"/>
      </c:catAx>
      <c:valAx>
        <c:axId val="1905145491"/>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32843467"/>
      </c:valAx>
    </c:plotArea>
    <c:plotVisOnly val="1"/>
  </c:chart>
  <c:spPr>
    <a:solidFill>
      <a:srgbClr val="D9D9D9"/>
    </a:solidFill>
  </c:spPr>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 Phase 0 (1M ETH Staked)</a:t>
            </a:r>
          </a:p>
        </c:rich>
      </c:tx>
      <c:overlay val="0"/>
    </c:title>
    <c:plotArea>
      <c:layout/>
      <c:lineChart>
        <c:varyColors val="0"/>
        <c:ser>
          <c:idx val="0"/>
          <c:order val="0"/>
          <c:tx>
            <c:strRef>
              <c:f>Sheet10!$BJ$162</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Sheet10!$BK$220:$BX$220</c:f>
            </c:strRef>
          </c:cat>
          <c:val>
            <c:numRef>
              <c:f>Sheet10!$BK$162:$BX$162</c:f>
              <c:numCache/>
            </c:numRef>
          </c:val>
          <c:smooth val="0"/>
        </c:ser>
        <c:axId val="1085557711"/>
        <c:axId val="250180548"/>
      </c:lineChart>
      <c:catAx>
        <c:axId val="1085557711"/>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250180548"/>
      </c:catAx>
      <c:valAx>
        <c:axId val="250180548"/>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(Gross)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5557711"/>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 (1MM ETH Staked)</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Sheet10!$AS$161:$AS$170</c:f>
            </c:strRef>
          </c:cat>
          <c:val>
            <c:numRef>
              <c:f>Sheet10!$AT$161:$AT$170</c:f>
              <c:numCache/>
            </c:numRef>
          </c:val>
          <c:smooth val="0"/>
        </c:ser>
        <c:axId val="1375478140"/>
        <c:axId val="1333305121"/>
      </c:lineChart>
      <c:catAx>
        <c:axId val="1375478140"/>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Average Network % Online</a:t>
                </a:r>
              </a:p>
            </c:rich>
          </c:tx>
          <c:overlay val="0"/>
        </c:title>
        <c:numFmt formatCode="General" sourceLinked="1"/>
        <c:majorTickMark val="none"/>
        <c:minorTickMark val="none"/>
        <c:spPr/>
        <c:txPr>
          <a:bodyPr/>
          <a:lstStyle/>
          <a:p>
            <a:pPr lvl="0">
              <a:defRPr b="0">
                <a:solidFill>
                  <a:srgbClr val="000000"/>
                </a:solidFill>
                <a:latin typeface="+mn-lt"/>
              </a:defRPr>
            </a:pPr>
          </a:p>
        </c:txPr>
        <c:crossAx val="1333305121"/>
      </c:catAx>
      <c:valAx>
        <c:axId val="1333305121"/>
        <c:scaling>
          <c:orientation val="minMax"/>
          <c:max val="0.1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5478140"/>
      </c:valAx>
    </c:plotArea>
    <c:plotVisOnly val="1"/>
  </c:chart>
  <c:spPr>
    <a:solidFill>
      <a:srgbClr val="D9D9D9"/>
    </a:solidFill>
  </c:spPr>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(At Home) - 1MM ETH Staked</a:t>
            </a:r>
          </a:p>
        </c:rich>
      </c:tx>
      <c:layout>
        <c:manualLayout>
          <c:xMode val="edge"/>
          <c:yMode val="edge"/>
          <c:x val="0.027777777777777776"/>
          <c:y val="0.051694915254237285"/>
        </c:manualLayout>
      </c:layout>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Sheet10!$AS$161:$AS$170</c:f>
            </c:strRef>
          </c:cat>
          <c:val>
            <c:numRef>
              <c:f>Sheet10!$AT$221:$AT$230</c:f>
              <c:numCache/>
            </c:numRef>
          </c:val>
          <c:smooth val="0"/>
        </c:ser>
        <c:axId val="1144601408"/>
        <c:axId val="1052981080"/>
      </c:lineChart>
      <c:catAx>
        <c:axId val="1144601408"/>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Average Network % Online</a:t>
                </a:r>
              </a:p>
            </c:rich>
          </c:tx>
          <c:overlay val="0"/>
        </c:title>
        <c:numFmt formatCode="General" sourceLinked="1"/>
        <c:majorTickMark val="none"/>
        <c:minorTickMark val="none"/>
        <c:spPr/>
        <c:txPr>
          <a:bodyPr/>
          <a:lstStyle/>
          <a:p>
            <a:pPr lvl="0">
              <a:defRPr b="0">
                <a:solidFill>
                  <a:srgbClr val="000000"/>
                </a:solidFill>
                <a:latin typeface="+mn-lt"/>
              </a:defRPr>
            </a:pPr>
          </a:p>
        </c:txPr>
        <c:crossAx val="1052981080"/>
      </c:catAx>
      <c:valAx>
        <c:axId val="1052981080"/>
        <c:scaling>
          <c:orientation val="minMax"/>
          <c:max val="0.14"/>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44601408"/>
      </c:valAx>
    </c:plotArea>
    <c:plotVisOnly val="1"/>
  </c:chart>
  <c:spPr>
    <a:solidFill>
      <a:srgbClr val="D9D9D9"/>
    </a:solidFill>
  </c:spPr>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(VPS) - 1MM ETH Staked</a:t>
            </a:r>
          </a:p>
        </c:rich>
      </c:tx>
      <c:layout>
        <c:manualLayout>
          <c:xMode val="edge"/>
          <c:yMode val="edge"/>
          <c:x val="0.027777777777777776"/>
          <c:y val="0.051694915254237285"/>
        </c:manualLayout>
      </c:layout>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Sheet10!$AS$161:$AS$170</c:f>
            </c:strRef>
          </c:cat>
          <c:val>
            <c:numRef>
              <c:f>Sheet10!$AT$280:$AT$289</c:f>
              <c:numCache/>
            </c:numRef>
          </c:val>
          <c:smooth val="0"/>
        </c:ser>
        <c:axId val="904387399"/>
        <c:axId val="130460749"/>
      </c:lineChart>
      <c:catAx>
        <c:axId val="904387399"/>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Average Network % Online</a:t>
                </a:r>
              </a:p>
            </c:rich>
          </c:tx>
          <c:overlay val="0"/>
        </c:title>
        <c:numFmt formatCode="General" sourceLinked="1"/>
        <c:majorTickMark val="none"/>
        <c:minorTickMark val="none"/>
        <c:spPr/>
        <c:txPr>
          <a:bodyPr/>
          <a:lstStyle/>
          <a:p>
            <a:pPr lvl="0">
              <a:defRPr b="0">
                <a:solidFill>
                  <a:srgbClr val="000000"/>
                </a:solidFill>
                <a:latin typeface="+mn-lt"/>
              </a:defRPr>
            </a:pPr>
          </a:p>
        </c:txPr>
        <c:crossAx val="130460749"/>
      </c:catAx>
      <c:valAx>
        <c:axId val="130460749"/>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04387399"/>
      </c:valAx>
    </c:plotArea>
    <c:plotVisOnly val="1"/>
  </c:chart>
  <c:spPr>
    <a:solidFill>
      <a:srgbClr val="D9D9D9"/>
    </a:solidFill>
  </c:spPr>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eth2 Network Issuance (110MM Supply) - Annualized</a:t>
            </a:r>
          </a:p>
        </c:rich>
      </c:tx>
      <c:overlay val="0"/>
    </c:title>
    <c:plotArea>
      <c:layout/>
      <c:lineChart>
        <c:varyColors val="0"/>
        <c:ser>
          <c:idx val="0"/>
          <c:order val="0"/>
          <c:spPr>
            <a:ln cmpd="sng">
              <a:solidFill>
                <a:srgbClr val="6AA84F"/>
              </a:solidFill>
            </a:ln>
          </c:spPr>
          <c:marker>
            <c:symbol val="circle"/>
            <c:size val="10"/>
            <c:spPr>
              <a:solidFill>
                <a:srgbClr val="6AA84F"/>
              </a:solidFill>
              <a:ln cmpd="sng">
                <a:solidFill>
                  <a:srgbClr val="6AA84F"/>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Sheet10!$V$101:$V$120</c:f>
            </c:strRef>
          </c:cat>
          <c:val>
            <c:numRef>
              <c:f>Sheet10!$W$101:$W$120</c:f>
              <c:numCache/>
            </c:numRef>
          </c:val>
          <c:smooth val="0"/>
        </c:ser>
        <c:axId val="535708815"/>
        <c:axId val="2080647432"/>
      </c:lineChart>
      <c:catAx>
        <c:axId val="535708815"/>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2080647432"/>
      </c:catAx>
      <c:valAx>
        <c:axId val="2080647432"/>
        <c:scaling>
          <c:orientation val="minMax"/>
          <c:max val="0.004"/>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6AA84F"/>
                    </a:solidFill>
                    <a:latin typeface="+mn-lt"/>
                  </a:defRPr>
                </a:pPr>
                <a:r>
                  <a:rPr b="1" i="1" sz="2000">
                    <a:solidFill>
                      <a:srgbClr val="6AA84F"/>
                    </a:solidFill>
                    <a:latin typeface="+mn-lt"/>
                  </a:rPr>
                  <a:t>Network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35708815"/>
      </c:valAx>
      <c:lineChart>
        <c:varyColors val="0"/>
        <c:ser>
          <c:idx val="1"/>
          <c:order val="1"/>
          <c:spPr>
            <a:ln cmpd="sng">
              <a:solidFill>
                <a:srgbClr val="674EA7"/>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Sheet10!$V$101:$V$120</c:f>
            </c:strRef>
          </c:cat>
          <c:val>
            <c:numRef>
              <c:f>Sheet10!$AG$101:$AG$120</c:f>
              <c:numCache/>
            </c:numRef>
          </c:val>
          <c:smooth val="0"/>
        </c:ser>
        <c:axId val="1711059833"/>
        <c:axId val="1895082391"/>
      </c:lineChart>
      <c:catAx>
        <c:axId val="1711059833"/>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895082391"/>
      </c:catAx>
      <c:valAx>
        <c:axId val="1895082391"/>
        <c:scaling>
          <c:orientation val="minMax"/>
          <c:max val="1200.0"/>
        </c:scaling>
        <c:delete val="0"/>
        <c:axPos val="r"/>
        <c:majorGridlines>
          <c:spPr>
            <a:ln>
              <a:solidFill>
                <a:srgbClr val="B7B7B7"/>
              </a:solidFill>
            </a:ln>
          </c:spPr>
        </c:majorGridlines>
        <c:minorGridlines>
          <c:spPr>
            <a:ln>
              <a:solidFill>
                <a:srgbClr val="434343"/>
              </a:solidFill>
            </a:ln>
          </c:spPr>
        </c:minorGridlines>
        <c:title>
          <c:tx>
            <c:rich>
              <a:bodyPr/>
              <a:lstStyle/>
              <a:p>
                <a:pPr lvl="0">
                  <a:defRPr b="1" i="1" sz="2000">
                    <a:solidFill>
                      <a:srgbClr val="674EA7"/>
                    </a:solidFill>
                    <a:latin typeface="+mn-lt"/>
                  </a:defRPr>
                </a:pPr>
                <a:r>
                  <a:rPr b="1" i="1" sz="2000">
                    <a:solidFill>
                      <a:srgbClr val="674EA7"/>
                    </a:solidFill>
                    <a:latin typeface="+mn-lt"/>
                  </a:rPr>
                  <a:t>Network Issuance ETH/Day</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11059833"/>
        <c:crosses val="max"/>
      </c:valAx>
    </c:plotArea>
    <c:plotVisOnly val="1"/>
  </c:chart>
  <c:spPr>
    <a:solidFill>
      <a:srgbClr val="D9D9D9"/>
    </a:solidFill>
  </c:spPr>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Genesis to 10MM ETH Staked</a:t>
            </a:r>
          </a:p>
        </c:rich>
      </c:tx>
      <c:overlay val="0"/>
    </c:title>
    <c:plotArea>
      <c:layout/>
      <c:lineChart>
        <c:ser>
          <c:idx val="0"/>
          <c:order val="0"/>
          <c:spPr>
            <a:ln cmpd="sng">
              <a:solidFill>
                <a:srgbClr val="980000"/>
              </a:solidFill>
              <a:prstDash val="lgDash"/>
            </a:ln>
          </c:spPr>
          <c:marker>
            <c:symbol val="circle"/>
            <c:size val="7"/>
            <c:spPr>
              <a:solidFill>
                <a:srgbClr val="980000"/>
              </a:solidFill>
              <a:ln cmpd="sng">
                <a:solidFill>
                  <a:srgbClr val="980000"/>
                </a:solidFill>
              </a:ln>
            </c:spPr>
          </c:marker>
          <c:dPt>
            <c:idx val="0"/>
            <c:marker>
              <c:symbol val="none"/>
            </c:marker>
          </c:dPt>
          <c:dPt>
            <c:idx val="5"/>
            <c:marker>
              <c:symbol val="none"/>
            </c:marker>
          </c:dPt>
          <c:dLbls>
            <c:numFmt formatCode="General" sourceLinked="1"/>
            <c:txPr>
              <a:bodyPr/>
              <a:lstStyle/>
              <a:p>
                <a:pPr lvl="0">
                  <a:defRPr b="1" i="0" sz="1400">
                    <a:latin typeface="serif"/>
                  </a:defRPr>
                </a:pPr>
              </a:p>
            </c:txPr>
            <c:showLegendKey val="0"/>
            <c:showVal val="1"/>
            <c:showCatName val="0"/>
            <c:showSerName val="0"/>
            <c:showPercent val="0"/>
            <c:showBubbleSize val="0"/>
          </c:dLbls>
          <c:cat>
            <c:strRef>
              <c:f>Sheet10!$V$159:$V$178</c:f>
            </c:strRef>
          </c:cat>
          <c:val>
            <c:numRef>
              <c:f>Sheet10!$W$159:$W$178</c:f>
              <c:numCache/>
            </c:numRef>
          </c:val>
          <c:smooth val="0"/>
        </c:ser>
        <c:ser>
          <c:idx val="1"/>
          <c:order val="1"/>
          <c:spPr>
            <a:ln cmpd="sng">
              <a:solidFill>
                <a:srgbClr val="38761D"/>
              </a:solidFill>
            </a:ln>
          </c:spPr>
          <c:marker>
            <c:symbol val="none"/>
          </c:marker>
          <c:dPt>
            <c:idx val="19"/>
            <c:marker>
              <c:symbol val="none"/>
            </c:marker>
          </c:dPt>
          <c:dLbls>
            <c:numFmt formatCode="General" sourceLinked="1"/>
            <c:txPr>
              <a:bodyPr/>
              <a:lstStyle/>
              <a:p>
                <a:pPr lvl="0">
                  <a:defRPr/>
                </a:pPr>
              </a:p>
            </c:txPr>
            <c:showLegendKey val="0"/>
            <c:showVal val="1"/>
            <c:showCatName val="0"/>
            <c:showSerName val="0"/>
            <c:showPercent val="0"/>
            <c:showBubbleSize val="0"/>
          </c:dLbls>
          <c:cat>
            <c:strRef>
              <c:f>Sheet10!$V$159:$V$178</c:f>
            </c:strRef>
          </c:cat>
          <c:val>
            <c:numRef>
              <c:f>Sheet10!$W$219:$W$238</c:f>
              <c:numCache/>
            </c:numRef>
          </c:val>
          <c:smooth val="0"/>
        </c:ser>
        <c:ser>
          <c:idx val="2"/>
          <c:order val="2"/>
          <c:spPr>
            <a:ln cmpd="sng">
              <a:solidFill>
                <a:srgbClr val="4A86E8"/>
              </a:solidFill>
            </a:ln>
          </c:spPr>
          <c:marker>
            <c:symbol val="none"/>
          </c:marker>
          <c:dPt>
            <c:idx val="11"/>
            <c:marker>
              <c:symbol val="none"/>
            </c:marker>
          </c:dPt>
          <c:dPt>
            <c:idx val="12"/>
            <c:marker>
              <c:symbol val="none"/>
            </c:marker>
          </c:dPt>
          <c:dPt>
            <c:idx val="13"/>
            <c:marker>
              <c:symbol val="none"/>
            </c:marker>
          </c:dPt>
          <c:dPt>
            <c:idx val="14"/>
            <c:marker>
              <c:symbol val="none"/>
            </c:marker>
          </c:dPt>
          <c:dPt>
            <c:idx val="15"/>
            <c:marker>
              <c:symbol val="none"/>
            </c:marker>
          </c:dPt>
          <c:dPt>
            <c:idx val="16"/>
            <c:marker>
              <c:symbol val="none"/>
            </c:marker>
          </c:dPt>
          <c:dPt>
            <c:idx val="17"/>
            <c:marker>
              <c:symbol val="none"/>
            </c:marker>
          </c:dPt>
          <c:dPt>
            <c:idx val="18"/>
            <c:marker>
              <c:symbol val="none"/>
            </c:marker>
          </c:dPt>
          <c:dPt>
            <c:idx val="19"/>
            <c:marker>
              <c:symbol val="none"/>
            </c:marker>
          </c:dPt>
          <c:dLbls>
            <c:numFmt formatCode="General" sourceLinked="1"/>
            <c:txPr>
              <a:bodyPr/>
              <a:lstStyle/>
              <a:p>
                <a:pPr lvl="0">
                  <a:defRPr/>
                </a:pPr>
              </a:p>
            </c:txPr>
            <c:showLegendKey val="0"/>
            <c:showVal val="1"/>
            <c:showCatName val="0"/>
            <c:showSerName val="0"/>
            <c:showPercent val="0"/>
            <c:showBubbleSize val="0"/>
          </c:dLbls>
          <c:cat>
            <c:strRef>
              <c:f>Sheet10!$V$159:$V$178</c:f>
            </c:strRef>
          </c:cat>
          <c:val>
            <c:numRef>
              <c:f>Sheet10!$W$278:$W$297</c:f>
              <c:numCache/>
            </c:numRef>
          </c:val>
          <c:smooth val="0"/>
        </c:ser>
        <c:axId val="1110088748"/>
        <c:axId val="1360044900"/>
      </c:lineChart>
      <c:catAx>
        <c:axId val="1110088748"/>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serif"/>
              </a:defRPr>
            </a:pPr>
          </a:p>
        </c:txPr>
        <c:crossAx val="1360044900"/>
      </c:catAx>
      <c:valAx>
        <c:axId val="1360044900"/>
        <c:scaling>
          <c:orientation val="minMax"/>
          <c:max val="0.2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1110088748"/>
      </c:valAx>
    </c:plotArea>
    <c:plotVisOnly val="1"/>
  </c:chart>
  <c:spPr>
    <a:solidFill>
      <a:srgbClr val="D9D9D9"/>
    </a:solidFill>
  </c:spPr>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eth2 Network Issuance (110MM Supply) - Annualized</a:t>
            </a:r>
          </a:p>
        </c:rich>
      </c:tx>
      <c:overlay val="0"/>
    </c:title>
    <c:plotArea>
      <c:layout/>
      <c:lineChart>
        <c:varyColors val="0"/>
        <c:ser>
          <c:idx val="0"/>
          <c:order val="0"/>
          <c:spPr>
            <a:ln cmpd="sng">
              <a:solidFill>
                <a:srgbClr val="6AA84F"/>
              </a:solidFill>
            </a:ln>
          </c:spPr>
          <c:marker>
            <c:symbol val="circle"/>
            <c:size val="10"/>
            <c:spPr>
              <a:solidFill>
                <a:srgbClr val="6AA84F"/>
              </a:solidFill>
              <a:ln cmpd="sng">
                <a:solidFill>
                  <a:srgbClr val="6AA84F"/>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Sheet10!$V$101:$V$120</c:f>
            </c:strRef>
          </c:cat>
          <c:val>
            <c:numRef>
              <c:f>Sheet10!$W$101:$W$120</c:f>
              <c:numCache/>
            </c:numRef>
          </c:val>
          <c:smooth val="0"/>
        </c:ser>
        <c:axId val="313295536"/>
        <c:axId val="1241714688"/>
      </c:lineChart>
      <c:catAx>
        <c:axId val="313295536"/>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241714688"/>
      </c:catAx>
      <c:valAx>
        <c:axId val="1241714688"/>
        <c:scaling>
          <c:orientation val="minMax"/>
          <c:max val="0.004"/>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6AA84F"/>
                    </a:solidFill>
                    <a:latin typeface="+mn-lt"/>
                  </a:defRPr>
                </a:pPr>
                <a:r>
                  <a:rPr b="1" i="1" sz="2000">
                    <a:solidFill>
                      <a:srgbClr val="6AA84F"/>
                    </a:solidFill>
                    <a:latin typeface="+mn-lt"/>
                  </a:rPr>
                  <a:t>Network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3295536"/>
      </c:valAx>
      <c:lineChart>
        <c:varyColors val="0"/>
        <c:ser>
          <c:idx val="1"/>
          <c:order val="1"/>
          <c:spPr>
            <a:ln cmpd="sng">
              <a:solidFill>
                <a:srgbClr val="674EA7"/>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Sheet10!$V$101:$V$120</c:f>
            </c:strRef>
          </c:cat>
          <c:val>
            <c:numRef>
              <c:f>Sheet10!$AG$101:$AG$120</c:f>
              <c:numCache/>
            </c:numRef>
          </c:val>
          <c:smooth val="0"/>
        </c:ser>
        <c:axId val="832872019"/>
        <c:axId val="732784629"/>
      </c:lineChart>
      <c:catAx>
        <c:axId val="832872019"/>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732784629"/>
      </c:catAx>
      <c:valAx>
        <c:axId val="732784629"/>
        <c:scaling>
          <c:orientation val="minMax"/>
          <c:max val="1200.0"/>
        </c:scaling>
        <c:delete val="0"/>
        <c:axPos val="r"/>
        <c:majorGridlines>
          <c:spPr>
            <a:ln>
              <a:solidFill>
                <a:srgbClr val="B7B7B7"/>
              </a:solidFill>
            </a:ln>
          </c:spPr>
        </c:majorGridlines>
        <c:minorGridlines>
          <c:spPr>
            <a:ln>
              <a:solidFill>
                <a:srgbClr val="434343"/>
              </a:solidFill>
            </a:ln>
          </c:spPr>
        </c:minorGridlines>
        <c:title>
          <c:tx>
            <c:rich>
              <a:bodyPr/>
              <a:lstStyle/>
              <a:p>
                <a:pPr lvl="0">
                  <a:defRPr b="1" i="1" sz="2000">
                    <a:solidFill>
                      <a:srgbClr val="674EA7"/>
                    </a:solidFill>
                    <a:latin typeface="+mn-lt"/>
                  </a:defRPr>
                </a:pPr>
                <a:r>
                  <a:rPr b="1" i="1" sz="2000">
                    <a:solidFill>
                      <a:srgbClr val="674EA7"/>
                    </a:solidFill>
                    <a:latin typeface="+mn-lt"/>
                  </a:rPr>
                  <a:t>Network Issuance ETH/Day</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32872019"/>
        <c:crosses val="max"/>
      </c:valAx>
    </c:plotArea>
    <c:plotVisOnly val="1"/>
  </c:chart>
  <c:spPr>
    <a:solidFill>
      <a:srgbClr val="D9D9D9"/>
    </a:solidFill>
  </c:spPr>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'Validator Rewards (Phase 0 - Be'!$Y$175:$Y$194</c:f>
            </c:strRef>
          </c:cat>
          <c:val>
            <c:numRef>
              <c:f>'Validator Rewards (Phase 0 - Be'!$Z$175:$Z$194</c:f>
              <c:numCache/>
            </c:numRef>
          </c:val>
          <c:smooth val="0"/>
        </c:ser>
        <c:axId val="568311635"/>
        <c:axId val="739858800"/>
      </c:lineChart>
      <c:catAx>
        <c:axId val="568311635"/>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739858800"/>
      </c:catAx>
      <c:valAx>
        <c:axId val="739858800"/>
        <c:scaling>
          <c:orientation val="minMax"/>
          <c:max val="0.2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68311635"/>
      </c:valAx>
    </c:plotArea>
    <c:plotVisOnly val="1"/>
  </c:chart>
  <c:spPr>
    <a:solidFill>
      <a:srgbClr val="D9D9D9"/>
    </a:solidFill>
  </c:spPr>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(At Home) - 1MM ETH Staked</a:t>
            </a:r>
          </a:p>
        </c:rich>
      </c:tx>
      <c:layout>
        <c:manualLayout>
          <c:xMode val="edge"/>
          <c:yMode val="edge"/>
          <c:x val="0.027777777777777776"/>
          <c:y val="0.04991816693944354"/>
        </c:manualLayout>
      </c:layout>
      <c:overlay val="0"/>
    </c:title>
    <c:plotArea>
      <c:layout/>
      <c:lineChart>
        <c:varyColors val="0"/>
        <c:ser>
          <c:idx val="0"/>
          <c:order val="0"/>
          <c:tx>
            <c:strRef>
              <c:f>'Validator Rewards (Phase 0 - Be'!$CR$244</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'Validator Rewards (Phase 0 - Be'!$CS$242:$DF$242</c:f>
            </c:strRef>
          </c:cat>
          <c:val>
            <c:numRef>
              <c:f>'Validator Rewards (Phase 0 - Be'!$CS$244:$DF$244</c:f>
              <c:numCache/>
            </c:numRef>
          </c:val>
          <c:smooth val="0"/>
        </c:ser>
        <c:axId val="1373910440"/>
        <c:axId val="335653135"/>
      </c:lineChart>
      <c:catAx>
        <c:axId val="1373910440"/>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335653135"/>
      </c:catAx>
      <c:valAx>
        <c:axId val="335653135"/>
        <c:scaling>
          <c:orientation val="minMax"/>
          <c:max val="0.1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3910440"/>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(VPS)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Pt>
            <c:idx val="10"/>
            <c:marker>
              <c:symbol val="triangle"/>
              <c:size val="14"/>
              <c:spPr>
                <a:solidFill>
                  <a:srgbClr val="FF0000"/>
                </a:solidFill>
                <a:ln cmpd="sng">
                  <a:solidFill>
                    <a:srgbClr val="FF0000"/>
                  </a:solidFill>
                </a:ln>
              </c:spPr>
            </c:marker>
          </c:dPt>
          <c:dLbls>
            <c:numFmt formatCode="General" sourceLinked="1"/>
            <c:txPr>
              <a:bodyPr/>
              <a:lstStyle/>
              <a:p>
                <a:pPr lvl="0">
                  <a:defRPr b="1" sz="1600"/>
                </a:pPr>
              </a:p>
            </c:txPr>
            <c:showLegendKey val="0"/>
            <c:showVal val="1"/>
            <c:showCatName val="0"/>
            <c:showSerName val="0"/>
            <c:showPercent val="0"/>
            <c:showBubbleSize val="0"/>
          </c:dLbls>
          <c:cat>
            <c:strRef>
              <c:f>'Validator Rewards (Phase 0 - Be'!$AI$309:$AI$328</c:f>
            </c:strRef>
          </c:cat>
          <c:val>
            <c:numRef>
              <c:f>'Validator Rewards (Phase 0 - Be'!$Z$309:$Z$328</c:f>
              <c:numCache/>
            </c:numRef>
          </c:val>
          <c:smooth val="0"/>
        </c:ser>
        <c:axId val="321416474"/>
        <c:axId val="1869736631"/>
      </c:lineChart>
      <c:catAx>
        <c:axId val="321416474"/>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869736631"/>
      </c:catAx>
      <c:valAx>
        <c:axId val="1869736631"/>
        <c:scaling>
          <c:orientation val="minMax"/>
          <c:max val="0.1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21416474"/>
      </c:valAx>
    </c:plotArea>
    <c:plotVisOnly val="1"/>
  </c:chart>
  <c:spPr>
    <a:solidFill>
      <a:srgbClr val="D9D9D9"/>
    </a:solidFill>
  </c:spPr>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(VPS) - 1MM ETH Staked</a:t>
            </a:r>
          </a:p>
        </c:rich>
      </c:tx>
      <c:layout>
        <c:manualLayout>
          <c:xMode val="edge"/>
          <c:yMode val="edge"/>
          <c:x val="0.02871939736346516"/>
          <c:y val="0.05155482815057283"/>
        </c:manualLayout>
      </c:layout>
      <c:overlay val="0"/>
    </c:title>
    <c:plotArea>
      <c:layout/>
      <c:lineChart>
        <c:varyColors val="0"/>
        <c:ser>
          <c:idx val="0"/>
          <c:order val="0"/>
          <c:tx>
            <c:strRef>
              <c:f>'Validator Rewards (Phase 0 - Be'!$CD$312</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'Validator Rewards (Phase 0 - Be'!$CE$310:$CR$310</c:f>
            </c:strRef>
          </c:cat>
          <c:val>
            <c:numRef>
              <c:f>'Validator Rewards (Phase 0 - Be'!$CE$312:$CR$312</c:f>
              <c:numCache/>
            </c:numRef>
          </c:val>
          <c:smooth val="0"/>
        </c:ser>
        <c:axId val="531332084"/>
        <c:axId val="1359950513"/>
      </c:lineChart>
      <c:catAx>
        <c:axId val="531332084"/>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1359950513"/>
      </c:catAx>
      <c:valAx>
        <c:axId val="1359950513"/>
        <c:scaling>
          <c:orientation val="minMax"/>
          <c:max val="0.16"/>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31332084"/>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(At Home)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Pt>
            <c:idx val="18"/>
            <c:marker>
              <c:symbol val="triangle"/>
              <c:size val="14"/>
              <c:spPr>
                <a:solidFill>
                  <a:srgbClr val="FF0000"/>
                </a:solidFill>
                <a:ln cmpd="sng">
                  <a:solidFill>
                    <a:srgbClr val="FF0000"/>
                  </a:solidFill>
                </a:ln>
              </c:spPr>
            </c:marker>
          </c:dPt>
          <c:dPt>
            <c:idx val="19"/>
            <c:marker>
              <c:symbol val="triangle"/>
              <c:size val="14"/>
              <c:spPr>
                <a:solidFill>
                  <a:srgbClr val="FF0000"/>
                </a:solidFill>
                <a:ln cmpd="sng">
                  <a:solidFill>
                    <a:srgbClr val="FF0000"/>
                  </a:solidFill>
                </a:ln>
              </c:spPr>
            </c:marker>
          </c:dPt>
          <c:dLbls>
            <c:numFmt formatCode="General" sourceLinked="1"/>
            <c:txPr>
              <a:bodyPr/>
              <a:lstStyle/>
              <a:p>
                <a:pPr lvl="0">
                  <a:defRPr b="1" sz="1600"/>
                </a:pPr>
              </a:p>
            </c:txPr>
            <c:showLegendKey val="0"/>
            <c:showVal val="1"/>
            <c:showCatName val="0"/>
            <c:showSerName val="0"/>
            <c:showPercent val="0"/>
            <c:showBubbleSize val="0"/>
          </c:dLbls>
          <c:cat>
            <c:strRef>
              <c:f>'Validator Rewards (Phase 0 - Be'!$AI$241:$AI$260</c:f>
            </c:strRef>
          </c:cat>
          <c:val>
            <c:numRef>
              <c:f>'Validator Rewards (Phase 0 - Be'!$Z$241:$Z$260</c:f>
              <c:numCache/>
            </c:numRef>
          </c:val>
          <c:smooth val="0"/>
        </c:ser>
        <c:axId val="297571807"/>
        <c:axId val="747764061"/>
      </c:lineChart>
      <c:catAx>
        <c:axId val="297571807"/>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747764061"/>
      </c:catAx>
      <c:valAx>
        <c:axId val="747764061"/>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97571807"/>
      </c:valAx>
    </c:plotArea>
    <c:plotVisOnly val="1"/>
  </c:chart>
  <c:spPr>
    <a:solidFill>
      <a:srgbClr val="D9D9D9"/>
    </a:solidFill>
  </c:spPr>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 Phase 0 (1M ETH Staked)</a:t>
            </a:r>
          </a:p>
        </c:rich>
      </c:tx>
      <c:overlay val="0"/>
    </c:title>
    <c:plotArea>
      <c:layout/>
      <c:lineChart>
        <c:varyColors val="0"/>
        <c:ser>
          <c:idx val="0"/>
          <c:order val="0"/>
          <c:tx>
            <c:strRef>
              <c:f>'Validator Rewards (Phase 0 - Be'!$BN$178</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'Validator Rewards (Phase 0 - Be'!$CS$242:$DF$242</c:f>
            </c:strRef>
          </c:cat>
          <c:val>
            <c:numRef>
              <c:f>'Validator Rewards (Phase 0 - Be'!$BO$178:$CB$178</c:f>
              <c:numCache/>
            </c:numRef>
          </c:val>
          <c:smooth val="0"/>
        </c:ser>
        <c:axId val="528552381"/>
        <c:axId val="701232879"/>
      </c:lineChart>
      <c:catAx>
        <c:axId val="528552381"/>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701232879"/>
      </c:catAx>
      <c:valAx>
        <c:axId val="701232879"/>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(Gross)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28552381"/>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 (1MM ETH Staked)</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'Validator Rewards (Phase 0 - Be'!$AW$177:$AW$186</c:f>
            </c:strRef>
          </c:cat>
          <c:val>
            <c:numRef>
              <c:f>'Validator Rewards (Phase 0 - Be'!$AX$177:$AX$186</c:f>
              <c:numCache/>
            </c:numRef>
          </c:val>
          <c:smooth val="0"/>
        </c:ser>
        <c:axId val="1152535435"/>
        <c:axId val="1486088224"/>
      </c:lineChart>
      <c:catAx>
        <c:axId val="1152535435"/>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Average Network % Online</a:t>
                </a:r>
              </a:p>
            </c:rich>
          </c:tx>
          <c:overlay val="0"/>
        </c:title>
        <c:numFmt formatCode="General" sourceLinked="1"/>
        <c:majorTickMark val="none"/>
        <c:minorTickMark val="none"/>
        <c:spPr/>
        <c:txPr>
          <a:bodyPr/>
          <a:lstStyle/>
          <a:p>
            <a:pPr lvl="0">
              <a:defRPr b="0">
                <a:solidFill>
                  <a:srgbClr val="000000"/>
                </a:solidFill>
                <a:latin typeface="+mn-lt"/>
              </a:defRPr>
            </a:pPr>
          </a:p>
        </c:txPr>
        <c:crossAx val="1486088224"/>
      </c:catAx>
      <c:valAx>
        <c:axId val="1486088224"/>
        <c:scaling>
          <c:orientation val="minMax"/>
          <c:max val="0.1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52535435"/>
      </c:valAx>
    </c:plotArea>
    <c:plotVisOnly val="1"/>
  </c:chart>
  <c:spPr>
    <a:solidFill>
      <a:srgbClr val="D9D9D9"/>
    </a:solidFill>
  </c:spPr>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eth2 Network Issuance (110MM Supply) - Annualized</a:t>
            </a:r>
          </a:p>
        </c:rich>
      </c:tx>
      <c:overlay val="0"/>
    </c:title>
    <c:plotArea>
      <c:layout/>
      <c:lineChart>
        <c:varyColors val="0"/>
        <c:ser>
          <c:idx val="0"/>
          <c:order val="0"/>
          <c:spPr>
            <a:ln cmpd="sng">
              <a:solidFill>
                <a:srgbClr val="6AA84F"/>
              </a:solidFill>
            </a:ln>
          </c:spPr>
          <c:marker>
            <c:symbol val="circle"/>
            <c:size val="10"/>
            <c:spPr>
              <a:solidFill>
                <a:srgbClr val="6AA84F"/>
              </a:solidFill>
              <a:ln cmpd="sng">
                <a:solidFill>
                  <a:srgbClr val="6AA84F"/>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'Validator Rewards (Phase 0 - Be'!$AB$110:$AB$129</c:f>
            </c:strRef>
          </c:cat>
          <c:val>
            <c:numRef>
              <c:f>'Validator Rewards (Phase 0 - Be'!$AC$110:$AC$129</c:f>
              <c:numCache/>
            </c:numRef>
          </c:val>
          <c:smooth val="0"/>
        </c:ser>
        <c:axId val="1159258333"/>
        <c:axId val="198099861"/>
      </c:lineChart>
      <c:catAx>
        <c:axId val="1159258333"/>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98099861"/>
      </c:catAx>
      <c:valAx>
        <c:axId val="198099861"/>
        <c:scaling>
          <c:orientation val="minMax"/>
          <c:max val="0.004"/>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6AA84F"/>
                    </a:solidFill>
                    <a:latin typeface="+mn-lt"/>
                  </a:defRPr>
                </a:pPr>
                <a:r>
                  <a:rPr b="1" i="1" sz="2000">
                    <a:solidFill>
                      <a:srgbClr val="6AA84F"/>
                    </a:solidFill>
                    <a:latin typeface="+mn-lt"/>
                  </a:rPr>
                  <a:t>Network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59258333"/>
      </c:valAx>
      <c:lineChart>
        <c:varyColors val="0"/>
        <c:ser>
          <c:idx val="1"/>
          <c:order val="1"/>
          <c:spPr>
            <a:ln cmpd="sng">
              <a:solidFill>
                <a:srgbClr val="674EA7"/>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'Validator Rewards (Phase 0 - Be'!$AB$110:$AB$129</c:f>
            </c:strRef>
          </c:cat>
          <c:val>
            <c:numRef>
              <c:f>'Validator Rewards (Phase 0 - Be'!$AM$110:$AM$129</c:f>
              <c:numCache/>
            </c:numRef>
          </c:val>
          <c:smooth val="0"/>
        </c:ser>
        <c:axId val="2106049776"/>
        <c:axId val="604554710"/>
      </c:lineChart>
      <c:catAx>
        <c:axId val="2106049776"/>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604554710"/>
      </c:catAx>
      <c:valAx>
        <c:axId val="604554710"/>
        <c:scaling>
          <c:orientation val="minMax"/>
          <c:max val="1200.0"/>
        </c:scaling>
        <c:delete val="0"/>
        <c:axPos val="r"/>
        <c:majorGridlines>
          <c:spPr>
            <a:ln>
              <a:solidFill>
                <a:srgbClr val="B7B7B7"/>
              </a:solidFill>
            </a:ln>
          </c:spPr>
        </c:majorGridlines>
        <c:minorGridlines>
          <c:spPr>
            <a:ln>
              <a:solidFill>
                <a:srgbClr val="434343"/>
              </a:solidFill>
            </a:ln>
          </c:spPr>
        </c:minorGridlines>
        <c:title>
          <c:tx>
            <c:rich>
              <a:bodyPr/>
              <a:lstStyle/>
              <a:p>
                <a:pPr lvl="0">
                  <a:defRPr b="1" i="1" sz="2000">
                    <a:solidFill>
                      <a:srgbClr val="674EA7"/>
                    </a:solidFill>
                    <a:latin typeface="+mn-lt"/>
                  </a:defRPr>
                </a:pPr>
                <a:r>
                  <a:rPr b="1" i="1" sz="2000">
                    <a:solidFill>
                      <a:srgbClr val="674EA7"/>
                    </a:solidFill>
                    <a:latin typeface="+mn-lt"/>
                  </a:rPr>
                  <a:t>Network Issuance ETH/Day</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06049776"/>
        <c:crosses val="max"/>
      </c:valAx>
    </c:plotArea>
    <c:plotVisOnly val="1"/>
  </c:chart>
  <c:spPr>
    <a:solidFill>
      <a:srgbClr val="D9D9D9"/>
    </a:solidFill>
  </c:spPr>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(32 ETH) - Genesis to 10MM ETH Staked</a:t>
            </a:r>
          </a:p>
        </c:rich>
      </c:tx>
      <c:overlay val="0"/>
    </c:title>
    <c:plotArea>
      <c:layout/>
      <c:lineChart>
        <c:ser>
          <c:idx val="0"/>
          <c:order val="0"/>
          <c:spPr>
            <a:ln cmpd="sng">
              <a:solidFill>
                <a:srgbClr val="980000"/>
              </a:solidFill>
              <a:prstDash val="lgDash"/>
            </a:ln>
          </c:spPr>
          <c:marker>
            <c:symbol val="circle"/>
            <c:size val="7"/>
            <c:spPr>
              <a:solidFill>
                <a:srgbClr val="980000"/>
              </a:solidFill>
              <a:ln cmpd="sng">
                <a:solidFill>
                  <a:srgbClr val="980000"/>
                </a:solidFill>
              </a:ln>
            </c:spPr>
          </c:marker>
          <c:dPt>
            <c:idx val="0"/>
            <c:marker>
              <c:symbol val="none"/>
            </c:marker>
          </c:dPt>
          <c:dPt>
            <c:idx val="5"/>
            <c:marker>
              <c:symbol val="none"/>
            </c:marker>
          </c:dPt>
          <c:dLbls>
            <c:numFmt formatCode="General" sourceLinked="1"/>
            <c:txPr>
              <a:bodyPr/>
              <a:lstStyle/>
              <a:p>
                <a:pPr lvl="0">
                  <a:defRPr b="1" i="0" sz="1400">
                    <a:latin typeface="serif"/>
                  </a:defRPr>
                </a:pPr>
              </a:p>
            </c:txPr>
            <c:showLegendKey val="0"/>
            <c:showVal val="1"/>
            <c:showCatName val="0"/>
            <c:showSerName val="0"/>
            <c:showPercent val="0"/>
            <c:showBubbleSize val="0"/>
          </c:dLbls>
          <c:cat>
            <c:strRef>
              <c:f>'Validator Rewards (Phase 0 - Be'!$Y$175:$Y$194</c:f>
            </c:strRef>
          </c:cat>
          <c:val>
            <c:numRef>
              <c:f>'Validator Rewards (Phase 0 - Be'!$Z$175:$Z$194</c:f>
              <c:numCache/>
            </c:numRef>
          </c:val>
          <c:smooth val="0"/>
        </c:ser>
        <c:ser>
          <c:idx val="1"/>
          <c:order val="1"/>
          <c:spPr>
            <a:ln cmpd="sng">
              <a:solidFill>
                <a:srgbClr val="38761D"/>
              </a:solidFill>
            </a:ln>
          </c:spPr>
          <c:marker>
            <c:symbol val="none"/>
          </c:marker>
          <c:dPt>
            <c:idx val="19"/>
            <c:marker>
              <c:symbol val="none"/>
            </c:marker>
          </c:dPt>
          <c:dLbls>
            <c:numFmt formatCode="General" sourceLinked="1"/>
            <c:txPr>
              <a:bodyPr/>
              <a:lstStyle/>
              <a:p>
                <a:pPr lvl="0">
                  <a:defRPr/>
                </a:pPr>
              </a:p>
            </c:txPr>
            <c:showLegendKey val="0"/>
            <c:showVal val="1"/>
            <c:showCatName val="0"/>
            <c:showSerName val="0"/>
            <c:showPercent val="0"/>
            <c:showBubbleSize val="0"/>
          </c:dLbls>
          <c:cat>
            <c:strRef>
              <c:f>'Validator Rewards (Phase 0 - Be'!$Y$175:$Y$194</c:f>
            </c:strRef>
          </c:cat>
          <c:val>
            <c:numRef>
              <c:f>'Validator Rewards (Phase 0 - Be'!$Z$241:$Z$260</c:f>
              <c:numCache/>
            </c:numRef>
          </c:val>
          <c:smooth val="0"/>
        </c:ser>
        <c:ser>
          <c:idx val="2"/>
          <c:order val="2"/>
          <c:spPr>
            <a:ln cmpd="sng">
              <a:solidFill>
                <a:srgbClr val="4A86E8"/>
              </a:solidFill>
            </a:ln>
          </c:spPr>
          <c:marker>
            <c:symbol val="none"/>
          </c:marker>
          <c:dPt>
            <c:idx val="11"/>
            <c:marker>
              <c:symbol val="none"/>
            </c:marker>
          </c:dPt>
          <c:dPt>
            <c:idx val="12"/>
            <c:marker>
              <c:symbol val="none"/>
            </c:marker>
          </c:dPt>
          <c:dPt>
            <c:idx val="13"/>
            <c:marker>
              <c:symbol val="none"/>
            </c:marker>
          </c:dPt>
          <c:dPt>
            <c:idx val="14"/>
            <c:marker>
              <c:symbol val="none"/>
            </c:marker>
          </c:dPt>
          <c:dPt>
            <c:idx val="15"/>
            <c:marker>
              <c:symbol val="none"/>
            </c:marker>
          </c:dPt>
          <c:dPt>
            <c:idx val="16"/>
            <c:marker>
              <c:symbol val="none"/>
            </c:marker>
          </c:dPt>
          <c:dPt>
            <c:idx val="17"/>
            <c:marker>
              <c:symbol val="none"/>
            </c:marker>
          </c:dPt>
          <c:dPt>
            <c:idx val="18"/>
            <c:marker>
              <c:symbol val="none"/>
            </c:marker>
          </c:dPt>
          <c:dPt>
            <c:idx val="19"/>
            <c:marker>
              <c:symbol val="none"/>
            </c:marker>
          </c:dPt>
          <c:dLbls>
            <c:numFmt formatCode="General" sourceLinked="1"/>
            <c:txPr>
              <a:bodyPr/>
              <a:lstStyle/>
              <a:p>
                <a:pPr lvl="0">
                  <a:defRPr/>
                </a:pPr>
              </a:p>
            </c:txPr>
            <c:showLegendKey val="0"/>
            <c:showVal val="1"/>
            <c:showCatName val="0"/>
            <c:showSerName val="0"/>
            <c:showPercent val="0"/>
            <c:showBubbleSize val="0"/>
          </c:dLbls>
          <c:cat>
            <c:strRef>
              <c:f>'Validator Rewards (Phase 0 - Be'!$Y$175:$Y$194</c:f>
            </c:strRef>
          </c:cat>
          <c:val>
            <c:numRef>
              <c:f>'Validator Rewards (Phase 0 - Be'!$Z$309:$Z$328</c:f>
              <c:numCache/>
            </c:numRef>
          </c:val>
          <c:smooth val="0"/>
        </c:ser>
        <c:axId val="101347595"/>
        <c:axId val="747773158"/>
      </c:lineChart>
      <c:catAx>
        <c:axId val="101347595"/>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serif"/>
              </a:defRPr>
            </a:pPr>
          </a:p>
        </c:txPr>
        <c:crossAx val="747773158"/>
      </c:catAx>
      <c:valAx>
        <c:axId val="747773158"/>
        <c:scaling>
          <c:orientation val="minMax"/>
          <c:max val="0.2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(Network, At Home, VPS)</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101347595"/>
      </c:valAx>
    </c:plotArea>
    <c:plotVisOnly val="1"/>
  </c:chart>
  <c:spPr>
    <a:solidFill>
      <a:srgbClr val="D9D9D9"/>
    </a:solidFill>
  </c:spPr>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eth2 Network Issuance (110MM Supply) - Annualized</a:t>
            </a:r>
          </a:p>
        </c:rich>
      </c:tx>
      <c:overlay val="0"/>
    </c:title>
    <c:plotArea>
      <c:layout/>
      <c:lineChart>
        <c:varyColors val="0"/>
        <c:ser>
          <c:idx val="0"/>
          <c:order val="0"/>
          <c:spPr>
            <a:ln cmpd="sng">
              <a:solidFill>
                <a:srgbClr val="6AA84F"/>
              </a:solidFill>
            </a:ln>
          </c:spPr>
          <c:marker>
            <c:symbol val="circle"/>
            <c:size val="10"/>
            <c:spPr>
              <a:solidFill>
                <a:srgbClr val="6AA84F"/>
              </a:solidFill>
              <a:ln cmpd="sng">
                <a:solidFill>
                  <a:srgbClr val="6AA84F"/>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'Validator Rewards (Phase 0 - Be'!$AB$110:$AB$129</c:f>
            </c:strRef>
          </c:cat>
          <c:val>
            <c:numRef>
              <c:f>'Validator Rewards (Phase 0 - Be'!$AC$110:$AC$129</c:f>
              <c:numCache/>
            </c:numRef>
          </c:val>
          <c:smooth val="0"/>
        </c:ser>
        <c:axId val="831588594"/>
        <c:axId val="1989945391"/>
      </c:lineChart>
      <c:catAx>
        <c:axId val="831588594"/>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989945391"/>
      </c:catAx>
      <c:valAx>
        <c:axId val="1989945391"/>
        <c:scaling>
          <c:orientation val="minMax"/>
          <c:max val="0.004"/>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6AA84F"/>
                    </a:solidFill>
                    <a:latin typeface="+mn-lt"/>
                  </a:defRPr>
                </a:pPr>
                <a:r>
                  <a:rPr b="1" i="1" sz="2000">
                    <a:solidFill>
                      <a:srgbClr val="6AA84F"/>
                    </a:solidFill>
                    <a:latin typeface="+mn-lt"/>
                  </a:rPr>
                  <a:t>Network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31588594"/>
      </c:valAx>
      <c:lineChart>
        <c:varyColors val="0"/>
        <c:ser>
          <c:idx val="1"/>
          <c:order val="1"/>
          <c:spPr>
            <a:ln cmpd="sng">
              <a:solidFill>
                <a:srgbClr val="674EA7"/>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'Validator Rewards (Phase 0 - Be'!$AB$110:$AB$129</c:f>
            </c:strRef>
          </c:cat>
          <c:val>
            <c:numRef>
              <c:f>'Validator Rewards (Phase 0 - Be'!$AM$110:$AM$129</c:f>
              <c:numCache/>
            </c:numRef>
          </c:val>
          <c:smooth val="0"/>
        </c:ser>
        <c:axId val="2077466846"/>
        <c:axId val="2027115430"/>
      </c:lineChart>
      <c:catAx>
        <c:axId val="2077466846"/>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2027115430"/>
      </c:catAx>
      <c:valAx>
        <c:axId val="2027115430"/>
        <c:scaling>
          <c:orientation val="minMax"/>
          <c:max val="1200.0"/>
        </c:scaling>
        <c:delete val="0"/>
        <c:axPos val="r"/>
        <c:majorGridlines>
          <c:spPr>
            <a:ln>
              <a:solidFill>
                <a:srgbClr val="B7B7B7"/>
              </a:solidFill>
            </a:ln>
          </c:spPr>
        </c:majorGridlines>
        <c:minorGridlines>
          <c:spPr>
            <a:ln>
              <a:solidFill>
                <a:srgbClr val="434343"/>
              </a:solidFill>
            </a:ln>
          </c:spPr>
        </c:minorGridlines>
        <c:title>
          <c:tx>
            <c:rich>
              <a:bodyPr/>
              <a:lstStyle/>
              <a:p>
                <a:pPr lvl="0">
                  <a:defRPr b="1" i="1" sz="2000">
                    <a:solidFill>
                      <a:srgbClr val="674EA7"/>
                    </a:solidFill>
                    <a:latin typeface="+mn-lt"/>
                  </a:defRPr>
                </a:pPr>
                <a:r>
                  <a:rPr b="1" i="1" sz="2000">
                    <a:solidFill>
                      <a:srgbClr val="674EA7"/>
                    </a:solidFill>
                    <a:latin typeface="+mn-lt"/>
                  </a:rPr>
                  <a:t>Network Issuance ETH/Day</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7466846"/>
        <c:crosses val="max"/>
      </c:valAx>
    </c:plotArea>
    <c:plotVisOnly val="1"/>
  </c:chart>
  <c:spPr>
    <a:solidFill>
      <a:srgbClr val="D9D9D9"/>
    </a:solidFill>
  </c:spPr>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Annualized Validator Reward (VPS) - 1MM ETH Staked</a:t>
            </a:r>
          </a:p>
        </c:rich>
      </c:tx>
      <c:layout>
        <c:manualLayout>
          <c:xMode val="edge"/>
          <c:yMode val="edge"/>
          <c:x val="0.02871939736346516"/>
          <c:y val="0.05155482815057283"/>
        </c:manualLayout>
      </c:layout>
      <c:overlay val="0"/>
    </c:title>
    <c:plotArea>
      <c:layout/>
      <c:lineChart>
        <c:varyColors val="0"/>
        <c:ser>
          <c:idx val="0"/>
          <c:order val="0"/>
          <c:tx>
            <c:strRef>
              <c:f>'Validator Rewards (Phase 0 - Be'!$BM$312</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'Validator Rewards (Phase 0 - Be'!$CE$310:$CR$310</c:f>
            </c:strRef>
          </c:cat>
          <c:val>
            <c:numRef>
              <c:f>'Validator Rewards (Phase 0 - Be'!$BN$312:$CA$312</c:f>
              <c:numCache/>
            </c:numRef>
          </c:val>
          <c:smooth val="0"/>
        </c:ser>
        <c:axId val="1794098061"/>
        <c:axId val="1416626831"/>
      </c:lineChart>
      <c:catAx>
        <c:axId val="1794098061"/>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1416626831"/>
      </c:catAx>
      <c:valAx>
        <c:axId val="1416626831"/>
        <c:scaling>
          <c:orientation val="minMax"/>
          <c:max val="225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94098061"/>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(At Home) - 1MM ETH Staked</a:t>
            </a:r>
          </a:p>
        </c:rich>
      </c:tx>
      <c:layout>
        <c:manualLayout>
          <c:xMode val="edge"/>
          <c:yMode val="edge"/>
          <c:x val="0.027777777777777776"/>
          <c:y val="0.04991816693944354"/>
        </c:manualLayout>
      </c:layout>
      <c:overlay val="0"/>
    </c:title>
    <c:plotArea>
      <c:layout/>
      <c:lineChart>
        <c:varyColors val="0"/>
        <c:ser>
          <c:idx val="0"/>
          <c:order val="0"/>
          <c:tx>
            <c:strRef>
              <c:f>'Validator Rewards (Phase 0 - Be'!$CA$244</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'Validator Rewards (Phase 0 - Be'!$CS$242:$DF$242</c:f>
            </c:strRef>
          </c:cat>
          <c:val>
            <c:numRef>
              <c:f>'Validator Rewards (Phase 0 - Be'!$CB$244:$CO$244</c:f>
              <c:numCache/>
            </c:numRef>
          </c:val>
          <c:smooth val="0"/>
        </c:ser>
        <c:axId val="611262601"/>
        <c:axId val="341728271"/>
      </c:lineChart>
      <c:catAx>
        <c:axId val="611262601"/>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341728271"/>
      </c:catAx>
      <c:valAx>
        <c:axId val="341728271"/>
        <c:scaling>
          <c:orientation val="minMax"/>
          <c:max val="3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1262601"/>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(At Home) - 1MM ETH Staked</a:t>
            </a:r>
          </a:p>
        </c:rich>
      </c:tx>
      <c:layout>
        <c:manualLayout>
          <c:xMode val="edge"/>
          <c:yMode val="edge"/>
          <c:x val="0.027777777777777776"/>
          <c:y val="0.04991816693944354"/>
        </c:manualLayout>
      </c:layout>
      <c:overlay val="0"/>
    </c:title>
    <c:plotArea>
      <c:layout/>
      <c:lineChart>
        <c:varyColors val="0"/>
        <c:ser>
          <c:idx val="0"/>
          <c:order val="0"/>
          <c:tx>
            <c:strRef>
              <c:f>'Validator Rewards (Phase 0 - Be'!$CA$244</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'Validator Rewards (Phase 0 - Be'!$CS$242:$DF$242</c:f>
            </c:strRef>
          </c:cat>
          <c:val>
            <c:numRef>
              <c:f>'Validator Rewards (Phase 0 - Be'!$CB$244:$CO$244</c:f>
              <c:numCache/>
            </c:numRef>
          </c:val>
          <c:smooth val="0"/>
        </c:ser>
        <c:axId val="1043073997"/>
        <c:axId val="1339437442"/>
      </c:lineChart>
      <c:catAx>
        <c:axId val="1043073997"/>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 (16 per machine)</a:t>
                </a:r>
              </a:p>
            </c:rich>
          </c:tx>
          <c:overlay val="0"/>
        </c:title>
        <c:numFmt formatCode="General" sourceLinked="1"/>
        <c:majorTickMark val="none"/>
        <c:minorTickMark val="none"/>
        <c:spPr/>
        <c:txPr>
          <a:bodyPr/>
          <a:lstStyle/>
          <a:p>
            <a:pPr lvl="0">
              <a:defRPr b="0">
                <a:solidFill>
                  <a:srgbClr val="000000"/>
                </a:solidFill>
                <a:latin typeface="+mn-lt"/>
              </a:defRPr>
            </a:pPr>
          </a:p>
        </c:txPr>
        <c:crossAx val="1339437442"/>
      </c:catAx>
      <c:valAx>
        <c:axId val="1339437442"/>
        <c:scaling>
          <c:orientation val="minMax"/>
          <c:max val="5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4A86E8"/>
                    </a:solidFill>
                    <a:latin typeface="+mn-lt"/>
                  </a:defRPr>
                </a:pPr>
                <a:r>
                  <a:rPr b="1" i="1" sz="2000">
                    <a:solidFill>
                      <a:srgbClr val="4A86E8"/>
                    </a:solidFill>
                    <a:latin typeface="+mn-lt"/>
                  </a:rPr>
                  <a:t>Annual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3073997"/>
      </c:valAx>
      <c:lineChart>
        <c:varyColors val="0"/>
        <c:ser>
          <c:idx val="1"/>
          <c:order val="1"/>
          <c:tx>
            <c:strRef>
              <c:f>'Validator Rewards (Phase 0 - Be'!$CR$244</c:f>
            </c:strRef>
          </c:tx>
          <c:spPr>
            <a:ln cmpd="sng">
              <a:solidFill>
                <a:srgbClr val="EA4335"/>
              </a:solidFill>
              <a:prstDash val="lgDashDot"/>
            </a:ln>
          </c:spPr>
          <c:marker>
            <c:symbol val="circle"/>
            <c:size val="10"/>
            <c:spPr>
              <a:solidFill>
                <a:srgbClr val="EA4335"/>
              </a:solidFill>
              <a:ln cmpd="sng">
                <a:solidFill>
                  <a:srgbClr val="EA4335"/>
                </a:solidFill>
              </a:ln>
            </c:spPr>
          </c:marker>
          <c:dLbls>
            <c:numFmt formatCode="General" sourceLinked="1"/>
            <c:txPr>
              <a:bodyPr/>
              <a:lstStyle/>
              <a:p>
                <a:pPr lvl="0">
                  <a:defRPr/>
                </a:pPr>
              </a:p>
            </c:txPr>
            <c:showLegendKey val="0"/>
            <c:showVal val="1"/>
            <c:showCatName val="0"/>
            <c:showSerName val="0"/>
            <c:showPercent val="0"/>
            <c:showBubbleSize val="0"/>
          </c:dLbls>
          <c:cat>
            <c:strRef>
              <c:f>'Validator Rewards (Phase 0 - Be'!$CS$242:$DF$242</c:f>
            </c:strRef>
          </c:cat>
          <c:val>
            <c:numRef>
              <c:f>'Validator Rewards (Phase 0 - Be'!$CS$244:$DF$244</c:f>
              <c:numCache/>
            </c:numRef>
          </c:val>
          <c:smooth val="0"/>
        </c:ser>
        <c:axId val="556351830"/>
        <c:axId val="1561731052"/>
      </c:lineChart>
      <c:catAx>
        <c:axId val="556351830"/>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561731052"/>
      </c:catAx>
      <c:valAx>
        <c:axId val="1561731052"/>
        <c:scaling>
          <c:orientation val="minMax"/>
          <c:max val="0.2"/>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1" sz="2000">
                    <a:solidFill>
                      <a:srgbClr val="FF0000"/>
                    </a:solidFill>
                    <a:latin typeface="serif"/>
                  </a:defRPr>
                </a:pPr>
                <a:r>
                  <a:rPr b="1" sz="2000">
                    <a:solidFill>
                      <a:srgbClr val="FF0000"/>
                    </a:solidFill>
                    <a:latin typeface="serif"/>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6351830"/>
        <c:crosses val="max"/>
      </c:valAx>
    </c:plotArea>
    <c:plotVisOnly val="1"/>
  </c:chart>
  <c:spPr>
    <a:solidFill>
      <a:srgbClr val="D9D9D9"/>
    </a:solidFill>
  </c:spPr>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(VPS) - 1MM ETH Staked</a:t>
            </a:r>
          </a:p>
        </c:rich>
      </c:tx>
      <c:layout>
        <c:manualLayout>
          <c:xMode val="edge"/>
          <c:yMode val="edge"/>
          <c:x val="0.02871939736346516"/>
          <c:y val="0.05155482815057283"/>
        </c:manualLayout>
      </c:layout>
      <c:overlay val="0"/>
    </c:title>
    <c:plotArea>
      <c:layout/>
      <c:lineChart>
        <c:varyColors val="0"/>
        <c:ser>
          <c:idx val="0"/>
          <c:order val="0"/>
          <c:tx>
            <c:strRef>
              <c:f>'Validator Rewards (Phase 0 - Be'!$BM$312</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'Validator Rewards (Phase 0 - Be'!$CE$310:$CR$310</c:f>
            </c:strRef>
          </c:cat>
          <c:val>
            <c:numRef>
              <c:f>'Validator Rewards (Phase 0 - Be'!$BN$312:$CA$312</c:f>
              <c:numCache/>
            </c:numRef>
          </c:val>
          <c:smooth val="0"/>
        </c:ser>
        <c:axId val="21962192"/>
        <c:axId val="818301943"/>
      </c:lineChart>
      <c:catAx>
        <c:axId val="21962192"/>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 (1,000 per machine)</a:t>
                </a:r>
              </a:p>
            </c:rich>
          </c:tx>
          <c:overlay val="0"/>
        </c:title>
        <c:numFmt formatCode="General" sourceLinked="1"/>
        <c:majorTickMark val="none"/>
        <c:minorTickMark val="none"/>
        <c:spPr/>
        <c:txPr>
          <a:bodyPr/>
          <a:lstStyle/>
          <a:p>
            <a:pPr lvl="0">
              <a:defRPr b="0">
                <a:solidFill>
                  <a:srgbClr val="000000"/>
                </a:solidFill>
                <a:latin typeface="+mn-lt"/>
              </a:defRPr>
            </a:pPr>
          </a:p>
        </c:txPr>
        <c:crossAx val="818301943"/>
      </c:catAx>
      <c:valAx>
        <c:axId val="818301943"/>
        <c:scaling>
          <c:orientation val="minMax"/>
          <c:max val="350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962192"/>
      </c:valAx>
      <c:lineChart>
        <c:varyColors val="0"/>
        <c:ser>
          <c:idx val="1"/>
          <c:order val="1"/>
          <c:tx>
            <c:strRef>
              <c:f>'Validator Rewards (Phase 0 - Be'!$CR$244</c:f>
            </c:strRef>
          </c:tx>
          <c:spPr>
            <a:ln cmpd="sng">
              <a:solidFill>
                <a:srgbClr val="EA4335"/>
              </a:solidFill>
              <a:prstDash val="lgDashDot"/>
            </a:ln>
          </c:spPr>
          <c:marker>
            <c:symbol val="circle"/>
            <c:size val="10"/>
            <c:spPr>
              <a:solidFill>
                <a:srgbClr val="EA4335"/>
              </a:solidFill>
              <a:ln cmpd="sng">
                <a:solidFill>
                  <a:srgbClr val="EA4335"/>
                </a:solidFill>
              </a:ln>
            </c:spPr>
          </c:marker>
          <c:dLbls>
            <c:numFmt formatCode="General" sourceLinked="1"/>
            <c:txPr>
              <a:bodyPr/>
              <a:lstStyle/>
              <a:p>
                <a:pPr lvl="0">
                  <a:defRPr/>
                </a:pPr>
              </a:p>
            </c:txPr>
            <c:showLegendKey val="0"/>
            <c:showVal val="1"/>
            <c:showCatName val="0"/>
            <c:showSerName val="0"/>
            <c:showPercent val="0"/>
            <c:showBubbleSize val="0"/>
          </c:dLbls>
          <c:cat>
            <c:strRef>
              <c:f>'Validator Rewards (Phase 0 - Be'!$CE$310:$CR$310</c:f>
            </c:strRef>
          </c:cat>
          <c:val>
            <c:numRef>
              <c:f>'Validator Rewards (Phase 0 - Be'!$CS$244:$DF$244</c:f>
              <c:numCache/>
            </c:numRef>
          </c:val>
          <c:smooth val="0"/>
        </c:ser>
        <c:axId val="201904494"/>
        <c:axId val="781093178"/>
      </c:lineChart>
      <c:catAx>
        <c:axId val="20190449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781093178"/>
      </c:catAx>
      <c:valAx>
        <c:axId val="781093178"/>
        <c:scaling>
          <c:orientation val="minMax"/>
          <c:max val="0.2"/>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1" sz="1800">
                    <a:solidFill>
                      <a:srgbClr val="FF0000"/>
                    </a:solidFill>
                    <a:latin typeface="+mn-lt"/>
                  </a:defRPr>
                </a:pPr>
                <a:r>
                  <a:rPr b="1" sz="1800">
                    <a:solidFill>
                      <a:srgbClr val="FF0000"/>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1904494"/>
        <c:crosses val="max"/>
      </c:valAx>
    </c:plotArea>
    <c:plotVisOnly val="1"/>
  </c:chart>
  <c:spPr>
    <a:solidFill>
      <a:srgbClr val="D9D9D9"/>
    </a:solidFill>
  </c:spPr>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 Validator Rewards (Staking Opt'!$S$175:$S$194</c:f>
            </c:strRef>
          </c:cat>
          <c:val>
            <c:numRef>
              <c:f>' Validator Rewards (Staking Opt'!$T$175:$T$194</c:f>
              <c:numCache/>
            </c:numRef>
          </c:val>
          <c:smooth val="0"/>
        </c:ser>
        <c:axId val="1670139086"/>
        <c:axId val="763126000"/>
      </c:lineChart>
      <c:catAx>
        <c:axId val="1670139086"/>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763126000"/>
      </c:catAx>
      <c:valAx>
        <c:axId val="763126000"/>
        <c:scaling>
          <c:orientation val="minMax"/>
          <c:max val="0.2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70139086"/>
      </c:valAx>
    </c:plotArea>
    <c:plotVisOnly val="1"/>
  </c:chart>
  <c:spPr>
    <a:solidFill>
      <a:srgbClr val="D9D9D9"/>
    </a:solidFill>
  </c:spPr>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(At Home) - 1MM ETH Staked</a:t>
            </a:r>
          </a:p>
        </c:rich>
      </c:tx>
      <c:layout>
        <c:manualLayout>
          <c:xMode val="edge"/>
          <c:yMode val="edge"/>
          <c:x val="0.027777777777777776"/>
          <c:y val="0.04991816693944354"/>
        </c:manualLayout>
      </c:layout>
      <c:overlay val="0"/>
    </c:title>
    <c:plotArea>
      <c:layout/>
      <c:lineChart>
        <c:varyColors val="0"/>
        <c:ser>
          <c:idx val="0"/>
          <c:order val="0"/>
          <c:tx>
            <c:strRef>
              <c:f>' Validator Rewards (Staking Opt'!$BG$244</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 Validator Rewards (Staking Opt'!$BH$242:$BU$242</c:f>
            </c:strRef>
          </c:cat>
          <c:val>
            <c:numRef>
              <c:f>' Validator Rewards (Staking Opt'!$BH$244:$BU$244</c:f>
              <c:numCache/>
            </c:numRef>
          </c:val>
          <c:smooth val="0"/>
        </c:ser>
        <c:axId val="3454973"/>
        <c:axId val="2113319615"/>
      </c:lineChart>
      <c:catAx>
        <c:axId val="3454973"/>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2113319615"/>
      </c:catAx>
      <c:valAx>
        <c:axId val="2113319615"/>
        <c:scaling>
          <c:orientation val="minMax"/>
          <c:max val="0.1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54973"/>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(VPS)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Pt>
            <c:idx val="10"/>
            <c:marker>
              <c:symbol val="triangle"/>
              <c:size val="14"/>
              <c:spPr>
                <a:solidFill>
                  <a:srgbClr val="FF0000"/>
                </a:solidFill>
                <a:ln cmpd="sng">
                  <a:solidFill>
                    <a:srgbClr val="FF0000"/>
                  </a:solidFill>
                </a:ln>
              </c:spPr>
            </c:marker>
          </c:dPt>
          <c:dLbls>
            <c:numFmt formatCode="General" sourceLinked="1"/>
            <c:txPr>
              <a:bodyPr/>
              <a:lstStyle/>
              <a:p>
                <a:pPr lvl="0">
                  <a:defRPr b="1" sz="1600"/>
                </a:pPr>
              </a:p>
            </c:txPr>
            <c:showLegendKey val="0"/>
            <c:showVal val="1"/>
            <c:showCatName val="0"/>
            <c:showSerName val="0"/>
            <c:showPercent val="0"/>
            <c:showBubbleSize val="0"/>
          </c:dLbls>
          <c:cat>
            <c:strRef>
              <c:f>' Validator Rewards (Staking Opt'!$AC$309:$AC$328</c:f>
            </c:strRef>
          </c:cat>
          <c:val>
            <c:numRef>
              <c:f>' Validator Rewards (Staking Opt'!$T$309:$T$328</c:f>
              <c:numCache/>
            </c:numRef>
          </c:val>
          <c:smooth val="0"/>
        </c:ser>
        <c:axId val="1390338985"/>
        <c:axId val="95333742"/>
      </c:lineChart>
      <c:catAx>
        <c:axId val="1390338985"/>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95333742"/>
      </c:catAx>
      <c:valAx>
        <c:axId val="95333742"/>
        <c:scaling>
          <c:orientation val="minMax"/>
          <c:max val="0.1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0338985"/>
      </c:valAx>
    </c:plotArea>
    <c:plotVisOnly val="1"/>
  </c:chart>
  <c:spPr>
    <a:solidFill>
      <a:srgbClr val="D9D9D9"/>
    </a:solidFill>
  </c:spPr>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(VPS) - 1MM ETH Staked</a:t>
            </a:r>
          </a:p>
        </c:rich>
      </c:tx>
      <c:layout>
        <c:manualLayout>
          <c:xMode val="edge"/>
          <c:yMode val="edge"/>
          <c:x val="0.02871939736346516"/>
          <c:y val="0.05155482815057283"/>
        </c:manualLayout>
      </c:layout>
      <c:overlay val="0"/>
    </c:title>
    <c:plotArea>
      <c:layout/>
      <c:lineChart>
        <c:varyColors val="0"/>
        <c:ser>
          <c:idx val="0"/>
          <c:order val="0"/>
          <c:tx>
            <c:strRef>
              <c:f>' Validator Rewards (Staking Opt'!$BG$312</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 Validator Rewards (Staking Opt'!$BH$310:$BU$310</c:f>
            </c:strRef>
          </c:cat>
          <c:val>
            <c:numRef>
              <c:f>' Validator Rewards (Staking Opt'!$BH$312:$BU$312</c:f>
              <c:numCache/>
            </c:numRef>
          </c:val>
          <c:smooth val="0"/>
        </c:ser>
        <c:axId val="933172158"/>
        <c:axId val="1474658476"/>
      </c:lineChart>
      <c:catAx>
        <c:axId val="933172158"/>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1474658476"/>
      </c:catAx>
      <c:valAx>
        <c:axId val="1474658476"/>
        <c:scaling>
          <c:orientation val="minMax"/>
          <c:max val="0.16"/>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3172158"/>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(At Home)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Pt>
            <c:idx val="18"/>
            <c:marker>
              <c:symbol val="triangle"/>
              <c:size val="14"/>
              <c:spPr>
                <a:solidFill>
                  <a:srgbClr val="FF0000"/>
                </a:solidFill>
                <a:ln cmpd="sng">
                  <a:solidFill>
                    <a:srgbClr val="FF0000"/>
                  </a:solidFill>
                </a:ln>
              </c:spPr>
            </c:marker>
          </c:dPt>
          <c:dPt>
            <c:idx val="19"/>
            <c:marker>
              <c:symbol val="triangle"/>
              <c:size val="14"/>
              <c:spPr>
                <a:solidFill>
                  <a:srgbClr val="FF0000"/>
                </a:solidFill>
                <a:ln cmpd="sng">
                  <a:solidFill>
                    <a:srgbClr val="FF0000"/>
                  </a:solidFill>
                </a:ln>
              </c:spPr>
            </c:marker>
          </c:dPt>
          <c:dLbls>
            <c:numFmt formatCode="General" sourceLinked="1"/>
            <c:txPr>
              <a:bodyPr/>
              <a:lstStyle/>
              <a:p>
                <a:pPr lvl="0">
                  <a:defRPr b="1" sz="1600"/>
                </a:pPr>
              </a:p>
            </c:txPr>
            <c:showLegendKey val="0"/>
            <c:showVal val="1"/>
            <c:showCatName val="0"/>
            <c:showSerName val="0"/>
            <c:showPercent val="0"/>
            <c:showBubbleSize val="0"/>
          </c:dLbls>
          <c:cat>
            <c:strRef>
              <c:f>' Validator Rewards (Staking Opt'!$AC$241:$AC$260</c:f>
            </c:strRef>
          </c:cat>
          <c:val>
            <c:numRef>
              <c:f>' Validator Rewards (Staking Opt'!$T$241:$T$260</c:f>
              <c:numCache/>
            </c:numRef>
          </c:val>
          <c:smooth val="0"/>
        </c:ser>
        <c:axId val="1595545736"/>
        <c:axId val="1000538441"/>
      </c:lineChart>
      <c:catAx>
        <c:axId val="1595545736"/>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000538441"/>
      </c:catAx>
      <c:valAx>
        <c:axId val="1000538441"/>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5545736"/>
      </c:valAx>
    </c:plotArea>
    <c:plotVisOnly val="1"/>
  </c:chart>
  <c:spPr>
    <a:solidFill>
      <a:srgbClr val="D9D9D9"/>
    </a:solidFill>
  </c:spPr>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 Phase 0 (1M ETH Staked)</a:t>
            </a:r>
          </a:p>
        </c:rich>
      </c:tx>
      <c:overlay val="0"/>
    </c:title>
    <c:plotArea>
      <c:layout/>
      <c:lineChart>
        <c:varyColors val="0"/>
        <c:ser>
          <c:idx val="0"/>
          <c:order val="0"/>
          <c:tx>
            <c:strRef>
              <c:f>' Validator Rewards (Staking Opt'!$BH$178</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 Validator Rewards (Staking Opt'!$BH$242:$BU$242</c:f>
            </c:strRef>
          </c:cat>
          <c:val>
            <c:numRef>
              <c:f>' Validator Rewards (Staking Opt'!$BI$178:$BV$178</c:f>
              <c:numCache/>
            </c:numRef>
          </c:val>
          <c:smooth val="0"/>
        </c:ser>
        <c:axId val="1541637003"/>
        <c:axId val="1942628904"/>
      </c:lineChart>
      <c:catAx>
        <c:axId val="1541637003"/>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1942628904"/>
      </c:catAx>
      <c:valAx>
        <c:axId val="1942628904"/>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(Gross)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41637003"/>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 (1MM ETH Staked)</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 Validator Rewards (Staking Opt'!$AQ$177:$AQ$186</c:f>
            </c:strRef>
          </c:cat>
          <c:val>
            <c:numRef>
              <c:f>' Validator Rewards (Staking Opt'!$AR$177:$AR$186</c:f>
              <c:numCache/>
            </c:numRef>
          </c:val>
          <c:smooth val="0"/>
        </c:ser>
        <c:axId val="1569040916"/>
        <c:axId val="1513372323"/>
      </c:lineChart>
      <c:catAx>
        <c:axId val="1569040916"/>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Average Network % Online</a:t>
                </a:r>
              </a:p>
            </c:rich>
          </c:tx>
          <c:overlay val="0"/>
        </c:title>
        <c:numFmt formatCode="General" sourceLinked="1"/>
        <c:majorTickMark val="none"/>
        <c:minorTickMark val="none"/>
        <c:spPr/>
        <c:txPr>
          <a:bodyPr/>
          <a:lstStyle/>
          <a:p>
            <a:pPr lvl="0">
              <a:defRPr b="0">
                <a:solidFill>
                  <a:srgbClr val="000000"/>
                </a:solidFill>
                <a:latin typeface="+mn-lt"/>
              </a:defRPr>
            </a:pPr>
          </a:p>
        </c:txPr>
        <c:crossAx val="1513372323"/>
      </c:catAx>
      <c:valAx>
        <c:axId val="1513372323"/>
        <c:scaling>
          <c:orientation val="minMax"/>
          <c:max val="0.1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69040916"/>
      </c:valAx>
    </c:plotArea>
    <c:plotVisOnly val="1"/>
  </c:chart>
  <c:spPr>
    <a:solidFill>
      <a:srgbClr val="D9D9D9"/>
    </a:solidFill>
  </c:spPr>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eth2 Network Issuance (110MM Supply) - Annualized</a:t>
            </a:r>
          </a:p>
        </c:rich>
      </c:tx>
      <c:overlay val="0"/>
    </c:title>
    <c:plotArea>
      <c:layout/>
      <c:lineChart>
        <c:varyColors val="0"/>
        <c:ser>
          <c:idx val="0"/>
          <c:order val="0"/>
          <c:spPr>
            <a:ln cmpd="sng">
              <a:solidFill>
                <a:srgbClr val="6AA84F"/>
              </a:solidFill>
            </a:ln>
          </c:spPr>
          <c:marker>
            <c:symbol val="circle"/>
            <c:size val="10"/>
            <c:spPr>
              <a:solidFill>
                <a:srgbClr val="6AA84F"/>
              </a:solidFill>
              <a:ln cmpd="sng">
                <a:solidFill>
                  <a:srgbClr val="6AA84F"/>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 Validator Rewards (Staking Opt'!$V$110:$V$129</c:f>
            </c:strRef>
          </c:cat>
          <c:val>
            <c:numRef>
              <c:f>' Validator Rewards (Staking Opt'!$W$110:$W$129</c:f>
              <c:numCache/>
            </c:numRef>
          </c:val>
          <c:smooth val="0"/>
        </c:ser>
        <c:axId val="2133137900"/>
        <c:axId val="1717260644"/>
      </c:lineChart>
      <c:catAx>
        <c:axId val="2133137900"/>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717260644"/>
      </c:catAx>
      <c:valAx>
        <c:axId val="1717260644"/>
        <c:scaling>
          <c:orientation val="minMax"/>
          <c:max val="0.004"/>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6AA84F"/>
                    </a:solidFill>
                    <a:latin typeface="+mn-lt"/>
                  </a:defRPr>
                </a:pPr>
                <a:r>
                  <a:rPr b="1" i="1" sz="2000">
                    <a:solidFill>
                      <a:srgbClr val="6AA84F"/>
                    </a:solidFill>
                    <a:latin typeface="+mn-lt"/>
                  </a:rPr>
                  <a:t>Network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33137900"/>
      </c:valAx>
      <c:lineChart>
        <c:varyColors val="0"/>
        <c:ser>
          <c:idx val="1"/>
          <c:order val="1"/>
          <c:spPr>
            <a:ln cmpd="sng">
              <a:solidFill>
                <a:srgbClr val="674EA7"/>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 Validator Rewards (Staking Opt'!$V$110:$V$129</c:f>
            </c:strRef>
          </c:cat>
          <c:val>
            <c:numRef>
              <c:f>' Validator Rewards (Staking Opt'!$AG$110:$AG$129</c:f>
              <c:numCache/>
            </c:numRef>
          </c:val>
          <c:smooth val="0"/>
        </c:ser>
        <c:axId val="205073524"/>
        <c:axId val="1448861135"/>
      </c:lineChart>
      <c:catAx>
        <c:axId val="20507352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448861135"/>
      </c:catAx>
      <c:valAx>
        <c:axId val="1448861135"/>
        <c:scaling>
          <c:orientation val="minMax"/>
          <c:max val="1200.0"/>
        </c:scaling>
        <c:delete val="0"/>
        <c:axPos val="r"/>
        <c:majorGridlines>
          <c:spPr>
            <a:ln>
              <a:solidFill>
                <a:srgbClr val="B7B7B7"/>
              </a:solidFill>
            </a:ln>
          </c:spPr>
        </c:majorGridlines>
        <c:minorGridlines>
          <c:spPr>
            <a:ln>
              <a:solidFill>
                <a:srgbClr val="434343"/>
              </a:solidFill>
            </a:ln>
          </c:spPr>
        </c:minorGridlines>
        <c:title>
          <c:tx>
            <c:rich>
              <a:bodyPr/>
              <a:lstStyle/>
              <a:p>
                <a:pPr lvl="0">
                  <a:defRPr b="1" i="1" sz="2000">
                    <a:solidFill>
                      <a:srgbClr val="674EA7"/>
                    </a:solidFill>
                    <a:latin typeface="+mn-lt"/>
                  </a:defRPr>
                </a:pPr>
                <a:r>
                  <a:rPr b="1" i="1" sz="2000">
                    <a:solidFill>
                      <a:srgbClr val="674EA7"/>
                    </a:solidFill>
                    <a:latin typeface="+mn-lt"/>
                  </a:rPr>
                  <a:t>Network Issuance ETH/Day</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5073524"/>
        <c:crosses val="max"/>
      </c:valAx>
    </c:plotArea>
    <c:plotVisOnly val="1"/>
  </c:chart>
  <c:spPr>
    <a:solidFill>
      <a:srgbClr val="D9D9D9"/>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(32 ETH) - Genesis to 10MM ETH Staked</a:t>
            </a:r>
          </a:p>
        </c:rich>
      </c:tx>
      <c:overlay val="0"/>
    </c:title>
    <c:plotArea>
      <c:layout/>
      <c:lineChart>
        <c:ser>
          <c:idx val="0"/>
          <c:order val="0"/>
          <c:spPr>
            <a:ln cmpd="sng">
              <a:solidFill>
                <a:srgbClr val="980000"/>
              </a:solidFill>
              <a:prstDash val="lgDash"/>
            </a:ln>
          </c:spPr>
          <c:marker>
            <c:symbol val="circle"/>
            <c:size val="7"/>
            <c:spPr>
              <a:solidFill>
                <a:srgbClr val="980000"/>
              </a:solidFill>
              <a:ln cmpd="sng">
                <a:solidFill>
                  <a:srgbClr val="980000"/>
                </a:solidFill>
              </a:ln>
            </c:spPr>
          </c:marker>
          <c:dPt>
            <c:idx val="0"/>
            <c:marker>
              <c:symbol val="none"/>
            </c:marker>
          </c:dPt>
          <c:dPt>
            <c:idx val="5"/>
            <c:marker>
              <c:symbol val="none"/>
            </c:marker>
          </c:dPt>
          <c:dLbls>
            <c:numFmt formatCode="General" sourceLinked="1"/>
            <c:txPr>
              <a:bodyPr/>
              <a:lstStyle/>
              <a:p>
                <a:pPr lvl="0">
                  <a:defRPr b="1" i="0" sz="1400">
                    <a:latin typeface="serif"/>
                  </a:defRPr>
                </a:pPr>
              </a:p>
            </c:txPr>
            <c:showLegendKey val="0"/>
            <c:showVal val="1"/>
            <c:showCatName val="0"/>
            <c:showSerName val="0"/>
            <c:showPercent val="0"/>
            <c:showBubbleSize val="0"/>
          </c:dLbls>
          <c:cat>
            <c:strRef>
              <c:f>' Validator Rewards (Staking Opt'!$S$175:$S$194</c:f>
            </c:strRef>
          </c:cat>
          <c:val>
            <c:numRef>
              <c:f>' Validator Rewards (Staking Opt'!$T$175:$T$194</c:f>
              <c:numCache/>
            </c:numRef>
          </c:val>
          <c:smooth val="0"/>
        </c:ser>
        <c:ser>
          <c:idx val="1"/>
          <c:order val="1"/>
          <c:spPr>
            <a:ln cmpd="sng">
              <a:solidFill>
                <a:srgbClr val="38761D"/>
              </a:solidFill>
            </a:ln>
          </c:spPr>
          <c:marker>
            <c:symbol val="none"/>
          </c:marker>
          <c:dPt>
            <c:idx val="19"/>
            <c:marker>
              <c:symbol val="none"/>
            </c:marker>
          </c:dPt>
          <c:dLbls>
            <c:numFmt formatCode="General" sourceLinked="1"/>
            <c:txPr>
              <a:bodyPr/>
              <a:lstStyle/>
              <a:p>
                <a:pPr lvl="0">
                  <a:defRPr/>
                </a:pPr>
              </a:p>
            </c:txPr>
            <c:showLegendKey val="0"/>
            <c:showVal val="1"/>
            <c:showCatName val="0"/>
            <c:showSerName val="0"/>
            <c:showPercent val="0"/>
            <c:showBubbleSize val="0"/>
          </c:dLbls>
          <c:cat>
            <c:strRef>
              <c:f>' Validator Rewards (Staking Opt'!$S$175:$S$194</c:f>
            </c:strRef>
          </c:cat>
          <c:val>
            <c:numRef>
              <c:f>' Validator Rewards (Staking Opt'!$T$241:$T$260</c:f>
              <c:numCache/>
            </c:numRef>
          </c:val>
          <c:smooth val="0"/>
        </c:ser>
        <c:ser>
          <c:idx val="2"/>
          <c:order val="2"/>
          <c:spPr>
            <a:ln cmpd="sng">
              <a:solidFill>
                <a:srgbClr val="4A86E8"/>
              </a:solidFill>
            </a:ln>
          </c:spPr>
          <c:marker>
            <c:symbol val="none"/>
          </c:marker>
          <c:dPt>
            <c:idx val="11"/>
            <c:marker>
              <c:symbol val="none"/>
            </c:marker>
          </c:dPt>
          <c:dPt>
            <c:idx val="12"/>
            <c:marker>
              <c:symbol val="none"/>
            </c:marker>
          </c:dPt>
          <c:dPt>
            <c:idx val="13"/>
            <c:marker>
              <c:symbol val="none"/>
            </c:marker>
          </c:dPt>
          <c:dPt>
            <c:idx val="14"/>
            <c:marker>
              <c:symbol val="none"/>
            </c:marker>
          </c:dPt>
          <c:dPt>
            <c:idx val="15"/>
            <c:marker>
              <c:symbol val="none"/>
            </c:marker>
          </c:dPt>
          <c:dPt>
            <c:idx val="16"/>
            <c:marker>
              <c:symbol val="none"/>
            </c:marker>
          </c:dPt>
          <c:dPt>
            <c:idx val="17"/>
            <c:marker>
              <c:symbol val="none"/>
            </c:marker>
          </c:dPt>
          <c:dPt>
            <c:idx val="18"/>
            <c:marker>
              <c:symbol val="none"/>
            </c:marker>
          </c:dPt>
          <c:dPt>
            <c:idx val="19"/>
            <c:marker>
              <c:symbol val="none"/>
            </c:marker>
          </c:dPt>
          <c:dLbls>
            <c:numFmt formatCode="General" sourceLinked="1"/>
            <c:txPr>
              <a:bodyPr/>
              <a:lstStyle/>
              <a:p>
                <a:pPr lvl="0">
                  <a:defRPr/>
                </a:pPr>
              </a:p>
            </c:txPr>
            <c:showLegendKey val="0"/>
            <c:showVal val="1"/>
            <c:showCatName val="0"/>
            <c:showSerName val="0"/>
            <c:showPercent val="0"/>
            <c:showBubbleSize val="0"/>
          </c:dLbls>
          <c:cat>
            <c:strRef>
              <c:f>' Validator Rewards (Staking Opt'!$S$175:$S$194</c:f>
            </c:strRef>
          </c:cat>
          <c:val>
            <c:numRef>
              <c:f>' Validator Rewards (Staking Opt'!$T$309:$T$328</c:f>
              <c:numCache/>
            </c:numRef>
          </c:val>
          <c:smooth val="0"/>
        </c:ser>
        <c:axId val="1468283379"/>
        <c:axId val="1520327910"/>
      </c:lineChart>
      <c:catAx>
        <c:axId val="1468283379"/>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serif"/>
              </a:defRPr>
            </a:pPr>
          </a:p>
        </c:txPr>
        <c:crossAx val="1520327910"/>
      </c:catAx>
      <c:valAx>
        <c:axId val="1520327910"/>
        <c:scaling>
          <c:orientation val="minMax"/>
          <c:max val="0.2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(Network, At Home, VPS)</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1468283379"/>
      </c:valAx>
    </c:plotArea>
    <c:plotVisOnly val="1"/>
  </c:chart>
  <c:spPr>
    <a:solidFill>
      <a:srgbClr val="D9D9D9"/>
    </a:solidFill>
  </c:spPr>
</c:chartSpace>
</file>

<file path=xl/charts/chart7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eth2 Network Issuance (110MM Supply) - Annualized</a:t>
            </a:r>
          </a:p>
        </c:rich>
      </c:tx>
      <c:overlay val="0"/>
    </c:title>
    <c:plotArea>
      <c:layout/>
      <c:lineChart>
        <c:varyColors val="0"/>
        <c:ser>
          <c:idx val="0"/>
          <c:order val="0"/>
          <c:spPr>
            <a:ln cmpd="sng">
              <a:solidFill>
                <a:srgbClr val="6AA84F"/>
              </a:solidFill>
            </a:ln>
          </c:spPr>
          <c:marker>
            <c:symbol val="circle"/>
            <c:size val="10"/>
            <c:spPr>
              <a:solidFill>
                <a:srgbClr val="6AA84F"/>
              </a:solidFill>
              <a:ln cmpd="sng">
                <a:solidFill>
                  <a:srgbClr val="6AA84F"/>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 Validator Rewards (Staking Opt'!$V$110:$V$129</c:f>
            </c:strRef>
          </c:cat>
          <c:val>
            <c:numRef>
              <c:f>' Validator Rewards (Staking Opt'!$W$110:$W$129</c:f>
              <c:numCache/>
            </c:numRef>
          </c:val>
          <c:smooth val="0"/>
        </c:ser>
        <c:axId val="868396715"/>
        <c:axId val="1307183609"/>
      </c:lineChart>
      <c:catAx>
        <c:axId val="868396715"/>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307183609"/>
      </c:catAx>
      <c:valAx>
        <c:axId val="1307183609"/>
        <c:scaling>
          <c:orientation val="minMax"/>
          <c:max val="0.004"/>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6AA84F"/>
                    </a:solidFill>
                    <a:latin typeface="+mn-lt"/>
                  </a:defRPr>
                </a:pPr>
                <a:r>
                  <a:rPr b="1" i="1" sz="2000">
                    <a:solidFill>
                      <a:srgbClr val="6AA84F"/>
                    </a:solidFill>
                    <a:latin typeface="+mn-lt"/>
                  </a:rPr>
                  <a:t>Network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68396715"/>
      </c:valAx>
      <c:lineChart>
        <c:varyColors val="0"/>
        <c:ser>
          <c:idx val="1"/>
          <c:order val="1"/>
          <c:spPr>
            <a:ln cmpd="sng">
              <a:solidFill>
                <a:srgbClr val="674EA7"/>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 Validator Rewards (Staking Opt'!$V$110:$V$129</c:f>
            </c:strRef>
          </c:cat>
          <c:val>
            <c:numRef>
              <c:f>' Validator Rewards (Staking Opt'!$AG$110:$AG$129</c:f>
              <c:numCache/>
            </c:numRef>
          </c:val>
          <c:smooth val="0"/>
        </c:ser>
        <c:axId val="873384160"/>
        <c:axId val="1414256975"/>
      </c:lineChart>
      <c:catAx>
        <c:axId val="873384160"/>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414256975"/>
      </c:catAx>
      <c:valAx>
        <c:axId val="1414256975"/>
        <c:scaling>
          <c:orientation val="minMax"/>
          <c:max val="1200.0"/>
        </c:scaling>
        <c:delete val="0"/>
        <c:axPos val="r"/>
        <c:majorGridlines>
          <c:spPr>
            <a:ln>
              <a:solidFill>
                <a:srgbClr val="B7B7B7"/>
              </a:solidFill>
            </a:ln>
          </c:spPr>
        </c:majorGridlines>
        <c:minorGridlines>
          <c:spPr>
            <a:ln>
              <a:solidFill>
                <a:srgbClr val="434343"/>
              </a:solidFill>
            </a:ln>
          </c:spPr>
        </c:minorGridlines>
        <c:title>
          <c:tx>
            <c:rich>
              <a:bodyPr/>
              <a:lstStyle/>
              <a:p>
                <a:pPr lvl="0">
                  <a:defRPr b="1" i="1" sz="2000">
                    <a:solidFill>
                      <a:srgbClr val="674EA7"/>
                    </a:solidFill>
                    <a:latin typeface="+mn-lt"/>
                  </a:defRPr>
                </a:pPr>
                <a:r>
                  <a:rPr b="1" i="1" sz="2000">
                    <a:solidFill>
                      <a:srgbClr val="674EA7"/>
                    </a:solidFill>
                    <a:latin typeface="+mn-lt"/>
                  </a:rPr>
                  <a:t>Network Issuance ETH/Day</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73384160"/>
        <c:crosses val="max"/>
      </c:valAx>
    </c:plotArea>
    <c:plotVisOnly val="1"/>
  </c:chart>
  <c:spPr>
    <a:solidFill>
      <a:srgbClr val="D9D9D9"/>
    </a:solidFill>
  </c:spPr>
</c:chartSpace>
</file>

<file path=xl/charts/chart7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Annualized Validator Reward (VPS) - 1MM ETH Staked</a:t>
            </a:r>
          </a:p>
        </c:rich>
      </c:tx>
      <c:layout>
        <c:manualLayout>
          <c:xMode val="edge"/>
          <c:yMode val="edge"/>
          <c:x val="0.02871939736346516"/>
          <c:y val="0.05155482815057283"/>
        </c:manualLayout>
      </c:layout>
      <c:overlay val="0"/>
    </c:title>
    <c:plotArea>
      <c:layout/>
      <c:lineChart>
        <c:varyColors val="0"/>
        <c:ser>
          <c:idx val="0"/>
          <c:order val="0"/>
          <c:tx>
            <c:strRef>
              <c:f>' Validator Rewards (Staking Opt'!$AP$312</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 Validator Rewards (Staking Opt'!$BH$310:$BU$310</c:f>
            </c:strRef>
          </c:cat>
          <c:val>
            <c:numRef>
              <c:f>' Validator Rewards (Staking Opt'!$AQ$312:$BD$312</c:f>
              <c:numCache/>
            </c:numRef>
          </c:val>
          <c:smooth val="0"/>
        </c:ser>
        <c:axId val="654303142"/>
        <c:axId val="2032566169"/>
      </c:lineChart>
      <c:catAx>
        <c:axId val="654303142"/>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2032566169"/>
      </c:catAx>
      <c:valAx>
        <c:axId val="2032566169"/>
        <c:scaling>
          <c:orientation val="minMax"/>
          <c:max val="225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54303142"/>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7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(At Home) - 1MM ETH Staked</a:t>
            </a:r>
          </a:p>
        </c:rich>
      </c:tx>
      <c:layout>
        <c:manualLayout>
          <c:xMode val="edge"/>
          <c:yMode val="edge"/>
          <c:x val="0.027777777777777776"/>
          <c:y val="0.04991816693944354"/>
        </c:manualLayout>
      </c:layout>
      <c:overlay val="0"/>
    </c:title>
    <c:plotArea>
      <c:layout/>
      <c:lineChart>
        <c:varyColors val="0"/>
        <c:ser>
          <c:idx val="0"/>
          <c:order val="0"/>
          <c:tx>
            <c:strRef>
              <c:f>' Validator Rewards (Staking Opt'!$AP$244</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 Validator Rewards (Staking Opt'!$BH$242:$BU$242</c:f>
            </c:strRef>
          </c:cat>
          <c:val>
            <c:numRef>
              <c:f>' Validator Rewards (Staking Opt'!$AQ$244:$BD$244</c:f>
              <c:numCache/>
            </c:numRef>
          </c:val>
          <c:smooth val="0"/>
        </c:ser>
        <c:axId val="633677718"/>
        <c:axId val="1454847135"/>
      </c:lineChart>
      <c:catAx>
        <c:axId val="633677718"/>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1454847135"/>
      </c:catAx>
      <c:valAx>
        <c:axId val="1454847135"/>
        <c:scaling>
          <c:orientation val="minMax"/>
          <c:max val="3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3677718"/>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7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(At Home) - 1MM ETH Staked</a:t>
            </a:r>
          </a:p>
        </c:rich>
      </c:tx>
      <c:layout>
        <c:manualLayout>
          <c:xMode val="edge"/>
          <c:yMode val="edge"/>
          <c:x val="0.027777777777777776"/>
          <c:y val="0.04991816693944354"/>
        </c:manualLayout>
      </c:layout>
      <c:overlay val="0"/>
    </c:title>
    <c:plotArea>
      <c:layout/>
      <c:lineChart>
        <c:varyColors val="0"/>
        <c:ser>
          <c:idx val="0"/>
          <c:order val="0"/>
          <c:tx>
            <c:strRef>
              <c:f>' Validator Rewards (Staking Opt'!$AP$244</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 Validator Rewards (Staking Opt'!$BH$242:$BU$242</c:f>
            </c:strRef>
          </c:cat>
          <c:val>
            <c:numRef>
              <c:f>' Validator Rewards (Staking Opt'!$AQ$244:$BD$244</c:f>
              <c:numCache/>
            </c:numRef>
          </c:val>
          <c:smooth val="0"/>
        </c:ser>
        <c:axId val="75737863"/>
        <c:axId val="1004800260"/>
      </c:lineChart>
      <c:catAx>
        <c:axId val="75737863"/>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 (16 per machine)</a:t>
                </a:r>
              </a:p>
            </c:rich>
          </c:tx>
          <c:overlay val="0"/>
        </c:title>
        <c:numFmt formatCode="General" sourceLinked="1"/>
        <c:majorTickMark val="none"/>
        <c:minorTickMark val="none"/>
        <c:spPr/>
        <c:txPr>
          <a:bodyPr/>
          <a:lstStyle/>
          <a:p>
            <a:pPr lvl="0">
              <a:defRPr b="0">
                <a:solidFill>
                  <a:srgbClr val="000000"/>
                </a:solidFill>
                <a:latin typeface="+mn-lt"/>
              </a:defRPr>
            </a:pPr>
          </a:p>
        </c:txPr>
        <c:crossAx val="1004800260"/>
      </c:catAx>
      <c:valAx>
        <c:axId val="1004800260"/>
        <c:scaling>
          <c:orientation val="minMax"/>
          <c:max val="3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4A86E8"/>
                    </a:solidFill>
                    <a:latin typeface="+mn-lt"/>
                  </a:defRPr>
                </a:pPr>
                <a:r>
                  <a:rPr b="1" i="1" sz="2000">
                    <a:solidFill>
                      <a:srgbClr val="4A86E8"/>
                    </a:solidFill>
                    <a:latin typeface="+mn-lt"/>
                  </a:rPr>
                  <a:t>Annual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5737863"/>
      </c:valAx>
      <c:lineChart>
        <c:varyColors val="0"/>
        <c:ser>
          <c:idx val="1"/>
          <c:order val="1"/>
          <c:tx>
            <c:strRef>
              <c:f>' Validator Rewards (Staking Opt'!$BG$244</c:f>
            </c:strRef>
          </c:tx>
          <c:spPr>
            <a:ln cmpd="sng">
              <a:solidFill>
                <a:srgbClr val="EA4335"/>
              </a:solidFill>
              <a:prstDash val="lgDashDot"/>
            </a:ln>
          </c:spPr>
          <c:marker>
            <c:symbol val="circle"/>
            <c:size val="10"/>
            <c:spPr>
              <a:solidFill>
                <a:srgbClr val="EA4335"/>
              </a:solidFill>
              <a:ln cmpd="sng">
                <a:solidFill>
                  <a:srgbClr val="EA4335"/>
                </a:solidFill>
              </a:ln>
            </c:spPr>
          </c:marker>
          <c:dLbls>
            <c:numFmt formatCode="General" sourceLinked="1"/>
            <c:txPr>
              <a:bodyPr/>
              <a:lstStyle/>
              <a:p>
                <a:pPr lvl="0">
                  <a:defRPr/>
                </a:pPr>
              </a:p>
            </c:txPr>
            <c:showLegendKey val="0"/>
            <c:showVal val="1"/>
            <c:showCatName val="0"/>
            <c:showSerName val="0"/>
            <c:showPercent val="0"/>
            <c:showBubbleSize val="0"/>
          </c:dLbls>
          <c:cat>
            <c:strRef>
              <c:f>' Validator Rewards (Staking Opt'!$BH$242:$BU$242</c:f>
            </c:strRef>
          </c:cat>
          <c:val>
            <c:numRef>
              <c:f>' Validator Rewards (Staking Opt'!$BH$244:$BU$244</c:f>
              <c:numCache/>
            </c:numRef>
          </c:val>
          <c:smooth val="0"/>
        </c:ser>
        <c:axId val="665464137"/>
        <c:axId val="332582992"/>
      </c:lineChart>
      <c:catAx>
        <c:axId val="665464137"/>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332582992"/>
      </c:catAx>
      <c:valAx>
        <c:axId val="332582992"/>
        <c:scaling>
          <c:orientation val="minMax"/>
          <c:max val="0.2"/>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1" sz="2000">
                    <a:solidFill>
                      <a:srgbClr val="FF0000"/>
                    </a:solidFill>
                    <a:latin typeface="serif"/>
                  </a:defRPr>
                </a:pPr>
                <a:r>
                  <a:rPr b="1" sz="2000">
                    <a:solidFill>
                      <a:srgbClr val="FF0000"/>
                    </a:solidFill>
                    <a:latin typeface="serif"/>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65464137"/>
        <c:crosses val="max"/>
      </c:valAx>
    </c:plotArea>
    <c:plotVisOnly val="1"/>
  </c:chart>
  <c:spPr>
    <a:solidFill>
      <a:srgbClr val="D9D9D9"/>
    </a:solidFill>
  </c:spPr>
</c:chartSpace>
</file>

<file path=xl/charts/chart7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(VPS) - 1MM ETH Staked</a:t>
            </a:r>
          </a:p>
        </c:rich>
      </c:tx>
      <c:layout>
        <c:manualLayout>
          <c:xMode val="edge"/>
          <c:yMode val="edge"/>
          <c:x val="0.02871939736346516"/>
          <c:y val="0.05155482815057283"/>
        </c:manualLayout>
      </c:layout>
      <c:overlay val="0"/>
    </c:title>
    <c:plotArea>
      <c:layout/>
      <c:lineChart>
        <c:varyColors val="0"/>
        <c:ser>
          <c:idx val="0"/>
          <c:order val="0"/>
          <c:tx>
            <c:strRef>
              <c:f>' Validator Rewards (Staking Opt'!$AP$312</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 Validator Rewards (Staking Opt'!$BH$310:$BU$310</c:f>
            </c:strRef>
          </c:cat>
          <c:val>
            <c:numRef>
              <c:f>' Validator Rewards (Staking Opt'!$AQ$312:$BD$312</c:f>
              <c:numCache/>
            </c:numRef>
          </c:val>
          <c:smooth val="0"/>
        </c:ser>
        <c:axId val="395278291"/>
        <c:axId val="595081525"/>
      </c:lineChart>
      <c:catAx>
        <c:axId val="395278291"/>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 (1,000 per machine)</a:t>
                </a:r>
              </a:p>
            </c:rich>
          </c:tx>
          <c:overlay val="0"/>
        </c:title>
        <c:numFmt formatCode="General" sourceLinked="1"/>
        <c:majorTickMark val="none"/>
        <c:minorTickMark val="none"/>
        <c:spPr/>
        <c:txPr>
          <a:bodyPr/>
          <a:lstStyle/>
          <a:p>
            <a:pPr lvl="0">
              <a:defRPr b="0">
                <a:solidFill>
                  <a:srgbClr val="000000"/>
                </a:solidFill>
                <a:latin typeface="+mn-lt"/>
              </a:defRPr>
            </a:pPr>
          </a:p>
        </c:txPr>
        <c:crossAx val="595081525"/>
      </c:catAx>
      <c:valAx>
        <c:axId val="595081525"/>
        <c:scaling>
          <c:orientation val="minMax"/>
          <c:max val="200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95278291"/>
      </c:valAx>
      <c:lineChart>
        <c:varyColors val="0"/>
        <c:ser>
          <c:idx val="1"/>
          <c:order val="1"/>
          <c:tx>
            <c:strRef>
              <c:f>' Validator Rewards (Staking Opt'!$BG$244</c:f>
            </c:strRef>
          </c:tx>
          <c:spPr>
            <a:ln cmpd="sng">
              <a:solidFill>
                <a:srgbClr val="EA4335"/>
              </a:solidFill>
              <a:prstDash val="lgDashDot"/>
            </a:ln>
          </c:spPr>
          <c:marker>
            <c:symbol val="circle"/>
            <c:size val="10"/>
            <c:spPr>
              <a:solidFill>
                <a:srgbClr val="EA4335"/>
              </a:solidFill>
              <a:ln cmpd="sng">
                <a:solidFill>
                  <a:srgbClr val="EA4335"/>
                </a:solidFill>
              </a:ln>
            </c:spPr>
          </c:marker>
          <c:dLbls>
            <c:numFmt formatCode="General" sourceLinked="1"/>
            <c:txPr>
              <a:bodyPr/>
              <a:lstStyle/>
              <a:p>
                <a:pPr lvl="0">
                  <a:defRPr/>
                </a:pPr>
              </a:p>
            </c:txPr>
            <c:showLegendKey val="0"/>
            <c:showVal val="1"/>
            <c:showCatName val="0"/>
            <c:showSerName val="0"/>
            <c:showPercent val="0"/>
            <c:showBubbleSize val="0"/>
          </c:dLbls>
          <c:cat>
            <c:strRef>
              <c:f>' Validator Rewards (Staking Opt'!$BH$310:$BU$310</c:f>
            </c:strRef>
          </c:cat>
          <c:val>
            <c:numRef>
              <c:f>' Validator Rewards (Staking Opt'!$BH$244:$BU$244</c:f>
              <c:numCache/>
            </c:numRef>
          </c:val>
          <c:smooth val="0"/>
        </c:ser>
        <c:axId val="2015957867"/>
        <c:axId val="2092961024"/>
      </c:lineChart>
      <c:catAx>
        <c:axId val="2015957867"/>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2092961024"/>
      </c:catAx>
      <c:valAx>
        <c:axId val="2092961024"/>
        <c:scaling>
          <c:orientation val="minMax"/>
          <c:max val="0.2"/>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1" sz="1800">
                    <a:solidFill>
                      <a:srgbClr val="FF0000"/>
                    </a:solidFill>
                    <a:latin typeface="+mn-lt"/>
                  </a:defRPr>
                </a:pPr>
                <a:r>
                  <a:rPr b="1" sz="1800">
                    <a:solidFill>
                      <a:srgbClr val="FF0000"/>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15957867"/>
        <c:crosses val="max"/>
      </c:valAx>
    </c:plotArea>
    <c:plotVisOnly val="1"/>
  </c:chart>
  <c:spPr>
    <a:solidFill>
      <a:srgbClr val="D9D9D9"/>
    </a:solidFill>
  </c:spPr>
</c:chartSpace>
</file>

<file path=xl/charts/chart7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'Eth2 Calculator'!$Y$177:$Y$196</c:f>
            </c:strRef>
          </c:cat>
          <c:val>
            <c:numRef>
              <c:f>'Eth2 Calculator'!$Z$177:$Z$196</c:f>
              <c:numCache/>
            </c:numRef>
          </c:val>
          <c:smooth val="0"/>
        </c:ser>
        <c:axId val="1433199678"/>
        <c:axId val="1722276482"/>
      </c:lineChart>
      <c:catAx>
        <c:axId val="1433199678"/>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722276482"/>
      </c:catAx>
      <c:valAx>
        <c:axId val="1722276482"/>
        <c:scaling>
          <c:orientation val="minMax"/>
          <c:max val="0.2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3199678"/>
      </c:valAx>
    </c:plotArea>
    <c:plotVisOnly val="1"/>
  </c:chart>
  <c:spPr>
    <a:solidFill>
      <a:srgbClr val="D9D9D9"/>
    </a:solidFill>
  </c:spPr>
</c:chartSpace>
</file>

<file path=xl/charts/chart7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(At Home) - 1MM ETH Staked</a:t>
            </a:r>
          </a:p>
        </c:rich>
      </c:tx>
      <c:layout>
        <c:manualLayout>
          <c:xMode val="edge"/>
          <c:yMode val="edge"/>
          <c:x val="0.027777777777777776"/>
          <c:y val="0.04991816693944354"/>
        </c:manualLayout>
      </c:layout>
      <c:overlay val="0"/>
    </c:title>
    <c:plotArea>
      <c:layout/>
      <c:lineChart>
        <c:varyColors val="0"/>
        <c:ser>
          <c:idx val="0"/>
          <c:order val="0"/>
          <c:tx>
            <c:strRef>
              <c:f>'Eth2 Calculator'!$BZ$246</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'Eth2 Calculator'!$CA$244:$CN$244</c:f>
            </c:strRef>
          </c:cat>
          <c:val>
            <c:numRef>
              <c:f>'Eth2 Calculator'!$CA$246:$CN$246</c:f>
              <c:numCache/>
            </c:numRef>
          </c:val>
          <c:smooth val="0"/>
        </c:ser>
        <c:axId val="1806228170"/>
        <c:axId val="2070684681"/>
      </c:lineChart>
      <c:catAx>
        <c:axId val="1806228170"/>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2070684681"/>
      </c:catAx>
      <c:valAx>
        <c:axId val="2070684681"/>
        <c:scaling>
          <c:orientation val="minMax"/>
          <c:max val="0.1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6228170"/>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8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Pt>
            <c:idx val="10"/>
            <c:marker>
              <c:symbol val="triangle"/>
              <c:size val="14"/>
              <c:spPr>
                <a:solidFill>
                  <a:srgbClr val="FF0000"/>
                </a:solidFill>
                <a:ln cmpd="sng">
                  <a:solidFill>
                    <a:srgbClr val="FF0000"/>
                  </a:solidFill>
                </a:ln>
              </c:spPr>
            </c:marker>
          </c:dPt>
          <c:dLbls>
            <c:numFmt formatCode="General" sourceLinked="1"/>
            <c:txPr>
              <a:bodyPr/>
              <a:lstStyle/>
              <a:p>
                <a:pPr lvl="0">
                  <a:defRPr b="1" sz="1600"/>
                </a:pPr>
              </a:p>
            </c:txPr>
            <c:showLegendKey val="0"/>
            <c:showVal val="1"/>
            <c:showCatName val="0"/>
            <c:showSerName val="0"/>
            <c:showPercent val="0"/>
            <c:showBubbleSize val="0"/>
          </c:dLbls>
          <c:cat>
            <c:strRef>
              <c:f>'Eth2 Calculator'!$AI$311:$AI$330</c:f>
            </c:strRef>
          </c:cat>
          <c:val>
            <c:numRef>
              <c:f>'Eth2 Calculator'!$Z$311:$Z$330</c:f>
              <c:numCache/>
            </c:numRef>
          </c:val>
          <c:smooth val="0"/>
        </c:ser>
        <c:axId val="1623867275"/>
        <c:axId val="664733476"/>
      </c:lineChart>
      <c:catAx>
        <c:axId val="1623867275"/>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664733476"/>
      </c:catAx>
      <c:valAx>
        <c:axId val="664733476"/>
        <c:scaling>
          <c:orientation val="minMax"/>
          <c:max val="0.1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23867275"/>
      </c:valAx>
    </c:plotArea>
    <c:plotVisOnly val="1"/>
  </c:chart>
  <c:spPr>
    <a:solidFill>
      <a:srgbClr val="D9D9D9"/>
    </a:solidFill>
  </c:spPr>
</c:chartSpace>
</file>

<file path=xl/charts/chart8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- 1MM ETH Staked</a:t>
            </a:r>
          </a:p>
        </c:rich>
      </c:tx>
      <c:layout>
        <c:manualLayout>
          <c:xMode val="edge"/>
          <c:yMode val="edge"/>
          <c:x val="0.02871939736346516"/>
          <c:y val="0.05155482815057283"/>
        </c:manualLayout>
      </c:layout>
      <c:overlay val="0"/>
    </c:title>
    <c:plotArea>
      <c:layout/>
      <c:lineChart>
        <c:varyColors val="0"/>
        <c:axId val="910861986"/>
        <c:axId val="1756211023"/>
      </c:lineChart>
      <c:catAx>
        <c:axId val="910861986"/>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1756211023"/>
      </c:catAx>
      <c:valAx>
        <c:axId val="1756211023"/>
        <c:scaling>
          <c:orientation val="minMax"/>
        </c:scaling>
        <c:delete val="0"/>
        <c:axPos val="l"/>
        <c:tickLblPos val="nextTo"/>
        <c:spPr>
          <a:ln>
            <a:noFill/>
          </a:ln>
        </c:spPr>
        <c:crossAx val="910861986"/>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8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(At Home) - Phase 0</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Pt>
            <c:idx val="18"/>
            <c:marker>
              <c:symbol val="triangle"/>
              <c:size val="14"/>
              <c:spPr>
                <a:solidFill>
                  <a:srgbClr val="FF0000"/>
                </a:solidFill>
                <a:ln cmpd="sng">
                  <a:solidFill>
                    <a:srgbClr val="FF0000"/>
                  </a:solidFill>
                </a:ln>
              </c:spPr>
            </c:marker>
          </c:dPt>
          <c:dPt>
            <c:idx val="19"/>
            <c:marker>
              <c:symbol val="triangle"/>
              <c:size val="14"/>
              <c:spPr>
                <a:solidFill>
                  <a:srgbClr val="FF0000"/>
                </a:solidFill>
                <a:ln cmpd="sng">
                  <a:solidFill>
                    <a:srgbClr val="FF0000"/>
                  </a:solidFill>
                </a:ln>
              </c:spPr>
            </c:marker>
          </c:dPt>
          <c:dLbls>
            <c:numFmt formatCode="General" sourceLinked="1"/>
            <c:txPr>
              <a:bodyPr/>
              <a:lstStyle/>
              <a:p>
                <a:pPr lvl="0">
                  <a:defRPr b="1" sz="1600"/>
                </a:pPr>
              </a:p>
            </c:txPr>
            <c:showLegendKey val="0"/>
            <c:showVal val="1"/>
            <c:showCatName val="0"/>
            <c:showSerName val="0"/>
            <c:showPercent val="0"/>
            <c:showBubbleSize val="0"/>
          </c:dLbls>
          <c:cat>
            <c:strRef>
              <c:f>'Eth2 Calculator'!$AI$243:$AI$262</c:f>
            </c:strRef>
          </c:cat>
          <c:val>
            <c:numRef>
              <c:f>'Eth2 Calculator'!$Z$243:$Z$262</c:f>
              <c:numCache/>
            </c:numRef>
          </c:val>
          <c:smooth val="0"/>
        </c:ser>
        <c:axId val="2130528185"/>
        <c:axId val="796351114"/>
      </c:lineChart>
      <c:catAx>
        <c:axId val="2130528185"/>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796351114"/>
      </c:catAx>
      <c:valAx>
        <c:axId val="796351114"/>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30528185"/>
      </c:valAx>
    </c:plotArea>
    <c:plotVisOnly val="1"/>
  </c:chart>
  <c:spPr>
    <a:solidFill>
      <a:srgbClr val="D9D9D9"/>
    </a:solidFill>
  </c:spPr>
</c:chartSpace>
</file>

<file path=xl/charts/chart8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 Phase 0 (1M ETH Staked)</a:t>
            </a:r>
          </a:p>
        </c:rich>
      </c:tx>
      <c:overlay val="0"/>
    </c:title>
    <c:plotArea>
      <c:layout/>
      <c:lineChart>
        <c:varyColors val="0"/>
        <c:ser>
          <c:idx val="0"/>
          <c:order val="0"/>
          <c:tx>
            <c:strRef>
              <c:f>'Eth2 Calculator'!$BN$180</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'Eth2 Calculator'!$CA$244:$CN$244</c:f>
            </c:strRef>
          </c:cat>
          <c:val>
            <c:numRef>
              <c:f>'Eth2 Calculator'!$BO$180:$CB$180</c:f>
              <c:numCache/>
            </c:numRef>
          </c:val>
          <c:smooth val="0"/>
        </c:ser>
        <c:axId val="1877218137"/>
        <c:axId val="1155464132"/>
      </c:lineChart>
      <c:catAx>
        <c:axId val="1877218137"/>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1155464132"/>
      </c:catAx>
      <c:valAx>
        <c:axId val="1155464132"/>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(Gross)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77218137"/>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8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 Phase 0 (1MM ETH Staked)</a:t>
            </a:r>
          </a:p>
        </c:rich>
      </c:tx>
      <c:overlay val="0"/>
    </c:title>
    <c:plotArea>
      <c:layout/>
      <c:lineChart>
        <c:varyColors val="0"/>
        <c:ser>
          <c:idx val="0"/>
          <c:order val="0"/>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'Eth2 Calculator'!$AW$179:$AW$188</c:f>
            </c:strRef>
          </c:cat>
          <c:val>
            <c:numRef>
              <c:f>'Eth2 Calculator'!$AX$179:$AX$188</c:f>
              <c:numCache/>
            </c:numRef>
          </c:val>
          <c:smooth val="0"/>
        </c:ser>
        <c:axId val="275151324"/>
        <c:axId val="1423151221"/>
      </c:lineChart>
      <c:catAx>
        <c:axId val="275151324"/>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Average Network % Online</a:t>
                </a:r>
              </a:p>
            </c:rich>
          </c:tx>
          <c:overlay val="0"/>
        </c:title>
        <c:numFmt formatCode="General" sourceLinked="1"/>
        <c:majorTickMark val="none"/>
        <c:minorTickMark val="none"/>
        <c:spPr/>
        <c:txPr>
          <a:bodyPr/>
          <a:lstStyle/>
          <a:p>
            <a:pPr lvl="0">
              <a:defRPr b="0">
                <a:solidFill>
                  <a:srgbClr val="000000"/>
                </a:solidFill>
                <a:latin typeface="+mn-lt"/>
              </a:defRPr>
            </a:pPr>
          </a:p>
        </c:txPr>
        <c:crossAx val="1423151221"/>
      </c:catAx>
      <c:valAx>
        <c:axId val="1423151221"/>
        <c:scaling>
          <c:orientation val="minMax"/>
          <c:max val="0.1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5151324"/>
      </c:valAx>
    </c:plotArea>
    <c:plotVisOnly val="1"/>
  </c:chart>
  <c:spPr>
    <a:solidFill>
      <a:srgbClr val="D9D9D9"/>
    </a:solidFill>
  </c:spPr>
</c:chartSpace>
</file>

<file path=xl/charts/chart8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Validator Economics (32 ETH) - Genesis to 10MM ETH Staked</a:t>
            </a:r>
          </a:p>
        </c:rich>
      </c:tx>
      <c:overlay val="0"/>
    </c:title>
    <c:plotArea>
      <c:layout/>
      <c:lineChart>
        <c:ser>
          <c:idx val="0"/>
          <c:order val="0"/>
          <c:spPr>
            <a:ln cmpd="sng">
              <a:solidFill>
                <a:srgbClr val="980000"/>
              </a:solidFill>
              <a:prstDash val="lgDash"/>
            </a:ln>
          </c:spPr>
          <c:marker>
            <c:symbol val="circle"/>
            <c:size val="7"/>
            <c:spPr>
              <a:solidFill>
                <a:srgbClr val="980000"/>
              </a:solidFill>
              <a:ln cmpd="sng">
                <a:solidFill>
                  <a:srgbClr val="980000"/>
                </a:solidFill>
              </a:ln>
            </c:spPr>
          </c:marker>
          <c:dPt>
            <c:idx val="0"/>
            <c:marker>
              <c:symbol val="none"/>
            </c:marker>
          </c:dPt>
          <c:dPt>
            <c:idx val="5"/>
            <c:marker>
              <c:symbol val="none"/>
            </c:marker>
          </c:dPt>
          <c:dLbls>
            <c:numFmt formatCode="General" sourceLinked="1"/>
            <c:txPr>
              <a:bodyPr/>
              <a:lstStyle/>
              <a:p>
                <a:pPr lvl="0">
                  <a:defRPr b="1" i="0" sz="1400">
                    <a:latin typeface="serif"/>
                  </a:defRPr>
                </a:pPr>
              </a:p>
            </c:txPr>
            <c:showLegendKey val="0"/>
            <c:showVal val="1"/>
            <c:showCatName val="0"/>
            <c:showSerName val="0"/>
            <c:showPercent val="0"/>
            <c:showBubbleSize val="0"/>
          </c:dLbls>
          <c:cat>
            <c:strRef>
              <c:f>'Eth2 Calculator'!$Y$177:$Y$196</c:f>
            </c:strRef>
          </c:cat>
          <c:val>
            <c:numRef>
              <c:f>'Eth2 Calculator'!$Z$177:$Z$196</c:f>
              <c:numCache/>
            </c:numRef>
          </c:val>
          <c:smooth val="0"/>
        </c:ser>
        <c:ser>
          <c:idx val="1"/>
          <c:order val="1"/>
          <c:spPr>
            <a:ln cmpd="sng">
              <a:solidFill>
                <a:srgbClr val="38761D"/>
              </a:solidFill>
            </a:ln>
          </c:spPr>
          <c:marker>
            <c:symbol val="none"/>
          </c:marker>
          <c:dPt>
            <c:idx val="19"/>
            <c:marker>
              <c:symbol val="none"/>
            </c:marker>
          </c:dPt>
          <c:dLbls>
            <c:numFmt formatCode="General" sourceLinked="1"/>
            <c:txPr>
              <a:bodyPr/>
              <a:lstStyle/>
              <a:p>
                <a:pPr lvl="0">
                  <a:defRPr/>
                </a:pPr>
              </a:p>
            </c:txPr>
            <c:showLegendKey val="0"/>
            <c:showVal val="1"/>
            <c:showCatName val="0"/>
            <c:showSerName val="0"/>
            <c:showPercent val="0"/>
            <c:showBubbleSize val="0"/>
          </c:dLbls>
          <c:cat>
            <c:strRef>
              <c:f>'Eth2 Calculator'!$Y$177:$Y$196</c:f>
            </c:strRef>
          </c:cat>
          <c:val>
            <c:numRef>
              <c:f>'Eth2 Calculator'!$Z$243:$Z$262</c:f>
              <c:numCache/>
            </c:numRef>
          </c:val>
          <c:smooth val="0"/>
        </c:ser>
        <c:ser>
          <c:idx val="2"/>
          <c:order val="2"/>
          <c:spPr>
            <a:ln cmpd="sng">
              <a:solidFill>
                <a:srgbClr val="4A86E8"/>
              </a:solidFill>
            </a:ln>
          </c:spPr>
          <c:marker>
            <c:symbol val="none"/>
          </c:marker>
          <c:dPt>
            <c:idx val="11"/>
            <c:marker>
              <c:symbol val="none"/>
            </c:marker>
          </c:dPt>
          <c:dPt>
            <c:idx val="12"/>
            <c:marker>
              <c:symbol val="none"/>
            </c:marker>
          </c:dPt>
          <c:dPt>
            <c:idx val="13"/>
            <c:marker>
              <c:symbol val="none"/>
            </c:marker>
          </c:dPt>
          <c:dPt>
            <c:idx val="14"/>
            <c:marker>
              <c:symbol val="none"/>
            </c:marker>
          </c:dPt>
          <c:dPt>
            <c:idx val="15"/>
            <c:marker>
              <c:symbol val="none"/>
            </c:marker>
          </c:dPt>
          <c:dPt>
            <c:idx val="16"/>
            <c:marker>
              <c:symbol val="none"/>
            </c:marker>
          </c:dPt>
          <c:dPt>
            <c:idx val="17"/>
            <c:marker>
              <c:symbol val="none"/>
            </c:marker>
          </c:dPt>
          <c:dPt>
            <c:idx val="18"/>
            <c:marker>
              <c:symbol val="none"/>
            </c:marker>
          </c:dPt>
          <c:dPt>
            <c:idx val="19"/>
            <c:marker>
              <c:symbol val="none"/>
            </c:marker>
          </c:dPt>
          <c:dLbls>
            <c:numFmt formatCode="General" sourceLinked="1"/>
            <c:txPr>
              <a:bodyPr/>
              <a:lstStyle/>
              <a:p>
                <a:pPr lvl="0">
                  <a:defRPr/>
                </a:pPr>
              </a:p>
            </c:txPr>
            <c:showLegendKey val="0"/>
            <c:showVal val="1"/>
            <c:showCatName val="0"/>
            <c:showSerName val="0"/>
            <c:showPercent val="0"/>
            <c:showBubbleSize val="0"/>
          </c:dLbls>
          <c:cat>
            <c:strRef>
              <c:f>'Eth2 Calculator'!$Y$177:$Y$196</c:f>
            </c:strRef>
          </c:cat>
          <c:val>
            <c:numRef>
              <c:f>'Eth2 Calculator'!$Z$311:$Z$330</c:f>
              <c:numCache/>
            </c:numRef>
          </c:val>
          <c:smooth val="0"/>
        </c:ser>
        <c:axId val="1040557323"/>
        <c:axId val="1585162749"/>
      </c:lineChart>
      <c:catAx>
        <c:axId val="1040557323"/>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serif"/>
              </a:defRPr>
            </a:pPr>
          </a:p>
        </c:txPr>
        <c:crossAx val="1585162749"/>
      </c:catAx>
      <c:valAx>
        <c:axId val="1585162749"/>
        <c:scaling>
          <c:orientation val="minMax"/>
          <c:max val="0.2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(Network, At Home, VPS)</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1040557323"/>
      </c:valAx>
    </c:plotArea>
    <c:plotVisOnly val="1"/>
  </c:chart>
  <c:spPr>
    <a:solidFill>
      <a:srgbClr val="D9D9D9"/>
    </a:solidFill>
  </c:spPr>
</c:chartSpace>
</file>

<file path=xl/charts/chart8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Eth2 Network Issuance - Annualized</a:t>
            </a:r>
          </a:p>
        </c:rich>
      </c:tx>
      <c:overlay val="0"/>
    </c:title>
    <c:plotArea>
      <c:layout/>
      <c:lineChart>
        <c:varyColors val="0"/>
        <c:ser>
          <c:idx val="0"/>
          <c:order val="0"/>
          <c:spPr>
            <a:ln cmpd="sng">
              <a:solidFill>
                <a:srgbClr val="6AA84F"/>
              </a:solidFill>
            </a:ln>
          </c:spPr>
          <c:marker>
            <c:symbol val="none"/>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'Eth2 Calculator'!$AB$112:$AB$131</c:f>
            </c:strRef>
          </c:cat>
          <c:val>
            <c:numRef>
              <c:f>'Eth2 Calculator'!$AC$112:$AC$131</c:f>
              <c:numCache/>
            </c:numRef>
          </c:val>
          <c:smooth val="0"/>
        </c:ser>
        <c:axId val="1051133466"/>
        <c:axId val="2079475097"/>
      </c:lineChart>
      <c:catAx>
        <c:axId val="1051133466"/>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2079475097"/>
      </c:catAx>
      <c:valAx>
        <c:axId val="2079475097"/>
        <c:scaling>
          <c:orientation val="minMax"/>
          <c:max val="0.004"/>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6AA84F"/>
                    </a:solidFill>
                    <a:latin typeface="+mn-lt"/>
                  </a:defRPr>
                </a:pPr>
                <a:r>
                  <a:rPr b="1" i="1" sz="2000">
                    <a:solidFill>
                      <a:srgbClr val="6AA84F"/>
                    </a:solidFill>
                    <a:latin typeface="+mn-lt"/>
                  </a:rPr>
                  <a:t>Network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51133466"/>
      </c:valAx>
      <c:lineChart>
        <c:varyColors val="0"/>
        <c:ser>
          <c:idx val="1"/>
          <c:order val="1"/>
          <c:spPr>
            <a:ln cmpd="sng">
              <a:solidFill>
                <a:srgbClr val="674EA7"/>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'Eth2 Calculator'!$AB$112:$AB$131</c:f>
            </c:strRef>
          </c:cat>
          <c:val>
            <c:numRef>
              <c:f>'Eth2 Calculator'!$AM$112:$AM$131</c:f>
              <c:numCache/>
            </c:numRef>
          </c:val>
          <c:smooth val="0"/>
        </c:ser>
        <c:axId val="1778820330"/>
        <c:axId val="1075339928"/>
      </c:lineChart>
      <c:catAx>
        <c:axId val="1778820330"/>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075339928"/>
      </c:catAx>
      <c:valAx>
        <c:axId val="1075339928"/>
        <c:scaling>
          <c:orientation val="minMax"/>
          <c:max val="1550.0"/>
        </c:scaling>
        <c:delete val="0"/>
        <c:axPos val="r"/>
        <c:majorGridlines>
          <c:spPr>
            <a:ln>
              <a:solidFill>
                <a:srgbClr val="B7B7B7"/>
              </a:solidFill>
            </a:ln>
          </c:spPr>
        </c:majorGridlines>
        <c:minorGridlines>
          <c:spPr>
            <a:ln>
              <a:solidFill>
                <a:srgbClr val="434343"/>
              </a:solidFill>
            </a:ln>
          </c:spPr>
        </c:minorGridlines>
        <c:title>
          <c:tx>
            <c:rich>
              <a:bodyPr/>
              <a:lstStyle/>
              <a:p>
                <a:pPr lvl="0">
                  <a:defRPr b="1" i="1" sz="2000">
                    <a:solidFill>
                      <a:srgbClr val="674EA7"/>
                    </a:solidFill>
                    <a:latin typeface="+mn-lt"/>
                  </a:defRPr>
                </a:pPr>
                <a:r>
                  <a:rPr b="1" i="1" sz="2000">
                    <a:solidFill>
                      <a:srgbClr val="674EA7"/>
                    </a:solidFill>
                    <a:latin typeface="+mn-lt"/>
                  </a:rPr>
                  <a:t>Network Issuance ETH/Day</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8820330"/>
        <c:crosses val="max"/>
      </c:valAx>
    </c:plotArea>
    <c:plotVisOnly val="1"/>
  </c:chart>
  <c:spPr>
    <a:solidFill>
      <a:srgbClr val="D9D9D9"/>
    </a:solidFill>
  </c:spPr>
</c:chartSpace>
</file>

<file path=xl/charts/chart8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Annualized Validator Reward - 1MM ETH Staked</a:t>
            </a:r>
          </a:p>
        </c:rich>
      </c:tx>
      <c:layout>
        <c:manualLayout>
          <c:xMode val="edge"/>
          <c:yMode val="edge"/>
          <c:x val="0.02871939736346516"/>
          <c:y val="0.05155482815057283"/>
        </c:manualLayout>
      </c:layout>
      <c:overlay val="0"/>
    </c:title>
    <c:plotArea>
      <c:layout/>
      <c:lineChart>
        <c:varyColors val="0"/>
        <c:ser>
          <c:idx val="0"/>
          <c:order val="0"/>
          <c:tx>
            <c:strRef>
              <c:f>'Eth2 Calculator'!$BM$314</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'Eth2 Calculator'!$CE$312:$CR$312</c:f>
            </c:strRef>
          </c:cat>
          <c:val>
            <c:numRef>
              <c:f>'Eth2 Calculator'!$BN$314:$CA$314</c:f>
              <c:numCache/>
            </c:numRef>
          </c:val>
          <c:smooth val="0"/>
        </c:ser>
        <c:axId val="1931774492"/>
        <c:axId val="71758467"/>
      </c:lineChart>
      <c:catAx>
        <c:axId val="1931774492"/>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71758467"/>
      </c:catAx>
      <c:valAx>
        <c:axId val="71758467"/>
        <c:scaling>
          <c:orientation val="minMax"/>
          <c:max val="700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31774492"/>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8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(At Home) - 1MM ETH Staked</a:t>
            </a:r>
          </a:p>
        </c:rich>
      </c:tx>
      <c:layout>
        <c:manualLayout>
          <c:xMode val="edge"/>
          <c:yMode val="edge"/>
          <c:x val="0.027777777777777776"/>
          <c:y val="0.04991816693944354"/>
        </c:manualLayout>
      </c:layout>
      <c:overlay val="0"/>
    </c:title>
    <c:plotArea>
      <c:layout/>
      <c:lineChart>
        <c:varyColors val="0"/>
        <c:ser>
          <c:idx val="0"/>
          <c:order val="0"/>
          <c:tx>
            <c:strRef>
              <c:f>'Eth2 Calculator'!$BI$246</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'Eth2 Calculator'!$CA$244:$CN$244</c:f>
            </c:strRef>
          </c:cat>
          <c:val>
            <c:numRef>
              <c:f>'Eth2 Calculator'!$BJ$246:$BW$246</c:f>
              <c:numCache/>
            </c:numRef>
          </c:val>
          <c:smooth val="0"/>
        </c:ser>
        <c:axId val="1433323735"/>
        <c:axId val="1974440758"/>
      </c:lineChart>
      <c:catAx>
        <c:axId val="1433323735"/>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a:t>
                </a:r>
              </a:p>
            </c:rich>
          </c:tx>
          <c:overlay val="0"/>
        </c:title>
        <c:numFmt formatCode="General" sourceLinked="1"/>
        <c:majorTickMark val="none"/>
        <c:minorTickMark val="none"/>
        <c:spPr/>
        <c:txPr>
          <a:bodyPr/>
          <a:lstStyle/>
          <a:p>
            <a:pPr lvl="0">
              <a:defRPr b="0">
                <a:solidFill>
                  <a:srgbClr val="000000"/>
                </a:solidFill>
                <a:latin typeface="+mn-lt"/>
              </a:defRPr>
            </a:pPr>
          </a:p>
        </c:txPr>
        <c:crossAx val="1974440758"/>
      </c:catAx>
      <c:valAx>
        <c:axId val="1974440758"/>
        <c:scaling>
          <c:orientation val="minMax"/>
          <c:max val="10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3323735"/>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8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(At Home) - 1MM ETH Staked</a:t>
            </a:r>
          </a:p>
        </c:rich>
      </c:tx>
      <c:layout>
        <c:manualLayout>
          <c:xMode val="edge"/>
          <c:yMode val="edge"/>
          <c:x val="0.027777777777777776"/>
          <c:y val="0.04991816693944354"/>
        </c:manualLayout>
      </c:layout>
      <c:overlay val="0"/>
    </c:title>
    <c:plotArea>
      <c:layout/>
      <c:lineChart>
        <c:varyColors val="0"/>
        <c:ser>
          <c:idx val="0"/>
          <c:order val="0"/>
          <c:tx>
            <c:strRef>
              <c:f>'Eth2 Calculator'!$BI$246</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'Eth2 Calculator'!$CA$244:$CN$244</c:f>
            </c:strRef>
          </c:cat>
          <c:val>
            <c:numRef>
              <c:f>'Eth2 Calculator'!$BJ$246:$BW$246</c:f>
              <c:numCache/>
            </c:numRef>
          </c:val>
          <c:smooth val="0"/>
        </c:ser>
        <c:axId val="433692822"/>
        <c:axId val="1876317528"/>
      </c:lineChart>
      <c:catAx>
        <c:axId val="433692822"/>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 (16 per machine)</a:t>
                </a:r>
              </a:p>
            </c:rich>
          </c:tx>
          <c:overlay val="0"/>
        </c:title>
        <c:numFmt formatCode="General" sourceLinked="1"/>
        <c:majorTickMark val="none"/>
        <c:minorTickMark val="none"/>
        <c:spPr/>
        <c:txPr>
          <a:bodyPr/>
          <a:lstStyle/>
          <a:p>
            <a:pPr lvl="0">
              <a:defRPr b="0">
                <a:solidFill>
                  <a:srgbClr val="000000"/>
                </a:solidFill>
                <a:latin typeface="+mn-lt"/>
              </a:defRPr>
            </a:pPr>
          </a:p>
        </c:txPr>
        <c:crossAx val="1876317528"/>
      </c:catAx>
      <c:valAx>
        <c:axId val="1876317528"/>
        <c:scaling>
          <c:orientation val="minMax"/>
          <c:max val="10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4A86E8"/>
                    </a:solidFill>
                    <a:latin typeface="+mn-lt"/>
                  </a:defRPr>
                </a:pPr>
                <a:r>
                  <a:rPr b="1" i="1" sz="2000">
                    <a:solidFill>
                      <a:srgbClr val="4A86E8"/>
                    </a:solidFill>
                    <a:latin typeface="+mn-lt"/>
                  </a:rPr>
                  <a:t>Annual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33692822"/>
      </c:valAx>
      <c:lineChart>
        <c:varyColors val="0"/>
        <c:ser>
          <c:idx val="1"/>
          <c:order val="1"/>
          <c:tx>
            <c:strRef>
              <c:f>'Eth2 Calculator'!$BZ$246</c:f>
            </c:strRef>
          </c:tx>
          <c:spPr>
            <a:ln cmpd="sng">
              <a:solidFill>
                <a:srgbClr val="EA4335"/>
              </a:solidFill>
              <a:prstDash val="lgDashDot"/>
            </a:ln>
          </c:spPr>
          <c:marker>
            <c:symbol val="circle"/>
            <c:size val="10"/>
            <c:spPr>
              <a:solidFill>
                <a:srgbClr val="EA4335"/>
              </a:solidFill>
              <a:ln cmpd="sng">
                <a:solidFill>
                  <a:srgbClr val="EA4335"/>
                </a:solidFill>
              </a:ln>
            </c:spPr>
          </c:marker>
          <c:dLbls>
            <c:numFmt formatCode="General" sourceLinked="1"/>
            <c:txPr>
              <a:bodyPr/>
              <a:lstStyle/>
              <a:p>
                <a:pPr lvl="0">
                  <a:defRPr/>
                </a:pPr>
              </a:p>
            </c:txPr>
            <c:showLegendKey val="0"/>
            <c:showVal val="1"/>
            <c:showCatName val="0"/>
            <c:showSerName val="0"/>
            <c:showPercent val="0"/>
            <c:showBubbleSize val="0"/>
          </c:dLbls>
          <c:cat>
            <c:strRef>
              <c:f>'Eth2 Calculator'!$CA$244:$CN$244</c:f>
            </c:strRef>
          </c:cat>
          <c:val>
            <c:numRef>
              <c:f>'Eth2 Calculator'!$CA$246:$CN$246</c:f>
              <c:numCache/>
            </c:numRef>
          </c:val>
          <c:smooth val="0"/>
        </c:ser>
        <c:axId val="1234899108"/>
        <c:axId val="75340577"/>
      </c:lineChart>
      <c:catAx>
        <c:axId val="1234899108"/>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75340577"/>
      </c:catAx>
      <c:valAx>
        <c:axId val="75340577"/>
        <c:scaling>
          <c:orientation val="minMax"/>
          <c:max val="0.2"/>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1" sz="2000">
                    <a:solidFill>
                      <a:srgbClr val="FF0000"/>
                    </a:solidFill>
                    <a:latin typeface="serif"/>
                  </a:defRPr>
                </a:pPr>
                <a:r>
                  <a:rPr b="1" sz="2000">
                    <a:solidFill>
                      <a:srgbClr val="FF0000"/>
                    </a:solidFill>
                    <a:latin typeface="serif"/>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34899108"/>
        <c:crosses val="max"/>
      </c:valAx>
    </c:plotArea>
    <c:plotVisOnly val="1"/>
  </c:chart>
  <c:spPr>
    <a:solidFill>
      <a:srgbClr val="D9D9D9"/>
    </a:solidFill>
  </c:spPr>
</c:chartSpace>
</file>

<file path=xl/charts/chart9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Validator Economics (VPS) - 1MM ETH Staked</a:t>
            </a:r>
          </a:p>
        </c:rich>
      </c:tx>
      <c:layout>
        <c:manualLayout>
          <c:xMode val="edge"/>
          <c:yMode val="edge"/>
          <c:x val="0.02871939736346516"/>
          <c:y val="0.05155482815057283"/>
        </c:manualLayout>
      </c:layout>
      <c:overlay val="0"/>
    </c:title>
    <c:plotArea>
      <c:layout/>
      <c:lineChart>
        <c:varyColors val="0"/>
        <c:ser>
          <c:idx val="0"/>
          <c:order val="0"/>
          <c:tx>
            <c:strRef>
              <c:f>'Eth2 Calculator'!$BM$314</c:f>
            </c:strRef>
          </c:tx>
          <c:spPr>
            <a:ln cmpd="sng">
              <a:solidFill>
                <a:srgbClr val="4285F4"/>
              </a:solidFill>
            </a:ln>
          </c:spPr>
          <c:marker>
            <c:symbol val="circle"/>
            <c:size val="10"/>
            <c:spPr>
              <a:solidFill>
                <a:srgbClr val="4285F4"/>
              </a:solidFill>
              <a:ln cmpd="sng">
                <a:solidFill>
                  <a:srgbClr val="4285F4"/>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'Eth2 Calculator'!$CE$312:$CR$312</c:f>
            </c:strRef>
          </c:cat>
          <c:val>
            <c:numRef>
              <c:f>'Eth2 Calculator'!$BN$314:$CA$314</c:f>
              <c:numCache/>
            </c:numRef>
          </c:val>
          <c:smooth val="0"/>
        </c:ser>
        <c:axId val="1095663491"/>
        <c:axId val="139541207"/>
      </c:lineChart>
      <c:catAx>
        <c:axId val="1095663491"/>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Validators Run (1,000 per machine)</a:t>
                </a:r>
              </a:p>
            </c:rich>
          </c:tx>
          <c:overlay val="0"/>
        </c:title>
        <c:numFmt formatCode="General" sourceLinked="1"/>
        <c:majorTickMark val="none"/>
        <c:minorTickMark val="none"/>
        <c:spPr/>
        <c:txPr>
          <a:bodyPr/>
          <a:lstStyle/>
          <a:p>
            <a:pPr lvl="0">
              <a:defRPr b="0">
                <a:solidFill>
                  <a:srgbClr val="000000"/>
                </a:solidFill>
                <a:latin typeface="+mn-lt"/>
              </a:defRPr>
            </a:pPr>
          </a:p>
        </c:txPr>
        <c:crossAx val="139541207"/>
      </c:catAx>
      <c:valAx>
        <c:axId val="139541207"/>
        <c:scaling>
          <c:orientation val="minMax"/>
          <c:max val="600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0000FF"/>
                    </a:solidFill>
                    <a:latin typeface="+mn-lt"/>
                  </a:defRPr>
                </a:pPr>
                <a:r>
                  <a:rPr b="1" i="1" sz="2000">
                    <a:solidFill>
                      <a:srgbClr val="0000FF"/>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95663491"/>
      </c:valAx>
      <c:lineChart>
        <c:varyColors val="0"/>
        <c:ser>
          <c:idx val="1"/>
          <c:order val="1"/>
          <c:tx>
            <c:strRef>
              <c:f>'Eth2 Calculator'!$BZ$246</c:f>
            </c:strRef>
          </c:tx>
          <c:spPr>
            <a:ln cmpd="sng">
              <a:solidFill>
                <a:srgbClr val="EA4335"/>
              </a:solidFill>
              <a:prstDash val="lgDashDot"/>
            </a:ln>
          </c:spPr>
          <c:marker>
            <c:symbol val="circle"/>
            <c:size val="10"/>
            <c:spPr>
              <a:solidFill>
                <a:srgbClr val="EA4335"/>
              </a:solidFill>
              <a:ln cmpd="sng">
                <a:solidFill>
                  <a:srgbClr val="EA4335"/>
                </a:solidFill>
              </a:ln>
            </c:spPr>
          </c:marker>
          <c:dLbls>
            <c:numFmt formatCode="General" sourceLinked="1"/>
            <c:txPr>
              <a:bodyPr/>
              <a:lstStyle/>
              <a:p>
                <a:pPr lvl="0">
                  <a:defRPr/>
                </a:pPr>
              </a:p>
            </c:txPr>
            <c:showLegendKey val="0"/>
            <c:showVal val="1"/>
            <c:showCatName val="0"/>
            <c:showSerName val="0"/>
            <c:showPercent val="0"/>
            <c:showBubbleSize val="0"/>
          </c:dLbls>
          <c:cat>
            <c:strRef>
              <c:f>'Eth2 Calculator'!$CE$312:$CR$312</c:f>
            </c:strRef>
          </c:cat>
          <c:val>
            <c:numRef>
              <c:f>'Eth2 Calculator'!$CA$246:$CN$246</c:f>
              <c:numCache/>
            </c:numRef>
          </c:val>
          <c:smooth val="0"/>
        </c:ser>
        <c:axId val="826393468"/>
        <c:axId val="838224571"/>
      </c:lineChart>
      <c:catAx>
        <c:axId val="826393468"/>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838224571"/>
      </c:catAx>
      <c:valAx>
        <c:axId val="838224571"/>
        <c:scaling>
          <c:orientation val="minMax"/>
          <c:max val="0.2"/>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1" sz="1800">
                    <a:solidFill>
                      <a:srgbClr val="FF0000"/>
                    </a:solidFill>
                    <a:latin typeface="+mn-lt"/>
                  </a:defRPr>
                </a:pPr>
                <a:r>
                  <a:rPr b="1" sz="1800">
                    <a:solidFill>
                      <a:srgbClr val="FF0000"/>
                    </a:solidFill>
                    <a:latin typeface="+mn-lt"/>
                  </a:rPr>
                  <a:t>Validator Issuance (Net)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26393468"/>
        <c:crosses val="max"/>
      </c:valAx>
    </c:plotArea>
    <c:plotVisOnly val="1"/>
  </c:chart>
  <c:spPr>
    <a:solidFill>
      <a:srgbClr val="D9D9D9"/>
    </a:solidFill>
  </c:spPr>
</c:chartSpace>
</file>

<file path=xl/charts/chart9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serif"/>
              </a:defRPr>
            </a:pPr>
            <a:r>
              <a:rPr b="1">
                <a:solidFill>
                  <a:srgbClr val="000000"/>
                </a:solidFill>
                <a:latin typeface="serif"/>
              </a:rPr>
              <a:t>Eth2 Network Issuance - Annualized</a:t>
            </a:r>
          </a:p>
        </c:rich>
      </c:tx>
      <c:overlay val="0"/>
    </c:title>
    <c:plotArea>
      <c:layout/>
      <c:lineChart>
        <c:varyColors val="0"/>
        <c:ser>
          <c:idx val="0"/>
          <c:order val="0"/>
          <c:spPr>
            <a:ln cmpd="sng">
              <a:solidFill>
                <a:srgbClr val="990000"/>
              </a:solidFill>
            </a:ln>
          </c:spPr>
          <c:marker>
            <c:symbol val="none"/>
          </c:marker>
          <c:dPt>
            <c:idx val="0"/>
            <c:marker>
              <c:symbol val="none"/>
            </c:marker>
          </c:dPt>
          <c:dPt>
            <c:idx val="5"/>
            <c:marker>
              <c:symbol val="none"/>
            </c:marker>
          </c:dPt>
          <c:dLbls>
            <c:numFmt formatCode="General" sourceLinked="1"/>
            <c:txPr>
              <a:bodyPr/>
              <a:lstStyle/>
              <a:p>
                <a:pPr lvl="0">
                  <a:defRPr b="1" sz="1400"/>
                </a:pPr>
              </a:p>
            </c:txPr>
            <c:showLegendKey val="0"/>
            <c:showVal val="1"/>
            <c:showCatName val="0"/>
            <c:showSerName val="0"/>
            <c:showPercent val="0"/>
            <c:showBubbleSize val="0"/>
          </c:dLbls>
          <c:cat>
            <c:strRef>
              <c:f>'Eth2 Calculator'!$AB$112:$AB$131</c:f>
            </c:strRef>
          </c:cat>
          <c:val>
            <c:numRef>
              <c:f>'Eth2 Calculator'!$AC$112:$AC$131</c:f>
              <c:numCache/>
            </c:numRef>
          </c:val>
          <c:smooth val="0"/>
        </c:ser>
        <c:axId val="1538186"/>
        <c:axId val="1283135774"/>
      </c:lineChart>
      <c:catAx>
        <c:axId val="1538186"/>
        <c:scaling>
          <c:orientation val="minMax"/>
        </c:scaling>
        <c:delete val="0"/>
        <c:axPos val="b"/>
        <c:title>
          <c:tx>
            <c:rich>
              <a:bodyPr/>
              <a:lstStyle/>
              <a:p>
                <a:pPr lvl="0">
                  <a:defRPr b="1" i="0" sz="2000">
                    <a:solidFill>
                      <a:srgbClr val="000000"/>
                    </a:solidFill>
                    <a:latin typeface="serif"/>
                  </a:defRPr>
                </a:pPr>
                <a:r>
                  <a:rPr b="1" i="0" sz="2000">
                    <a:solidFill>
                      <a:srgbClr val="000000"/>
                    </a:solidFill>
                    <a:latin typeface="serif"/>
                  </a:rPr>
                  <a:t>Total ETH Staked (Network)</a:t>
                </a:r>
              </a:p>
            </c:rich>
          </c:tx>
          <c:overlay val="0"/>
        </c:title>
        <c:numFmt formatCode="General" sourceLinked="1"/>
        <c:majorTickMark val="none"/>
        <c:minorTickMark val="none"/>
        <c:spPr/>
        <c:txPr>
          <a:bodyPr/>
          <a:lstStyle/>
          <a:p>
            <a:pPr lvl="0">
              <a:defRPr b="0">
                <a:solidFill>
                  <a:srgbClr val="000000"/>
                </a:solidFill>
                <a:latin typeface="serif"/>
              </a:defRPr>
            </a:pPr>
          </a:p>
        </c:txPr>
        <c:crossAx val="1283135774"/>
      </c:catAx>
      <c:valAx>
        <c:axId val="1283135774"/>
        <c:scaling>
          <c:orientation val="minMax"/>
          <c:max val="0.004"/>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0" sz="2000">
                    <a:solidFill>
                      <a:srgbClr val="990000"/>
                    </a:solidFill>
                    <a:latin typeface="serif"/>
                  </a:defRPr>
                </a:pPr>
                <a:r>
                  <a:rPr b="1" i="0" sz="2000">
                    <a:solidFill>
                      <a:srgbClr val="990000"/>
                    </a:solidFill>
                    <a:latin typeface="serif"/>
                  </a:rPr>
                  <a:t>Network Issuance %</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1538186"/>
      </c:valAx>
      <c:lineChart>
        <c:varyColors val="0"/>
        <c:ser>
          <c:idx val="1"/>
          <c:order val="1"/>
          <c:spPr>
            <a:ln cmpd="sng">
              <a:solidFill>
                <a:srgbClr val="674EA7"/>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'Eth2 Calculator'!$AB$112:$AB$131</c:f>
            </c:strRef>
          </c:cat>
          <c:val>
            <c:numRef>
              <c:f>'Eth2 Calculator'!$AM$112:$AM$131</c:f>
              <c:numCache/>
            </c:numRef>
          </c:val>
          <c:smooth val="0"/>
        </c:ser>
        <c:axId val="629757729"/>
        <c:axId val="297344959"/>
      </c:lineChart>
      <c:catAx>
        <c:axId val="629757729"/>
        <c:scaling>
          <c:orientation val="minMax"/>
        </c:scaling>
        <c:delete val="1"/>
        <c:axPos val="b"/>
        <c:numFmt formatCode="General" sourceLinked="1"/>
        <c:majorTickMark val="none"/>
        <c:minorTickMark val="none"/>
        <c:spPr/>
        <c:txPr>
          <a:bodyPr/>
          <a:lstStyle/>
          <a:p>
            <a:pPr lvl="0">
              <a:defRPr b="0">
                <a:solidFill>
                  <a:srgbClr val="000000"/>
                </a:solidFill>
                <a:latin typeface="serif"/>
              </a:defRPr>
            </a:pPr>
          </a:p>
        </c:txPr>
        <c:crossAx val="297344959"/>
      </c:catAx>
      <c:valAx>
        <c:axId val="297344959"/>
        <c:scaling>
          <c:orientation val="minMax"/>
          <c:max val="1550.0"/>
        </c:scaling>
        <c:delete val="0"/>
        <c:axPos val="r"/>
        <c:majorGridlines>
          <c:spPr>
            <a:ln>
              <a:solidFill>
                <a:srgbClr val="B7B7B7"/>
              </a:solidFill>
            </a:ln>
          </c:spPr>
        </c:majorGridlines>
        <c:minorGridlines>
          <c:spPr>
            <a:ln>
              <a:solidFill>
                <a:srgbClr val="434343"/>
              </a:solidFill>
            </a:ln>
          </c:spPr>
        </c:minorGridlines>
        <c:title>
          <c:tx>
            <c:rich>
              <a:bodyPr/>
              <a:lstStyle/>
              <a:p>
                <a:pPr lvl="0">
                  <a:defRPr b="1" i="0" sz="2000">
                    <a:solidFill>
                      <a:srgbClr val="674EA7"/>
                    </a:solidFill>
                    <a:latin typeface="serif"/>
                  </a:defRPr>
                </a:pPr>
                <a:r>
                  <a:rPr b="1" i="0" sz="2000">
                    <a:solidFill>
                      <a:srgbClr val="674EA7"/>
                    </a:solidFill>
                    <a:latin typeface="serif"/>
                  </a:rPr>
                  <a:t>Network Issuance ETH/Day</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629757729"/>
        <c:crosses val="max"/>
      </c:valAx>
    </c:plotArea>
    <c:plotVisOnly val="1"/>
  </c:chart>
  <c:spPr>
    <a:solidFill>
      <a:srgbClr val="D9D9D9"/>
    </a:solidFill>
  </c:spPr>
</c:chartSpace>
</file>

<file path=xl/charts/chart9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serif"/>
              </a:defRPr>
            </a:pPr>
            <a:r>
              <a:rPr b="1">
                <a:solidFill>
                  <a:srgbClr val="000000"/>
                </a:solidFill>
                <a:latin typeface="serif"/>
              </a:rPr>
              <a:t>Annualized Validator Economics</a:t>
            </a:r>
          </a:p>
        </c:rich>
      </c:tx>
      <c:overlay val="0"/>
    </c:title>
    <c:plotArea>
      <c:layout/>
      <c:lineChart>
        <c:varyColors val="0"/>
        <c:ser>
          <c:idx val="0"/>
          <c:order val="0"/>
          <c:spPr>
            <a:ln cmpd="sng">
              <a:solidFill>
                <a:srgbClr val="8E7CC3"/>
              </a:solidFill>
            </a:ln>
          </c:spPr>
          <c:marker>
            <c:symbol val="circle"/>
            <c:size val="7"/>
            <c:spPr>
              <a:solidFill>
                <a:srgbClr val="8E7CC3"/>
              </a:solidFill>
              <a:ln cmpd="sng">
                <a:solidFill>
                  <a:srgbClr val="8E7CC3"/>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'Eth2 Calculator V2'!$Y$195:$Y$214</c:f>
            </c:strRef>
          </c:cat>
          <c:val>
            <c:numRef>
              <c:f>'Eth2 Calculator V2'!$Z$195:$Z$214</c:f>
              <c:numCache/>
            </c:numRef>
          </c:val>
          <c:smooth val="0"/>
        </c:ser>
        <c:axId val="738955083"/>
        <c:axId val="843730461"/>
      </c:lineChart>
      <c:catAx>
        <c:axId val="738955083"/>
        <c:scaling>
          <c:orientation val="minMax"/>
        </c:scaling>
        <c:delete val="0"/>
        <c:axPos val="b"/>
        <c:title>
          <c:tx>
            <c:rich>
              <a:bodyPr/>
              <a:lstStyle/>
              <a:p>
                <a:pPr lvl="0">
                  <a:defRPr b="1" i="1" sz="2000">
                    <a:solidFill>
                      <a:srgbClr val="000000"/>
                    </a:solidFill>
                    <a:latin typeface="serif"/>
                  </a:defRPr>
                </a:pPr>
                <a:r>
                  <a:rPr b="1" i="1" sz="2000">
                    <a:solidFill>
                      <a:srgbClr val="000000"/>
                    </a:solidFill>
                    <a:latin typeface="serif"/>
                  </a:rPr>
                  <a:t>Total ETH Staked (Network)</a:t>
                </a:r>
              </a:p>
            </c:rich>
          </c:tx>
          <c:overlay val="0"/>
        </c:title>
        <c:numFmt formatCode="General" sourceLinked="1"/>
        <c:majorTickMark val="none"/>
        <c:minorTickMark val="none"/>
        <c:spPr/>
        <c:txPr>
          <a:bodyPr/>
          <a:lstStyle/>
          <a:p>
            <a:pPr lvl="0">
              <a:defRPr b="0">
                <a:solidFill>
                  <a:srgbClr val="000000"/>
                </a:solidFill>
                <a:latin typeface="serif"/>
              </a:defRPr>
            </a:pPr>
          </a:p>
        </c:txPr>
        <c:crossAx val="843730461"/>
      </c:catAx>
      <c:valAx>
        <c:axId val="843730461"/>
        <c:scaling>
          <c:orientation val="minMax"/>
          <c:max val="0.2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674EA7"/>
                    </a:solidFill>
                    <a:latin typeface="serif"/>
                  </a:defRPr>
                </a:pPr>
                <a:r>
                  <a:rPr b="1" i="1" sz="2000">
                    <a:solidFill>
                      <a:srgbClr val="674EA7"/>
                    </a:solidFill>
                    <a:latin typeface="serif"/>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738955083"/>
      </c:valAx>
    </c:plotArea>
    <c:plotVisOnly val="1"/>
  </c:chart>
  <c:spPr>
    <a:solidFill>
      <a:srgbClr val="D9D9D9"/>
    </a:solidFill>
  </c:spPr>
</c:chartSpace>
</file>

<file path=xl/charts/chart9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serif"/>
              </a:defRPr>
            </a:pPr>
            <a:r>
              <a:rPr b="1" sz="2000">
                <a:solidFill>
                  <a:srgbClr val="000000"/>
                </a:solidFill>
                <a:latin typeface="serif"/>
              </a:rPr>
              <a:t>Annualized Validator Rewards - 1MM ETH Staked</a:t>
            </a:r>
          </a:p>
        </c:rich>
      </c:tx>
      <c:layout>
        <c:manualLayout>
          <c:xMode val="edge"/>
          <c:yMode val="edge"/>
          <c:x val="0.027777777777777776"/>
          <c:y val="0.04991816693944354"/>
        </c:manualLayout>
      </c:layout>
      <c:overlay val="0"/>
    </c:title>
    <c:plotArea>
      <c:layout/>
      <c:lineChart>
        <c:varyColors val="0"/>
        <c:ser>
          <c:idx val="0"/>
          <c:order val="0"/>
          <c:tx>
            <c:strRef>
              <c:f>'Eth2 Calculator V2'!$BM$263</c:f>
            </c:strRef>
          </c:tx>
          <c:spPr>
            <a:ln cmpd="sng">
              <a:solidFill>
                <a:srgbClr val="6AA84F"/>
              </a:solidFill>
            </a:ln>
          </c:spPr>
          <c:marker>
            <c:symbol val="circle"/>
            <c:size val="7"/>
            <c:spPr>
              <a:solidFill>
                <a:srgbClr val="6AA84F"/>
              </a:solidFill>
              <a:ln cmpd="sng">
                <a:solidFill>
                  <a:srgbClr val="6AA84F"/>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'Eth2 Calculator V2'!$BN$261:$CA$261</c:f>
            </c:strRef>
          </c:cat>
          <c:val>
            <c:numRef>
              <c:f>'Eth2 Calculator V2'!$BN$263:$CA$263</c:f>
              <c:numCache/>
            </c:numRef>
          </c:val>
          <c:smooth val="0"/>
        </c:ser>
        <c:axId val="1972211118"/>
        <c:axId val="1026054148"/>
      </c:lineChart>
      <c:catAx>
        <c:axId val="1972211118"/>
        <c:scaling>
          <c:orientation val="minMax"/>
        </c:scaling>
        <c:delete val="0"/>
        <c:axPos val="b"/>
        <c:title>
          <c:tx>
            <c:rich>
              <a:bodyPr/>
              <a:lstStyle/>
              <a:p>
                <a:pPr lvl="0">
                  <a:defRPr b="1" i="1" sz="2000">
                    <a:solidFill>
                      <a:srgbClr val="000000"/>
                    </a:solidFill>
                    <a:latin typeface="serif"/>
                  </a:defRPr>
                </a:pPr>
                <a:r>
                  <a:rPr b="1" i="1" sz="2000">
                    <a:solidFill>
                      <a:srgbClr val="000000"/>
                    </a:solidFill>
                    <a:latin typeface="serif"/>
                  </a:rPr>
                  <a:t>Validators Run</a:t>
                </a:r>
              </a:p>
            </c:rich>
          </c:tx>
          <c:overlay val="0"/>
        </c:title>
        <c:numFmt formatCode="General" sourceLinked="1"/>
        <c:majorTickMark val="none"/>
        <c:minorTickMark val="none"/>
        <c:spPr/>
        <c:txPr>
          <a:bodyPr/>
          <a:lstStyle/>
          <a:p>
            <a:pPr lvl="0">
              <a:defRPr b="0">
                <a:solidFill>
                  <a:srgbClr val="000000"/>
                </a:solidFill>
                <a:latin typeface="serif"/>
              </a:defRPr>
            </a:pPr>
          </a:p>
        </c:txPr>
        <c:crossAx val="1026054148"/>
      </c:catAx>
      <c:valAx>
        <c:axId val="1026054148"/>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6AA84F"/>
                    </a:solidFill>
                    <a:latin typeface="serif"/>
                  </a:defRPr>
                </a:pPr>
                <a:r>
                  <a:rPr b="1" i="1" sz="2000">
                    <a:solidFill>
                      <a:srgbClr val="6AA84F"/>
                    </a:solidFill>
                    <a:latin typeface="serif"/>
                  </a:rPr>
                  <a:t>Net Validator Issuance</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1972211118"/>
      </c:valAx>
    </c:plotArea>
    <c:legend>
      <c:legendPos val="r"/>
      <c:overlay val="0"/>
      <c:txPr>
        <a:bodyPr/>
        <a:lstStyle/>
        <a:p>
          <a:pPr lvl="0">
            <a:defRPr b="0">
              <a:solidFill>
                <a:srgbClr val="1A1A1A"/>
              </a:solidFill>
              <a:latin typeface="serif"/>
            </a:defRPr>
          </a:pPr>
        </a:p>
      </c:txPr>
    </c:legend>
    <c:plotVisOnly val="1"/>
  </c:chart>
  <c:spPr>
    <a:solidFill>
      <a:srgbClr val="D9D9D9"/>
    </a:solidFill>
  </c:spPr>
</c:chartSpace>
</file>

<file path=xl/charts/chart9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serif"/>
              </a:defRPr>
            </a:pPr>
            <a:r>
              <a:rPr b="1">
                <a:solidFill>
                  <a:srgbClr val="000000"/>
                </a:solidFill>
                <a:latin typeface="serif"/>
              </a:rPr>
              <a:t>Net Validator Economics (Cloud)</a:t>
            </a:r>
          </a:p>
        </c:rich>
      </c:tx>
      <c:overlay val="0"/>
    </c:title>
    <c:plotArea>
      <c:layout/>
      <c:lineChart>
        <c:varyColors val="0"/>
        <c:ser>
          <c:idx val="0"/>
          <c:order val="0"/>
          <c:spPr>
            <a:ln cmpd="sng">
              <a:solidFill>
                <a:srgbClr val="CC0000"/>
              </a:solidFill>
            </a:ln>
          </c:spPr>
          <c:marker>
            <c:symbol val="circle"/>
            <c:size val="7"/>
            <c:spPr>
              <a:solidFill>
                <a:srgbClr val="CC0000"/>
              </a:solidFill>
              <a:ln cmpd="sng">
                <a:solidFill>
                  <a:srgbClr val="CC0000"/>
                </a:solidFill>
              </a:ln>
            </c:spPr>
          </c:marker>
          <c:dPt>
            <c:idx val="0"/>
            <c:marker>
              <c:symbol val="none"/>
            </c:marker>
          </c:dPt>
          <c:dPt>
            <c:idx val="5"/>
            <c:marker>
              <c:symbol val="none"/>
            </c:marker>
          </c:dPt>
          <c:dPt>
            <c:idx val="10"/>
            <c:marker>
              <c:symbol val="circle"/>
              <c:size val="7"/>
              <c:spPr>
                <a:solidFill>
                  <a:srgbClr val="CC0000"/>
                </a:solidFill>
                <a:ln cmpd="sng">
                  <a:solidFill>
                    <a:srgbClr val="CC0000"/>
                  </a:solidFill>
                </a:ln>
              </c:spPr>
            </c:marker>
          </c:dPt>
          <c:dLbls>
            <c:numFmt formatCode="General" sourceLinked="1"/>
            <c:txPr>
              <a:bodyPr/>
              <a:lstStyle/>
              <a:p>
                <a:pPr lvl="0">
                  <a:defRPr b="0" sz="1400"/>
                </a:pPr>
              </a:p>
            </c:txPr>
            <c:showLegendKey val="0"/>
            <c:showVal val="1"/>
            <c:showCatName val="0"/>
            <c:showSerName val="0"/>
            <c:showPercent val="0"/>
            <c:showBubbleSize val="0"/>
          </c:dLbls>
          <c:cat>
            <c:strRef>
              <c:f>'Eth2 Calculator V2'!$AI$329:$AI$348</c:f>
            </c:strRef>
          </c:cat>
          <c:val>
            <c:numRef>
              <c:f>'Eth2 Calculator V2'!$Z$330:$Z$349</c:f>
              <c:numCache/>
            </c:numRef>
          </c:val>
          <c:smooth val="0"/>
        </c:ser>
        <c:axId val="1632841030"/>
        <c:axId val="1584201929"/>
      </c:lineChart>
      <c:catAx>
        <c:axId val="1632841030"/>
        <c:scaling>
          <c:orientation val="minMax"/>
        </c:scaling>
        <c:delete val="0"/>
        <c:axPos val="b"/>
        <c:title>
          <c:tx>
            <c:rich>
              <a:bodyPr/>
              <a:lstStyle/>
              <a:p>
                <a:pPr lvl="0">
                  <a:defRPr b="1" i="1" sz="2000">
                    <a:solidFill>
                      <a:srgbClr val="000000"/>
                    </a:solidFill>
                    <a:latin typeface="serif"/>
                  </a:defRPr>
                </a:pPr>
                <a:r>
                  <a:rPr b="1" i="1" sz="2000">
                    <a:solidFill>
                      <a:srgbClr val="000000"/>
                    </a:solidFill>
                    <a:latin typeface="serif"/>
                  </a:rPr>
                  <a:t>Total ETH Staked (Network)</a:t>
                </a:r>
              </a:p>
            </c:rich>
          </c:tx>
          <c:overlay val="0"/>
        </c:title>
        <c:numFmt formatCode="General" sourceLinked="1"/>
        <c:majorTickMark val="none"/>
        <c:minorTickMark val="none"/>
        <c:spPr/>
        <c:txPr>
          <a:bodyPr/>
          <a:lstStyle/>
          <a:p>
            <a:pPr lvl="0">
              <a:defRPr b="0">
                <a:solidFill>
                  <a:srgbClr val="000000"/>
                </a:solidFill>
                <a:latin typeface="serif"/>
              </a:defRPr>
            </a:pPr>
          </a:p>
        </c:txPr>
        <c:crossAx val="1584201929"/>
      </c:catAx>
      <c:valAx>
        <c:axId val="1584201929"/>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CC0000"/>
                    </a:solidFill>
                    <a:latin typeface="serif"/>
                  </a:defRPr>
                </a:pPr>
                <a:r>
                  <a:rPr b="1" i="1" sz="2000">
                    <a:solidFill>
                      <a:srgbClr val="CC0000"/>
                    </a:solidFill>
                    <a:latin typeface="serif"/>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1632841030"/>
      </c:valAx>
    </c:plotArea>
    <c:plotVisOnly val="1"/>
  </c:chart>
  <c:spPr>
    <a:solidFill>
      <a:srgbClr val="D9D9D9"/>
    </a:solidFill>
  </c:spPr>
</c:chartSpace>
</file>

<file path=xl/charts/chart9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serif"/>
              </a:defRPr>
            </a:pPr>
            <a:r>
              <a:rPr b="1" sz="2000">
                <a:solidFill>
                  <a:srgbClr val="000000"/>
                </a:solidFill>
                <a:latin typeface="serif"/>
              </a:rPr>
              <a:t>Annualized Validator Rewards - 2MM ETH Staked</a:t>
            </a:r>
          </a:p>
        </c:rich>
      </c:tx>
      <c:layout>
        <c:manualLayout>
          <c:xMode val="edge"/>
          <c:yMode val="edge"/>
          <c:x val="0.02871939736346516"/>
          <c:y val="0.05155482815057283"/>
        </c:manualLayout>
      </c:layout>
      <c:overlay val="0"/>
    </c:title>
    <c:plotArea>
      <c:layout/>
      <c:lineChart>
        <c:varyColors val="0"/>
        <c:ser>
          <c:idx val="0"/>
          <c:order val="0"/>
          <c:tx>
            <c:strRef>
              <c:f>'Eth2 Calculator V2'!$BO$331</c:f>
            </c:strRef>
          </c:tx>
          <c:spPr>
            <a:ln cmpd="sng">
              <a:solidFill>
                <a:srgbClr val="CC0000"/>
              </a:solidFill>
            </a:ln>
          </c:spPr>
          <c:marker>
            <c:symbol val="circle"/>
            <c:size val="7"/>
            <c:spPr>
              <a:solidFill>
                <a:srgbClr val="CC0000"/>
              </a:solidFill>
              <a:ln cmpd="sng">
                <a:solidFill>
                  <a:srgbClr val="CC0000"/>
                </a:solidFill>
              </a:ln>
            </c:spPr>
          </c:marker>
          <c:dPt>
            <c:idx val="0"/>
            <c:marker>
              <c:symbol val="none"/>
            </c:marker>
          </c:dPt>
          <c:dPt>
            <c:idx val="13"/>
            <c:marker>
              <c:symbol val="none"/>
            </c:marker>
          </c:dPt>
          <c:dLbls>
            <c:numFmt formatCode="General" sourceLinked="1"/>
            <c:txPr>
              <a:bodyPr/>
              <a:lstStyle/>
              <a:p>
                <a:pPr lvl="0">
                  <a:defRPr b="0"/>
                </a:pPr>
              </a:p>
            </c:txPr>
            <c:showLegendKey val="0"/>
            <c:showVal val="1"/>
            <c:showCatName val="0"/>
            <c:showSerName val="0"/>
            <c:showPercent val="0"/>
            <c:showBubbleSize val="0"/>
          </c:dLbls>
          <c:cat>
            <c:strRef>
              <c:f>'Eth2 Calculator V2'!$BP$329:$CC$329</c:f>
            </c:strRef>
          </c:cat>
          <c:val>
            <c:numRef>
              <c:f>'Eth2 Calculator V2'!$BP$331:$CC$331</c:f>
              <c:numCache/>
            </c:numRef>
          </c:val>
          <c:smooth val="0"/>
        </c:ser>
        <c:axId val="117659269"/>
        <c:axId val="2028360600"/>
      </c:lineChart>
      <c:catAx>
        <c:axId val="117659269"/>
        <c:scaling>
          <c:orientation val="minMax"/>
        </c:scaling>
        <c:delete val="0"/>
        <c:axPos val="b"/>
        <c:title>
          <c:tx>
            <c:rich>
              <a:bodyPr/>
              <a:lstStyle/>
              <a:p>
                <a:pPr lvl="0">
                  <a:defRPr b="1" i="1" sz="2000">
                    <a:solidFill>
                      <a:srgbClr val="000000"/>
                    </a:solidFill>
                    <a:latin typeface="serif"/>
                  </a:defRPr>
                </a:pPr>
                <a:r>
                  <a:rPr b="1" i="1" sz="2000">
                    <a:solidFill>
                      <a:srgbClr val="000000"/>
                    </a:solidFill>
                    <a:latin typeface="serif"/>
                  </a:rPr>
                  <a:t>Validators Run</a:t>
                </a:r>
              </a:p>
            </c:rich>
          </c:tx>
          <c:overlay val="0"/>
        </c:title>
        <c:numFmt formatCode="General" sourceLinked="1"/>
        <c:majorTickMark val="none"/>
        <c:minorTickMark val="none"/>
        <c:spPr/>
        <c:txPr>
          <a:bodyPr/>
          <a:lstStyle/>
          <a:p>
            <a:pPr lvl="0">
              <a:defRPr b="0">
                <a:solidFill>
                  <a:srgbClr val="000000"/>
                </a:solidFill>
                <a:latin typeface="serif"/>
              </a:defRPr>
            </a:pPr>
          </a:p>
        </c:txPr>
        <c:crossAx val="2028360600"/>
      </c:catAx>
      <c:valAx>
        <c:axId val="2028360600"/>
        <c:scaling>
          <c:orientation val="minMax"/>
          <c:max val="0.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CC0000"/>
                    </a:solidFill>
                    <a:latin typeface="serif"/>
                  </a:defRPr>
                </a:pPr>
                <a:r>
                  <a:rPr b="1" i="1" sz="2000">
                    <a:solidFill>
                      <a:srgbClr val="CC0000"/>
                    </a:solidFill>
                    <a:latin typeface="serif"/>
                  </a:rPr>
                  <a:t>Net Validator Issuance</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117659269"/>
      </c:valAx>
    </c:plotArea>
    <c:legend>
      <c:legendPos val="r"/>
      <c:overlay val="0"/>
      <c:txPr>
        <a:bodyPr/>
        <a:lstStyle/>
        <a:p>
          <a:pPr lvl="0">
            <a:defRPr b="0">
              <a:solidFill>
                <a:srgbClr val="1A1A1A"/>
              </a:solidFill>
              <a:latin typeface="serif"/>
            </a:defRPr>
          </a:pPr>
        </a:p>
      </c:txPr>
    </c:legend>
    <c:plotVisOnly val="1"/>
  </c:chart>
  <c:spPr>
    <a:solidFill>
      <a:srgbClr val="D9D9D9"/>
    </a:solidFill>
  </c:spPr>
</c:chartSpace>
</file>

<file path=xl/charts/chart9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serif"/>
              </a:defRPr>
            </a:pPr>
            <a:r>
              <a:rPr b="1">
                <a:solidFill>
                  <a:srgbClr val="000000"/>
                </a:solidFill>
                <a:latin typeface="serif"/>
              </a:rPr>
              <a:t>Annualized Validator Rewards (Hardware)</a:t>
            </a:r>
          </a:p>
        </c:rich>
      </c:tx>
      <c:overlay val="0"/>
    </c:title>
    <c:plotArea>
      <c:layout/>
      <c:lineChart>
        <c:varyColors val="0"/>
        <c:ser>
          <c:idx val="0"/>
          <c:order val="0"/>
          <c:spPr>
            <a:ln cmpd="sng">
              <a:solidFill>
                <a:srgbClr val="6AA84F"/>
              </a:solidFill>
            </a:ln>
          </c:spPr>
          <c:marker>
            <c:symbol val="circle"/>
            <c:size val="7"/>
            <c:spPr>
              <a:solidFill>
                <a:srgbClr val="6AA84F"/>
              </a:solidFill>
              <a:ln cmpd="sng">
                <a:solidFill>
                  <a:srgbClr val="6AA84F"/>
                </a:solidFill>
              </a:ln>
            </c:spPr>
          </c:marker>
          <c:dPt>
            <c:idx val="0"/>
            <c:marker>
              <c:symbol val="none"/>
            </c:marker>
          </c:dPt>
          <c:dPt>
            <c:idx val="5"/>
            <c:marker>
              <c:symbol val="none"/>
            </c:marker>
          </c:dPt>
          <c:dPt>
            <c:idx val="18"/>
            <c:marker>
              <c:symbol val="circle"/>
              <c:size val="7"/>
              <c:spPr>
                <a:solidFill>
                  <a:srgbClr val="6AA84F"/>
                </a:solidFill>
                <a:ln cmpd="sng">
                  <a:solidFill>
                    <a:srgbClr val="6AA84F"/>
                  </a:solidFill>
                </a:ln>
              </c:spPr>
            </c:marker>
          </c:dPt>
          <c:dPt>
            <c:idx val="19"/>
            <c:marker>
              <c:symbol val="circle"/>
              <c:size val="7"/>
              <c:spPr>
                <a:solidFill>
                  <a:srgbClr val="6AA84F"/>
                </a:solidFill>
                <a:ln cmpd="sng">
                  <a:solidFill>
                    <a:srgbClr val="6AA84F"/>
                  </a:solidFill>
                </a:ln>
              </c:spPr>
            </c:marker>
          </c:dPt>
          <c:dLbls>
            <c:dLbl>
              <c:idx val="18"/>
              <c:numFmt formatCode="General" sourceLinked="1"/>
              <c:txPr>
                <a:bodyPr/>
                <a:lstStyle/>
                <a:p>
                  <a:pPr lvl="0">
                    <a:defRPr>
                      <a:solidFill>
                        <a:srgbClr val="6AA84F"/>
                      </a:solidFill>
                    </a:defRPr>
                  </a:pPr>
                </a:p>
              </c:txPr>
              <c:showLegendKey val="0"/>
              <c:showVal val="1"/>
              <c:showCatName val="0"/>
              <c:showSerName val="0"/>
              <c:showPercent val="0"/>
              <c:showBubbleSize val="0"/>
            </c:dLbl>
            <c:dLbl>
              <c:idx val="19"/>
              <c:numFmt formatCode="General" sourceLinked="1"/>
              <c:txPr>
                <a:bodyPr/>
                <a:lstStyle/>
                <a:p>
                  <a:pPr lvl="0">
                    <a:defRPr>
                      <a:solidFill>
                        <a:srgbClr val="6AA84F"/>
                      </a:solidFill>
                    </a:defRPr>
                  </a:pPr>
                </a:p>
              </c:txPr>
              <c:showLegendKey val="0"/>
              <c:showVal val="1"/>
              <c:showCatName val="0"/>
              <c:showSerName val="0"/>
              <c:showPercent val="0"/>
              <c:showBubbleSize val="0"/>
            </c:dLbl>
            <c:numFmt formatCode="General" sourceLinked="1"/>
            <c:txPr>
              <a:bodyPr/>
              <a:lstStyle/>
              <a:p>
                <a:pPr lvl="0">
                  <a:defRPr b="0" sz="1600"/>
                </a:pPr>
              </a:p>
            </c:txPr>
            <c:showLegendKey val="0"/>
            <c:showVal val="1"/>
            <c:showCatName val="0"/>
            <c:showSerName val="0"/>
            <c:showPercent val="0"/>
            <c:showBubbleSize val="0"/>
          </c:dLbls>
          <c:cat>
            <c:strRef>
              <c:f>'Eth2 Calculator V2'!$AI$261:$AI$280</c:f>
            </c:strRef>
          </c:cat>
          <c:val>
            <c:numRef>
              <c:f>'Eth2 Calculator V2'!$Z$262:$Z$281</c:f>
              <c:numCache/>
            </c:numRef>
          </c:val>
          <c:smooth val="0"/>
        </c:ser>
        <c:axId val="1131808102"/>
        <c:axId val="510018396"/>
      </c:lineChart>
      <c:catAx>
        <c:axId val="1131808102"/>
        <c:scaling>
          <c:orientation val="minMax"/>
        </c:scaling>
        <c:delete val="0"/>
        <c:axPos val="b"/>
        <c:title>
          <c:tx>
            <c:rich>
              <a:bodyPr/>
              <a:lstStyle/>
              <a:p>
                <a:pPr lvl="0">
                  <a:defRPr b="1" i="1" sz="2000">
                    <a:solidFill>
                      <a:srgbClr val="000000"/>
                    </a:solidFill>
                    <a:latin typeface="serif"/>
                  </a:defRPr>
                </a:pPr>
                <a:r>
                  <a:rPr b="1" i="1" sz="2000">
                    <a:solidFill>
                      <a:srgbClr val="000000"/>
                    </a:solidFill>
                    <a:latin typeface="serif"/>
                  </a:rPr>
                  <a:t>Total ETH Staked (Network)</a:t>
                </a:r>
              </a:p>
            </c:rich>
          </c:tx>
          <c:overlay val="0"/>
        </c:title>
        <c:numFmt formatCode="General" sourceLinked="1"/>
        <c:majorTickMark val="none"/>
        <c:minorTickMark val="none"/>
        <c:spPr/>
        <c:txPr>
          <a:bodyPr/>
          <a:lstStyle/>
          <a:p>
            <a:pPr lvl="0">
              <a:defRPr b="0">
                <a:solidFill>
                  <a:srgbClr val="000000"/>
                </a:solidFill>
                <a:latin typeface="serif"/>
              </a:defRPr>
            </a:pPr>
          </a:p>
        </c:txPr>
        <c:crossAx val="510018396"/>
      </c:catAx>
      <c:valAx>
        <c:axId val="510018396"/>
        <c:scaling>
          <c:orientation val="minMax"/>
          <c:max val="0.2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6AA84F"/>
                    </a:solidFill>
                    <a:latin typeface="serif"/>
                  </a:defRPr>
                </a:pPr>
                <a:r>
                  <a:rPr b="1" i="1" sz="2000">
                    <a:solidFill>
                      <a:srgbClr val="6AA84F"/>
                    </a:solidFill>
                    <a:latin typeface="serif"/>
                  </a:rPr>
                  <a:t> Net 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1131808102"/>
      </c:valAx>
    </c:plotArea>
    <c:plotVisOnly val="1"/>
  </c:chart>
  <c:spPr>
    <a:solidFill>
      <a:srgbClr val="D9D9D9"/>
    </a:solidFill>
  </c:spPr>
</c:chartSpace>
</file>

<file path=xl/charts/chart9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serif"/>
              </a:defRPr>
            </a:pPr>
            <a:r>
              <a:rPr b="1">
                <a:solidFill>
                  <a:srgbClr val="000000"/>
                </a:solidFill>
                <a:latin typeface="serif"/>
              </a:rPr>
              <a:t>Annualized Validator Economics (2MM ETH Staked)</a:t>
            </a:r>
          </a:p>
        </c:rich>
      </c:tx>
      <c:overlay val="0"/>
    </c:title>
    <c:plotArea>
      <c:layout/>
      <c:lineChart>
        <c:varyColors val="0"/>
        <c:ser>
          <c:idx val="0"/>
          <c:order val="0"/>
          <c:spPr>
            <a:ln cmpd="sng">
              <a:solidFill>
                <a:srgbClr val="8E7CC3"/>
              </a:solidFill>
            </a:ln>
          </c:spPr>
          <c:marker>
            <c:symbol val="circle"/>
            <c:size val="7"/>
            <c:spPr>
              <a:solidFill>
                <a:srgbClr val="8E7CC3"/>
              </a:solidFill>
              <a:ln cmpd="sng">
                <a:solidFill>
                  <a:srgbClr val="8E7CC3"/>
                </a:solidFill>
              </a:ln>
            </c:spPr>
          </c:marker>
          <c:dPt>
            <c:idx val="0"/>
            <c:marker>
              <c:symbol val="none"/>
            </c:marker>
          </c:dPt>
          <c:dPt>
            <c:idx val="5"/>
            <c:marker>
              <c:symbol val="none"/>
            </c:marker>
          </c:dPt>
          <c:dLbls>
            <c:numFmt formatCode="General" sourceLinked="1"/>
            <c:txPr>
              <a:bodyPr/>
              <a:lstStyle/>
              <a:p>
                <a:pPr lvl="0">
                  <a:defRPr b="1" sz="1600"/>
                </a:pPr>
              </a:p>
            </c:txPr>
            <c:showLegendKey val="0"/>
            <c:showVal val="1"/>
            <c:showCatName val="0"/>
            <c:showSerName val="0"/>
            <c:showPercent val="0"/>
            <c:showBubbleSize val="0"/>
          </c:dLbls>
          <c:cat>
            <c:strRef>
              <c:f>'Eth2 Calculator V2'!$AW$196:$AW$205</c:f>
            </c:strRef>
          </c:cat>
          <c:val>
            <c:numRef>
              <c:f>'Eth2 Calculator V2'!$AX$196:$AX$205</c:f>
              <c:numCache/>
            </c:numRef>
          </c:val>
          <c:smooth val="0"/>
        </c:ser>
        <c:axId val="99305628"/>
        <c:axId val="2077019611"/>
      </c:lineChart>
      <c:catAx>
        <c:axId val="99305628"/>
        <c:scaling>
          <c:orientation val="minMax"/>
        </c:scaling>
        <c:delete val="0"/>
        <c:axPos val="b"/>
        <c:title>
          <c:tx>
            <c:rich>
              <a:bodyPr/>
              <a:lstStyle/>
              <a:p>
                <a:pPr lvl="0">
                  <a:defRPr b="1" i="1" sz="2000">
                    <a:solidFill>
                      <a:srgbClr val="000000"/>
                    </a:solidFill>
                    <a:latin typeface="serif"/>
                  </a:defRPr>
                </a:pPr>
                <a:r>
                  <a:rPr b="1" i="1" sz="2000">
                    <a:solidFill>
                      <a:srgbClr val="000000"/>
                    </a:solidFill>
                    <a:latin typeface="serif"/>
                  </a:rPr>
                  <a:t>Average Network % Online</a:t>
                </a:r>
              </a:p>
            </c:rich>
          </c:tx>
          <c:overlay val="0"/>
        </c:title>
        <c:numFmt formatCode="General" sourceLinked="1"/>
        <c:majorTickMark val="none"/>
        <c:minorTickMark val="none"/>
        <c:spPr/>
        <c:txPr>
          <a:bodyPr/>
          <a:lstStyle/>
          <a:p>
            <a:pPr lvl="0">
              <a:defRPr b="0">
                <a:solidFill>
                  <a:srgbClr val="000000"/>
                </a:solidFill>
                <a:latin typeface="serif"/>
              </a:defRPr>
            </a:pPr>
          </a:p>
        </c:txPr>
        <c:crossAx val="2077019611"/>
      </c:catAx>
      <c:valAx>
        <c:axId val="2077019611"/>
        <c:scaling>
          <c:orientation val="minMax"/>
          <c:max val="0.1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8E7CC3"/>
                    </a:solidFill>
                    <a:latin typeface="serif"/>
                  </a:defRPr>
                </a:pPr>
                <a:r>
                  <a:rPr b="1" i="1" sz="2000">
                    <a:solidFill>
                      <a:srgbClr val="8E7CC3"/>
                    </a:solidFill>
                    <a:latin typeface="serif"/>
                  </a:rPr>
                  <a:t>Validator Issuance </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99305628"/>
      </c:valAx>
    </c:plotArea>
    <c:plotVisOnly val="1"/>
  </c:chart>
  <c:spPr>
    <a:solidFill>
      <a:srgbClr val="D9D9D9"/>
    </a:solidFill>
  </c:spPr>
</c:chartSpace>
</file>

<file path=xl/charts/chart9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serif"/>
              </a:defRPr>
            </a:pPr>
            <a:r>
              <a:rPr b="1">
                <a:solidFill>
                  <a:srgbClr val="000000"/>
                </a:solidFill>
                <a:latin typeface="serif"/>
              </a:rPr>
              <a:t>Validator Economics (32 ETH) - Genesis to 10MM ETH Staked</a:t>
            </a:r>
          </a:p>
        </c:rich>
      </c:tx>
      <c:layout>
        <c:manualLayout>
          <c:xMode val="edge"/>
          <c:yMode val="edge"/>
          <c:x val="0.027314814814814816"/>
          <c:y val="0.051694915254237285"/>
        </c:manualLayout>
      </c:layout>
      <c:overlay val="0"/>
    </c:title>
    <c:plotArea>
      <c:layout/>
      <c:lineChart>
        <c:ser>
          <c:idx val="0"/>
          <c:order val="0"/>
          <c:spPr>
            <a:ln cmpd="sng">
              <a:solidFill>
                <a:srgbClr val="8E7CC3"/>
              </a:solidFill>
              <a:prstDash val="lgDash"/>
            </a:ln>
          </c:spPr>
          <c:marker>
            <c:symbol val="none"/>
          </c:marker>
          <c:dPt>
            <c:idx val="0"/>
            <c:marker>
              <c:symbol val="none"/>
            </c:marker>
          </c:dPt>
          <c:dPt>
            <c:idx val="5"/>
            <c:marker>
              <c:symbol val="none"/>
            </c:marker>
          </c:dPt>
          <c:dLbls>
            <c:numFmt formatCode="General" sourceLinked="1"/>
            <c:txPr>
              <a:bodyPr/>
              <a:lstStyle/>
              <a:p>
                <a:pPr lvl="0">
                  <a:defRPr b="1" i="0" sz="1400">
                    <a:latin typeface="serif"/>
                  </a:defRPr>
                </a:pPr>
              </a:p>
            </c:txPr>
            <c:showLegendKey val="0"/>
            <c:showVal val="1"/>
            <c:showCatName val="0"/>
            <c:showSerName val="0"/>
            <c:showPercent val="0"/>
            <c:showBubbleSize val="0"/>
          </c:dLbls>
          <c:cat>
            <c:strRef>
              <c:f>'Eth2 Calculator V2'!$Y$195:$Y$214</c:f>
            </c:strRef>
          </c:cat>
          <c:val>
            <c:numRef>
              <c:f>'Eth2 Calculator V2'!$Z$195:$Z$214</c:f>
              <c:numCache/>
            </c:numRef>
          </c:val>
          <c:smooth val="0"/>
        </c:ser>
        <c:ser>
          <c:idx val="1"/>
          <c:order val="1"/>
          <c:spPr>
            <a:ln cmpd="sng">
              <a:solidFill>
                <a:srgbClr val="38761D"/>
              </a:solidFill>
            </a:ln>
          </c:spPr>
          <c:marker>
            <c:symbol val="none"/>
          </c:marker>
          <c:dPt>
            <c:idx val="19"/>
            <c:marker>
              <c:symbol val="none"/>
            </c:marker>
          </c:dPt>
          <c:dLbls>
            <c:dLbl>
              <c:idx val="19"/>
              <c:numFmt formatCode="General" sourceLinked="1"/>
              <c:txPr>
                <a:bodyPr/>
                <a:lstStyle/>
                <a:p>
                  <a:pPr lvl="0">
                    <a:defRPr>
                      <a:solidFill>
                        <a:srgbClr val="38761D"/>
                      </a:solidFill>
                    </a:defRPr>
                  </a:pPr>
                </a:p>
              </c:txPr>
              <c:showLegendKey val="0"/>
              <c:showVal val="1"/>
              <c:showCatName val="0"/>
              <c:showSerName val="0"/>
              <c:showPercent val="0"/>
              <c:showBubbleSize val="0"/>
            </c:dLbl>
            <c:numFmt formatCode="General" sourceLinked="1"/>
            <c:txPr>
              <a:bodyPr/>
              <a:lstStyle/>
              <a:p>
                <a:pPr lvl="0">
                  <a:defRPr/>
                </a:pPr>
              </a:p>
            </c:txPr>
            <c:showLegendKey val="0"/>
            <c:showVal val="1"/>
            <c:showCatName val="0"/>
            <c:showSerName val="0"/>
            <c:showPercent val="0"/>
            <c:showBubbleSize val="0"/>
          </c:dLbls>
          <c:cat>
            <c:strRef>
              <c:f>'Eth2 Calculator V2'!$Y$195:$Y$214</c:f>
            </c:strRef>
          </c:cat>
          <c:val>
            <c:numRef>
              <c:f>'Eth2 Calculator V2'!$AR$261:$AR$280</c:f>
              <c:numCache/>
            </c:numRef>
          </c:val>
          <c:smooth val="0"/>
        </c:ser>
        <c:ser>
          <c:idx val="2"/>
          <c:order val="2"/>
          <c:spPr>
            <a:ln cmpd="sng">
              <a:solidFill>
                <a:srgbClr val="CC0000"/>
              </a:solidFill>
            </a:ln>
          </c:spPr>
          <c:marker>
            <c:symbol val="none"/>
          </c:marker>
          <c:dPt>
            <c:idx val="11"/>
            <c:marker>
              <c:symbol val="none"/>
            </c:marker>
          </c:dPt>
          <c:dPt>
            <c:idx val="12"/>
            <c:marker>
              <c:symbol val="none"/>
            </c:marker>
          </c:dPt>
          <c:dPt>
            <c:idx val="13"/>
            <c:marker>
              <c:symbol val="none"/>
            </c:marker>
          </c:dPt>
          <c:dPt>
            <c:idx val="14"/>
            <c:marker>
              <c:symbol val="none"/>
            </c:marker>
          </c:dPt>
          <c:dPt>
            <c:idx val="15"/>
            <c:marker>
              <c:symbol val="none"/>
            </c:marker>
          </c:dPt>
          <c:dPt>
            <c:idx val="16"/>
            <c:marker>
              <c:symbol val="none"/>
            </c:marker>
          </c:dPt>
          <c:dPt>
            <c:idx val="17"/>
            <c:marker>
              <c:symbol val="none"/>
            </c:marker>
          </c:dPt>
          <c:dPt>
            <c:idx val="18"/>
            <c:marker>
              <c:symbol val="none"/>
            </c:marker>
          </c:dPt>
          <c:dPt>
            <c:idx val="19"/>
            <c:marker>
              <c:symbol val="none"/>
            </c:marker>
          </c:dPt>
          <c:dLbls>
            <c:dLbl>
              <c:idx val="11"/>
              <c:numFmt formatCode="General" sourceLinked="1"/>
              <c:txPr>
                <a:bodyPr/>
                <a:lstStyle/>
                <a:p>
                  <a:pPr lvl="0">
                    <a:defRPr>
                      <a:solidFill>
                        <a:srgbClr val="CC0000"/>
                      </a:solidFill>
                    </a:defRPr>
                  </a:pPr>
                </a:p>
              </c:txPr>
              <c:showLegendKey val="0"/>
              <c:showVal val="1"/>
              <c:showCatName val="0"/>
              <c:showSerName val="0"/>
              <c:showPercent val="0"/>
              <c:showBubbleSize val="0"/>
            </c:dLbl>
            <c:dLbl>
              <c:idx val="12"/>
              <c:numFmt formatCode="General" sourceLinked="1"/>
              <c:txPr>
                <a:bodyPr/>
                <a:lstStyle/>
                <a:p>
                  <a:pPr lvl="0">
                    <a:defRPr>
                      <a:solidFill>
                        <a:srgbClr val="CC0000"/>
                      </a:solidFill>
                    </a:defRPr>
                  </a:pPr>
                </a:p>
              </c:txPr>
              <c:showLegendKey val="0"/>
              <c:showVal val="1"/>
              <c:showCatName val="0"/>
              <c:showSerName val="0"/>
              <c:showPercent val="0"/>
              <c:showBubbleSize val="0"/>
            </c:dLbl>
            <c:dLbl>
              <c:idx val="13"/>
              <c:numFmt formatCode="General" sourceLinked="1"/>
              <c:txPr>
                <a:bodyPr/>
                <a:lstStyle/>
                <a:p>
                  <a:pPr lvl="0">
                    <a:defRPr>
                      <a:solidFill>
                        <a:srgbClr val="CC0000"/>
                      </a:solidFill>
                    </a:defRPr>
                  </a:pPr>
                </a:p>
              </c:txPr>
              <c:showLegendKey val="0"/>
              <c:showVal val="1"/>
              <c:showCatName val="0"/>
              <c:showSerName val="0"/>
              <c:showPercent val="0"/>
              <c:showBubbleSize val="0"/>
            </c:dLbl>
            <c:dLbl>
              <c:idx val="14"/>
              <c:numFmt formatCode="General" sourceLinked="1"/>
              <c:txPr>
                <a:bodyPr/>
                <a:lstStyle/>
                <a:p>
                  <a:pPr lvl="0">
                    <a:defRPr>
                      <a:solidFill>
                        <a:srgbClr val="CC0000"/>
                      </a:solidFill>
                    </a:defRPr>
                  </a:pPr>
                </a:p>
              </c:txPr>
              <c:showLegendKey val="0"/>
              <c:showVal val="1"/>
              <c:showCatName val="0"/>
              <c:showSerName val="0"/>
              <c:showPercent val="0"/>
              <c:showBubbleSize val="0"/>
            </c:dLbl>
            <c:dLbl>
              <c:idx val="15"/>
              <c:numFmt formatCode="General" sourceLinked="1"/>
              <c:txPr>
                <a:bodyPr/>
                <a:lstStyle/>
                <a:p>
                  <a:pPr lvl="0">
                    <a:defRPr>
                      <a:solidFill>
                        <a:srgbClr val="CC0000"/>
                      </a:solidFill>
                    </a:defRPr>
                  </a:pPr>
                </a:p>
              </c:txPr>
              <c:showLegendKey val="0"/>
              <c:showVal val="1"/>
              <c:showCatName val="0"/>
              <c:showSerName val="0"/>
              <c:showPercent val="0"/>
              <c:showBubbleSize val="0"/>
            </c:dLbl>
            <c:dLbl>
              <c:idx val="16"/>
              <c:numFmt formatCode="General" sourceLinked="1"/>
              <c:txPr>
                <a:bodyPr/>
                <a:lstStyle/>
                <a:p>
                  <a:pPr lvl="0">
                    <a:defRPr>
                      <a:solidFill>
                        <a:srgbClr val="CC0000"/>
                      </a:solidFill>
                    </a:defRPr>
                  </a:pPr>
                </a:p>
              </c:txPr>
              <c:showLegendKey val="0"/>
              <c:showVal val="1"/>
              <c:showCatName val="0"/>
              <c:showSerName val="0"/>
              <c:showPercent val="0"/>
              <c:showBubbleSize val="0"/>
            </c:dLbl>
            <c:numFmt formatCode="General" sourceLinked="1"/>
            <c:txPr>
              <a:bodyPr/>
              <a:lstStyle/>
              <a:p>
                <a:pPr lvl="0">
                  <a:defRPr/>
                </a:pPr>
              </a:p>
            </c:txPr>
            <c:showLegendKey val="0"/>
            <c:showVal val="1"/>
            <c:showCatName val="0"/>
            <c:showSerName val="0"/>
            <c:showPercent val="0"/>
            <c:showBubbleSize val="0"/>
          </c:dLbls>
          <c:cat>
            <c:strRef>
              <c:f>'Eth2 Calculator V2'!$Y$195:$Y$214</c:f>
            </c:strRef>
          </c:cat>
          <c:val>
            <c:numRef>
              <c:f>'Eth2 Calculator V2'!$AR$329:$AR$348</c:f>
              <c:numCache/>
            </c:numRef>
          </c:val>
          <c:smooth val="0"/>
        </c:ser>
        <c:axId val="853134099"/>
        <c:axId val="1040398850"/>
      </c:lineChart>
      <c:catAx>
        <c:axId val="853134099"/>
        <c:scaling>
          <c:orientation val="minMax"/>
        </c:scaling>
        <c:delete val="0"/>
        <c:axPos val="b"/>
        <c:title>
          <c:tx>
            <c:rich>
              <a:bodyPr/>
              <a:lstStyle/>
              <a:p>
                <a:pPr lvl="0">
                  <a:defRPr b="1" i="1" sz="2000">
                    <a:solidFill>
                      <a:srgbClr val="000000"/>
                    </a:solidFill>
                    <a:latin typeface="serif"/>
                  </a:defRPr>
                </a:pPr>
                <a:r>
                  <a:rPr b="1" i="1" sz="2000">
                    <a:solidFill>
                      <a:srgbClr val="000000"/>
                    </a:solidFill>
                    <a:latin typeface="serif"/>
                  </a:rPr>
                  <a:t>Total ETH Staked (Network)</a:t>
                </a:r>
              </a:p>
            </c:rich>
          </c:tx>
          <c:overlay val="0"/>
        </c:title>
        <c:numFmt formatCode="General" sourceLinked="1"/>
        <c:majorTickMark val="none"/>
        <c:minorTickMark val="none"/>
        <c:spPr/>
        <c:txPr>
          <a:bodyPr/>
          <a:lstStyle/>
          <a:p>
            <a:pPr lvl="0">
              <a:defRPr b="0">
                <a:solidFill>
                  <a:srgbClr val="000000"/>
                </a:solidFill>
                <a:latin typeface="serif"/>
              </a:defRPr>
            </a:pPr>
          </a:p>
        </c:txPr>
        <c:crossAx val="1040398850"/>
      </c:catAx>
      <c:valAx>
        <c:axId val="1040398850"/>
        <c:scaling>
          <c:orientation val="minMax"/>
          <c:max val="0.2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0" sz="2000">
                    <a:solidFill>
                      <a:srgbClr val="000000"/>
                    </a:solidFill>
                    <a:latin typeface="serif"/>
                  </a:defRPr>
                </a:pPr>
                <a:r>
                  <a:rPr b="1" i="0" sz="2000">
                    <a:solidFill>
                      <a:srgbClr val="000000"/>
                    </a:solidFill>
                    <a:latin typeface="serif"/>
                  </a:rPr>
                  <a:t>Validator Rewards (Network, Hardware, Cloud)</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853134099"/>
      </c:valAx>
    </c:plotArea>
    <c:plotVisOnly val="1"/>
  </c:chart>
  <c:spPr>
    <a:solidFill>
      <a:srgbClr val="D9D9D9"/>
    </a:solidFill>
  </c:spPr>
</c:chartSpace>
</file>

<file path=xl/charts/chart9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serif"/>
              </a:defRPr>
            </a:pPr>
            <a:r>
              <a:rPr b="1">
                <a:solidFill>
                  <a:srgbClr val="000000"/>
                </a:solidFill>
                <a:latin typeface="serif"/>
              </a:rPr>
              <a:t>Eth2 Network Issuance - Annualized</a:t>
            </a:r>
          </a:p>
        </c:rich>
      </c:tx>
      <c:overlay val="0"/>
    </c:title>
    <c:plotArea>
      <c:layout/>
      <c:lineChart>
        <c:ser>
          <c:idx val="0"/>
          <c:order val="0"/>
          <c:spPr>
            <a:ln cmpd="sng">
              <a:solidFill>
                <a:srgbClr val="6AA84F"/>
              </a:solidFill>
            </a:ln>
          </c:spPr>
          <c:marker>
            <c:symbol val="none"/>
          </c:marker>
          <c:dPt>
            <c:idx val="0"/>
            <c:marker>
              <c:symbol val="none"/>
            </c:marker>
          </c:dPt>
          <c:dPt>
            <c:idx val="5"/>
            <c:marker>
              <c:symbol val="none"/>
            </c:marker>
          </c:dPt>
          <c:dLbls>
            <c:numFmt formatCode="General" sourceLinked="1"/>
            <c:txPr>
              <a:bodyPr/>
              <a:lstStyle/>
              <a:p>
                <a:pPr lvl="0">
                  <a:defRPr b="1" sz="1400">
                    <a:latin typeface="serif"/>
                  </a:defRPr>
                </a:pPr>
              </a:p>
            </c:txPr>
            <c:showLegendKey val="0"/>
            <c:showVal val="1"/>
            <c:showCatName val="0"/>
            <c:showSerName val="0"/>
            <c:showPercent val="0"/>
            <c:showBubbleSize val="0"/>
          </c:dLbls>
          <c:cat>
            <c:strRef>
              <c:f>'Eth2 Calculator V2'!$W$86:$W$116</c:f>
            </c:strRef>
          </c:cat>
          <c:val>
            <c:numRef>
              <c:f>'Eth2 Calculator V2'!$AC$121:$AC$150</c:f>
              <c:numCache/>
            </c:numRef>
          </c:val>
          <c:smooth val="0"/>
        </c:ser>
        <c:axId val="71719144"/>
        <c:axId val="115167498"/>
      </c:lineChart>
      <c:catAx>
        <c:axId val="71719144"/>
        <c:scaling>
          <c:orientation val="minMax"/>
        </c:scaling>
        <c:delete val="0"/>
        <c:axPos val="b"/>
        <c:title>
          <c:tx>
            <c:rich>
              <a:bodyPr/>
              <a:lstStyle/>
              <a:p>
                <a:pPr lvl="0">
                  <a:defRPr b="1" i="1" sz="2000">
                    <a:solidFill>
                      <a:srgbClr val="000000"/>
                    </a:solidFill>
                    <a:latin typeface="serif"/>
                  </a:defRPr>
                </a:pPr>
                <a:r>
                  <a:rPr b="1" i="1" sz="2000">
                    <a:solidFill>
                      <a:srgbClr val="000000"/>
                    </a:solidFill>
                    <a:latin typeface="serif"/>
                  </a:rPr>
                  <a:t>Total ETH Staked (Network)</a:t>
                </a:r>
              </a:p>
            </c:rich>
          </c:tx>
          <c:overlay val="0"/>
        </c:title>
        <c:numFmt formatCode="General" sourceLinked="1"/>
        <c:majorTickMark val="none"/>
        <c:minorTickMark val="none"/>
        <c:spPr/>
        <c:txPr>
          <a:bodyPr/>
          <a:lstStyle/>
          <a:p>
            <a:pPr lvl="0">
              <a:defRPr b="0">
                <a:solidFill>
                  <a:srgbClr val="000000"/>
                </a:solidFill>
                <a:latin typeface="serif"/>
              </a:defRPr>
            </a:pPr>
          </a:p>
        </c:txPr>
        <c:crossAx val="115167498"/>
      </c:catAx>
      <c:valAx>
        <c:axId val="115167498"/>
        <c:scaling>
          <c:orientation val="minMax"/>
          <c:max val="0.00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6AA84F"/>
                    </a:solidFill>
                    <a:latin typeface="serif"/>
                  </a:defRPr>
                </a:pPr>
                <a:r>
                  <a:rPr b="1" i="1" sz="2000">
                    <a:solidFill>
                      <a:srgbClr val="6AA84F"/>
                    </a:solidFill>
                    <a:latin typeface="serif"/>
                  </a:rPr>
                  <a:t>Network Issuance %</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71719144"/>
      </c:valAx>
    </c:plotArea>
    <c:plotVisOnly val="1"/>
  </c:chart>
  <c:spPr>
    <a:solidFill>
      <a:srgbClr val="D9D9D9"/>
    </a:solidFill>
  </c:spPr>
</c:chartSpace>
</file>

<file path=xl/charts/chart10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serif"/>
              </a:defRPr>
            </a:pPr>
            <a:r>
              <a:rPr b="1" sz="2000">
                <a:solidFill>
                  <a:srgbClr val="000000"/>
                </a:solidFill>
                <a:latin typeface="serif"/>
              </a:rPr>
              <a:t>Annualized Validator Income - 1MM ETH Staked</a:t>
            </a:r>
          </a:p>
        </c:rich>
      </c:tx>
      <c:layout>
        <c:manualLayout>
          <c:xMode val="edge"/>
          <c:yMode val="edge"/>
          <c:x val="0.02871939736346516"/>
          <c:y val="0.05310711157422165"/>
        </c:manualLayout>
      </c:layout>
      <c:overlay val="0"/>
    </c:title>
    <c:plotArea>
      <c:layout/>
      <c:lineChart>
        <c:varyColors val="0"/>
        <c:ser>
          <c:idx val="0"/>
          <c:order val="0"/>
          <c:tx>
            <c:strRef>
              <c:f>'Eth2 Calculator V2'!$AX$331</c:f>
            </c:strRef>
          </c:tx>
          <c:spPr>
            <a:ln cmpd="sng">
              <a:solidFill>
                <a:srgbClr val="CC0000"/>
              </a:solidFill>
            </a:ln>
          </c:spPr>
          <c:marker>
            <c:symbol val="circle"/>
            <c:size val="7"/>
            <c:spPr>
              <a:solidFill>
                <a:srgbClr val="CC0000"/>
              </a:solidFill>
              <a:ln cmpd="sng">
                <a:solidFill>
                  <a:srgbClr val="CC0000"/>
                </a:solidFill>
              </a:ln>
            </c:spPr>
          </c:marker>
          <c:dPt>
            <c:idx val="0"/>
            <c:marker>
              <c:symbol val="none"/>
            </c:marker>
          </c:dPt>
          <c:dPt>
            <c:idx val="13"/>
            <c:marker>
              <c:symbol val="none"/>
            </c:marker>
          </c:dPt>
          <c:dLbls>
            <c:numFmt formatCode="General" sourceLinked="1"/>
            <c:txPr>
              <a:bodyPr/>
              <a:lstStyle/>
              <a:p>
                <a:pPr lvl="0">
                  <a:defRPr b="0"/>
                </a:pPr>
              </a:p>
            </c:txPr>
            <c:showLegendKey val="0"/>
            <c:showVal val="1"/>
            <c:showCatName val="0"/>
            <c:showSerName val="0"/>
            <c:showPercent val="0"/>
            <c:showBubbleSize val="0"/>
          </c:dLbls>
          <c:cat>
            <c:strRef>
              <c:f>'Eth2 Calculator V2'!$BP$329:$CC$329</c:f>
            </c:strRef>
          </c:cat>
          <c:val>
            <c:numRef>
              <c:f>'Eth2 Calculator V2'!$AY$331:$BL$331</c:f>
              <c:numCache/>
            </c:numRef>
          </c:val>
          <c:smooth val="0"/>
        </c:ser>
        <c:axId val="67296372"/>
        <c:axId val="608686473"/>
      </c:lineChart>
      <c:catAx>
        <c:axId val="67296372"/>
        <c:scaling>
          <c:orientation val="minMax"/>
        </c:scaling>
        <c:delete val="0"/>
        <c:axPos val="b"/>
        <c:title>
          <c:tx>
            <c:rich>
              <a:bodyPr/>
              <a:lstStyle/>
              <a:p>
                <a:pPr lvl="0">
                  <a:defRPr b="1" i="1" sz="2000">
                    <a:solidFill>
                      <a:srgbClr val="000000"/>
                    </a:solidFill>
                    <a:latin typeface="serif"/>
                  </a:defRPr>
                </a:pPr>
                <a:r>
                  <a:rPr b="1" i="1" sz="2000">
                    <a:solidFill>
                      <a:srgbClr val="000000"/>
                    </a:solidFill>
                    <a:latin typeface="serif"/>
                  </a:rPr>
                  <a:t>Validators Run</a:t>
                </a:r>
              </a:p>
            </c:rich>
          </c:tx>
          <c:overlay val="0"/>
        </c:title>
        <c:numFmt formatCode="General" sourceLinked="1"/>
        <c:majorTickMark val="none"/>
        <c:minorTickMark val="none"/>
        <c:spPr/>
        <c:txPr>
          <a:bodyPr/>
          <a:lstStyle/>
          <a:p>
            <a:pPr lvl="0">
              <a:defRPr b="0">
                <a:solidFill>
                  <a:srgbClr val="000000"/>
                </a:solidFill>
                <a:latin typeface="serif"/>
              </a:defRPr>
            </a:pPr>
          </a:p>
        </c:txPr>
        <c:crossAx val="608686473"/>
      </c:catAx>
      <c:valAx>
        <c:axId val="608686473"/>
        <c:scaling>
          <c:orientation val="minMax"/>
          <c:max val="1.05E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CC0000"/>
                    </a:solidFill>
                    <a:latin typeface="serif"/>
                  </a:defRPr>
                </a:pPr>
                <a:r>
                  <a:rPr b="1" i="1" sz="2000">
                    <a:solidFill>
                      <a:srgbClr val="CC0000"/>
                    </a:solidFill>
                    <a:latin typeface="serif"/>
                  </a:rPr>
                  <a:t>Net Validator  Income</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67296372"/>
      </c:valAx>
    </c:plotArea>
    <c:legend>
      <c:legendPos val="r"/>
      <c:overlay val="0"/>
      <c:txPr>
        <a:bodyPr/>
        <a:lstStyle/>
        <a:p>
          <a:pPr lvl="0">
            <a:defRPr b="0">
              <a:solidFill>
                <a:srgbClr val="1A1A1A"/>
              </a:solidFill>
              <a:latin typeface="serif"/>
            </a:defRPr>
          </a:pPr>
        </a:p>
      </c:txPr>
    </c:legend>
    <c:plotVisOnly val="1"/>
  </c:chart>
  <c:spPr>
    <a:solidFill>
      <a:srgbClr val="D9D9D9"/>
    </a:solidFill>
  </c:spPr>
</c:chartSpace>
</file>

<file path=xl/charts/chart10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serif"/>
              </a:defRPr>
            </a:pPr>
            <a:r>
              <a:rPr b="1" sz="2000">
                <a:solidFill>
                  <a:srgbClr val="000000"/>
                </a:solidFill>
                <a:latin typeface="serif"/>
              </a:rPr>
              <a:t>Annualized Validator Income - 1MM ETH Staked</a:t>
            </a:r>
          </a:p>
        </c:rich>
      </c:tx>
      <c:layout>
        <c:manualLayout>
          <c:xMode val="edge"/>
          <c:yMode val="edge"/>
          <c:x val="0.027777777777777776"/>
          <c:y val="0.051528475131071595"/>
        </c:manualLayout>
      </c:layout>
      <c:overlay val="0"/>
    </c:title>
    <c:plotArea>
      <c:layout/>
      <c:lineChart>
        <c:varyColors val="0"/>
        <c:ser>
          <c:idx val="0"/>
          <c:order val="0"/>
          <c:tx>
            <c:strRef>
              <c:f>'Eth2 Calculator V2'!$AV$263</c:f>
            </c:strRef>
          </c:tx>
          <c:spPr>
            <a:ln cmpd="sng">
              <a:solidFill>
                <a:srgbClr val="6AA84F"/>
              </a:solidFill>
            </a:ln>
          </c:spPr>
          <c:marker>
            <c:symbol val="circle"/>
            <c:size val="7"/>
            <c:spPr>
              <a:solidFill>
                <a:srgbClr val="6AA84F"/>
              </a:solidFill>
              <a:ln cmpd="sng">
                <a:solidFill>
                  <a:srgbClr val="6AA84F"/>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'Eth2 Calculator V2'!$BN$261:$CA$261</c:f>
            </c:strRef>
          </c:cat>
          <c:val>
            <c:numRef>
              <c:f>'Eth2 Calculator V2'!$AW$263:$BJ$263</c:f>
              <c:numCache/>
            </c:numRef>
          </c:val>
          <c:smooth val="0"/>
        </c:ser>
        <c:axId val="660715477"/>
        <c:axId val="932589605"/>
      </c:lineChart>
      <c:catAx>
        <c:axId val="660715477"/>
        <c:scaling>
          <c:orientation val="minMax"/>
        </c:scaling>
        <c:delete val="0"/>
        <c:axPos val="b"/>
        <c:title>
          <c:tx>
            <c:rich>
              <a:bodyPr/>
              <a:lstStyle/>
              <a:p>
                <a:pPr lvl="0">
                  <a:defRPr b="1" i="1" sz="2000">
                    <a:solidFill>
                      <a:srgbClr val="000000"/>
                    </a:solidFill>
                    <a:latin typeface="serif"/>
                  </a:defRPr>
                </a:pPr>
                <a:r>
                  <a:rPr b="1" i="1" sz="2000">
                    <a:solidFill>
                      <a:srgbClr val="000000"/>
                    </a:solidFill>
                    <a:latin typeface="serif"/>
                  </a:rPr>
                  <a:t>Validators Run</a:t>
                </a:r>
              </a:p>
            </c:rich>
          </c:tx>
          <c:overlay val="0"/>
        </c:title>
        <c:numFmt formatCode="General" sourceLinked="1"/>
        <c:majorTickMark val="none"/>
        <c:minorTickMark val="none"/>
        <c:spPr/>
        <c:txPr>
          <a:bodyPr/>
          <a:lstStyle/>
          <a:p>
            <a:pPr lvl="0">
              <a:defRPr b="0">
                <a:solidFill>
                  <a:srgbClr val="000000"/>
                </a:solidFill>
                <a:latin typeface="serif"/>
              </a:defRPr>
            </a:pPr>
          </a:p>
        </c:txPr>
        <c:crossAx val="932589605"/>
      </c:catAx>
      <c:valAx>
        <c:axId val="932589605"/>
        <c:scaling>
          <c:orientation val="minMax"/>
          <c:max val="17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6AA84F"/>
                    </a:solidFill>
                    <a:latin typeface="serif"/>
                  </a:defRPr>
                </a:pPr>
                <a:r>
                  <a:rPr b="1" i="1" sz="2000">
                    <a:solidFill>
                      <a:srgbClr val="6AA84F"/>
                    </a:solidFill>
                    <a:latin typeface="serif"/>
                  </a:rPr>
                  <a:t>Net Validator Income</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660715477"/>
      </c:valAx>
    </c:plotArea>
    <c:legend>
      <c:legendPos val="r"/>
      <c:overlay val="0"/>
      <c:txPr>
        <a:bodyPr/>
        <a:lstStyle/>
        <a:p>
          <a:pPr lvl="0">
            <a:defRPr b="0">
              <a:solidFill>
                <a:srgbClr val="1A1A1A"/>
              </a:solidFill>
              <a:latin typeface="serif"/>
            </a:defRPr>
          </a:pPr>
        </a:p>
      </c:txPr>
    </c:legend>
    <c:plotVisOnly val="1"/>
  </c:chart>
  <c:spPr>
    <a:solidFill>
      <a:srgbClr val="D9D9D9"/>
    </a:solidFill>
  </c:spPr>
</c:chartSpace>
</file>

<file path=xl/charts/chart10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serif"/>
              </a:defRPr>
            </a:pPr>
            <a:r>
              <a:rPr b="1" sz="2000">
                <a:solidFill>
                  <a:srgbClr val="000000"/>
                </a:solidFill>
                <a:latin typeface="serif"/>
              </a:rPr>
              <a:t>Validator Economics (Hardware) - 1MM ETH Staked</a:t>
            </a:r>
          </a:p>
        </c:rich>
      </c:tx>
      <c:layout>
        <c:manualLayout>
          <c:xMode val="edge"/>
          <c:yMode val="edge"/>
          <c:x val="0.027777777777777776"/>
          <c:y val="0.04991816693944354"/>
        </c:manualLayout>
      </c:layout>
      <c:overlay val="0"/>
    </c:title>
    <c:plotArea>
      <c:layout/>
      <c:lineChart>
        <c:varyColors val="0"/>
        <c:ser>
          <c:idx val="0"/>
          <c:order val="0"/>
          <c:tx>
            <c:strRef>
              <c:f>'Eth2 Calculator V2'!$AV$263</c:f>
            </c:strRef>
          </c:tx>
          <c:spPr>
            <a:ln cmpd="sng">
              <a:solidFill>
                <a:srgbClr val="6AA84F"/>
              </a:solidFill>
            </a:ln>
          </c:spPr>
          <c:marker>
            <c:symbol val="circle"/>
            <c:size val="10"/>
            <c:spPr>
              <a:solidFill>
                <a:srgbClr val="6AA84F"/>
              </a:solidFill>
              <a:ln cmpd="sng">
                <a:solidFill>
                  <a:srgbClr val="6AA84F"/>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'Eth2 Calculator V2'!$BN$261:$CA$261</c:f>
            </c:strRef>
          </c:cat>
          <c:val>
            <c:numRef>
              <c:f>'Eth2 Calculator V2'!$AW$263:$BJ$263</c:f>
              <c:numCache/>
            </c:numRef>
          </c:val>
          <c:smooth val="0"/>
        </c:ser>
        <c:axId val="1745286757"/>
        <c:axId val="1322011216"/>
      </c:lineChart>
      <c:catAx>
        <c:axId val="1745286757"/>
        <c:scaling>
          <c:orientation val="minMax"/>
        </c:scaling>
        <c:delete val="0"/>
        <c:axPos val="b"/>
        <c:title>
          <c:tx>
            <c:rich>
              <a:bodyPr/>
              <a:lstStyle/>
              <a:p>
                <a:pPr lvl="0">
                  <a:defRPr b="1" i="1" sz="2000">
                    <a:solidFill>
                      <a:srgbClr val="000000"/>
                    </a:solidFill>
                    <a:latin typeface="serif"/>
                  </a:defRPr>
                </a:pPr>
                <a:r>
                  <a:rPr b="1" i="1" sz="2000">
                    <a:solidFill>
                      <a:srgbClr val="000000"/>
                    </a:solidFill>
                    <a:latin typeface="serif"/>
                  </a:rPr>
                  <a:t>Validators Run (16 per machine)</a:t>
                </a:r>
              </a:p>
            </c:rich>
          </c:tx>
          <c:overlay val="0"/>
        </c:title>
        <c:numFmt formatCode="General" sourceLinked="1"/>
        <c:majorTickMark val="none"/>
        <c:minorTickMark val="none"/>
        <c:spPr/>
        <c:txPr>
          <a:bodyPr/>
          <a:lstStyle/>
          <a:p>
            <a:pPr lvl="0">
              <a:defRPr b="0">
                <a:solidFill>
                  <a:srgbClr val="000000"/>
                </a:solidFill>
                <a:latin typeface="serif"/>
              </a:defRPr>
            </a:pPr>
          </a:p>
        </c:txPr>
        <c:crossAx val="1322011216"/>
      </c:catAx>
      <c:valAx>
        <c:axId val="1322011216"/>
        <c:scaling>
          <c:orientation val="minMax"/>
          <c:max val="17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0" sz="2000">
                    <a:solidFill>
                      <a:srgbClr val="6AA84F"/>
                    </a:solidFill>
                    <a:latin typeface="serif"/>
                  </a:defRPr>
                </a:pPr>
                <a:r>
                  <a:rPr b="1" i="0" sz="2000">
                    <a:solidFill>
                      <a:srgbClr val="6AA84F"/>
                    </a:solidFill>
                    <a:latin typeface="serif"/>
                  </a:rPr>
                  <a:t>Annual Validator Income</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1745286757"/>
      </c:valAx>
      <c:lineChart>
        <c:varyColors val="0"/>
        <c:ser>
          <c:idx val="1"/>
          <c:order val="1"/>
          <c:tx>
            <c:strRef>
              <c:f>'Eth2 Calculator V2'!$BM$263</c:f>
            </c:strRef>
          </c:tx>
          <c:spPr>
            <a:ln cmpd="sng">
              <a:solidFill>
                <a:srgbClr val="741B47"/>
              </a:solidFill>
              <a:prstDash val="lgDashDot"/>
            </a:ln>
          </c:spPr>
          <c:marker>
            <c:symbol val="circle"/>
            <c:size val="10"/>
            <c:spPr>
              <a:solidFill>
                <a:srgbClr val="741B47"/>
              </a:solidFill>
              <a:ln cmpd="sng">
                <a:solidFill>
                  <a:srgbClr val="741B47"/>
                </a:solidFill>
              </a:ln>
            </c:spPr>
          </c:marker>
          <c:dLbls>
            <c:numFmt formatCode="General" sourceLinked="1"/>
            <c:txPr>
              <a:bodyPr/>
              <a:lstStyle/>
              <a:p>
                <a:pPr lvl="0">
                  <a:defRPr/>
                </a:pPr>
              </a:p>
            </c:txPr>
            <c:showLegendKey val="0"/>
            <c:showVal val="1"/>
            <c:showCatName val="0"/>
            <c:showSerName val="0"/>
            <c:showPercent val="0"/>
            <c:showBubbleSize val="0"/>
          </c:dLbls>
          <c:cat>
            <c:strRef>
              <c:f>'Eth2 Calculator V2'!$BN$261:$CA$261</c:f>
            </c:strRef>
          </c:cat>
          <c:val>
            <c:numRef>
              <c:f>'Eth2 Calculator V2'!$BN$263:$CA$263</c:f>
              <c:numCache/>
            </c:numRef>
          </c:val>
          <c:smooth val="0"/>
        </c:ser>
        <c:axId val="1556573764"/>
        <c:axId val="1849566149"/>
      </c:lineChart>
      <c:catAx>
        <c:axId val="1556573764"/>
        <c:scaling>
          <c:orientation val="minMax"/>
        </c:scaling>
        <c:delete val="1"/>
        <c:axPos val="b"/>
        <c:numFmt formatCode="General" sourceLinked="1"/>
        <c:majorTickMark val="none"/>
        <c:minorTickMark val="none"/>
        <c:spPr/>
        <c:txPr>
          <a:bodyPr/>
          <a:lstStyle/>
          <a:p>
            <a:pPr lvl="0">
              <a:defRPr b="0">
                <a:solidFill>
                  <a:srgbClr val="000000"/>
                </a:solidFill>
                <a:latin typeface="serif"/>
              </a:defRPr>
            </a:pPr>
          </a:p>
        </c:txPr>
        <c:crossAx val="1849566149"/>
      </c:catAx>
      <c:valAx>
        <c:axId val="1849566149"/>
        <c:scaling>
          <c:orientation val="minMax"/>
          <c:max val="0.2"/>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1" sz="2000">
                    <a:solidFill>
                      <a:srgbClr val="741B47"/>
                    </a:solidFill>
                    <a:latin typeface="serif"/>
                  </a:defRPr>
                </a:pPr>
                <a:r>
                  <a:rPr b="1" sz="2000">
                    <a:solidFill>
                      <a:srgbClr val="741B47"/>
                    </a:solidFill>
                    <a:latin typeface="serif"/>
                  </a:rPr>
                  <a:t>Net Validator Rewards</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1556573764"/>
        <c:crosses val="max"/>
      </c:valAx>
    </c:plotArea>
    <c:plotVisOnly val="1"/>
  </c:chart>
  <c:spPr>
    <a:solidFill>
      <a:srgbClr val="D9D9D9"/>
    </a:solidFill>
  </c:spPr>
</c:chartSpace>
</file>

<file path=xl/charts/chart10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serif"/>
              </a:defRPr>
            </a:pPr>
            <a:r>
              <a:rPr b="1" sz="2000">
                <a:solidFill>
                  <a:srgbClr val="000000"/>
                </a:solidFill>
                <a:latin typeface="serif"/>
              </a:rPr>
              <a:t>Validator Economics (Cloud) - 1MM ETH Staked</a:t>
            </a:r>
          </a:p>
        </c:rich>
      </c:tx>
      <c:layout>
        <c:manualLayout>
          <c:xMode val="edge"/>
          <c:yMode val="edge"/>
          <c:x val="0.02871939736346516"/>
          <c:y val="0.05155482815057283"/>
        </c:manualLayout>
      </c:layout>
      <c:overlay val="0"/>
    </c:title>
    <c:plotArea>
      <c:layout/>
      <c:lineChart>
        <c:varyColors val="0"/>
        <c:ser>
          <c:idx val="0"/>
          <c:order val="0"/>
          <c:tx>
            <c:strRef>
              <c:f>'Eth2 Calculator V2'!$AX$331</c:f>
            </c:strRef>
          </c:tx>
          <c:spPr>
            <a:ln cmpd="sng">
              <a:solidFill>
                <a:srgbClr val="CC0000"/>
              </a:solidFill>
            </a:ln>
          </c:spPr>
          <c:marker>
            <c:symbol val="circle"/>
            <c:size val="7"/>
            <c:spPr>
              <a:solidFill>
                <a:srgbClr val="CC0000"/>
              </a:solidFill>
              <a:ln cmpd="sng">
                <a:solidFill>
                  <a:srgbClr val="CC0000"/>
                </a:solidFill>
              </a:ln>
            </c:spPr>
          </c:marker>
          <c:dPt>
            <c:idx val="0"/>
            <c:marker>
              <c:symbol val="none"/>
            </c:marker>
          </c:dPt>
          <c:dPt>
            <c:idx val="13"/>
            <c:marker>
              <c:symbol val="none"/>
            </c:marker>
          </c:dPt>
          <c:dLbls>
            <c:numFmt formatCode="General" sourceLinked="1"/>
            <c:txPr>
              <a:bodyPr/>
              <a:lstStyle/>
              <a:p>
                <a:pPr lvl="0">
                  <a:defRPr b="1"/>
                </a:pPr>
              </a:p>
            </c:txPr>
            <c:showLegendKey val="0"/>
            <c:showVal val="1"/>
            <c:showCatName val="0"/>
            <c:showSerName val="0"/>
            <c:showPercent val="0"/>
            <c:showBubbleSize val="0"/>
          </c:dLbls>
          <c:cat>
            <c:strRef>
              <c:f>'Eth2 Calculator V2'!$BP$329:$CC$329</c:f>
            </c:strRef>
          </c:cat>
          <c:val>
            <c:numRef>
              <c:f>'Eth2 Calculator V2'!$AY$331:$BL$331</c:f>
              <c:numCache/>
            </c:numRef>
          </c:val>
          <c:smooth val="0"/>
        </c:ser>
        <c:axId val="997271811"/>
        <c:axId val="1079917931"/>
      </c:lineChart>
      <c:catAx>
        <c:axId val="997271811"/>
        <c:scaling>
          <c:orientation val="minMax"/>
        </c:scaling>
        <c:delete val="0"/>
        <c:axPos val="b"/>
        <c:title>
          <c:tx>
            <c:rich>
              <a:bodyPr/>
              <a:lstStyle/>
              <a:p>
                <a:pPr lvl="0">
                  <a:defRPr b="1" i="1" sz="2000">
                    <a:solidFill>
                      <a:srgbClr val="000000"/>
                    </a:solidFill>
                    <a:latin typeface="serif"/>
                  </a:defRPr>
                </a:pPr>
                <a:r>
                  <a:rPr b="1" i="1" sz="2000">
                    <a:solidFill>
                      <a:srgbClr val="000000"/>
                    </a:solidFill>
                    <a:latin typeface="serif"/>
                  </a:rPr>
                  <a:t>Validators Run (1,000 per machine)</a:t>
                </a:r>
              </a:p>
            </c:rich>
          </c:tx>
          <c:overlay val="0"/>
        </c:title>
        <c:numFmt formatCode="General" sourceLinked="1"/>
        <c:majorTickMark val="none"/>
        <c:minorTickMark val="none"/>
        <c:spPr/>
        <c:txPr>
          <a:bodyPr/>
          <a:lstStyle/>
          <a:p>
            <a:pPr lvl="0">
              <a:defRPr b="0">
                <a:solidFill>
                  <a:srgbClr val="000000"/>
                </a:solidFill>
                <a:latin typeface="serif"/>
              </a:defRPr>
            </a:pPr>
          </a:p>
        </c:txPr>
        <c:crossAx val="1079917931"/>
      </c:catAx>
      <c:valAx>
        <c:axId val="1079917931"/>
        <c:scaling>
          <c:orientation val="minMax"/>
          <c:max val="950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0" sz="2000">
                    <a:solidFill>
                      <a:srgbClr val="CC0000"/>
                    </a:solidFill>
                    <a:latin typeface="serif"/>
                  </a:defRPr>
                </a:pPr>
                <a:r>
                  <a:rPr b="1" i="0" sz="2000">
                    <a:solidFill>
                      <a:srgbClr val="CC0000"/>
                    </a:solidFill>
                    <a:latin typeface="serif"/>
                  </a:rPr>
                  <a:t>Annual Validator Income</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997271811"/>
      </c:valAx>
      <c:lineChart>
        <c:varyColors val="0"/>
        <c:ser>
          <c:idx val="1"/>
          <c:order val="1"/>
          <c:tx>
            <c:strRef>
              <c:f>'Eth2 Calculator V2'!$BM$263</c:f>
            </c:strRef>
          </c:tx>
          <c:spPr>
            <a:ln cmpd="sng">
              <a:solidFill>
                <a:srgbClr val="741B47"/>
              </a:solidFill>
              <a:prstDash val="lgDashDot"/>
            </a:ln>
          </c:spPr>
          <c:marker>
            <c:symbol val="circle"/>
            <c:size val="10"/>
            <c:spPr>
              <a:solidFill>
                <a:srgbClr val="741B47"/>
              </a:solidFill>
              <a:ln cmpd="sng">
                <a:solidFill>
                  <a:srgbClr val="741B47"/>
                </a:solidFill>
              </a:ln>
            </c:spPr>
          </c:marker>
          <c:dLbls>
            <c:numFmt formatCode="General" sourceLinked="1"/>
            <c:txPr>
              <a:bodyPr/>
              <a:lstStyle/>
              <a:p>
                <a:pPr lvl="0">
                  <a:defRPr/>
                </a:pPr>
              </a:p>
            </c:txPr>
            <c:showLegendKey val="0"/>
            <c:showVal val="1"/>
            <c:showCatName val="0"/>
            <c:showSerName val="0"/>
            <c:showPercent val="0"/>
            <c:showBubbleSize val="0"/>
          </c:dLbls>
          <c:cat>
            <c:strRef>
              <c:f>'Eth2 Calculator V2'!$BP$329:$CC$329</c:f>
            </c:strRef>
          </c:cat>
          <c:val>
            <c:numRef>
              <c:f>'Eth2 Calculator V2'!$BN$263:$CA$263</c:f>
              <c:numCache/>
            </c:numRef>
          </c:val>
          <c:smooth val="0"/>
        </c:ser>
        <c:axId val="26164594"/>
        <c:axId val="1936609576"/>
      </c:lineChart>
      <c:catAx>
        <c:axId val="26164594"/>
        <c:scaling>
          <c:orientation val="minMax"/>
        </c:scaling>
        <c:delete val="1"/>
        <c:axPos val="b"/>
        <c:numFmt formatCode="General" sourceLinked="1"/>
        <c:majorTickMark val="none"/>
        <c:minorTickMark val="none"/>
        <c:spPr/>
        <c:txPr>
          <a:bodyPr/>
          <a:lstStyle/>
          <a:p>
            <a:pPr lvl="0">
              <a:defRPr b="0">
                <a:solidFill>
                  <a:srgbClr val="000000"/>
                </a:solidFill>
                <a:latin typeface="serif"/>
              </a:defRPr>
            </a:pPr>
          </a:p>
        </c:txPr>
        <c:crossAx val="1936609576"/>
      </c:catAx>
      <c:valAx>
        <c:axId val="1936609576"/>
        <c:scaling>
          <c:orientation val="minMax"/>
          <c:max val="0.2"/>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1" sz="1800">
                    <a:solidFill>
                      <a:srgbClr val="741B47"/>
                    </a:solidFill>
                    <a:latin typeface="serif"/>
                  </a:defRPr>
                </a:pPr>
                <a:r>
                  <a:rPr b="1" sz="1800">
                    <a:solidFill>
                      <a:srgbClr val="741B47"/>
                    </a:solidFill>
                    <a:latin typeface="serif"/>
                  </a:rPr>
                  <a:t>Net Validator Rewards</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26164594"/>
        <c:crosses val="max"/>
      </c:valAx>
    </c:plotArea>
    <c:plotVisOnly val="1"/>
  </c:chart>
  <c:spPr>
    <a:solidFill>
      <a:srgbClr val="D9D9D9"/>
    </a:solidFill>
  </c:spPr>
</c:chartSpace>
</file>

<file path=xl/charts/chart10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Eth2 Network Issuance - Annualized</a:t>
            </a:r>
          </a:p>
        </c:rich>
      </c:tx>
      <c:overlay val="0"/>
    </c:title>
    <c:plotArea>
      <c:layout/>
      <c:lineChart>
        <c:ser>
          <c:idx val="0"/>
          <c:order val="0"/>
          <c:spPr>
            <a:ln cmpd="sng">
              <a:solidFill>
                <a:srgbClr val="6AA84F"/>
              </a:solidFill>
            </a:ln>
          </c:spPr>
          <c:marker>
            <c:symbol val="none"/>
          </c:marker>
          <c:dPt>
            <c:idx val="0"/>
            <c:marker>
              <c:symbol val="none"/>
            </c:marker>
          </c:dPt>
          <c:dPt>
            <c:idx val="5"/>
            <c:marker>
              <c:symbol val="none"/>
            </c:marker>
          </c:dPt>
          <c:dLbls>
            <c:numFmt formatCode="General" sourceLinked="1"/>
            <c:txPr>
              <a:bodyPr/>
              <a:lstStyle/>
              <a:p>
                <a:pPr lvl="0">
                  <a:defRPr b="1" sz="1400">
                    <a:latin typeface="serif"/>
                  </a:defRPr>
                </a:pPr>
              </a:p>
            </c:txPr>
            <c:showLegendKey val="0"/>
            <c:showVal val="1"/>
            <c:showCatName val="0"/>
            <c:showSerName val="0"/>
            <c:showPercent val="0"/>
            <c:showBubbleSize val="0"/>
          </c:dLbls>
          <c:cat>
            <c:strRef>
              <c:f>'Eth2 Calculator V2'!$W$86:$W$105</c:f>
            </c:strRef>
          </c:cat>
          <c:val>
            <c:numRef>
              <c:f>'Eth2 Calculator V2'!$AC$121:$AC$150</c:f>
              <c:numCache/>
            </c:numRef>
          </c:val>
          <c:smooth val="0"/>
        </c:ser>
        <c:axId val="1938182139"/>
        <c:axId val="1491547265"/>
      </c:lineChart>
      <c:catAx>
        <c:axId val="1938182139"/>
        <c:scaling>
          <c:orientation val="minMax"/>
        </c:scaling>
        <c:delete val="0"/>
        <c:axPos val="b"/>
        <c:title>
          <c:tx>
            <c:rich>
              <a:bodyPr/>
              <a:lstStyle/>
              <a:p>
                <a:pPr lvl="0">
                  <a:defRPr b="1" i="1" sz="2000">
                    <a:solidFill>
                      <a:srgbClr val="000000"/>
                    </a:solidFill>
                    <a:latin typeface="+mn-lt"/>
                  </a:defRPr>
                </a:pPr>
                <a:r>
                  <a:rPr b="1" i="1" sz="2000">
                    <a:solidFill>
                      <a:srgbClr val="000000"/>
                    </a:solidFill>
                    <a:latin typeface="+mn-lt"/>
                  </a:rPr>
                  <a:t>Total ETH Staked (Network)</a:t>
                </a:r>
              </a:p>
            </c:rich>
          </c:tx>
          <c:overlay val="0"/>
        </c:title>
        <c:numFmt formatCode="General" sourceLinked="1"/>
        <c:majorTickMark val="none"/>
        <c:minorTickMark val="none"/>
        <c:spPr/>
        <c:txPr>
          <a:bodyPr/>
          <a:lstStyle/>
          <a:p>
            <a:pPr lvl="0">
              <a:defRPr b="0">
                <a:solidFill>
                  <a:srgbClr val="000000"/>
                </a:solidFill>
                <a:latin typeface="+mn-lt"/>
              </a:defRPr>
            </a:pPr>
          </a:p>
        </c:txPr>
        <c:crossAx val="1491547265"/>
      </c:catAx>
      <c:valAx>
        <c:axId val="1491547265"/>
        <c:scaling>
          <c:orientation val="minMax"/>
          <c:max val="0.00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1" sz="2000">
                    <a:solidFill>
                      <a:srgbClr val="6AA84F"/>
                    </a:solidFill>
                    <a:latin typeface="+mn-lt"/>
                  </a:defRPr>
                </a:pPr>
                <a:r>
                  <a:rPr b="1" i="1" sz="2000">
                    <a:solidFill>
                      <a:srgbClr val="6AA84F"/>
                    </a:solidFill>
                    <a:latin typeface="+mn-lt"/>
                  </a:rPr>
                  <a:t>Network Issuance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38182139"/>
      </c:valAx>
    </c:plotArea>
    <c:plotVisOnly val="1"/>
  </c:chart>
  <c:spPr>
    <a:solidFill>
      <a:srgbClr val="D9D9D9"/>
    </a:solidFill>
  </c:spPr>
</c:chartSpace>
</file>

<file path=xl/charts/chart10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serif"/>
              </a:defRPr>
            </a:pPr>
            <a:r>
              <a:rPr b="0" sz="2400">
                <a:solidFill>
                  <a:srgbClr val="757575"/>
                </a:solidFill>
                <a:latin typeface="serif"/>
              </a:rPr>
              <a:t>Eth2 Internet Bond</a:t>
            </a:r>
          </a:p>
        </c:rich>
      </c:tx>
      <c:overlay val="0"/>
    </c:title>
    <c:plotArea>
      <c:layout/>
      <c:lineChart>
        <c:ser>
          <c:idx val="0"/>
          <c:order val="0"/>
          <c:tx>
            <c:strRef>
              <c:f>'Internet Bond (Final)'!$BC$30</c:f>
            </c:strRef>
          </c:tx>
          <c:spPr>
            <a:ln cmpd="sng">
              <a:solidFill>
                <a:srgbClr val="274E13"/>
              </a:solidFill>
            </a:ln>
          </c:spPr>
          <c:marker>
            <c:symbol val="circle"/>
            <c:size val="7"/>
            <c:spPr>
              <a:solidFill>
                <a:srgbClr val="274E13"/>
              </a:solidFill>
              <a:ln cmpd="sng">
                <a:solidFill>
                  <a:srgbClr val="274E13"/>
                </a:solidFill>
              </a:ln>
            </c:spPr>
          </c:marker>
          <c:dPt>
            <c:idx val="0"/>
            <c:marker>
              <c:symbol val="none"/>
            </c:marker>
          </c:dPt>
          <c:dPt>
            <c:idx val="1"/>
            <c:marker>
              <c:symbol val="none"/>
            </c:marker>
          </c:dPt>
          <c:dPt>
            <c:idx val="3"/>
            <c:marker>
              <c:symbol val="none"/>
            </c:marker>
          </c:dPt>
          <c:dLbls>
            <c:numFmt formatCode="General" sourceLinked="1"/>
            <c:txPr>
              <a:bodyPr/>
              <a:lstStyle/>
              <a:p>
                <a:pPr lvl="0">
                  <a:defRPr b="0"/>
                </a:pPr>
              </a:p>
            </c:txPr>
            <c:showLegendKey val="0"/>
            <c:showVal val="1"/>
            <c:showCatName val="0"/>
            <c:showSerName val="0"/>
            <c:showPercent val="0"/>
            <c:showBubbleSize val="0"/>
          </c:dLbls>
          <c:cat>
            <c:strRef>
              <c:f>'Internet Bond (Final)'!$BA$4:$BA$27</c:f>
            </c:strRef>
          </c:cat>
          <c:val>
            <c:numRef>
              <c:f>'Internet Bond (Final)'!$BC$31:$BC$54</c:f>
              <c:numCache/>
            </c:numRef>
          </c:val>
          <c:smooth val="1"/>
        </c:ser>
        <c:ser>
          <c:idx val="1"/>
          <c:order val="1"/>
          <c:tx>
            <c:strRef>
              <c:f>'Internet Bond (Final)'!$BF$30</c:f>
            </c:strRef>
          </c:tx>
          <c:spPr>
            <a:ln cmpd="sng">
              <a:solidFill>
                <a:srgbClr val="990000"/>
              </a:solidFill>
            </a:ln>
          </c:spPr>
          <c:marker>
            <c:symbol val="circle"/>
            <c:size val="7"/>
            <c:spPr>
              <a:solidFill>
                <a:srgbClr val="990000"/>
              </a:solidFill>
              <a:ln cmpd="sng">
                <a:solidFill>
                  <a:srgbClr val="990000"/>
                </a:solidFill>
              </a:ln>
            </c:spPr>
          </c:marker>
          <c:dPt>
            <c:idx val="0"/>
            <c:marker>
              <c:symbol val="none"/>
            </c:marker>
          </c:dPt>
          <c:dPt>
            <c:idx val="5"/>
            <c:marker>
              <c:symbol val="none"/>
            </c:marker>
          </c:dPt>
          <c:dLbls>
            <c:numFmt formatCode="General" sourceLinked="1"/>
            <c:txPr>
              <a:bodyPr/>
              <a:lstStyle/>
              <a:p>
                <a:pPr lvl="0">
                  <a:defRPr/>
                </a:pPr>
              </a:p>
            </c:txPr>
            <c:showLegendKey val="0"/>
            <c:showVal val="1"/>
            <c:showCatName val="0"/>
            <c:showSerName val="0"/>
            <c:showPercent val="0"/>
            <c:showBubbleSize val="0"/>
          </c:dLbls>
          <c:cat>
            <c:strRef>
              <c:f>'Internet Bond (Final)'!$BA$4:$BA$27</c:f>
            </c:strRef>
          </c:cat>
          <c:val>
            <c:numRef>
              <c:f>'Internet Bond (Final)'!$BF$31:$BF$54</c:f>
              <c:numCache/>
            </c:numRef>
          </c:val>
          <c:smooth val="1"/>
        </c:ser>
        <c:axId val="2033467006"/>
        <c:axId val="1787688090"/>
      </c:lineChart>
      <c:catAx>
        <c:axId val="2033467006"/>
        <c:scaling>
          <c:orientation val="minMax"/>
          <c:max val="24.0"/>
        </c:scaling>
        <c:delete val="1"/>
        <c:axPos val="b"/>
        <c:numFmt formatCode="General" sourceLinked="1"/>
        <c:majorTickMark val="none"/>
        <c:minorTickMark val="cross"/>
        <c:spPr/>
        <c:txPr>
          <a:bodyPr/>
          <a:lstStyle/>
          <a:p>
            <a:pPr lvl="0">
              <a:defRPr b="1" sz="1800">
                <a:solidFill>
                  <a:srgbClr val="000000"/>
                </a:solidFill>
                <a:latin typeface="serif"/>
              </a:defRPr>
            </a:pPr>
          </a:p>
        </c:txPr>
        <c:crossAx val="1787688090"/>
      </c:catAx>
      <c:valAx>
        <c:axId val="1787688090"/>
        <c:scaling>
          <c:orientation val="minMax"/>
          <c:max val="0.35"/>
        </c:scaling>
        <c:delete val="0"/>
        <c:axPos val="r"/>
        <c:title>
          <c:tx>
            <c:rich>
              <a:bodyPr/>
              <a:lstStyle/>
              <a:p>
                <a:pPr lvl="0">
                  <a:defRPr b="0" sz="2000">
                    <a:solidFill>
                      <a:srgbClr val="000000"/>
                    </a:solidFill>
                    <a:latin typeface="serif"/>
                  </a:defRPr>
                </a:pPr>
                <a:r>
                  <a:rPr b="0" sz="2000">
                    <a:solidFill>
                      <a:srgbClr val="000000"/>
                    </a:solidFill>
                    <a:latin typeface="serif"/>
                  </a:rPr>
                  <a:t>Discount Rate</a:t>
                </a:r>
              </a:p>
            </c:rich>
          </c:tx>
          <c:overlay val="0"/>
        </c:title>
        <c:numFmt formatCode="0.00%" sourceLinked="0"/>
        <c:majorTickMark val="cross"/>
        <c:minorTickMark val="none"/>
        <c:tickLblPos val="nextTo"/>
        <c:spPr>
          <a:ln/>
        </c:spPr>
        <c:txPr>
          <a:bodyPr/>
          <a:lstStyle/>
          <a:p>
            <a:pPr lvl="0">
              <a:defRPr b="0" sz="1800">
                <a:solidFill>
                  <a:srgbClr val="000000"/>
                </a:solidFill>
                <a:latin typeface="serif"/>
              </a:defRPr>
            </a:pPr>
          </a:p>
        </c:txPr>
        <c:crossAx val="2033467006"/>
        <c:crosses val="max"/>
      </c:valAx>
    </c:plotArea>
    <c:legend>
      <c:legendPos val="r"/>
      <c:overlay val="0"/>
      <c:txPr>
        <a:bodyPr/>
        <a:lstStyle/>
        <a:p>
          <a:pPr lvl="0">
            <a:defRPr b="0" sz="1800">
              <a:solidFill>
                <a:srgbClr val="1A1A1A"/>
              </a:solidFill>
              <a:latin typeface="serif"/>
            </a:defRPr>
          </a:pPr>
        </a:p>
      </c:txPr>
    </c:legend>
    <c:plotVisOnly val="1"/>
  </c:chart>
  <c:spPr>
    <a:solidFill>
      <a:srgbClr val="F3F3F3"/>
    </a:solidFill>
  </c:spPr>
</c:chartSpace>
</file>

<file path=xl/charts/chart10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serif"/>
              </a:defRPr>
            </a:pPr>
            <a:r>
              <a:rPr b="0" sz="2400">
                <a:solidFill>
                  <a:srgbClr val="757575"/>
                </a:solidFill>
                <a:latin typeface="serif"/>
              </a:rPr>
              <a:t>ETH2 Internet Bond</a:t>
            </a:r>
          </a:p>
        </c:rich>
      </c:tx>
      <c:layout>
        <c:manualLayout>
          <c:xMode val="edge"/>
          <c:yMode val="edge"/>
          <c:x val="0.03239837398373984"/>
          <c:y val="0.05"/>
        </c:manualLayout>
      </c:layout>
      <c:overlay val="0"/>
    </c:title>
    <c:plotArea>
      <c:layout/>
      <c:lineChart>
        <c:varyColors val="0"/>
        <c:ser>
          <c:idx val="0"/>
          <c:order val="0"/>
          <c:tx>
            <c:strRef>
              <c:f>'Internet Bond (Final)'!$BC$3</c:f>
            </c:strRef>
          </c:tx>
          <c:spPr>
            <a:ln cmpd="sng">
              <a:solidFill>
                <a:srgbClr val="38761D"/>
              </a:solidFill>
              <a:prstDash val="sysDot"/>
            </a:ln>
          </c:spPr>
          <c:marker>
            <c:symbol val="none"/>
          </c:marker>
          <c:dPt>
            <c:idx val="0"/>
            <c:marker>
              <c:symbol val="none"/>
            </c:marker>
          </c:dPt>
          <c:dPt>
            <c:idx val="1"/>
            <c:marker>
              <c:symbol val="none"/>
            </c:marker>
          </c:dPt>
          <c:dPt>
            <c:idx val="3"/>
            <c:marker>
              <c:symbol val="none"/>
            </c:marker>
          </c:dPt>
          <c:dLbls>
            <c:numFmt formatCode="General" sourceLinked="1"/>
            <c:txPr>
              <a:bodyPr/>
              <a:lstStyle/>
              <a:p>
                <a:pPr lvl="0">
                  <a:defRPr/>
                </a:pPr>
              </a:p>
            </c:txPr>
            <c:showLegendKey val="0"/>
            <c:showVal val="1"/>
            <c:showCatName val="0"/>
            <c:showSerName val="0"/>
            <c:showPercent val="0"/>
            <c:showBubbleSize val="0"/>
          </c:dLbls>
          <c:cat>
            <c:strRef>
              <c:f>'Internet Bond (Final)'!$BA$4:$BA$27</c:f>
            </c:strRef>
          </c:cat>
          <c:val>
            <c:numRef>
              <c:f>'Internet Bond (Final)'!$BC$4:$BC$27</c:f>
              <c:numCache/>
            </c:numRef>
          </c:val>
          <c:smooth val="1"/>
        </c:ser>
        <c:axId val="1114871434"/>
        <c:axId val="1783226467"/>
      </c:lineChart>
      <c:catAx>
        <c:axId val="1114871434"/>
        <c:scaling>
          <c:orientation val="minMax"/>
          <c:max val="24.0"/>
        </c:scaling>
        <c:delete val="0"/>
        <c:axPos val="b"/>
        <c:title>
          <c:tx>
            <c:rich>
              <a:bodyPr/>
              <a:lstStyle/>
              <a:p>
                <a:pPr lvl="0">
                  <a:defRPr b="0" sz="2000">
                    <a:solidFill>
                      <a:srgbClr val="000000"/>
                    </a:solidFill>
                    <a:latin typeface="serif"/>
                  </a:defRPr>
                </a:pPr>
                <a:r>
                  <a:rPr b="0" sz="2000">
                    <a:solidFill>
                      <a:srgbClr val="000000"/>
                    </a:solidFill>
                    <a:latin typeface="serif"/>
                  </a:rPr>
                  <a:t>Month</a:t>
                </a:r>
              </a:p>
            </c:rich>
          </c:tx>
          <c:overlay val="0"/>
        </c:title>
        <c:numFmt formatCode="General" sourceLinked="1"/>
        <c:majorTickMark val="none"/>
        <c:minorTickMark val="cross"/>
        <c:spPr/>
        <c:txPr>
          <a:bodyPr/>
          <a:lstStyle/>
          <a:p>
            <a:pPr lvl="0">
              <a:defRPr b="1" sz="1800">
                <a:solidFill>
                  <a:srgbClr val="000000"/>
                </a:solidFill>
                <a:latin typeface="serif"/>
              </a:defRPr>
            </a:pPr>
          </a:p>
        </c:txPr>
        <c:crossAx val="1783226467"/>
      </c:catAx>
      <c:valAx>
        <c:axId val="1783226467"/>
        <c:scaling>
          <c:orientation val="minMax"/>
          <c:max val="40.0"/>
        </c:scaling>
        <c:delete val="0"/>
        <c:axPos val="l"/>
        <c:minorGridlines>
          <c:spPr>
            <a:ln>
              <a:solidFill>
                <a:srgbClr val="CCCCCC">
                  <a:alpha val="0"/>
                </a:srgbClr>
              </a:solidFill>
            </a:ln>
          </c:spPr>
        </c:minorGridlines>
        <c:title>
          <c:tx>
            <c:rich>
              <a:bodyPr/>
              <a:lstStyle/>
              <a:p>
                <a:pPr lvl="0">
                  <a:defRPr b="0" sz="2000">
                    <a:solidFill>
                      <a:srgbClr val="000000"/>
                    </a:solidFill>
                    <a:latin typeface="serif"/>
                  </a:defRPr>
                </a:pPr>
                <a:r>
                  <a:rPr b="0" sz="2000">
                    <a:solidFill>
                      <a:srgbClr val="000000"/>
                    </a:solidFill>
                    <a:latin typeface="serif"/>
                  </a:rPr>
                  <a:t>Validator Total Balance</a:t>
                </a:r>
              </a:p>
            </c:rich>
          </c:tx>
          <c:overlay val="0"/>
        </c:title>
        <c:numFmt formatCode="#,##0" sourceLinked="0"/>
        <c:majorTickMark val="cross"/>
        <c:minorTickMark val="none"/>
        <c:tickLblPos val="nextTo"/>
        <c:spPr>
          <a:ln/>
        </c:spPr>
        <c:txPr>
          <a:bodyPr/>
          <a:lstStyle/>
          <a:p>
            <a:pPr lvl="0">
              <a:defRPr b="0" sz="1800">
                <a:solidFill>
                  <a:srgbClr val="000000"/>
                </a:solidFill>
                <a:latin typeface="serif"/>
              </a:defRPr>
            </a:pPr>
          </a:p>
        </c:txPr>
        <c:crossAx val="1114871434"/>
      </c:valAx>
      <c:lineChart>
        <c:varyColors val="0"/>
        <c:ser>
          <c:idx val="1"/>
          <c:order val="1"/>
          <c:tx>
            <c:strRef>
              <c:f>'Internet Bond (Final)'!$BD$3</c:f>
            </c:strRef>
          </c:tx>
          <c:spPr>
            <a:ln cmpd="sng">
              <a:solidFill>
                <a:srgbClr val="6D9EEB"/>
              </a:solidFill>
            </a:ln>
          </c:spPr>
          <c:marker>
            <c:symbol val="circle"/>
            <c:size val="7"/>
            <c:spPr>
              <a:solidFill>
                <a:srgbClr val="6D9EEB"/>
              </a:solidFill>
              <a:ln cmpd="sng">
                <a:solidFill>
                  <a:srgbClr val="6D9EEB"/>
                </a:solidFill>
              </a:ln>
            </c:spPr>
          </c:marker>
          <c:dPt>
            <c:idx val="5"/>
            <c:marker>
              <c:symbol val="none"/>
            </c:marker>
          </c:dPt>
          <c:dLbls>
            <c:numFmt formatCode="General" sourceLinked="1"/>
            <c:txPr>
              <a:bodyPr/>
              <a:lstStyle/>
              <a:p>
                <a:pPr lvl="0">
                  <a:defRPr/>
                </a:pPr>
              </a:p>
            </c:txPr>
            <c:showLegendKey val="0"/>
            <c:showVal val="1"/>
            <c:showCatName val="0"/>
            <c:showSerName val="0"/>
            <c:showPercent val="0"/>
            <c:showBubbleSize val="0"/>
          </c:dLbls>
          <c:cat>
            <c:strRef>
              <c:f>'Internet Bond (Final)'!$BA$4:$BA$27</c:f>
            </c:strRef>
          </c:cat>
          <c:val>
            <c:numRef>
              <c:f>'Internet Bond (Final)'!$BD$4:$BD$27</c:f>
              <c:numCache/>
            </c:numRef>
          </c:val>
          <c:smooth val="1"/>
        </c:ser>
        <c:axId val="902069740"/>
        <c:axId val="95498433"/>
      </c:lineChart>
      <c:catAx>
        <c:axId val="902069740"/>
        <c:scaling>
          <c:orientation val="minMax"/>
          <c:max val="24.0"/>
        </c:scaling>
        <c:delete val="1"/>
        <c:axPos val="b"/>
        <c:numFmt formatCode="General" sourceLinked="1"/>
        <c:majorTickMark val="none"/>
        <c:minorTickMark val="cross"/>
        <c:spPr/>
        <c:txPr>
          <a:bodyPr/>
          <a:lstStyle/>
          <a:p>
            <a:pPr lvl="0">
              <a:defRPr b="1" sz="1800">
                <a:solidFill>
                  <a:srgbClr val="000000"/>
                </a:solidFill>
                <a:latin typeface="serif"/>
              </a:defRPr>
            </a:pPr>
          </a:p>
        </c:txPr>
        <c:crossAx val="95498433"/>
      </c:catAx>
      <c:valAx>
        <c:axId val="95498433"/>
        <c:scaling>
          <c:orientation val="minMax"/>
          <c:max val="0.25"/>
        </c:scaling>
        <c:delete val="0"/>
        <c:axPos val="r"/>
        <c:title>
          <c:tx>
            <c:rich>
              <a:bodyPr/>
              <a:lstStyle/>
              <a:p>
                <a:pPr lvl="0">
                  <a:defRPr b="0" sz="2000">
                    <a:solidFill>
                      <a:srgbClr val="000000"/>
                    </a:solidFill>
                    <a:latin typeface="serif"/>
                  </a:defRPr>
                </a:pPr>
                <a:r>
                  <a:rPr b="0" sz="2000">
                    <a:solidFill>
                      <a:srgbClr val="000000"/>
                    </a:solidFill>
                    <a:latin typeface="serif"/>
                  </a:rPr>
                  <a:t>Cumulative Rewards</a:t>
                </a:r>
              </a:p>
            </c:rich>
          </c:tx>
          <c:overlay val="0"/>
        </c:title>
        <c:numFmt formatCode="General" sourceLinked="1"/>
        <c:majorTickMark val="cross"/>
        <c:minorTickMark val="none"/>
        <c:tickLblPos val="nextTo"/>
        <c:spPr>
          <a:ln/>
        </c:spPr>
        <c:txPr>
          <a:bodyPr/>
          <a:lstStyle/>
          <a:p>
            <a:pPr lvl="0">
              <a:defRPr b="0" sz="1800">
                <a:solidFill>
                  <a:srgbClr val="000000"/>
                </a:solidFill>
                <a:latin typeface="serif"/>
              </a:defRPr>
            </a:pPr>
          </a:p>
        </c:txPr>
        <c:crossAx val="902069740"/>
        <c:crosses val="max"/>
      </c:valAx>
    </c:plotArea>
    <c:legend>
      <c:legendPos val="r"/>
      <c:overlay val="0"/>
      <c:txPr>
        <a:bodyPr/>
        <a:lstStyle/>
        <a:p>
          <a:pPr lvl="0">
            <a:defRPr b="0" sz="1800">
              <a:solidFill>
                <a:srgbClr val="1A1A1A"/>
              </a:solidFill>
              <a:latin typeface="serif"/>
            </a:defRPr>
          </a:pPr>
        </a:p>
      </c:txPr>
    </c:legend>
    <c:plotVisOnly val="1"/>
  </c:chart>
  <c:spPr>
    <a:solidFill>
      <a:srgbClr val="F3F3F3"/>
    </a:solidFill>
  </c:spPr>
</c:chartSpace>
</file>

<file path=xl/charts/chart10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serif"/>
              </a:defRPr>
            </a:pPr>
            <a:r>
              <a:rPr b="0" sz="2400">
                <a:solidFill>
                  <a:srgbClr val="757575"/>
                </a:solidFill>
                <a:latin typeface="serif"/>
              </a:rPr>
              <a:t>Eth2 Internet Bond</a:t>
            </a:r>
          </a:p>
        </c:rich>
      </c:tx>
      <c:overlay val="0"/>
    </c:title>
    <c:plotArea>
      <c:layout/>
      <c:lineChart>
        <c:ser>
          <c:idx val="0"/>
          <c:order val="0"/>
          <c:tx>
            <c:strRef>
              <c:f>'Internet Bond (Final)'!$BD$30</c:f>
            </c:strRef>
          </c:tx>
          <c:spPr>
            <a:ln cmpd="sng">
              <a:solidFill>
                <a:srgbClr val="F1C232"/>
              </a:solidFill>
            </a:ln>
          </c:spPr>
          <c:marker>
            <c:symbol val="none"/>
          </c:marker>
          <c:dPt>
            <c:idx val="0"/>
            <c:marker>
              <c:symbol val="none"/>
            </c:marker>
          </c:dPt>
          <c:dPt>
            <c:idx val="1"/>
            <c:marker>
              <c:symbol val="none"/>
            </c:marker>
          </c:dPt>
          <c:dPt>
            <c:idx val="3"/>
            <c:marker>
              <c:symbol val="none"/>
            </c:marker>
          </c:dPt>
          <c:dPt>
            <c:idx val="7"/>
            <c:marker>
              <c:symbol val="none"/>
            </c:marker>
          </c:dPt>
          <c:cat>
            <c:strRef>
              <c:f>'Internet Bond (Final)'!$BA$4:$BA$27</c:f>
            </c:strRef>
          </c:cat>
          <c:val>
            <c:numRef>
              <c:f>'Internet Bond (Final)'!$BD$31:$BD$54</c:f>
              <c:numCache/>
            </c:numRef>
          </c:val>
          <c:smooth val="1"/>
        </c:ser>
        <c:ser>
          <c:idx val="1"/>
          <c:order val="1"/>
          <c:tx>
            <c:strRef>
              <c:f>'Internet Bond (Final)'!$BB$30</c:f>
            </c:strRef>
          </c:tx>
          <c:spPr>
            <a:ln cmpd="sng">
              <a:solidFill>
                <a:srgbClr val="274E13"/>
              </a:solidFill>
            </a:ln>
          </c:spPr>
          <c:marker>
            <c:symbol val="none"/>
          </c:marker>
          <c:dPt>
            <c:idx val="0"/>
            <c:marker>
              <c:symbol val="none"/>
            </c:marker>
          </c:dPt>
          <c:dPt>
            <c:idx val="5"/>
            <c:marker>
              <c:symbol val="none"/>
            </c:marker>
          </c:dPt>
          <c:cat>
            <c:strRef>
              <c:f>'Internet Bond (Final)'!$BA$4:$BA$27</c:f>
            </c:strRef>
          </c:cat>
          <c:val>
            <c:numRef>
              <c:f>'Internet Bond (Final)'!$BB$31:$BB$54</c:f>
              <c:numCache/>
            </c:numRef>
          </c:val>
          <c:smooth val="1"/>
        </c:ser>
        <c:ser>
          <c:idx val="2"/>
          <c:order val="2"/>
          <c:tx>
            <c:strRef>
              <c:f>'Internet Bond (Final)'!$BE$30</c:f>
            </c:strRef>
          </c:tx>
          <c:spPr>
            <a:ln cmpd="sng">
              <a:solidFill>
                <a:srgbClr val="990000"/>
              </a:solidFill>
            </a:ln>
          </c:spPr>
          <c:marker>
            <c:symbol val="none"/>
          </c:marker>
          <c:dPt>
            <c:idx val="0"/>
            <c:marker>
              <c:symbol val="none"/>
            </c:marker>
          </c:dPt>
          <c:dPt>
            <c:idx val="14"/>
            <c:marker>
              <c:symbol val="none"/>
            </c:marker>
          </c:dPt>
          <c:dPt>
            <c:idx val="15"/>
            <c:marker>
              <c:symbol val="none"/>
            </c:marker>
          </c:dPt>
          <c:cat>
            <c:strRef>
              <c:f>'Internet Bond (Final)'!$BA$4:$BA$27</c:f>
            </c:strRef>
          </c:cat>
          <c:val>
            <c:numRef>
              <c:f>'Internet Bond (Final)'!$BE$31:$BE$54</c:f>
              <c:numCache/>
            </c:numRef>
          </c:val>
          <c:smooth val="1"/>
        </c:ser>
        <c:axId val="181842938"/>
        <c:axId val="253577380"/>
      </c:lineChart>
      <c:catAx>
        <c:axId val="181842938"/>
        <c:scaling>
          <c:orientation val="minMax"/>
          <c:max val="24.0"/>
        </c:scaling>
        <c:delete val="1"/>
        <c:axPos val="b"/>
        <c:numFmt formatCode="General" sourceLinked="1"/>
        <c:majorTickMark val="none"/>
        <c:minorTickMark val="cross"/>
        <c:spPr/>
        <c:txPr>
          <a:bodyPr/>
          <a:lstStyle/>
          <a:p>
            <a:pPr lvl="0">
              <a:defRPr b="1" sz="1800">
                <a:solidFill>
                  <a:srgbClr val="000000"/>
                </a:solidFill>
                <a:latin typeface="serif"/>
              </a:defRPr>
            </a:pPr>
          </a:p>
        </c:txPr>
        <c:crossAx val="253577380"/>
      </c:catAx>
      <c:valAx>
        <c:axId val="253577380"/>
        <c:scaling>
          <c:orientation val="minMax"/>
          <c:max val="35000.0"/>
        </c:scaling>
        <c:delete val="0"/>
        <c:axPos val="r"/>
        <c:minorGridlines>
          <c:spPr>
            <a:ln>
              <a:solidFill>
                <a:srgbClr val="CCCCCC">
                  <a:alpha val="0"/>
                </a:srgbClr>
              </a:solidFill>
            </a:ln>
          </c:spPr>
        </c:minorGridlines>
        <c:title>
          <c:tx>
            <c:rich>
              <a:bodyPr/>
              <a:lstStyle/>
              <a:p>
                <a:pPr lvl="0">
                  <a:defRPr b="0" sz="2000">
                    <a:solidFill>
                      <a:srgbClr val="000000"/>
                    </a:solidFill>
                    <a:latin typeface="serif"/>
                  </a:defRPr>
                </a:pPr>
                <a:r>
                  <a:rPr b="0" sz="2000">
                    <a:solidFill>
                      <a:srgbClr val="000000"/>
                    </a:solidFill>
                    <a:latin typeface="serif"/>
                  </a:rPr>
                  <a:t>Asset Value</a:t>
                </a:r>
              </a:p>
            </c:rich>
          </c:tx>
          <c:overlay val="0"/>
        </c:title>
        <c:numFmt formatCode="General" sourceLinked="1"/>
        <c:majorTickMark val="cross"/>
        <c:minorTickMark val="none"/>
        <c:tickLblPos val="nextTo"/>
        <c:spPr>
          <a:ln/>
        </c:spPr>
        <c:txPr>
          <a:bodyPr/>
          <a:lstStyle/>
          <a:p>
            <a:pPr lvl="0">
              <a:defRPr b="0" sz="1800">
                <a:solidFill>
                  <a:srgbClr val="000000"/>
                </a:solidFill>
                <a:latin typeface="serif"/>
              </a:defRPr>
            </a:pPr>
          </a:p>
        </c:txPr>
        <c:crossAx val="181842938"/>
        <c:crosses val="max"/>
      </c:valAx>
    </c:plotArea>
    <c:legend>
      <c:legendPos val="r"/>
      <c:overlay val="0"/>
      <c:txPr>
        <a:bodyPr/>
        <a:lstStyle/>
        <a:p>
          <a:pPr lvl="0">
            <a:defRPr b="0" sz="1800">
              <a:solidFill>
                <a:srgbClr val="1A1A1A"/>
              </a:solidFill>
              <a:latin typeface="serif"/>
            </a:defRPr>
          </a:pPr>
        </a:p>
      </c:txPr>
    </c:legend>
    <c:plotVisOnly val="1"/>
  </c:chart>
  <c:spPr>
    <a:solidFill>
      <a:srgbClr val="F3F3F3"/>
    </a:solidFill>
  </c:spPr>
</c:chartSpace>
</file>

<file path=xl/charts/chart10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serif"/>
              </a:defRPr>
            </a:pPr>
            <a:r>
              <a:rPr b="0" sz="2400">
                <a:solidFill>
                  <a:srgbClr val="757575"/>
                </a:solidFill>
                <a:latin typeface="serif"/>
              </a:rPr>
              <a:t>The Internet Bond</a:t>
            </a:r>
          </a:p>
        </c:rich>
      </c:tx>
      <c:overlay val="0"/>
    </c:title>
    <c:plotArea>
      <c:layout/>
      <c:lineChart>
        <c:varyColors val="0"/>
        <c:ser>
          <c:idx val="0"/>
          <c:order val="0"/>
          <c:tx>
            <c:strRef>
              <c:f>'Internet Bond (Final)'!$BD$30</c:f>
            </c:strRef>
          </c:tx>
          <c:spPr>
            <a:ln cmpd="sng">
              <a:solidFill>
                <a:srgbClr val="F1C232"/>
              </a:solidFill>
            </a:ln>
          </c:spPr>
          <c:marker>
            <c:symbol val="circle"/>
            <c:size val="7"/>
            <c:spPr>
              <a:solidFill>
                <a:srgbClr val="F1C232"/>
              </a:solidFill>
              <a:ln cmpd="sng">
                <a:solidFill>
                  <a:srgbClr val="F1C232"/>
                </a:solidFill>
              </a:ln>
            </c:spPr>
          </c:marker>
          <c:dPt>
            <c:idx val="0"/>
            <c:marker>
              <c:symbol val="none"/>
            </c:marker>
          </c:dPt>
          <c:dPt>
            <c:idx val="1"/>
            <c:marker>
              <c:symbol val="none"/>
            </c:marker>
          </c:dPt>
          <c:dPt>
            <c:idx val="3"/>
            <c:marker>
              <c:symbol val="none"/>
            </c:marker>
          </c:dPt>
          <c:dPt>
            <c:idx val="7"/>
            <c:marker>
              <c:symbol val="none"/>
            </c:marker>
          </c:dPt>
          <c:dLbls>
            <c:numFmt formatCode="General" sourceLinked="1"/>
            <c:txPr>
              <a:bodyPr/>
              <a:lstStyle/>
              <a:p>
                <a:pPr lvl="0">
                  <a:defRPr/>
                </a:pPr>
              </a:p>
            </c:txPr>
            <c:showLegendKey val="0"/>
            <c:showVal val="1"/>
            <c:showCatName val="0"/>
            <c:showSerName val="0"/>
            <c:showPercent val="0"/>
            <c:showBubbleSize val="0"/>
          </c:dLbls>
          <c:cat>
            <c:strRef>
              <c:f>'Internet Bond (Final)'!$BA$4:$BA$27</c:f>
            </c:strRef>
          </c:cat>
          <c:val>
            <c:numRef>
              <c:f>'Internet Bond (Final)'!$BD$31:$BD$54</c:f>
              <c:numCache/>
            </c:numRef>
          </c:val>
          <c:smooth val="1"/>
        </c:ser>
        <c:axId val="666958667"/>
        <c:axId val="815708843"/>
      </c:lineChart>
      <c:catAx>
        <c:axId val="666958667"/>
        <c:scaling>
          <c:orientation val="minMax"/>
          <c:max val="24.0"/>
        </c:scaling>
        <c:delete val="1"/>
        <c:axPos val="b"/>
        <c:numFmt formatCode="General" sourceLinked="1"/>
        <c:majorTickMark val="none"/>
        <c:minorTickMark val="none"/>
        <c:spPr/>
        <c:txPr>
          <a:bodyPr/>
          <a:lstStyle/>
          <a:p>
            <a:pPr lvl="0">
              <a:defRPr b="1" sz="1800">
                <a:solidFill>
                  <a:srgbClr val="000000"/>
                </a:solidFill>
                <a:latin typeface="serif"/>
              </a:defRPr>
            </a:pPr>
          </a:p>
        </c:txPr>
        <c:crossAx val="815708843"/>
      </c:catAx>
      <c:valAx>
        <c:axId val="815708843"/>
        <c:scaling>
          <c:orientation val="minMax"/>
          <c:max val="35000.0"/>
        </c:scaling>
        <c:delete val="0"/>
        <c:axPos val="r"/>
        <c:minorGridlines>
          <c:spPr>
            <a:ln>
              <a:solidFill>
                <a:srgbClr val="CCCCCC">
                  <a:alpha val="0"/>
                </a:srgbClr>
              </a:solidFill>
            </a:ln>
          </c:spPr>
        </c:minorGridlines>
        <c:title>
          <c:tx>
            <c:rich>
              <a:bodyPr/>
              <a:lstStyle/>
              <a:p>
                <a:pPr lvl="0">
                  <a:defRPr b="0" sz="2000">
                    <a:solidFill>
                      <a:srgbClr val="000000"/>
                    </a:solidFill>
                    <a:latin typeface="serif"/>
                  </a:defRPr>
                </a:pPr>
                <a:r>
                  <a:rPr b="0" sz="2000">
                    <a:solidFill>
                      <a:srgbClr val="000000"/>
                    </a:solidFill>
                    <a:latin typeface="serif"/>
                  </a:rPr>
                  <a:t>Bond Value</a:t>
                </a:r>
              </a:p>
            </c:rich>
          </c:tx>
          <c:overlay val="0"/>
        </c:title>
        <c:numFmt formatCode="General" sourceLinked="1"/>
        <c:majorTickMark val="none"/>
        <c:minorTickMark val="none"/>
        <c:tickLblPos val="nextTo"/>
        <c:spPr>
          <a:ln/>
        </c:spPr>
        <c:txPr>
          <a:bodyPr/>
          <a:lstStyle/>
          <a:p>
            <a:pPr lvl="0">
              <a:defRPr b="0" sz="1800">
                <a:solidFill>
                  <a:srgbClr val="000000"/>
                </a:solidFill>
                <a:latin typeface="serif"/>
              </a:defRPr>
            </a:pPr>
          </a:p>
        </c:txPr>
        <c:crossAx val="666958667"/>
        <c:crosses val="max"/>
      </c:valAx>
    </c:plotArea>
    <c:legend>
      <c:legendPos val="t"/>
      <c:overlay val="0"/>
      <c:txPr>
        <a:bodyPr/>
        <a:lstStyle/>
        <a:p>
          <a:pPr lvl="0">
            <a:defRPr b="0" sz="1800">
              <a:solidFill>
                <a:srgbClr val="1A1A1A"/>
              </a:solidFill>
              <a:latin typeface="serif"/>
            </a:defRPr>
          </a:pPr>
        </a:p>
      </c:txPr>
    </c:legend>
    <c:plotVisOnly val="1"/>
  </c:chart>
  <c:spPr>
    <a:solidFill>
      <a:srgbClr val="F3F3F3"/>
    </a:solidFill>
  </c:spPr>
</c:chartSpace>
</file>

<file path=xl/charts/chart10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serif"/>
              </a:defRPr>
            </a:pPr>
            <a:r>
              <a:rPr b="0" sz="2400">
                <a:solidFill>
                  <a:srgbClr val="757575"/>
                </a:solidFill>
                <a:latin typeface="serif"/>
              </a:rPr>
              <a:t>Eth2 Internet Bond</a:t>
            </a:r>
          </a:p>
        </c:rich>
      </c:tx>
      <c:layout>
        <c:manualLayout>
          <c:xMode val="edge"/>
          <c:yMode val="edge"/>
          <c:x val="0.03239837398373984"/>
          <c:y val="0.05"/>
        </c:manualLayout>
      </c:layout>
      <c:overlay val="0"/>
    </c:title>
    <c:plotArea>
      <c:layout/>
      <c:lineChart>
        <c:varyColors val="0"/>
        <c:ser>
          <c:idx val="0"/>
          <c:order val="0"/>
          <c:tx>
            <c:strRef>
              <c:f>'Internet Bond (Final)'!$BF$3</c:f>
            </c:strRef>
          </c:tx>
          <c:spPr>
            <a:ln cmpd="sng">
              <a:solidFill>
                <a:srgbClr val="38761D"/>
              </a:solidFill>
              <a:prstDash val="sysDot"/>
            </a:ln>
          </c:spPr>
          <c:marker>
            <c:symbol val="none"/>
          </c:marker>
          <c:dPt>
            <c:idx val="0"/>
            <c:marker>
              <c:symbol val="none"/>
            </c:marker>
          </c:dPt>
          <c:dPt>
            <c:idx val="1"/>
            <c:marker>
              <c:symbol val="none"/>
            </c:marker>
          </c:dPt>
          <c:dPt>
            <c:idx val="3"/>
            <c:marker>
              <c:symbol val="none"/>
            </c:marker>
          </c:dPt>
          <c:cat>
            <c:strRef>
              <c:f>'Internet Bond (Final)'!$BA$4:$BA$27</c:f>
            </c:strRef>
          </c:cat>
          <c:val>
            <c:numRef>
              <c:f>'Internet Bond (Final)'!$BF$4:$BF$27</c:f>
              <c:numCache/>
            </c:numRef>
          </c:val>
          <c:smooth val="1"/>
        </c:ser>
        <c:axId val="1186458487"/>
        <c:axId val="357317057"/>
      </c:lineChart>
      <c:catAx>
        <c:axId val="1186458487"/>
        <c:scaling>
          <c:orientation val="minMax"/>
          <c:max val="24.0"/>
        </c:scaling>
        <c:delete val="0"/>
        <c:axPos val="b"/>
        <c:title>
          <c:tx>
            <c:rich>
              <a:bodyPr/>
              <a:lstStyle/>
              <a:p>
                <a:pPr lvl="0">
                  <a:defRPr b="0" sz="2000">
                    <a:solidFill>
                      <a:srgbClr val="000000"/>
                    </a:solidFill>
                    <a:latin typeface="serif"/>
                  </a:defRPr>
                </a:pPr>
                <a:r>
                  <a:rPr b="0" sz="2000">
                    <a:solidFill>
                      <a:srgbClr val="000000"/>
                    </a:solidFill>
                    <a:latin typeface="serif"/>
                  </a:rPr>
                  <a:t>Month</a:t>
                </a:r>
              </a:p>
            </c:rich>
          </c:tx>
          <c:overlay val="0"/>
        </c:title>
        <c:numFmt formatCode="General" sourceLinked="1"/>
        <c:majorTickMark val="none"/>
        <c:minorTickMark val="cross"/>
        <c:spPr/>
        <c:txPr>
          <a:bodyPr/>
          <a:lstStyle/>
          <a:p>
            <a:pPr lvl="0">
              <a:defRPr b="1" sz="1800">
                <a:solidFill>
                  <a:srgbClr val="000000"/>
                </a:solidFill>
                <a:latin typeface="serif"/>
              </a:defRPr>
            </a:pPr>
          </a:p>
        </c:txPr>
        <c:crossAx val="357317057"/>
      </c:catAx>
      <c:valAx>
        <c:axId val="357317057"/>
        <c:scaling>
          <c:orientation val="minMax"/>
          <c:max val="7500000.0"/>
        </c:scaling>
        <c:delete val="0"/>
        <c:axPos val="l"/>
        <c:minorGridlines>
          <c:spPr>
            <a:ln>
              <a:solidFill>
                <a:srgbClr val="CCCCCC">
                  <a:alpha val="0"/>
                </a:srgbClr>
              </a:solidFill>
            </a:ln>
          </c:spPr>
        </c:minorGridlines>
        <c:title>
          <c:tx>
            <c:rich>
              <a:bodyPr/>
              <a:lstStyle/>
              <a:p>
                <a:pPr lvl="0">
                  <a:defRPr b="0" sz="2000">
                    <a:solidFill>
                      <a:srgbClr val="000000"/>
                    </a:solidFill>
                    <a:latin typeface="serif"/>
                  </a:defRPr>
                </a:pPr>
                <a:r>
                  <a:rPr b="0" sz="2000">
                    <a:solidFill>
                      <a:srgbClr val="000000"/>
                    </a:solidFill>
                    <a:latin typeface="serif"/>
                  </a:rPr>
                  <a:t>Total ETH Staked - Network</a:t>
                </a:r>
              </a:p>
            </c:rich>
          </c:tx>
          <c:overlay val="0"/>
        </c:title>
        <c:numFmt formatCode="#,##0" sourceLinked="0"/>
        <c:majorTickMark val="cross"/>
        <c:minorTickMark val="none"/>
        <c:tickLblPos val="nextTo"/>
        <c:spPr>
          <a:ln/>
        </c:spPr>
        <c:txPr>
          <a:bodyPr/>
          <a:lstStyle/>
          <a:p>
            <a:pPr lvl="0">
              <a:defRPr b="0" sz="1800">
                <a:solidFill>
                  <a:srgbClr val="000000"/>
                </a:solidFill>
                <a:latin typeface="serif"/>
              </a:defRPr>
            </a:pPr>
          </a:p>
        </c:txPr>
        <c:crossAx val="1186458487"/>
      </c:valAx>
      <c:lineChart>
        <c:varyColors val="0"/>
        <c:ser>
          <c:idx val="1"/>
          <c:order val="1"/>
          <c:tx>
            <c:strRef>
              <c:f>'Internet Bond (Final)'!$BE$3</c:f>
            </c:strRef>
          </c:tx>
          <c:spPr>
            <a:ln cmpd="sng">
              <a:solidFill>
                <a:srgbClr val="6D9EEB"/>
              </a:solidFill>
            </a:ln>
          </c:spPr>
          <c:marker>
            <c:symbol val="circle"/>
            <c:size val="7"/>
            <c:spPr>
              <a:solidFill>
                <a:srgbClr val="6D9EEB"/>
              </a:solidFill>
              <a:ln cmpd="sng">
                <a:solidFill>
                  <a:srgbClr val="6D9EEB"/>
                </a:solidFill>
              </a:ln>
            </c:spPr>
          </c:marker>
          <c:dPt>
            <c:idx val="5"/>
            <c:marker>
              <c:symbol val="none"/>
            </c:marker>
          </c:dPt>
          <c:dLbls>
            <c:numFmt formatCode="General" sourceLinked="1"/>
            <c:txPr>
              <a:bodyPr/>
              <a:lstStyle/>
              <a:p>
                <a:pPr lvl="0">
                  <a:defRPr/>
                </a:pPr>
              </a:p>
            </c:txPr>
            <c:showLegendKey val="0"/>
            <c:showVal val="1"/>
            <c:showCatName val="0"/>
            <c:showSerName val="0"/>
            <c:showPercent val="0"/>
            <c:showBubbleSize val="0"/>
          </c:dLbls>
          <c:cat>
            <c:strRef>
              <c:f>'Internet Bond (Final)'!$BA$4:$BA$27</c:f>
            </c:strRef>
          </c:cat>
          <c:val>
            <c:numRef>
              <c:f>'Internet Bond (Final)'!$BE$4:$BE$27</c:f>
              <c:numCache/>
            </c:numRef>
          </c:val>
          <c:smooth val="1"/>
        </c:ser>
        <c:axId val="1063618116"/>
        <c:axId val="24521897"/>
      </c:lineChart>
      <c:catAx>
        <c:axId val="1063618116"/>
        <c:scaling>
          <c:orientation val="minMax"/>
          <c:max val="24.0"/>
        </c:scaling>
        <c:delete val="1"/>
        <c:axPos val="b"/>
        <c:numFmt formatCode="General" sourceLinked="1"/>
        <c:majorTickMark val="none"/>
        <c:minorTickMark val="cross"/>
        <c:spPr/>
        <c:txPr>
          <a:bodyPr/>
          <a:lstStyle/>
          <a:p>
            <a:pPr lvl="0">
              <a:defRPr b="1" sz="1800">
                <a:solidFill>
                  <a:srgbClr val="000000"/>
                </a:solidFill>
                <a:latin typeface="serif"/>
              </a:defRPr>
            </a:pPr>
          </a:p>
        </c:txPr>
        <c:crossAx val="24521897"/>
      </c:catAx>
      <c:valAx>
        <c:axId val="24521897"/>
        <c:scaling>
          <c:orientation val="minMax"/>
          <c:max val="0.02"/>
        </c:scaling>
        <c:delete val="0"/>
        <c:axPos val="r"/>
        <c:minorGridlines>
          <c:spPr>
            <a:ln>
              <a:solidFill>
                <a:srgbClr val="CCCCCC">
                  <a:alpha val="0"/>
                </a:srgbClr>
              </a:solidFill>
            </a:ln>
          </c:spPr>
        </c:minorGridlines>
        <c:title>
          <c:tx>
            <c:rich>
              <a:bodyPr/>
              <a:lstStyle/>
              <a:p>
                <a:pPr lvl="0">
                  <a:defRPr b="0" sz="2000">
                    <a:solidFill>
                      <a:srgbClr val="000000"/>
                    </a:solidFill>
                    <a:latin typeface="serif"/>
                  </a:defRPr>
                </a:pPr>
                <a:r>
                  <a:rPr b="0" sz="2000">
                    <a:solidFill>
                      <a:srgbClr val="000000"/>
                    </a:solidFill>
                    <a:latin typeface="serif"/>
                  </a:rPr>
                  <a:t>Monthly Rewards</a:t>
                </a:r>
              </a:p>
            </c:rich>
          </c:tx>
          <c:overlay val="0"/>
        </c:title>
        <c:numFmt formatCode="General" sourceLinked="1"/>
        <c:majorTickMark val="cross"/>
        <c:minorTickMark val="none"/>
        <c:tickLblPos val="nextTo"/>
        <c:spPr>
          <a:ln/>
        </c:spPr>
        <c:txPr>
          <a:bodyPr/>
          <a:lstStyle/>
          <a:p>
            <a:pPr lvl="0">
              <a:defRPr b="0" sz="1800">
                <a:solidFill>
                  <a:srgbClr val="000000"/>
                </a:solidFill>
                <a:latin typeface="serif"/>
              </a:defRPr>
            </a:pPr>
          </a:p>
        </c:txPr>
        <c:crossAx val="1063618116"/>
        <c:crosses val="max"/>
      </c:valAx>
    </c:plotArea>
    <c:legend>
      <c:legendPos val="r"/>
      <c:overlay val="0"/>
      <c:txPr>
        <a:bodyPr/>
        <a:lstStyle/>
        <a:p>
          <a:pPr lvl="0">
            <a:defRPr b="0" sz="1800">
              <a:solidFill>
                <a:srgbClr val="1A1A1A"/>
              </a:solidFill>
              <a:latin typeface="serif"/>
            </a:defRPr>
          </a:pPr>
        </a:p>
      </c:txPr>
    </c:legend>
    <c:plotVisOnly val="1"/>
  </c:chart>
  <c:spPr>
    <a:solidFill>
      <a:srgbClr val="F3F3F3"/>
    </a:solidFill>
  </c:spPr>
</c:chartSpace>
</file>

<file path=xl/charts/chart1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serif"/>
              </a:defRPr>
            </a:pPr>
            <a:r>
              <a:rPr b="0" sz="2400">
                <a:solidFill>
                  <a:srgbClr val="757575"/>
                </a:solidFill>
                <a:latin typeface="serif"/>
              </a:rPr>
              <a:t>Eth2 Validator Rewards</a:t>
            </a:r>
          </a:p>
        </c:rich>
      </c:tx>
      <c:overlay val="0"/>
    </c:title>
    <c:plotArea>
      <c:layout>
        <c:manualLayout>
          <c:xMode val="edge"/>
          <c:yMode val="edge"/>
          <c:x val="0.12697171191481202"/>
          <c:y val="0.20342973674453096"/>
          <c:w val="0.8388763310629317"/>
          <c:h val="0.6542454579162031"/>
        </c:manualLayout>
      </c:layout>
      <c:lineChart>
        <c:varyColors val="0"/>
        <c:ser>
          <c:idx val="0"/>
          <c:order val="0"/>
          <c:tx>
            <c:strRef>
              <c:f>'Internet Bond (Final)'!$BU$3</c:f>
            </c:strRef>
          </c:tx>
          <c:spPr>
            <a:ln cmpd="sng">
              <a:solidFill>
                <a:srgbClr val="274E13"/>
              </a:solidFill>
            </a:ln>
          </c:spPr>
          <c:marker>
            <c:symbol val="circle"/>
            <c:size val="7"/>
            <c:spPr>
              <a:solidFill>
                <a:srgbClr val="274E13"/>
              </a:solidFill>
              <a:ln cmpd="sng">
                <a:solidFill>
                  <a:srgbClr val="274E13"/>
                </a:solidFill>
              </a:ln>
            </c:spPr>
          </c:marker>
          <c:dPt>
            <c:idx val="0"/>
            <c:marker>
              <c:symbol val="none"/>
            </c:marker>
          </c:dPt>
          <c:dPt>
            <c:idx val="1"/>
            <c:marker>
              <c:symbol val="none"/>
            </c:marker>
          </c:dPt>
          <c:dPt>
            <c:idx val="3"/>
            <c:marker>
              <c:symbol val="none"/>
            </c:marker>
          </c:dPt>
          <c:dPt>
            <c:idx val="7"/>
            <c:marker>
              <c:symbol val="none"/>
            </c:marker>
          </c:dPt>
          <c:dLbls>
            <c:numFmt formatCode="General" sourceLinked="1"/>
            <c:txPr>
              <a:bodyPr/>
              <a:lstStyle/>
              <a:p>
                <a:pPr lvl="0">
                  <a:defRPr b="1" sz="1600">
                    <a:latin typeface="serif"/>
                  </a:defRPr>
                </a:pPr>
              </a:p>
            </c:txPr>
            <c:showLegendKey val="0"/>
            <c:showVal val="1"/>
            <c:showCatName val="0"/>
            <c:showSerName val="0"/>
            <c:showPercent val="0"/>
            <c:showBubbleSize val="0"/>
          </c:dLbls>
          <c:cat>
            <c:strRef>
              <c:f>'Internet Bond (Final)'!$BT$4:$BT$23</c:f>
            </c:strRef>
          </c:cat>
          <c:val>
            <c:numRef>
              <c:f>'Internet Bond (Final)'!$BU$4:$BU$23</c:f>
              <c:numCache/>
            </c:numRef>
          </c:val>
          <c:smooth val="1"/>
        </c:ser>
        <c:axId val="1387121026"/>
        <c:axId val="1894779903"/>
      </c:lineChart>
      <c:catAx>
        <c:axId val="1387121026"/>
        <c:scaling>
          <c:orientation val="minMax"/>
          <c:max val="1.0E7"/>
        </c:scaling>
        <c:delete val="0"/>
        <c:axPos val="b"/>
        <c:title>
          <c:tx>
            <c:rich>
              <a:bodyPr/>
              <a:lstStyle/>
              <a:p>
                <a:pPr lvl="0">
                  <a:defRPr b="0" sz="2000">
                    <a:solidFill>
                      <a:srgbClr val="000000"/>
                    </a:solidFill>
                    <a:latin typeface="serif"/>
                  </a:defRPr>
                </a:pPr>
                <a:r>
                  <a:rPr b="0" sz="2000">
                    <a:solidFill>
                      <a:srgbClr val="000000"/>
                    </a:solidFill>
                    <a:latin typeface="serif"/>
                  </a:rPr>
                  <a:t>Total ETH Staked - Network</a:t>
                </a:r>
              </a:p>
            </c:rich>
          </c:tx>
          <c:overlay val="0"/>
        </c:title>
        <c:numFmt formatCode="General" sourceLinked="1"/>
        <c:majorTickMark val="cross"/>
        <c:minorTickMark val="none"/>
        <c:spPr/>
        <c:txPr>
          <a:bodyPr/>
          <a:lstStyle/>
          <a:p>
            <a:pPr lvl="0">
              <a:defRPr b="0" sz="1800">
                <a:solidFill>
                  <a:srgbClr val="000000"/>
                </a:solidFill>
                <a:latin typeface="serif"/>
              </a:defRPr>
            </a:pPr>
          </a:p>
        </c:txPr>
        <c:crossAx val="1894779903"/>
      </c:catAx>
      <c:valAx>
        <c:axId val="1894779903"/>
        <c:scaling>
          <c:orientation val="minMax"/>
          <c:max val="0.25"/>
        </c:scaling>
        <c:delete val="0"/>
        <c:axPos val="l"/>
        <c:minorGridlines>
          <c:spPr>
            <a:ln>
              <a:solidFill>
                <a:srgbClr val="CCCCCC">
                  <a:alpha val="0"/>
                </a:srgbClr>
              </a:solidFill>
            </a:ln>
          </c:spPr>
        </c:minorGridlines>
        <c:title>
          <c:tx>
            <c:rich>
              <a:bodyPr/>
              <a:lstStyle/>
              <a:p>
                <a:pPr lvl="0">
                  <a:defRPr b="0" sz="2000">
                    <a:solidFill>
                      <a:srgbClr val="000000"/>
                    </a:solidFill>
                    <a:latin typeface="serif"/>
                  </a:defRPr>
                </a:pPr>
                <a:r>
                  <a:rPr b="0" sz="2000">
                    <a:solidFill>
                      <a:srgbClr val="000000"/>
                    </a:solidFill>
                    <a:latin typeface="serif"/>
                  </a:rPr>
                  <a:t>Annualized Per Epoch Rewards</a:t>
                </a:r>
              </a:p>
            </c:rich>
          </c:tx>
          <c:overlay val="0"/>
        </c:title>
        <c:numFmt formatCode="0.00%" sourceLinked="0"/>
        <c:majorTickMark val="cross"/>
        <c:minorTickMark val="none"/>
        <c:tickLblPos val="nextTo"/>
        <c:spPr>
          <a:ln/>
        </c:spPr>
        <c:txPr>
          <a:bodyPr/>
          <a:lstStyle/>
          <a:p>
            <a:pPr lvl="0">
              <a:defRPr b="0" sz="1800">
                <a:solidFill>
                  <a:srgbClr val="000000"/>
                </a:solidFill>
                <a:latin typeface="serif"/>
              </a:defRPr>
            </a:pPr>
          </a:p>
        </c:txPr>
        <c:crossAx val="1387121026"/>
      </c:valAx>
    </c:plotArea>
    <c:legend>
      <c:legendPos val="t"/>
      <c:overlay val="0"/>
      <c:txPr>
        <a:bodyPr/>
        <a:lstStyle/>
        <a:p>
          <a:pPr lvl="0">
            <a:defRPr b="0" sz="1800">
              <a:solidFill>
                <a:srgbClr val="1A1A1A"/>
              </a:solidFill>
              <a:latin typeface="serif"/>
            </a:defRPr>
          </a:pPr>
        </a:p>
      </c:txPr>
    </c:legend>
    <c:plotVisOnly val="1"/>
  </c:chart>
  <c:spPr>
    <a:solidFill>
      <a:srgbClr val="F3F3F3"/>
    </a:solidFill>
  </c:spPr>
</c:chartSpace>
</file>

<file path=xl/charts/chart1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serif"/>
              </a:defRPr>
            </a:pPr>
            <a:r>
              <a:rPr b="0" sz="2400">
                <a:solidFill>
                  <a:srgbClr val="757575"/>
                </a:solidFill>
                <a:latin typeface="serif"/>
              </a:rPr>
              <a:t>The Internet Bond</a:t>
            </a:r>
          </a:p>
        </c:rich>
      </c:tx>
      <c:overlay val="0"/>
    </c:title>
    <c:plotArea>
      <c:layout/>
      <c:lineChart>
        <c:varyColors val="0"/>
        <c:ser>
          <c:idx val="0"/>
          <c:order val="0"/>
          <c:tx>
            <c:strRef>
              <c:f>'Internet Bond (Final)'!$BE$30</c:f>
            </c:strRef>
          </c:tx>
          <c:spPr>
            <a:ln cmpd="sng">
              <a:solidFill>
                <a:srgbClr val="85200C"/>
              </a:solidFill>
            </a:ln>
          </c:spPr>
          <c:marker>
            <c:symbol val="circle"/>
            <c:size val="7"/>
            <c:spPr>
              <a:solidFill>
                <a:srgbClr val="85200C"/>
              </a:solidFill>
              <a:ln cmpd="sng">
                <a:solidFill>
                  <a:srgbClr val="85200C"/>
                </a:solidFill>
              </a:ln>
            </c:spPr>
          </c:marker>
          <c:dPt>
            <c:idx val="0"/>
            <c:marker>
              <c:symbol val="none"/>
            </c:marker>
          </c:dPt>
          <c:dPt>
            <c:idx val="1"/>
            <c:marker>
              <c:symbol val="none"/>
            </c:marker>
          </c:dPt>
          <c:dPt>
            <c:idx val="3"/>
            <c:marker>
              <c:symbol val="none"/>
            </c:marker>
          </c:dPt>
          <c:dPt>
            <c:idx val="7"/>
            <c:marker>
              <c:symbol val="none"/>
            </c:marker>
          </c:dPt>
          <c:dLbls>
            <c:numFmt formatCode="General" sourceLinked="1"/>
            <c:txPr>
              <a:bodyPr/>
              <a:lstStyle/>
              <a:p>
                <a:pPr lvl="0">
                  <a:defRPr/>
                </a:pPr>
              </a:p>
            </c:txPr>
            <c:showLegendKey val="0"/>
            <c:showVal val="1"/>
            <c:showCatName val="0"/>
            <c:showSerName val="0"/>
            <c:showPercent val="0"/>
            <c:showBubbleSize val="0"/>
          </c:dLbls>
          <c:cat>
            <c:strRef>
              <c:f>'Internet Bond (Final)'!$BA$4:$BA$27</c:f>
            </c:strRef>
          </c:cat>
          <c:val>
            <c:numRef>
              <c:f>'Internet Bond (Final)'!$BE$31:$BE$54</c:f>
              <c:numCache/>
            </c:numRef>
          </c:val>
          <c:smooth val="1"/>
        </c:ser>
        <c:axId val="1454619382"/>
        <c:axId val="1875121389"/>
      </c:lineChart>
      <c:catAx>
        <c:axId val="1454619382"/>
        <c:scaling>
          <c:orientation val="minMax"/>
          <c:max val="24.0"/>
        </c:scaling>
        <c:delete val="1"/>
        <c:axPos val="b"/>
        <c:numFmt formatCode="General" sourceLinked="1"/>
        <c:majorTickMark val="none"/>
        <c:minorTickMark val="none"/>
        <c:spPr/>
        <c:txPr>
          <a:bodyPr/>
          <a:lstStyle/>
          <a:p>
            <a:pPr lvl="0">
              <a:defRPr b="1" sz="1800">
                <a:solidFill>
                  <a:srgbClr val="000000"/>
                </a:solidFill>
                <a:latin typeface="serif"/>
              </a:defRPr>
            </a:pPr>
          </a:p>
        </c:txPr>
        <c:crossAx val="1875121389"/>
      </c:catAx>
      <c:valAx>
        <c:axId val="1875121389"/>
        <c:scaling>
          <c:orientation val="minMax"/>
          <c:max val="35000.0"/>
        </c:scaling>
        <c:delete val="0"/>
        <c:axPos val="r"/>
        <c:minorGridlines>
          <c:spPr>
            <a:ln>
              <a:solidFill>
                <a:srgbClr val="CCCCCC">
                  <a:alpha val="0"/>
                </a:srgbClr>
              </a:solidFill>
            </a:ln>
          </c:spPr>
        </c:minorGridlines>
        <c:title>
          <c:tx>
            <c:rich>
              <a:bodyPr/>
              <a:lstStyle/>
              <a:p>
                <a:pPr lvl="0">
                  <a:defRPr b="0" sz="2000">
                    <a:solidFill>
                      <a:srgbClr val="000000"/>
                    </a:solidFill>
                    <a:latin typeface="serif"/>
                  </a:defRPr>
                </a:pPr>
                <a:r>
                  <a:rPr b="0" sz="2000">
                    <a:solidFill>
                      <a:srgbClr val="000000"/>
                    </a:solidFill>
                    <a:latin typeface="serif"/>
                  </a:rPr>
                  <a:t>Bond Value</a:t>
                </a:r>
              </a:p>
            </c:rich>
          </c:tx>
          <c:overlay val="0"/>
        </c:title>
        <c:numFmt formatCode="General" sourceLinked="1"/>
        <c:majorTickMark val="none"/>
        <c:minorTickMark val="none"/>
        <c:tickLblPos val="nextTo"/>
        <c:spPr>
          <a:ln/>
        </c:spPr>
        <c:txPr>
          <a:bodyPr/>
          <a:lstStyle/>
          <a:p>
            <a:pPr lvl="0">
              <a:defRPr b="0" sz="1800">
                <a:solidFill>
                  <a:srgbClr val="000000"/>
                </a:solidFill>
                <a:latin typeface="serif"/>
              </a:defRPr>
            </a:pPr>
          </a:p>
        </c:txPr>
        <c:crossAx val="1454619382"/>
        <c:crosses val="max"/>
      </c:valAx>
    </c:plotArea>
    <c:legend>
      <c:legendPos val="t"/>
      <c:overlay val="0"/>
      <c:txPr>
        <a:bodyPr/>
        <a:lstStyle/>
        <a:p>
          <a:pPr lvl="0">
            <a:defRPr b="0" sz="1800">
              <a:solidFill>
                <a:srgbClr val="1A1A1A"/>
              </a:solidFill>
              <a:latin typeface="serif"/>
            </a:defRPr>
          </a:pPr>
        </a:p>
      </c:txPr>
    </c:legend>
    <c:plotVisOnly val="1"/>
  </c:chart>
  <c:spPr>
    <a:solidFill>
      <a:srgbClr val="F3F3F3"/>
    </a:solidFill>
  </c:spPr>
</c:chartSpace>
</file>

<file path=xl/charts/chart1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serif"/>
              </a:defRPr>
            </a:pPr>
            <a:r>
              <a:rPr b="0" sz="2400">
                <a:solidFill>
                  <a:srgbClr val="757575"/>
                </a:solidFill>
                <a:latin typeface="serif"/>
              </a:rPr>
              <a:t>Eth2 Internet Bond</a:t>
            </a:r>
          </a:p>
        </c:rich>
      </c:tx>
      <c:overlay val="0"/>
    </c:title>
    <c:plotArea>
      <c:layout/>
      <c:lineChart>
        <c:ser>
          <c:idx val="0"/>
          <c:order val="0"/>
          <c:tx>
            <c:strRef>
              <c:f>'Internet Bond (Final)'!$BD$30</c:f>
            </c:strRef>
          </c:tx>
          <c:spPr>
            <a:ln cmpd="sng">
              <a:solidFill>
                <a:srgbClr val="F1C232"/>
              </a:solidFill>
            </a:ln>
          </c:spPr>
          <c:marker>
            <c:symbol val="none"/>
          </c:marker>
          <c:dPt>
            <c:idx val="0"/>
            <c:marker>
              <c:symbol val="none"/>
            </c:marker>
          </c:dPt>
          <c:dPt>
            <c:idx val="1"/>
            <c:marker>
              <c:symbol val="none"/>
            </c:marker>
          </c:dPt>
          <c:dPt>
            <c:idx val="3"/>
            <c:marker>
              <c:symbol val="none"/>
            </c:marker>
          </c:dPt>
          <c:dPt>
            <c:idx val="7"/>
            <c:marker>
              <c:symbol val="none"/>
            </c:marker>
          </c:dPt>
          <c:dLbls>
            <c:numFmt formatCode="General" sourceLinked="1"/>
            <c:txPr>
              <a:bodyPr/>
              <a:lstStyle/>
              <a:p>
                <a:pPr lvl="0">
                  <a:defRPr b="1"/>
                </a:pPr>
              </a:p>
            </c:txPr>
            <c:showLegendKey val="0"/>
            <c:showVal val="1"/>
            <c:showCatName val="0"/>
            <c:showSerName val="0"/>
            <c:showPercent val="0"/>
            <c:showBubbleSize val="0"/>
          </c:dLbls>
          <c:cat>
            <c:strRef>
              <c:f>'Internet Bond (Final)'!$BA$31:$BA$42</c:f>
            </c:strRef>
          </c:cat>
          <c:val>
            <c:numRef>
              <c:f>'Internet Bond (Final)'!$BD$31:$BD$42</c:f>
              <c:numCache/>
            </c:numRef>
          </c:val>
          <c:smooth val="1"/>
        </c:ser>
        <c:ser>
          <c:idx val="1"/>
          <c:order val="1"/>
          <c:tx>
            <c:strRef>
              <c:f>'Internet Bond (Final)'!$BB$30</c:f>
            </c:strRef>
          </c:tx>
          <c:spPr>
            <a:ln cmpd="sng">
              <a:solidFill>
                <a:srgbClr val="274E13"/>
              </a:solidFill>
              <a:prstDash val="sysDot"/>
            </a:ln>
          </c:spPr>
          <c:marker>
            <c:symbol val="none"/>
          </c:marker>
          <c:dPt>
            <c:idx val="0"/>
            <c:marker>
              <c:symbol val="none"/>
            </c:marker>
          </c:dPt>
          <c:dPt>
            <c:idx val="5"/>
            <c:marker>
              <c:symbol val="none"/>
            </c:marker>
          </c:dPt>
          <c:dLbls>
            <c:numFmt formatCode="General" sourceLinked="1"/>
            <c:txPr>
              <a:bodyPr/>
              <a:lstStyle/>
              <a:p>
                <a:pPr lvl="0">
                  <a:defRPr b="1"/>
                </a:pPr>
              </a:p>
            </c:txPr>
            <c:showLegendKey val="0"/>
            <c:showVal val="1"/>
            <c:showCatName val="0"/>
            <c:showSerName val="0"/>
            <c:showPercent val="0"/>
            <c:showBubbleSize val="0"/>
          </c:dLbls>
          <c:cat>
            <c:strRef>
              <c:f>'Internet Bond (Final)'!$BA$31:$BA$42</c:f>
            </c:strRef>
          </c:cat>
          <c:val>
            <c:numRef>
              <c:f>'Internet Bond (Final)'!$BB$31:$BB$42</c:f>
              <c:numCache/>
            </c:numRef>
          </c:val>
          <c:smooth val="1"/>
        </c:ser>
        <c:ser>
          <c:idx val="2"/>
          <c:order val="2"/>
          <c:tx>
            <c:strRef>
              <c:f>'Internet Bond (Final)'!$BE$30</c:f>
            </c:strRef>
          </c:tx>
          <c:spPr>
            <a:ln cmpd="sng">
              <a:solidFill>
                <a:srgbClr val="990000"/>
              </a:solidFill>
              <a:prstDash val="dashDot"/>
            </a:ln>
          </c:spPr>
          <c:marker>
            <c:symbol val="none"/>
          </c:marker>
          <c:dPt>
            <c:idx val="0"/>
            <c:marker>
              <c:symbol val="none"/>
            </c:marker>
          </c:dPt>
          <c:dPt>
            <c:idx val="14"/>
            <c:marker>
              <c:symbol val="none"/>
            </c:marker>
          </c:dPt>
          <c:dPt>
            <c:idx val="15"/>
            <c:marker>
              <c:symbol val="none"/>
            </c:marker>
          </c:dPt>
          <c:dLbls>
            <c:numFmt formatCode="General" sourceLinked="1"/>
            <c:txPr>
              <a:bodyPr/>
              <a:lstStyle/>
              <a:p>
                <a:pPr lvl="0">
                  <a:defRPr b="1"/>
                </a:pPr>
              </a:p>
            </c:txPr>
            <c:showLegendKey val="0"/>
            <c:showVal val="1"/>
            <c:showCatName val="0"/>
            <c:showSerName val="0"/>
            <c:showPercent val="0"/>
            <c:showBubbleSize val="0"/>
          </c:dLbls>
          <c:cat>
            <c:strRef>
              <c:f>'Internet Bond (Final)'!$BA$31:$BA$42</c:f>
            </c:strRef>
          </c:cat>
          <c:val>
            <c:numRef>
              <c:f>'Internet Bond (Final)'!$BE$31:$BE$42</c:f>
              <c:numCache/>
            </c:numRef>
          </c:val>
          <c:smooth val="1"/>
        </c:ser>
        <c:axId val="911665128"/>
        <c:axId val="1928558017"/>
      </c:lineChart>
      <c:catAx>
        <c:axId val="911665128"/>
        <c:scaling>
          <c:orientation val="minMax"/>
          <c:max val="12.0"/>
        </c:scaling>
        <c:delete val="1"/>
        <c:axPos val="b"/>
        <c:numFmt formatCode="General" sourceLinked="1"/>
        <c:majorTickMark val="none"/>
        <c:minorTickMark val="none"/>
        <c:spPr/>
        <c:txPr>
          <a:bodyPr/>
          <a:lstStyle/>
          <a:p>
            <a:pPr lvl="0">
              <a:defRPr b="1" sz="1800">
                <a:solidFill>
                  <a:srgbClr val="000000"/>
                </a:solidFill>
                <a:latin typeface="serif"/>
              </a:defRPr>
            </a:pPr>
          </a:p>
        </c:txPr>
        <c:crossAx val="1928558017"/>
      </c:catAx>
      <c:valAx>
        <c:axId val="1928558017"/>
        <c:scaling>
          <c:orientation val="minMax"/>
          <c:max val="25000.0"/>
        </c:scaling>
        <c:delete val="0"/>
        <c:axPos val="r"/>
        <c:title>
          <c:tx>
            <c:rich>
              <a:bodyPr/>
              <a:lstStyle/>
              <a:p>
                <a:pPr lvl="0">
                  <a:defRPr b="0" sz="2000">
                    <a:solidFill>
                      <a:srgbClr val="000000"/>
                    </a:solidFill>
                    <a:latin typeface="serif"/>
                  </a:defRPr>
                </a:pPr>
                <a:r>
                  <a:rPr b="0" sz="2000">
                    <a:solidFill>
                      <a:srgbClr val="000000"/>
                    </a:solidFill>
                    <a:latin typeface="serif"/>
                  </a:rPr>
                  <a:t>Asset Value</a:t>
                </a:r>
              </a:p>
            </c:rich>
          </c:tx>
          <c:overlay val="0"/>
        </c:title>
        <c:numFmt formatCode="General" sourceLinked="1"/>
        <c:majorTickMark val="cross"/>
        <c:minorTickMark val="none"/>
        <c:tickLblPos val="nextTo"/>
        <c:spPr>
          <a:ln/>
        </c:spPr>
        <c:txPr>
          <a:bodyPr/>
          <a:lstStyle/>
          <a:p>
            <a:pPr lvl="0">
              <a:defRPr b="0" sz="1800">
                <a:solidFill>
                  <a:srgbClr val="000000"/>
                </a:solidFill>
                <a:latin typeface="serif"/>
              </a:defRPr>
            </a:pPr>
          </a:p>
        </c:txPr>
        <c:crossAx val="911665128"/>
        <c:crosses val="max"/>
      </c:valAx>
    </c:plotArea>
    <c:legend>
      <c:legendPos val="r"/>
      <c:overlay val="0"/>
      <c:txPr>
        <a:bodyPr/>
        <a:lstStyle/>
        <a:p>
          <a:pPr lvl="0">
            <a:defRPr b="0" sz="1800">
              <a:solidFill>
                <a:srgbClr val="1A1A1A"/>
              </a:solidFill>
              <a:latin typeface="serif"/>
            </a:defRPr>
          </a:pPr>
        </a:p>
      </c:txPr>
    </c:legend>
    <c:plotVisOnly val="1"/>
  </c:chart>
  <c:spPr>
    <a:solidFill>
      <a:srgbClr val="F3F3F3"/>
    </a:solidFill>
  </c:spPr>
</c:chartSpace>
</file>

<file path=xl/charts/chart1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serif"/>
              </a:defRPr>
            </a:pPr>
            <a:r>
              <a:rPr b="0" sz="2400">
                <a:solidFill>
                  <a:srgbClr val="757575"/>
                </a:solidFill>
                <a:latin typeface="serif"/>
              </a:rPr>
              <a:t>Eth2 Internet Bond</a:t>
            </a:r>
          </a:p>
        </c:rich>
      </c:tx>
      <c:overlay val="0"/>
    </c:title>
    <c:plotArea>
      <c:layout/>
      <c:lineChart>
        <c:ser>
          <c:idx val="0"/>
          <c:order val="0"/>
          <c:tx>
            <c:strRef>
              <c:f>'Internet Bond (Final)'!$BD$57</c:f>
            </c:strRef>
          </c:tx>
          <c:spPr>
            <a:ln cmpd="sng">
              <a:solidFill>
                <a:srgbClr val="F1C232"/>
              </a:solidFill>
              <a:prstDash val="sysDot"/>
            </a:ln>
          </c:spPr>
          <c:marker>
            <c:symbol val="none"/>
          </c:marker>
          <c:dPt>
            <c:idx val="0"/>
            <c:marker>
              <c:symbol val="none"/>
            </c:marker>
          </c:dPt>
          <c:dPt>
            <c:idx val="1"/>
            <c:marker>
              <c:symbol val="none"/>
            </c:marker>
          </c:dPt>
          <c:dPt>
            <c:idx val="3"/>
            <c:marker>
              <c:symbol val="none"/>
            </c:marker>
          </c:dPt>
          <c:dPt>
            <c:idx val="7"/>
            <c:marker>
              <c:symbol val="none"/>
            </c:marker>
          </c:dPt>
          <c:dLbls>
            <c:numFmt formatCode="General" sourceLinked="1"/>
            <c:txPr>
              <a:bodyPr/>
              <a:lstStyle/>
              <a:p>
                <a:pPr lvl="0">
                  <a:defRPr b="1"/>
                </a:pPr>
              </a:p>
            </c:txPr>
            <c:showLegendKey val="0"/>
            <c:showVal val="1"/>
            <c:showCatName val="0"/>
            <c:showSerName val="0"/>
            <c:showPercent val="0"/>
            <c:showBubbleSize val="0"/>
          </c:dLbls>
          <c:cat>
            <c:strRef>
              <c:f>'Internet Bond (Final)'!$BA$58:$BA$69</c:f>
            </c:strRef>
          </c:cat>
          <c:val>
            <c:numRef>
              <c:f>'Internet Bond (Final)'!$BD$58:$BD$69</c:f>
              <c:numCache/>
            </c:numRef>
          </c:val>
          <c:smooth val="1"/>
        </c:ser>
        <c:ser>
          <c:idx val="1"/>
          <c:order val="1"/>
          <c:tx>
            <c:strRef>
              <c:f>'Internet Bond (Final)'!$BB$57</c:f>
            </c:strRef>
          </c:tx>
          <c:spPr>
            <a:ln cmpd="sng">
              <a:solidFill>
                <a:srgbClr val="274E13"/>
              </a:solidFill>
              <a:prstDash val="dashDot"/>
            </a:ln>
          </c:spPr>
          <c:marker>
            <c:symbol val="none"/>
          </c:marker>
          <c:dPt>
            <c:idx val="0"/>
            <c:marker>
              <c:symbol val="none"/>
            </c:marker>
          </c:dPt>
          <c:dPt>
            <c:idx val="5"/>
            <c:marker>
              <c:symbol val="none"/>
            </c:marker>
          </c:dPt>
          <c:cat>
            <c:strRef>
              <c:f>'Internet Bond (Final)'!$BA$58:$BA$69</c:f>
            </c:strRef>
          </c:cat>
          <c:val>
            <c:numRef>
              <c:f>'Internet Bond (Final)'!$BB$58:$BB$69</c:f>
              <c:numCache/>
            </c:numRef>
          </c:val>
          <c:smooth val="1"/>
        </c:ser>
        <c:ser>
          <c:idx val="2"/>
          <c:order val="2"/>
          <c:tx>
            <c:strRef>
              <c:f>'Internet Bond (Final)'!$BE$57</c:f>
            </c:strRef>
          </c:tx>
          <c:spPr>
            <a:ln cmpd="sng">
              <a:solidFill>
                <a:srgbClr val="990000"/>
              </a:solidFill>
            </a:ln>
          </c:spPr>
          <c:marker>
            <c:symbol val="none"/>
          </c:marker>
          <c:dPt>
            <c:idx val="0"/>
            <c:marker>
              <c:symbol val="none"/>
            </c:marker>
          </c:dPt>
          <c:dPt>
            <c:idx val="14"/>
            <c:marker>
              <c:symbol val="none"/>
            </c:marker>
          </c:dPt>
          <c:dPt>
            <c:idx val="15"/>
            <c:marker>
              <c:symbol val="none"/>
            </c:marker>
          </c:dPt>
          <c:dLbls>
            <c:numFmt formatCode="General" sourceLinked="1"/>
            <c:txPr>
              <a:bodyPr/>
              <a:lstStyle/>
              <a:p>
                <a:pPr lvl="0">
                  <a:defRPr b="1"/>
                </a:pPr>
              </a:p>
            </c:txPr>
            <c:showLegendKey val="0"/>
            <c:showVal val="1"/>
            <c:showCatName val="0"/>
            <c:showSerName val="0"/>
            <c:showPercent val="0"/>
            <c:showBubbleSize val="0"/>
          </c:dLbls>
          <c:cat>
            <c:strRef>
              <c:f>'Internet Bond (Final)'!$BA$58:$BA$69</c:f>
            </c:strRef>
          </c:cat>
          <c:val>
            <c:numRef>
              <c:f>'Internet Bond (Final)'!$BE$58:$BE$69</c:f>
              <c:numCache/>
            </c:numRef>
          </c:val>
          <c:smooth val="1"/>
        </c:ser>
        <c:axId val="2046266021"/>
        <c:axId val="510715160"/>
      </c:lineChart>
      <c:catAx>
        <c:axId val="2046266021"/>
        <c:scaling>
          <c:orientation val="minMax"/>
          <c:max val="24.0"/>
        </c:scaling>
        <c:delete val="1"/>
        <c:axPos val="b"/>
        <c:numFmt formatCode="General" sourceLinked="1"/>
        <c:majorTickMark val="none"/>
        <c:minorTickMark val="none"/>
        <c:spPr/>
        <c:txPr>
          <a:bodyPr/>
          <a:lstStyle/>
          <a:p>
            <a:pPr lvl="0">
              <a:defRPr b="1" sz="1800">
                <a:solidFill>
                  <a:srgbClr val="000000"/>
                </a:solidFill>
                <a:latin typeface="serif"/>
              </a:defRPr>
            </a:pPr>
          </a:p>
        </c:txPr>
        <c:crossAx val="510715160"/>
      </c:catAx>
      <c:valAx>
        <c:axId val="510715160"/>
        <c:scaling>
          <c:orientation val="minMax"/>
          <c:max val="35000.0"/>
        </c:scaling>
        <c:delete val="0"/>
        <c:axPos val="r"/>
        <c:minorGridlines>
          <c:spPr>
            <a:ln>
              <a:solidFill>
                <a:srgbClr val="CCCCCC">
                  <a:alpha val="0"/>
                </a:srgbClr>
              </a:solidFill>
            </a:ln>
          </c:spPr>
        </c:minorGridlines>
        <c:title>
          <c:tx>
            <c:rich>
              <a:bodyPr/>
              <a:lstStyle/>
              <a:p>
                <a:pPr lvl="0">
                  <a:defRPr b="0" sz="2000">
                    <a:solidFill>
                      <a:srgbClr val="000000"/>
                    </a:solidFill>
                    <a:latin typeface="serif"/>
                  </a:defRPr>
                </a:pPr>
                <a:r>
                  <a:rPr b="0" sz="2000">
                    <a:solidFill>
                      <a:srgbClr val="000000"/>
                    </a:solidFill>
                    <a:latin typeface="serif"/>
                  </a:rPr>
                  <a:t>Bond Value</a:t>
                </a:r>
              </a:p>
            </c:rich>
          </c:tx>
          <c:overlay val="0"/>
        </c:title>
        <c:numFmt formatCode="General" sourceLinked="1"/>
        <c:majorTickMark val="cross"/>
        <c:minorTickMark val="none"/>
        <c:tickLblPos val="nextTo"/>
        <c:spPr>
          <a:ln/>
        </c:spPr>
        <c:txPr>
          <a:bodyPr/>
          <a:lstStyle/>
          <a:p>
            <a:pPr lvl="0">
              <a:defRPr b="0" sz="1800">
                <a:solidFill>
                  <a:srgbClr val="000000"/>
                </a:solidFill>
                <a:latin typeface="serif"/>
              </a:defRPr>
            </a:pPr>
          </a:p>
        </c:txPr>
        <c:crossAx val="2046266021"/>
        <c:crosses val="max"/>
      </c:valAx>
    </c:plotArea>
    <c:legend>
      <c:legendPos val="r"/>
      <c:overlay val="0"/>
      <c:txPr>
        <a:bodyPr/>
        <a:lstStyle/>
        <a:p>
          <a:pPr lvl="0">
            <a:defRPr b="0" sz="1800">
              <a:solidFill>
                <a:srgbClr val="1A1A1A"/>
              </a:solidFill>
              <a:latin typeface="serif"/>
            </a:defRPr>
          </a:pPr>
        </a:p>
      </c:txPr>
    </c:legend>
    <c:plotVisOnly val="1"/>
  </c:chart>
  <c:spPr>
    <a:solidFill>
      <a:srgbClr val="F3F3F3"/>
    </a:solidFill>
  </c:spPr>
</c:chartSpace>
</file>

<file path=xl/charts/chart1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serif"/>
              </a:defRPr>
            </a:pPr>
            <a:r>
              <a:rPr b="0" sz="2400">
                <a:solidFill>
                  <a:srgbClr val="757575"/>
                </a:solidFill>
                <a:latin typeface="serif"/>
              </a:rPr>
              <a:t>Eth2 Internet Bond</a:t>
            </a:r>
          </a:p>
        </c:rich>
      </c:tx>
      <c:overlay val="0"/>
    </c:title>
    <c:plotArea>
      <c:layout/>
      <c:areaChart>
        <c:grouping val="stacked"/>
        <c:ser>
          <c:idx val="0"/>
          <c:order val="0"/>
          <c:tx>
            <c:strRef>
              <c:f>'Internet Bond (Final)'!$BJ$3</c:f>
            </c:strRef>
          </c:tx>
          <c:spPr>
            <a:solidFill>
              <a:srgbClr val="274E13">
                <a:alpha val="50000"/>
              </a:srgbClr>
            </a:solidFill>
            <a:ln cmpd="sng">
              <a:solidFill>
                <a:srgbClr val="274E13"/>
              </a:solidFill>
            </a:ln>
          </c:spPr>
          <c:cat>
            <c:strRef>
              <c:f>'Internet Bond (Final)'!$BA$4:$BA$27</c:f>
            </c:strRef>
          </c:cat>
          <c:val>
            <c:numRef>
              <c:f>'Internet Bond (Final)'!$BJ$4:$BJ$27</c:f>
              <c:numCache/>
            </c:numRef>
          </c:val>
        </c:ser>
        <c:axId val="38998824"/>
        <c:axId val="2005233365"/>
      </c:areaChart>
      <c:catAx>
        <c:axId val="38998824"/>
        <c:scaling>
          <c:orientation val="minMax"/>
          <c:max val="24.0"/>
        </c:scaling>
        <c:delete val="1"/>
        <c:axPos val="b"/>
        <c:numFmt formatCode="General" sourceLinked="1"/>
        <c:majorTickMark val="none"/>
        <c:minorTickMark val="none"/>
        <c:spPr/>
        <c:txPr>
          <a:bodyPr/>
          <a:lstStyle/>
          <a:p>
            <a:pPr lvl="0">
              <a:defRPr b="1" sz="1800">
                <a:solidFill>
                  <a:srgbClr val="000000"/>
                </a:solidFill>
                <a:latin typeface="serif"/>
              </a:defRPr>
            </a:pPr>
          </a:p>
        </c:txPr>
        <c:crossAx val="2005233365"/>
      </c:catAx>
      <c:valAx>
        <c:axId val="2005233365"/>
        <c:scaling>
          <c:orientation val="minMax"/>
          <c:max val="6.0E9"/>
        </c:scaling>
        <c:delete val="0"/>
        <c:axPos val="r"/>
        <c:title>
          <c:tx>
            <c:rich>
              <a:bodyPr/>
              <a:lstStyle/>
              <a:p>
                <a:pPr lvl="0">
                  <a:defRPr b="0" sz="2000">
                    <a:solidFill>
                      <a:srgbClr val="000000"/>
                    </a:solidFill>
                    <a:latin typeface="serif"/>
                  </a:defRPr>
                </a:pPr>
                <a:r>
                  <a:rPr b="0" sz="2000">
                    <a:solidFill>
                      <a:srgbClr val="000000"/>
                    </a:solidFill>
                    <a:latin typeface="serif"/>
                  </a:rPr>
                  <a:t>Total Stake Value ($bn)</a:t>
                </a:r>
              </a:p>
            </c:rich>
          </c:tx>
          <c:overlay val="0"/>
        </c:title>
        <c:numFmt formatCode="&quot;$&quot;#,##0" sourceLinked="0"/>
        <c:majorTickMark val="cross"/>
        <c:minorTickMark val="none"/>
        <c:tickLblPos val="nextTo"/>
        <c:spPr>
          <a:ln/>
        </c:spPr>
        <c:txPr>
          <a:bodyPr/>
          <a:lstStyle/>
          <a:p>
            <a:pPr lvl="0">
              <a:defRPr b="0" sz="1800">
                <a:solidFill>
                  <a:srgbClr val="000000"/>
                </a:solidFill>
                <a:latin typeface="serif"/>
              </a:defRPr>
            </a:pPr>
          </a:p>
        </c:txPr>
        <c:crossAx val="38998824"/>
        <c:crosses val="max"/>
      </c:valAx>
    </c:plotArea>
    <c:legend>
      <c:legendPos val="t"/>
      <c:overlay val="0"/>
      <c:txPr>
        <a:bodyPr/>
        <a:lstStyle/>
        <a:p>
          <a:pPr lvl="0">
            <a:defRPr b="0" sz="1800">
              <a:solidFill>
                <a:srgbClr val="1A1A1A"/>
              </a:solidFill>
              <a:latin typeface="serif"/>
            </a:defRPr>
          </a:pPr>
        </a:p>
      </c:txPr>
    </c:legend>
    <c:plotVisOnly val="1"/>
  </c:chart>
  <c:spPr>
    <a:solidFill>
      <a:srgbClr val="F3F3F3"/>
    </a:solidFill>
  </c:spPr>
</c:chartSpace>
</file>

<file path=xl/charts/chart1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serif"/>
              </a:defRPr>
            </a:pPr>
            <a:r>
              <a:rPr b="0" sz="2400">
                <a:solidFill>
                  <a:srgbClr val="757575"/>
                </a:solidFill>
                <a:latin typeface="serif"/>
              </a:rPr>
              <a:t>Eth2 Internet Bond</a:t>
            </a:r>
          </a:p>
        </c:rich>
      </c:tx>
      <c:overlay val="0"/>
    </c:title>
    <c:plotArea>
      <c:layout/>
      <c:lineChart>
        <c:varyColors val="0"/>
        <c:ser>
          <c:idx val="0"/>
          <c:order val="0"/>
          <c:tx>
            <c:strRef>
              <c:f>'Internet Bond (Final)'!$BK$3</c:f>
            </c:strRef>
          </c:tx>
          <c:spPr>
            <a:ln cmpd="sng">
              <a:solidFill>
                <a:srgbClr val="E69138"/>
              </a:solidFill>
            </a:ln>
          </c:spPr>
          <c:marker>
            <c:symbol val="circle"/>
            <c:size val="7"/>
            <c:spPr>
              <a:solidFill>
                <a:srgbClr val="E69138"/>
              </a:solidFill>
              <a:ln cmpd="sng">
                <a:solidFill>
                  <a:srgbClr val="E69138"/>
                </a:solidFill>
              </a:ln>
            </c:spPr>
          </c:marker>
          <c:dPt>
            <c:idx val="0"/>
            <c:marker>
              <c:symbol val="none"/>
            </c:marker>
          </c:dPt>
          <c:dPt>
            <c:idx val="1"/>
            <c:marker>
              <c:symbol val="none"/>
            </c:marker>
          </c:dPt>
          <c:dPt>
            <c:idx val="3"/>
            <c:marker>
              <c:symbol val="none"/>
            </c:marker>
          </c:dPt>
          <c:dPt>
            <c:idx val="7"/>
            <c:marker>
              <c:symbol val="none"/>
            </c:marker>
          </c:dPt>
          <c:dLbls>
            <c:numFmt formatCode="General" sourceLinked="1"/>
            <c:txPr>
              <a:bodyPr/>
              <a:lstStyle/>
              <a:p>
                <a:pPr lvl="0">
                  <a:defRPr/>
                </a:pPr>
              </a:p>
            </c:txPr>
            <c:showLegendKey val="0"/>
            <c:showVal val="1"/>
            <c:showCatName val="0"/>
            <c:showSerName val="0"/>
            <c:showPercent val="0"/>
            <c:showBubbleSize val="0"/>
          </c:dLbls>
          <c:cat>
            <c:strRef>
              <c:f>'Internet Bond (Final)'!$BA$4:$BA$27</c:f>
            </c:strRef>
          </c:cat>
          <c:val>
            <c:numRef>
              <c:f>'Internet Bond (Final)'!$BK$4:$BK$27</c:f>
              <c:numCache/>
            </c:numRef>
          </c:val>
          <c:smooth val="1"/>
        </c:ser>
        <c:axId val="1926498069"/>
        <c:axId val="2053454899"/>
      </c:lineChart>
      <c:catAx>
        <c:axId val="1926498069"/>
        <c:scaling>
          <c:orientation val="minMax"/>
          <c:max val="24.0"/>
        </c:scaling>
        <c:delete val="1"/>
        <c:axPos val="b"/>
        <c:numFmt formatCode="General" sourceLinked="1"/>
        <c:majorTickMark val="none"/>
        <c:minorTickMark val="none"/>
        <c:spPr/>
        <c:txPr>
          <a:bodyPr/>
          <a:lstStyle/>
          <a:p>
            <a:pPr lvl="0">
              <a:defRPr b="1" sz="1800">
                <a:solidFill>
                  <a:srgbClr val="000000"/>
                </a:solidFill>
                <a:latin typeface="serif"/>
              </a:defRPr>
            </a:pPr>
          </a:p>
        </c:txPr>
        <c:crossAx val="2053454899"/>
      </c:catAx>
      <c:valAx>
        <c:axId val="2053454899"/>
        <c:scaling>
          <c:orientation val="minMax"/>
          <c:max val="0.065"/>
        </c:scaling>
        <c:delete val="0"/>
        <c:axPos val="r"/>
        <c:minorGridlines>
          <c:spPr>
            <a:ln>
              <a:solidFill>
                <a:srgbClr val="CCCCCC">
                  <a:alpha val="0"/>
                </a:srgbClr>
              </a:solidFill>
            </a:ln>
          </c:spPr>
        </c:minorGridlines>
        <c:title>
          <c:tx>
            <c:rich>
              <a:bodyPr/>
              <a:lstStyle/>
              <a:p>
                <a:pPr lvl="0">
                  <a:defRPr b="0" sz="2000">
                    <a:solidFill>
                      <a:srgbClr val="000000"/>
                    </a:solidFill>
                    <a:latin typeface="serif"/>
                  </a:defRPr>
                </a:pPr>
                <a:r>
                  <a:rPr b="0" sz="2000">
                    <a:solidFill>
                      <a:srgbClr val="000000"/>
                    </a:solidFill>
                    <a:latin typeface="serif"/>
                  </a:rPr>
                  <a:t>Stake Rate (total supply)</a:t>
                </a:r>
              </a:p>
            </c:rich>
          </c:tx>
          <c:overlay val="0"/>
        </c:title>
        <c:numFmt formatCode="General" sourceLinked="1"/>
        <c:majorTickMark val="none"/>
        <c:minorTickMark val="none"/>
        <c:tickLblPos val="nextTo"/>
        <c:spPr>
          <a:ln/>
        </c:spPr>
        <c:txPr>
          <a:bodyPr/>
          <a:lstStyle/>
          <a:p>
            <a:pPr lvl="0">
              <a:defRPr b="0" sz="1800">
                <a:solidFill>
                  <a:srgbClr val="000000"/>
                </a:solidFill>
                <a:latin typeface="serif"/>
              </a:defRPr>
            </a:pPr>
          </a:p>
        </c:txPr>
        <c:crossAx val="1926498069"/>
        <c:crosses val="max"/>
      </c:valAx>
    </c:plotArea>
    <c:legend>
      <c:legendPos val="t"/>
      <c:overlay val="0"/>
      <c:txPr>
        <a:bodyPr/>
        <a:lstStyle/>
        <a:p>
          <a:pPr lvl="0">
            <a:defRPr b="0" sz="1800">
              <a:solidFill>
                <a:srgbClr val="1A1A1A"/>
              </a:solidFill>
              <a:latin typeface="serif"/>
            </a:defRPr>
          </a:pPr>
        </a:p>
      </c:txPr>
    </c:legend>
    <c:plotVisOnly val="1"/>
  </c:chart>
  <c:spPr>
    <a:solidFill>
      <a:srgbClr val="F3F3F3"/>
    </a:solidFill>
  </c:spPr>
</c:chartSpace>
</file>

<file path=xl/charts/chart1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serif"/>
              </a:defRPr>
            </a:pPr>
            <a:r>
              <a:rPr b="0" sz="2400">
                <a:solidFill>
                  <a:srgbClr val="757575"/>
                </a:solidFill>
                <a:latin typeface="serif"/>
              </a:rPr>
              <a:t>The Internet Bond</a:t>
            </a:r>
          </a:p>
        </c:rich>
      </c:tx>
      <c:overlay val="0"/>
    </c:title>
    <c:plotArea>
      <c:layout/>
      <c:lineChart>
        <c:varyColors val="0"/>
        <c:ser>
          <c:idx val="1"/>
          <c:order val="1"/>
          <c:tx>
            <c:strRef>
              <c:f>'Internet Bond (Final)'!$BL$3</c:f>
            </c:strRef>
          </c:tx>
          <c:spPr>
            <a:ln cmpd="sng">
              <a:solidFill>
                <a:srgbClr val="8E7CC3"/>
              </a:solidFill>
              <a:prstDash val="dashDot"/>
            </a:ln>
          </c:spPr>
          <c:marker>
            <c:symbol val="none"/>
          </c:marker>
          <c:dPt>
            <c:idx val="0"/>
            <c:marker>
              <c:symbol val="none"/>
            </c:marker>
          </c:dPt>
          <c:dPt>
            <c:idx val="5"/>
            <c:marker>
              <c:symbol val="none"/>
            </c:marker>
          </c:dPt>
          <c:dLbls>
            <c:numFmt formatCode="General" sourceLinked="1"/>
            <c:txPr>
              <a:bodyPr/>
              <a:lstStyle/>
              <a:p>
                <a:pPr lvl="0">
                  <a:defRPr/>
                </a:pPr>
              </a:p>
            </c:txPr>
            <c:showLegendKey val="0"/>
            <c:showVal val="1"/>
            <c:showCatName val="0"/>
            <c:showSerName val="0"/>
            <c:showPercent val="0"/>
            <c:showBubbleSize val="0"/>
          </c:dLbls>
          <c:cat>
            <c:strRef>
              <c:f>'Internet Bond (Final)'!$BA$4:$BA$27</c:f>
            </c:strRef>
          </c:cat>
          <c:val>
            <c:numRef>
              <c:f>'Internet Bond (Final)'!$BL$4:$BL$27</c:f>
              <c:numCache/>
            </c:numRef>
          </c:val>
          <c:smooth val="1"/>
        </c:ser>
        <c:axId val="1324051696"/>
        <c:axId val="596569401"/>
      </c:lineChart>
      <c:catAx>
        <c:axId val="1324051696"/>
        <c:scaling>
          <c:orientation val="minMax"/>
          <c:max val="24.0"/>
        </c:scaling>
        <c:delete val="0"/>
        <c:axPos val="b"/>
        <c:title>
          <c:tx>
            <c:rich>
              <a:bodyPr/>
              <a:lstStyle/>
              <a:p>
                <a:pPr lvl="0">
                  <a:defRPr b="0" sz="2000">
                    <a:solidFill>
                      <a:srgbClr val="000000"/>
                    </a:solidFill>
                    <a:latin typeface="serif"/>
                  </a:defRPr>
                </a:pPr>
                <a:r>
                  <a:rPr b="0" sz="2000">
                    <a:solidFill>
                      <a:srgbClr val="000000"/>
                    </a:solidFill>
                    <a:latin typeface="serif"/>
                  </a:rPr>
                  <a:t>Month</a:t>
                </a:r>
              </a:p>
            </c:rich>
          </c:tx>
          <c:overlay val="0"/>
        </c:title>
        <c:numFmt formatCode="General" sourceLinked="1"/>
        <c:majorTickMark val="none"/>
        <c:minorTickMark val="none"/>
        <c:spPr/>
        <c:txPr>
          <a:bodyPr/>
          <a:lstStyle/>
          <a:p>
            <a:pPr lvl="0">
              <a:defRPr b="1" sz="1800">
                <a:solidFill>
                  <a:srgbClr val="000000"/>
                </a:solidFill>
                <a:latin typeface="serif"/>
              </a:defRPr>
            </a:pPr>
          </a:p>
        </c:txPr>
        <c:crossAx val="596569401"/>
      </c:catAx>
      <c:valAx>
        <c:axId val="596569401"/>
        <c:scaling>
          <c:orientation val="minMax"/>
          <c:max val="3.1E-4"/>
        </c:scaling>
        <c:delete val="0"/>
        <c:axPos val="l"/>
        <c:minorGridlines>
          <c:spPr>
            <a:ln>
              <a:solidFill>
                <a:srgbClr val="CCCCCC">
                  <a:alpha val="0"/>
                </a:srgbClr>
              </a:solidFill>
            </a:ln>
          </c:spPr>
        </c:minorGridlines>
        <c:title>
          <c:tx>
            <c:rich>
              <a:bodyPr/>
              <a:lstStyle/>
              <a:p>
                <a:pPr lvl="0">
                  <a:defRPr b="0" sz="2000">
                    <a:solidFill>
                      <a:srgbClr val="000000"/>
                    </a:solidFill>
                    <a:latin typeface="serif"/>
                  </a:defRPr>
                </a:pPr>
                <a:r>
                  <a:rPr b="0" sz="2000">
                    <a:solidFill>
                      <a:srgbClr val="000000"/>
                    </a:solidFill>
                    <a:latin typeface="serif"/>
                  </a:rPr>
                  <a:t>Network Issuance (% Month)</a:t>
                </a:r>
              </a:p>
            </c:rich>
          </c:tx>
          <c:overlay val="0"/>
        </c:title>
        <c:numFmt formatCode="0.00%" sourceLinked="0"/>
        <c:majorTickMark val="none"/>
        <c:minorTickMark val="none"/>
        <c:tickLblPos val="nextTo"/>
        <c:spPr>
          <a:ln/>
        </c:spPr>
        <c:txPr>
          <a:bodyPr/>
          <a:lstStyle/>
          <a:p>
            <a:pPr lvl="0">
              <a:defRPr b="0" sz="1800">
                <a:solidFill>
                  <a:srgbClr val="000000"/>
                </a:solidFill>
                <a:latin typeface="serif"/>
              </a:defRPr>
            </a:pPr>
          </a:p>
        </c:txPr>
        <c:crossAx val="1324051696"/>
      </c:valAx>
      <c:lineChart>
        <c:varyColors val="0"/>
        <c:ser>
          <c:idx val="0"/>
          <c:order val="0"/>
          <c:tx>
            <c:strRef>
              <c:f>'Internet Bond (Final)'!$BM$3</c:f>
            </c:strRef>
          </c:tx>
          <c:spPr>
            <a:ln cmpd="sng">
              <a:solidFill>
                <a:srgbClr val="274E13"/>
              </a:solidFill>
            </a:ln>
          </c:spPr>
          <c:marker>
            <c:symbol val="circle"/>
            <c:size val="7"/>
            <c:spPr>
              <a:solidFill>
                <a:srgbClr val="274E13"/>
              </a:solidFill>
              <a:ln cmpd="sng">
                <a:solidFill>
                  <a:srgbClr val="274E13"/>
                </a:solidFill>
              </a:ln>
            </c:spPr>
          </c:marker>
          <c:dPt>
            <c:idx val="0"/>
            <c:marker>
              <c:symbol val="none"/>
            </c:marker>
          </c:dPt>
          <c:dPt>
            <c:idx val="1"/>
            <c:marker>
              <c:symbol val="none"/>
            </c:marker>
          </c:dPt>
          <c:dPt>
            <c:idx val="3"/>
            <c:marker>
              <c:symbol val="none"/>
            </c:marker>
          </c:dPt>
          <c:dPt>
            <c:idx val="7"/>
            <c:marker>
              <c:symbol val="none"/>
            </c:marker>
          </c:dPt>
          <c:dLbls>
            <c:numFmt formatCode="General" sourceLinked="1"/>
            <c:txPr>
              <a:bodyPr/>
              <a:lstStyle/>
              <a:p>
                <a:pPr lvl="0">
                  <a:defRPr/>
                </a:pPr>
              </a:p>
            </c:txPr>
            <c:showLegendKey val="0"/>
            <c:showVal val="1"/>
            <c:showCatName val="0"/>
            <c:showSerName val="0"/>
            <c:showPercent val="0"/>
            <c:showBubbleSize val="0"/>
          </c:dLbls>
          <c:cat>
            <c:strRef>
              <c:f>'Internet Bond (Final)'!$BA$4:$BA$27</c:f>
            </c:strRef>
          </c:cat>
          <c:val>
            <c:numRef>
              <c:f>'Internet Bond (Final)'!$BM$4:$BM$27</c:f>
              <c:numCache/>
            </c:numRef>
          </c:val>
          <c:smooth val="1"/>
        </c:ser>
        <c:axId val="884553352"/>
        <c:axId val="1418059149"/>
      </c:lineChart>
      <c:catAx>
        <c:axId val="884553352"/>
        <c:scaling>
          <c:orientation val="minMax"/>
          <c:max val="24.0"/>
        </c:scaling>
        <c:delete val="1"/>
        <c:axPos val="b"/>
        <c:numFmt formatCode="General" sourceLinked="1"/>
        <c:majorTickMark val="none"/>
        <c:minorTickMark val="none"/>
        <c:spPr/>
        <c:txPr>
          <a:bodyPr/>
          <a:lstStyle/>
          <a:p>
            <a:pPr lvl="0">
              <a:defRPr b="1" sz="1800">
                <a:solidFill>
                  <a:srgbClr val="000000"/>
                </a:solidFill>
                <a:latin typeface="serif"/>
              </a:defRPr>
            </a:pPr>
          </a:p>
        </c:txPr>
        <c:crossAx val="1418059149"/>
      </c:catAx>
      <c:valAx>
        <c:axId val="1418059149"/>
        <c:scaling>
          <c:orientation val="minMax"/>
          <c:max val="35000.0"/>
        </c:scaling>
        <c:delete val="0"/>
        <c:axPos val="r"/>
        <c:minorGridlines>
          <c:spPr>
            <a:ln>
              <a:solidFill>
                <a:srgbClr val="CCCCCC">
                  <a:alpha val="0"/>
                </a:srgbClr>
              </a:solidFill>
            </a:ln>
          </c:spPr>
        </c:minorGridlines>
        <c:title>
          <c:tx>
            <c:rich>
              <a:bodyPr/>
              <a:lstStyle/>
              <a:p>
                <a:pPr lvl="0">
                  <a:defRPr b="0" sz="2000">
                    <a:solidFill>
                      <a:srgbClr val="000000"/>
                    </a:solidFill>
                    <a:latin typeface="serif"/>
                  </a:defRPr>
                </a:pPr>
                <a:r>
                  <a:rPr b="0" sz="2000">
                    <a:solidFill>
                      <a:srgbClr val="000000"/>
                    </a:solidFill>
                    <a:latin typeface="serif"/>
                  </a:rPr>
                  <a:t>Monthly Issuance (ETH)</a:t>
                </a:r>
              </a:p>
            </c:rich>
          </c:tx>
          <c:overlay val="0"/>
        </c:title>
        <c:numFmt formatCode="General" sourceLinked="1"/>
        <c:majorTickMark val="none"/>
        <c:minorTickMark val="none"/>
        <c:tickLblPos val="nextTo"/>
        <c:spPr>
          <a:ln/>
        </c:spPr>
        <c:txPr>
          <a:bodyPr/>
          <a:lstStyle/>
          <a:p>
            <a:pPr lvl="0">
              <a:defRPr b="0" sz="1800">
                <a:solidFill>
                  <a:srgbClr val="000000"/>
                </a:solidFill>
                <a:latin typeface="serif"/>
              </a:defRPr>
            </a:pPr>
          </a:p>
        </c:txPr>
        <c:crossAx val="884553352"/>
        <c:crosses val="max"/>
      </c:valAx>
    </c:plotArea>
    <c:legend>
      <c:legendPos val="t"/>
      <c:overlay val="0"/>
      <c:txPr>
        <a:bodyPr/>
        <a:lstStyle/>
        <a:p>
          <a:pPr lvl="0">
            <a:defRPr b="0" sz="1800">
              <a:solidFill>
                <a:srgbClr val="1A1A1A"/>
              </a:solidFill>
              <a:latin typeface="serif"/>
            </a:defRPr>
          </a:pPr>
        </a:p>
      </c:txPr>
    </c:legend>
    <c:plotVisOnly val="1"/>
  </c:chart>
  <c:spPr>
    <a:solidFill>
      <a:srgbClr val="F3F3F3"/>
    </a:solidFill>
  </c:spPr>
</c:chartSpace>
</file>

<file path=xl/charts/chart1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serif"/>
              </a:defRPr>
            </a:pPr>
            <a:r>
              <a:rPr b="0" sz="2400">
                <a:solidFill>
                  <a:srgbClr val="757575"/>
                </a:solidFill>
                <a:latin typeface="serif"/>
              </a:rPr>
              <a:t>Eth2 Internet Bond</a:t>
            </a:r>
          </a:p>
        </c:rich>
      </c:tx>
      <c:overlay val="0"/>
    </c:title>
    <c:plotArea>
      <c:layout/>
      <c:areaChart>
        <c:grouping val="stacked"/>
        <c:ser>
          <c:idx val="1"/>
          <c:order val="1"/>
          <c:tx>
            <c:strRef>
              <c:f>'Internet Bond (Final)'!$BQ$3</c:f>
            </c:strRef>
          </c:tx>
          <c:spPr>
            <a:solidFill>
              <a:srgbClr val="E69138">
                <a:alpha val="0"/>
              </a:srgbClr>
            </a:solidFill>
            <a:ln cmpd="sng">
              <a:solidFill>
                <a:srgbClr val="E69138"/>
              </a:solidFill>
              <a:prstDash val="dashDot"/>
            </a:ln>
          </c:spPr>
          <c:dLbls>
            <c:numFmt formatCode="General" sourceLinked="1"/>
            <c:txPr>
              <a:bodyPr/>
              <a:lstStyle/>
              <a:p>
                <a:pPr lvl="0">
                  <a:defRPr/>
                </a:pPr>
              </a:p>
            </c:txPr>
            <c:showLegendKey val="0"/>
            <c:showVal val="1"/>
            <c:showCatName val="0"/>
            <c:showSerName val="0"/>
            <c:showPercent val="0"/>
            <c:showBubbleSize val="0"/>
          </c:dLbls>
          <c:cat>
            <c:strRef>
              <c:f>'Internet Bond (Final)'!$BA$4:$BA$27</c:f>
            </c:strRef>
          </c:cat>
          <c:val>
            <c:numRef>
              <c:f>'Internet Bond (Final)'!$BQ$4:$BQ$27</c:f>
              <c:numCache/>
            </c:numRef>
          </c:val>
        </c:ser>
        <c:axId val="106144088"/>
        <c:axId val="2022193135"/>
      </c:areaChart>
      <c:catAx>
        <c:axId val="106144088"/>
        <c:scaling>
          <c:orientation val="minMax"/>
          <c:max val="24.0"/>
        </c:scaling>
        <c:delete val="0"/>
        <c:axPos val="b"/>
        <c:title>
          <c:tx>
            <c:rich>
              <a:bodyPr/>
              <a:lstStyle/>
              <a:p>
                <a:pPr lvl="0">
                  <a:defRPr b="0" sz="2000">
                    <a:solidFill>
                      <a:srgbClr val="000000"/>
                    </a:solidFill>
                    <a:latin typeface="serif"/>
                  </a:defRPr>
                </a:pPr>
                <a:r>
                  <a:rPr b="0" sz="2000">
                    <a:solidFill>
                      <a:srgbClr val="000000"/>
                    </a:solidFill>
                    <a:latin typeface="serif"/>
                  </a:rPr>
                  <a:t>Month</a:t>
                </a:r>
              </a:p>
            </c:rich>
          </c:tx>
          <c:overlay val="0"/>
        </c:title>
        <c:numFmt formatCode="General" sourceLinked="1"/>
        <c:majorTickMark val="none"/>
        <c:minorTickMark val="none"/>
        <c:spPr/>
        <c:txPr>
          <a:bodyPr/>
          <a:lstStyle/>
          <a:p>
            <a:pPr lvl="0">
              <a:defRPr b="1" sz="1800">
                <a:solidFill>
                  <a:srgbClr val="000000"/>
                </a:solidFill>
                <a:latin typeface="serif"/>
              </a:defRPr>
            </a:pPr>
          </a:p>
        </c:txPr>
        <c:crossAx val="2022193135"/>
      </c:catAx>
      <c:valAx>
        <c:axId val="2022193135"/>
        <c:scaling>
          <c:orientation val="minMax"/>
          <c:max val="0.00435"/>
        </c:scaling>
        <c:delete val="0"/>
        <c:axPos val="l"/>
        <c:title>
          <c:tx>
            <c:rich>
              <a:bodyPr/>
              <a:lstStyle/>
              <a:p>
                <a:pPr lvl="0">
                  <a:defRPr b="0" sz="2000">
                    <a:solidFill>
                      <a:srgbClr val="000000"/>
                    </a:solidFill>
                    <a:latin typeface="serif"/>
                  </a:defRPr>
                </a:pPr>
                <a:r>
                  <a:rPr b="0" sz="2000">
                    <a:solidFill>
                      <a:srgbClr val="000000"/>
                    </a:solidFill>
                    <a:latin typeface="serif"/>
                  </a:rPr>
                  <a:t>Total ETH Staked - Network</a:t>
                </a:r>
              </a:p>
            </c:rich>
          </c:tx>
          <c:overlay val="0"/>
        </c:title>
        <c:numFmt formatCode="General" sourceLinked="1"/>
        <c:majorTickMark val="none"/>
        <c:minorTickMark val="none"/>
        <c:tickLblPos val="nextTo"/>
        <c:spPr>
          <a:ln/>
        </c:spPr>
        <c:txPr>
          <a:bodyPr/>
          <a:lstStyle/>
          <a:p>
            <a:pPr lvl="0">
              <a:defRPr b="0" sz="1800">
                <a:solidFill>
                  <a:srgbClr val="000000"/>
                </a:solidFill>
                <a:latin typeface="serif"/>
              </a:defRPr>
            </a:pPr>
          </a:p>
        </c:txPr>
        <c:crossAx val="106144088"/>
      </c:valAx>
      <c:areaChart>
        <c:grouping val="stacked"/>
        <c:ser>
          <c:idx val="0"/>
          <c:order val="0"/>
          <c:tx>
            <c:strRef>
              <c:f>'Internet Bond (Final)'!$BR$3</c:f>
            </c:strRef>
          </c:tx>
          <c:spPr>
            <a:solidFill>
              <a:srgbClr val="0B5394">
                <a:alpha val="30000"/>
              </a:srgbClr>
            </a:solidFill>
            <a:ln cmpd="sng">
              <a:solidFill>
                <a:srgbClr val="0B5394"/>
              </a:solidFill>
            </a:ln>
          </c:spPr>
          <c:cat>
            <c:strRef>
              <c:f>'Internet Bond (Final)'!$BA$4:$BA$27</c:f>
            </c:strRef>
          </c:cat>
          <c:val>
            <c:numRef>
              <c:f>'Internet Bond (Final)'!$BR$4:$BR$27</c:f>
              <c:numCache/>
            </c:numRef>
          </c:val>
        </c:ser>
        <c:axId val="1021661658"/>
        <c:axId val="1036705873"/>
      </c:areaChart>
      <c:catAx>
        <c:axId val="1021661658"/>
        <c:scaling>
          <c:orientation val="minMax"/>
          <c:max val="24.0"/>
        </c:scaling>
        <c:delete val="1"/>
        <c:axPos val="b"/>
        <c:numFmt formatCode="General" sourceLinked="1"/>
        <c:majorTickMark val="none"/>
        <c:minorTickMark val="none"/>
        <c:spPr/>
        <c:txPr>
          <a:bodyPr/>
          <a:lstStyle/>
          <a:p>
            <a:pPr lvl="0">
              <a:defRPr b="1" sz="1800">
                <a:solidFill>
                  <a:srgbClr val="000000"/>
                </a:solidFill>
                <a:latin typeface="serif"/>
              </a:defRPr>
            </a:pPr>
          </a:p>
        </c:txPr>
        <c:crossAx val="1036705873"/>
      </c:catAx>
      <c:valAx>
        <c:axId val="1036705873"/>
        <c:scaling>
          <c:orientation val="minMax"/>
          <c:max val="1.25E8"/>
        </c:scaling>
        <c:delete val="0"/>
        <c:axPos val="r"/>
        <c:minorGridlines>
          <c:spPr>
            <a:ln>
              <a:solidFill>
                <a:srgbClr val="CCCCCC">
                  <a:alpha val="0"/>
                </a:srgbClr>
              </a:solidFill>
            </a:ln>
          </c:spPr>
        </c:minorGridlines>
        <c:title>
          <c:tx>
            <c:rich>
              <a:bodyPr/>
              <a:lstStyle/>
              <a:p>
                <a:pPr lvl="0">
                  <a:defRPr b="0" sz="2000">
                    <a:solidFill>
                      <a:srgbClr val="000000"/>
                    </a:solidFill>
                    <a:latin typeface="serif"/>
                  </a:defRPr>
                </a:pPr>
                <a:r>
                  <a:rPr b="0" sz="2000">
                    <a:solidFill>
                      <a:srgbClr val="000000"/>
                    </a:solidFill>
                    <a:latin typeface="serif"/>
                  </a:rPr>
                  <a:t>Total Supply (ETH)</a:t>
                </a:r>
              </a:p>
            </c:rich>
          </c:tx>
          <c:overlay val="0"/>
        </c:title>
        <c:numFmt formatCode="#,##0_);(#,##0)" sourceLinked="0"/>
        <c:majorTickMark val="none"/>
        <c:minorTickMark val="none"/>
        <c:tickLblPos val="nextTo"/>
        <c:spPr>
          <a:ln/>
        </c:spPr>
        <c:txPr>
          <a:bodyPr/>
          <a:lstStyle/>
          <a:p>
            <a:pPr lvl="0">
              <a:defRPr b="0" sz="1800">
                <a:solidFill>
                  <a:srgbClr val="000000"/>
                </a:solidFill>
                <a:latin typeface="serif"/>
              </a:defRPr>
            </a:pPr>
          </a:p>
        </c:txPr>
        <c:crossAx val="1021661658"/>
        <c:crosses val="max"/>
      </c:valAx>
    </c:plotArea>
    <c:legend>
      <c:legendPos val="t"/>
      <c:overlay val="0"/>
      <c:txPr>
        <a:bodyPr/>
        <a:lstStyle/>
        <a:p>
          <a:pPr lvl="0">
            <a:defRPr b="0" sz="1800">
              <a:solidFill>
                <a:srgbClr val="1A1A1A"/>
              </a:solidFill>
              <a:latin typeface="serif"/>
            </a:defRPr>
          </a:pPr>
        </a:p>
      </c:txPr>
    </c:legend>
    <c:plotVisOnly val="1"/>
  </c:chart>
  <c:spPr>
    <a:solidFill>
      <a:srgbClr val="F3F3F3"/>
    </a:solidFill>
  </c:spPr>
</c:chartSpace>
</file>

<file path=xl/charts/chart1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serif"/>
              </a:defRPr>
            </a:pPr>
            <a:r>
              <a:rPr b="0" sz="2400">
                <a:solidFill>
                  <a:srgbClr val="757575"/>
                </a:solidFill>
                <a:latin typeface="serif"/>
              </a:rPr>
              <a:t>Eth2 Internet Bond</a:t>
            </a:r>
          </a:p>
        </c:rich>
      </c:tx>
      <c:overlay val="0"/>
    </c:title>
    <c:plotArea>
      <c:layout/>
      <c:barChart>
        <c:barDir val="col"/>
        <c:grouping val="stacked"/>
        <c:ser>
          <c:idx val="0"/>
          <c:order val="0"/>
          <c:tx>
            <c:strRef>
              <c:f>'Internet Bond (Final)'!$BL$3</c:f>
            </c:strRef>
          </c:tx>
          <c:spPr>
            <a:solidFill>
              <a:srgbClr val="274E13"/>
            </a:solidFill>
            <a:ln cmpd="sng">
              <a:solidFill>
                <a:srgbClr val="000000"/>
              </a:solidFill>
            </a:ln>
          </c:spPr>
          <c:dPt>
            <c:idx val="0"/>
          </c:dPt>
          <c:dPt>
            <c:idx val="1"/>
          </c:dPt>
          <c:dPt>
            <c:idx val="3"/>
          </c:dPt>
          <c:dPt>
            <c:idx val="7"/>
          </c:dPt>
          <c:cat>
            <c:strRef>
              <c:f>'Internet Bond (Final)'!$BA$4:$BA$27</c:f>
            </c:strRef>
          </c:cat>
          <c:val>
            <c:numRef>
              <c:f>'Internet Bond (Final)'!$BL$4:$BL$27</c:f>
              <c:numCache/>
            </c:numRef>
          </c:val>
        </c:ser>
        <c:ser>
          <c:idx val="1"/>
          <c:order val="1"/>
          <c:tx>
            <c:strRef>
              <c:f>'Internet Bond (Final)'!$BN$3</c:f>
            </c:strRef>
          </c:tx>
          <c:spPr>
            <a:solidFill>
              <a:srgbClr val="8E7CC3"/>
            </a:solidFill>
            <a:ln cmpd="sng">
              <a:solidFill>
                <a:srgbClr val="000000"/>
              </a:solidFill>
            </a:ln>
          </c:spPr>
          <c:dPt>
            <c:idx val="0"/>
          </c:dPt>
          <c:dPt>
            <c:idx val="5"/>
          </c:dPt>
          <c:dPt>
            <c:idx val="7"/>
          </c:dPt>
          <c:cat>
            <c:strRef>
              <c:f>'Internet Bond (Final)'!$BA$4:$BA$27</c:f>
            </c:strRef>
          </c:cat>
          <c:val>
            <c:numRef>
              <c:f>'Internet Bond (Final)'!$BN$4:$BN$27</c:f>
              <c:numCache/>
            </c:numRef>
          </c:val>
        </c:ser>
        <c:overlap val="100"/>
        <c:axId val="1079729139"/>
        <c:axId val="71535290"/>
      </c:barChart>
      <c:catAx>
        <c:axId val="1079729139"/>
        <c:scaling>
          <c:orientation val="minMax"/>
          <c:max val="24.0"/>
        </c:scaling>
        <c:delete val="0"/>
        <c:axPos val="b"/>
        <c:numFmt formatCode="General" sourceLinked="1"/>
        <c:majorTickMark val="none"/>
        <c:minorTickMark val="none"/>
        <c:spPr/>
        <c:txPr>
          <a:bodyPr/>
          <a:lstStyle/>
          <a:p>
            <a:pPr lvl="0">
              <a:defRPr b="1" sz="1800">
                <a:solidFill>
                  <a:srgbClr val="000000"/>
                </a:solidFill>
                <a:latin typeface="serif"/>
              </a:defRPr>
            </a:pPr>
          </a:p>
        </c:txPr>
        <c:crossAx val="71535290"/>
      </c:catAx>
      <c:valAx>
        <c:axId val="71535290"/>
        <c:scaling>
          <c:orientation val="minMax"/>
          <c:max val="0.0045"/>
        </c:scaling>
        <c:delete val="0"/>
        <c:axPos val="r"/>
        <c:minorGridlines>
          <c:spPr>
            <a:ln>
              <a:solidFill>
                <a:srgbClr val="CCCCCC">
                  <a:alpha val="0"/>
                </a:srgbClr>
              </a:solidFill>
            </a:ln>
          </c:spPr>
        </c:minorGridlines>
        <c:title>
          <c:tx>
            <c:rich>
              <a:bodyPr/>
              <a:lstStyle/>
              <a:p>
                <a:pPr lvl="0">
                  <a:defRPr b="0" sz="2000">
                    <a:solidFill>
                      <a:srgbClr val="000000"/>
                    </a:solidFill>
                    <a:latin typeface="serif"/>
                  </a:defRPr>
                </a:pPr>
                <a:r>
                  <a:rPr b="0" sz="2000">
                    <a:solidFill>
                      <a:srgbClr val="000000"/>
                    </a:solidFill>
                    <a:latin typeface="serif"/>
                  </a:rPr>
                  <a:t>Monthly Issuance (ETH)</a:t>
                </a:r>
              </a:p>
            </c:rich>
          </c:tx>
          <c:overlay val="0"/>
        </c:title>
        <c:numFmt formatCode="0.00%" sourceLinked="0"/>
        <c:majorTickMark val="none"/>
        <c:minorTickMark val="none"/>
        <c:tickLblPos val="nextTo"/>
        <c:spPr>
          <a:ln/>
        </c:spPr>
        <c:txPr>
          <a:bodyPr/>
          <a:lstStyle/>
          <a:p>
            <a:pPr lvl="0">
              <a:defRPr b="0" sz="1800">
                <a:solidFill>
                  <a:srgbClr val="000000"/>
                </a:solidFill>
                <a:latin typeface="serif"/>
              </a:defRPr>
            </a:pPr>
          </a:p>
        </c:txPr>
        <c:crossAx val="1079729139"/>
        <c:crosses val="max"/>
      </c:valAx>
    </c:plotArea>
    <c:legend>
      <c:legendPos val="t"/>
      <c:overlay val="0"/>
      <c:txPr>
        <a:bodyPr/>
        <a:lstStyle/>
        <a:p>
          <a:pPr lvl="0">
            <a:defRPr b="0" sz="1800">
              <a:solidFill>
                <a:srgbClr val="1A1A1A"/>
              </a:solidFill>
              <a:latin typeface="serif"/>
            </a:defRPr>
          </a:pPr>
        </a:p>
      </c:txPr>
    </c:legend>
    <c:plotVisOnly val="1"/>
  </c:chart>
  <c:spPr>
    <a:solidFill>
      <a:srgbClr val="F3F3F3"/>
    </a:solidFill>
  </c:spPr>
</c:chartSpace>
</file>

<file path=xl/charts/chart1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serif"/>
              </a:defRPr>
            </a:pPr>
            <a:r>
              <a:rPr b="0" sz="2400">
                <a:solidFill>
                  <a:srgbClr val="757575"/>
                </a:solidFill>
                <a:latin typeface="serif"/>
              </a:rPr>
              <a:t>Eth2 Internet Bond</a:t>
            </a:r>
          </a:p>
        </c:rich>
      </c:tx>
      <c:overlay val="0"/>
    </c:title>
    <c:plotArea>
      <c:layout/>
      <c:areaChart>
        <c:grouping val="stacked"/>
        <c:ser>
          <c:idx val="0"/>
          <c:order val="0"/>
          <c:tx>
            <c:strRef>
              <c:f>'Internet Bond (Final)'!$BJ$3</c:f>
            </c:strRef>
          </c:tx>
          <c:spPr>
            <a:solidFill>
              <a:srgbClr val="F1C232"/>
            </a:solidFill>
            <a:ln cmpd="sng">
              <a:solidFill>
                <a:srgbClr val="F1C232"/>
              </a:solidFill>
            </a:ln>
          </c:spPr>
          <c:cat>
            <c:strRef>
              <c:f>'Internet Bond (Final)'!$BA$4:$BA$27</c:f>
            </c:strRef>
          </c:cat>
          <c:val>
            <c:numRef>
              <c:f>'Internet Bond (Final)'!$BJ$4:$BJ$27</c:f>
              <c:numCache/>
            </c:numRef>
          </c:val>
        </c:ser>
        <c:ser>
          <c:idx val="1"/>
          <c:order val="1"/>
          <c:tx>
            <c:strRef>
              <c:f>'Internet Bond (Final)'!$BS$3</c:f>
            </c:strRef>
          </c:tx>
          <c:spPr>
            <a:solidFill>
              <a:srgbClr val="274E13">
                <a:alpha val="30000"/>
              </a:srgbClr>
            </a:solidFill>
            <a:ln cmpd="sng">
              <a:solidFill>
                <a:srgbClr val="274E13"/>
              </a:solidFill>
            </a:ln>
          </c:spPr>
          <c:cat>
            <c:strRef>
              <c:f>'Internet Bond (Final)'!$BA$4:$BA$27</c:f>
            </c:strRef>
          </c:cat>
          <c:val>
            <c:numRef>
              <c:f>'Internet Bond (Final)'!$BS$4:$BS$27</c:f>
              <c:numCache/>
            </c:numRef>
          </c:val>
        </c:ser>
        <c:axId val="485424289"/>
        <c:axId val="690172997"/>
      </c:areaChart>
      <c:catAx>
        <c:axId val="485424289"/>
        <c:scaling>
          <c:orientation val="minMax"/>
          <c:max val="24.0"/>
        </c:scaling>
        <c:delete val="1"/>
        <c:axPos val="b"/>
        <c:numFmt formatCode="General" sourceLinked="1"/>
        <c:majorTickMark val="none"/>
        <c:minorTickMark val="none"/>
        <c:spPr/>
        <c:txPr>
          <a:bodyPr/>
          <a:lstStyle/>
          <a:p>
            <a:pPr lvl="0">
              <a:defRPr b="1" sz="1800">
                <a:solidFill>
                  <a:srgbClr val="000000"/>
                </a:solidFill>
                <a:latin typeface="serif"/>
              </a:defRPr>
            </a:pPr>
          </a:p>
        </c:txPr>
        <c:crossAx val="690172997"/>
      </c:catAx>
      <c:valAx>
        <c:axId val="690172997"/>
        <c:scaling>
          <c:orientation val="minMax"/>
          <c:max val="1.0E11"/>
        </c:scaling>
        <c:delete val="0"/>
        <c:axPos val="r"/>
        <c:title>
          <c:tx>
            <c:rich>
              <a:bodyPr/>
              <a:lstStyle/>
              <a:p>
                <a:pPr lvl="0">
                  <a:defRPr b="0" sz="2000">
                    <a:solidFill>
                      <a:srgbClr val="000000"/>
                    </a:solidFill>
                    <a:latin typeface="serif"/>
                  </a:defRPr>
                </a:pPr>
                <a:r>
                  <a:rPr b="0" sz="2000">
                    <a:solidFill>
                      <a:srgbClr val="000000"/>
                    </a:solidFill>
                    <a:latin typeface="serif"/>
                  </a:rPr>
                  <a:t>Total Stake Value ($bn)</a:t>
                </a:r>
              </a:p>
            </c:rich>
          </c:tx>
          <c:overlay val="0"/>
        </c:title>
        <c:numFmt formatCode="&quot;$&quot;#,##0" sourceLinked="0"/>
        <c:majorTickMark val="cross"/>
        <c:minorTickMark val="none"/>
        <c:tickLblPos val="nextTo"/>
        <c:spPr>
          <a:ln/>
        </c:spPr>
        <c:txPr>
          <a:bodyPr/>
          <a:lstStyle/>
          <a:p>
            <a:pPr lvl="0">
              <a:defRPr b="0" sz="1800">
                <a:solidFill>
                  <a:srgbClr val="000000"/>
                </a:solidFill>
                <a:latin typeface="serif"/>
              </a:defRPr>
            </a:pPr>
          </a:p>
        </c:txPr>
        <c:crossAx val="485424289"/>
        <c:crosses val="max"/>
      </c:valAx>
    </c:plotArea>
    <c:legend>
      <c:legendPos val="t"/>
      <c:overlay val="0"/>
      <c:txPr>
        <a:bodyPr/>
        <a:lstStyle/>
        <a:p>
          <a:pPr lvl="0">
            <a:defRPr b="0" sz="1800">
              <a:solidFill>
                <a:srgbClr val="1A1A1A"/>
              </a:solidFill>
              <a:latin typeface="serif"/>
            </a:defRPr>
          </a:pPr>
        </a:p>
      </c:txPr>
    </c:legend>
    <c:plotVisOnly val="1"/>
  </c:chart>
  <c:spPr>
    <a:solidFill>
      <a:srgbClr val="F3F3F3"/>
    </a:solidFill>
  </c:spPr>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image" Target="../media/image1.png"/><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 Id="rId2" Type="http://schemas.openxmlformats.org/officeDocument/2006/relationships/chart" Target="../charts/chart12.xml"/><Relationship Id="rId3" Type="http://schemas.openxmlformats.org/officeDocument/2006/relationships/chart" Target="../charts/chart13.xml"/><Relationship Id="rId4" Type="http://schemas.openxmlformats.org/officeDocument/2006/relationships/chart" Target="../charts/chart14.xml"/><Relationship Id="rId11" Type="http://schemas.openxmlformats.org/officeDocument/2006/relationships/image" Target="../media/image1.png"/><Relationship Id="rId10" Type="http://schemas.openxmlformats.org/officeDocument/2006/relationships/chart" Target="../charts/chart20.xml"/><Relationship Id="rId9" Type="http://schemas.openxmlformats.org/officeDocument/2006/relationships/chart" Target="../charts/chart19.xml"/><Relationship Id="rId5" Type="http://schemas.openxmlformats.org/officeDocument/2006/relationships/chart" Target="../charts/chart15.xml"/><Relationship Id="rId6" Type="http://schemas.openxmlformats.org/officeDocument/2006/relationships/chart" Target="../charts/chart16.xml"/><Relationship Id="rId7" Type="http://schemas.openxmlformats.org/officeDocument/2006/relationships/chart" Target="../charts/chart17.xml"/><Relationship Id="rId8"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1.xml"/><Relationship Id="rId2" Type="http://schemas.openxmlformats.org/officeDocument/2006/relationships/chart" Target="../charts/chart22.xml"/><Relationship Id="rId3" Type="http://schemas.openxmlformats.org/officeDocument/2006/relationships/chart" Target="../charts/chart23.xml"/><Relationship Id="rId4" Type="http://schemas.openxmlformats.org/officeDocument/2006/relationships/chart" Target="../charts/chart24.xml"/><Relationship Id="rId11" Type="http://schemas.openxmlformats.org/officeDocument/2006/relationships/chart" Target="../charts/chart31.xml"/><Relationship Id="rId10" Type="http://schemas.openxmlformats.org/officeDocument/2006/relationships/chart" Target="../charts/chart30.xml"/><Relationship Id="rId12" Type="http://schemas.openxmlformats.org/officeDocument/2006/relationships/image" Target="../media/image2.png"/><Relationship Id="rId9" Type="http://schemas.openxmlformats.org/officeDocument/2006/relationships/chart" Target="../charts/chart29.xml"/><Relationship Id="rId5" Type="http://schemas.openxmlformats.org/officeDocument/2006/relationships/chart" Target="../charts/chart25.xml"/><Relationship Id="rId6" Type="http://schemas.openxmlformats.org/officeDocument/2006/relationships/chart" Target="../charts/chart26.xml"/><Relationship Id="rId7" Type="http://schemas.openxmlformats.org/officeDocument/2006/relationships/chart" Target="../charts/chart27.xml"/><Relationship Id="rId8" Type="http://schemas.openxmlformats.org/officeDocument/2006/relationships/chart" Target="../charts/chart2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2.xml"/><Relationship Id="rId2" Type="http://schemas.openxmlformats.org/officeDocument/2006/relationships/chart" Target="../charts/chart33.xml"/><Relationship Id="rId3" Type="http://schemas.openxmlformats.org/officeDocument/2006/relationships/chart" Target="../charts/chart34.xml"/><Relationship Id="rId4" Type="http://schemas.openxmlformats.org/officeDocument/2006/relationships/chart" Target="../charts/chart35.xml"/><Relationship Id="rId5" Type="http://schemas.openxmlformats.org/officeDocument/2006/relationships/chart" Target="../charts/chart36.xml"/><Relationship Id="rId6" Type="http://schemas.openxmlformats.org/officeDocument/2006/relationships/chart" Target="../charts/chart37.xml"/><Relationship Id="rId7"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1" Type="http://schemas.openxmlformats.org/officeDocument/2006/relationships/chart" Target="../charts/chart48.xml"/><Relationship Id="rId10" Type="http://schemas.openxmlformats.org/officeDocument/2006/relationships/chart" Target="../charts/chart47.xml"/><Relationship Id="rId13" Type="http://schemas.openxmlformats.org/officeDocument/2006/relationships/image" Target="../media/image1.png"/><Relationship Id="rId12" Type="http://schemas.openxmlformats.org/officeDocument/2006/relationships/chart" Target="../charts/chart49.xml"/><Relationship Id="rId1" Type="http://schemas.openxmlformats.org/officeDocument/2006/relationships/chart" Target="../charts/chart38.xml"/><Relationship Id="rId2" Type="http://schemas.openxmlformats.org/officeDocument/2006/relationships/chart" Target="../charts/chart39.xml"/><Relationship Id="rId3" Type="http://schemas.openxmlformats.org/officeDocument/2006/relationships/chart" Target="../charts/chart40.xml"/><Relationship Id="rId4" Type="http://schemas.openxmlformats.org/officeDocument/2006/relationships/chart" Target="../charts/chart41.xml"/><Relationship Id="rId9" Type="http://schemas.openxmlformats.org/officeDocument/2006/relationships/chart" Target="../charts/chart46.xml"/><Relationship Id="rId5" Type="http://schemas.openxmlformats.org/officeDocument/2006/relationships/chart" Target="../charts/chart42.xml"/><Relationship Id="rId6" Type="http://schemas.openxmlformats.org/officeDocument/2006/relationships/chart" Target="../charts/chart43.xml"/><Relationship Id="rId7" Type="http://schemas.openxmlformats.org/officeDocument/2006/relationships/chart" Target="../charts/chart44.xml"/><Relationship Id="rId8" Type="http://schemas.openxmlformats.org/officeDocument/2006/relationships/chart" Target="../charts/chart45.xml"/></Relationships>
</file>

<file path=xl/drawings/_rels/drawing11.xml.rels><?xml version="1.0" encoding="UTF-8" standalone="yes"?><Relationships xmlns="http://schemas.openxmlformats.org/package/2006/relationships"><Relationship Id="rId11" Type="http://schemas.openxmlformats.org/officeDocument/2006/relationships/chart" Target="../charts/chart60.xml"/><Relationship Id="rId10" Type="http://schemas.openxmlformats.org/officeDocument/2006/relationships/chart" Target="../charts/chart59.xml"/><Relationship Id="rId13" Type="http://schemas.openxmlformats.org/officeDocument/2006/relationships/chart" Target="../charts/chart62.xml"/><Relationship Id="rId12" Type="http://schemas.openxmlformats.org/officeDocument/2006/relationships/chart" Target="../charts/chart61.xml"/><Relationship Id="rId1" Type="http://schemas.openxmlformats.org/officeDocument/2006/relationships/chart" Target="../charts/chart50.xml"/><Relationship Id="rId2" Type="http://schemas.openxmlformats.org/officeDocument/2006/relationships/chart" Target="../charts/chart51.xml"/><Relationship Id="rId3" Type="http://schemas.openxmlformats.org/officeDocument/2006/relationships/chart" Target="../charts/chart52.xml"/><Relationship Id="rId4" Type="http://schemas.openxmlformats.org/officeDocument/2006/relationships/chart" Target="../charts/chart53.xml"/><Relationship Id="rId9" Type="http://schemas.openxmlformats.org/officeDocument/2006/relationships/chart" Target="../charts/chart58.xml"/><Relationship Id="rId15" Type="http://schemas.openxmlformats.org/officeDocument/2006/relationships/image" Target="../media/Chart64.png"/><Relationship Id="rId14" Type="http://schemas.openxmlformats.org/officeDocument/2006/relationships/chart" Target="../charts/chart63.xml"/><Relationship Id="rId16" Type="http://schemas.openxmlformats.org/officeDocument/2006/relationships/image" Target="../media/image3.png"/><Relationship Id="rId5" Type="http://schemas.openxmlformats.org/officeDocument/2006/relationships/chart" Target="../charts/chart54.xml"/><Relationship Id="rId6" Type="http://schemas.openxmlformats.org/officeDocument/2006/relationships/chart" Target="../charts/chart55.xml"/><Relationship Id="rId7" Type="http://schemas.openxmlformats.org/officeDocument/2006/relationships/chart" Target="../charts/chart56.xml"/><Relationship Id="rId8" Type="http://schemas.openxmlformats.org/officeDocument/2006/relationships/chart" Target="../charts/chart57.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74.xml"/><Relationship Id="rId10" Type="http://schemas.openxmlformats.org/officeDocument/2006/relationships/chart" Target="../charts/chart73.xml"/><Relationship Id="rId13" Type="http://schemas.openxmlformats.org/officeDocument/2006/relationships/chart" Target="../charts/chart76.xml"/><Relationship Id="rId12" Type="http://schemas.openxmlformats.org/officeDocument/2006/relationships/chart" Target="../charts/chart75.xml"/><Relationship Id="rId1" Type="http://schemas.openxmlformats.org/officeDocument/2006/relationships/chart" Target="../charts/chart64.xml"/><Relationship Id="rId2" Type="http://schemas.openxmlformats.org/officeDocument/2006/relationships/chart" Target="../charts/chart65.xml"/><Relationship Id="rId3" Type="http://schemas.openxmlformats.org/officeDocument/2006/relationships/chart" Target="../charts/chart66.xml"/><Relationship Id="rId4" Type="http://schemas.openxmlformats.org/officeDocument/2006/relationships/chart" Target="../charts/chart67.xml"/><Relationship Id="rId9" Type="http://schemas.openxmlformats.org/officeDocument/2006/relationships/chart" Target="../charts/chart72.xml"/><Relationship Id="rId15" Type="http://schemas.openxmlformats.org/officeDocument/2006/relationships/image" Target="../media/image1.png"/><Relationship Id="rId14" Type="http://schemas.openxmlformats.org/officeDocument/2006/relationships/chart" Target="../charts/chart77.xml"/><Relationship Id="rId16" Type="http://schemas.openxmlformats.org/officeDocument/2006/relationships/image" Target="../media/image3.png"/><Relationship Id="rId5" Type="http://schemas.openxmlformats.org/officeDocument/2006/relationships/chart" Target="../charts/chart68.xml"/><Relationship Id="rId6" Type="http://schemas.openxmlformats.org/officeDocument/2006/relationships/chart" Target="../charts/chart69.xml"/><Relationship Id="rId7" Type="http://schemas.openxmlformats.org/officeDocument/2006/relationships/chart" Target="../charts/chart70.xml"/><Relationship Id="rId8" Type="http://schemas.openxmlformats.org/officeDocument/2006/relationships/chart" Target="../charts/chart71.xml"/></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s>
</file>

<file path=xl/drawings/_rels/drawing17.xml.rels><?xml version="1.0" encoding="UTF-8" standalone="yes"?><Relationships xmlns="http://schemas.openxmlformats.org/package/2006/relationships"><Relationship Id="rId11" Type="http://schemas.openxmlformats.org/officeDocument/2006/relationships/chart" Target="../charts/chart88.xml"/><Relationship Id="rId10" Type="http://schemas.openxmlformats.org/officeDocument/2006/relationships/chart" Target="../charts/chart87.xml"/><Relationship Id="rId13" Type="http://schemas.openxmlformats.org/officeDocument/2006/relationships/chart" Target="../charts/chart90.xml"/><Relationship Id="rId12" Type="http://schemas.openxmlformats.org/officeDocument/2006/relationships/chart" Target="../charts/chart89.xml"/><Relationship Id="rId1" Type="http://schemas.openxmlformats.org/officeDocument/2006/relationships/chart" Target="../charts/chart78.xml"/><Relationship Id="rId2" Type="http://schemas.openxmlformats.org/officeDocument/2006/relationships/chart" Target="../charts/chart79.xml"/><Relationship Id="rId3" Type="http://schemas.openxmlformats.org/officeDocument/2006/relationships/chart" Target="../charts/chart80.xml"/><Relationship Id="rId4" Type="http://schemas.openxmlformats.org/officeDocument/2006/relationships/chart" Target="../charts/chart81.xml"/><Relationship Id="rId9" Type="http://schemas.openxmlformats.org/officeDocument/2006/relationships/chart" Target="../charts/chart86.xml"/><Relationship Id="rId15" Type="http://schemas.openxmlformats.org/officeDocument/2006/relationships/image" Target="../media/image3.png"/><Relationship Id="rId14" Type="http://schemas.openxmlformats.org/officeDocument/2006/relationships/chart" Target="../charts/chart91.xml"/><Relationship Id="rId16" Type="http://schemas.openxmlformats.org/officeDocument/2006/relationships/image" Target="../media/image4.png"/><Relationship Id="rId5" Type="http://schemas.openxmlformats.org/officeDocument/2006/relationships/chart" Target="../charts/chart82.xml"/><Relationship Id="rId6" Type="http://schemas.openxmlformats.org/officeDocument/2006/relationships/chart" Target="../charts/chart83.xml"/><Relationship Id="rId7" Type="http://schemas.openxmlformats.org/officeDocument/2006/relationships/chart" Target="../charts/chart84.xml"/><Relationship Id="rId8" Type="http://schemas.openxmlformats.org/officeDocument/2006/relationships/chart" Target="../charts/chart85.xml"/></Relationships>
</file>

<file path=xl/drawings/_rels/drawing18.xml.rels><?xml version="1.0" encoding="UTF-8" standalone="yes"?><Relationships xmlns="http://schemas.openxmlformats.org/package/2006/relationships"><Relationship Id="rId11" Type="http://schemas.openxmlformats.org/officeDocument/2006/relationships/chart" Target="../charts/chart102.xml"/><Relationship Id="rId10" Type="http://schemas.openxmlformats.org/officeDocument/2006/relationships/chart" Target="../charts/chart101.xml"/><Relationship Id="rId13" Type="http://schemas.openxmlformats.org/officeDocument/2006/relationships/chart" Target="../charts/chart104.xml"/><Relationship Id="rId12" Type="http://schemas.openxmlformats.org/officeDocument/2006/relationships/chart" Target="../charts/chart103.xml"/><Relationship Id="rId1" Type="http://schemas.openxmlformats.org/officeDocument/2006/relationships/chart" Target="../charts/chart92.xml"/><Relationship Id="rId2" Type="http://schemas.openxmlformats.org/officeDocument/2006/relationships/chart" Target="../charts/chart93.xml"/><Relationship Id="rId3" Type="http://schemas.openxmlformats.org/officeDocument/2006/relationships/chart" Target="../charts/chart94.xml"/><Relationship Id="rId4" Type="http://schemas.openxmlformats.org/officeDocument/2006/relationships/chart" Target="../charts/chart95.xml"/><Relationship Id="rId9" Type="http://schemas.openxmlformats.org/officeDocument/2006/relationships/chart" Target="../charts/chart100.xml"/><Relationship Id="rId15" Type="http://schemas.openxmlformats.org/officeDocument/2006/relationships/image" Target="../media/image4.png"/><Relationship Id="rId14" Type="http://schemas.openxmlformats.org/officeDocument/2006/relationships/image" Target="../media/image3.png"/><Relationship Id="rId5" Type="http://schemas.openxmlformats.org/officeDocument/2006/relationships/chart" Target="../charts/chart96.xml"/><Relationship Id="rId6" Type="http://schemas.openxmlformats.org/officeDocument/2006/relationships/chart" Target="../charts/chart97.xml"/><Relationship Id="rId7" Type="http://schemas.openxmlformats.org/officeDocument/2006/relationships/chart" Target="../charts/chart98.xml"/><Relationship Id="rId8" Type="http://schemas.openxmlformats.org/officeDocument/2006/relationships/chart" Target="../charts/chart99.xml"/></Relationships>
</file>

<file path=xl/drawings/_rels/drawing19.xml.rels><?xml version="1.0" encoding="UTF-8" standalone="yes"?><Relationships xmlns="http://schemas.openxmlformats.org/package/2006/relationships"><Relationship Id="rId11" Type="http://schemas.openxmlformats.org/officeDocument/2006/relationships/chart" Target="../charts/chart115.xml"/><Relationship Id="rId10" Type="http://schemas.openxmlformats.org/officeDocument/2006/relationships/chart" Target="../charts/chart114.xml"/><Relationship Id="rId13" Type="http://schemas.openxmlformats.org/officeDocument/2006/relationships/chart" Target="../charts/chart117.xml"/><Relationship Id="rId12" Type="http://schemas.openxmlformats.org/officeDocument/2006/relationships/chart" Target="../charts/chart116.xml"/><Relationship Id="rId1" Type="http://schemas.openxmlformats.org/officeDocument/2006/relationships/chart" Target="../charts/chart105.xml"/><Relationship Id="rId2" Type="http://schemas.openxmlformats.org/officeDocument/2006/relationships/chart" Target="../charts/chart106.xml"/><Relationship Id="rId3" Type="http://schemas.openxmlformats.org/officeDocument/2006/relationships/chart" Target="../charts/chart107.xml"/><Relationship Id="rId4" Type="http://schemas.openxmlformats.org/officeDocument/2006/relationships/chart" Target="../charts/chart108.xml"/><Relationship Id="rId9" Type="http://schemas.openxmlformats.org/officeDocument/2006/relationships/chart" Target="../charts/chart113.xml"/><Relationship Id="rId15" Type="http://schemas.openxmlformats.org/officeDocument/2006/relationships/chart" Target="../charts/chart119.xml"/><Relationship Id="rId14" Type="http://schemas.openxmlformats.org/officeDocument/2006/relationships/chart" Target="../charts/chart118.xml"/><Relationship Id="rId17" Type="http://schemas.openxmlformats.org/officeDocument/2006/relationships/image" Target="../media/image4.png"/><Relationship Id="rId16" Type="http://schemas.openxmlformats.org/officeDocument/2006/relationships/image" Target="../media/image3.png"/><Relationship Id="rId5" Type="http://schemas.openxmlformats.org/officeDocument/2006/relationships/chart" Target="../charts/chart109.xml"/><Relationship Id="rId6" Type="http://schemas.openxmlformats.org/officeDocument/2006/relationships/chart" Target="../charts/chart110.xml"/><Relationship Id="rId7" Type="http://schemas.openxmlformats.org/officeDocument/2006/relationships/chart" Target="../charts/chart111.xml"/><Relationship Id="rId8" Type="http://schemas.openxmlformats.org/officeDocument/2006/relationships/chart" Target="../charts/chart11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19</xdr:col>
      <xdr:colOff>85725</xdr:colOff>
      <xdr:row>7</xdr:row>
      <xdr:rowOff>85725</xdr:rowOff>
    </xdr:from>
    <xdr:ext cx="10115550" cy="56197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57</xdr:col>
      <xdr:colOff>38100</xdr:colOff>
      <xdr:row>68</xdr:row>
      <xdr:rowOff>76200</xdr:rowOff>
    </xdr:from>
    <xdr:ext cx="10115550" cy="56102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19</xdr:col>
      <xdr:colOff>95250</xdr:colOff>
      <xdr:row>125</xdr:row>
      <xdr:rowOff>57150</xdr:rowOff>
    </xdr:from>
    <xdr:ext cx="10496550" cy="58102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57</xdr:col>
      <xdr:colOff>47625</xdr:colOff>
      <xdr:row>125</xdr:row>
      <xdr:rowOff>66675</xdr:rowOff>
    </xdr:from>
    <xdr:ext cx="10115550" cy="58102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180975</xdr:colOff>
      <xdr:row>68</xdr:row>
      <xdr:rowOff>76200</xdr:rowOff>
    </xdr:from>
    <xdr:ext cx="10115550" cy="56197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56</xdr:col>
      <xdr:colOff>257175</xdr:colOff>
      <xdr:row>7</xdr:row>
      <xdr:rowOff>38100</xdr:rowOff>
    </xdr:from>
    <xdr:ext cx="10115550" cy="57054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38</xdr:col>
      <xdr:colOff>209550</xdr:colOff>
      <xdr:row>7</xdr:row>
      <xdr:rowOff>142875</xdr:rowOff>
    </xdr:from>
    <xdr:ext cx="10115550" cy="561975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38</xdr:col>
      <xdr:colOff>400050</xdr:colOff>
      <xdr:row>68</xdr:row>
      <xdr:rowOff>66675</xdr:rowOff>
    </xdr:from>
    <xdr:ext cx="10115550" cy="5619750"/>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39</xdr:col>
      <xdr:colOff>38100</xdr:colOff>
      <xdr:row>125</xdr:row>
      <xdr:rowOff>152400</xdr:rowOff>
    </xdr:from>
    <xdr:ext cx="10115550" cy="5619750"/>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51</xdr:col>
      <xdr:colOff>85725</xdr:colOff>
      <xdr:row>213</xdr:row>
      <xdr:rowOff>85725</xdr:rowOff>
    </xdr:from>
    <xdr:ext cx="10115550" cy="5619750"/>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0</xdr:col>
      <xdr:colOff>0</xdr:colOff>
      <xdr:row>0</xdr:row>
      <xdr:rowOff>9525</xdr:rowOff>
    </xdr:from>
    <xdr:ext cx="4029075" cy="1228725"/>
    <xdr:pic>
      <xdr:nvPicPr>
        <xdr:cNvPr id="0" name="image1.png" title="Image"/>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19</xdr:col>
      <xdr:colOff>85725</xdr:colOff>
      <xdr:row>7</xdr:row>
      <xdr:rowOff>85725</xdr:rowOff>
    </xdr:from>
    <xdr:ext cx="10115550" cy="5619750"/>
    <xdr:graphicFrame>
      <xdr:nvGraphicFramePr>
        <xdr:cNvPr id="11" name="Chart 1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57</xdr:col>
      <xdr:colOff>38100</xdr:colOff>
      <xdr:row>68</xdr:row>
      <xdr:rowOff>76200</xdr:rowOff>
    </xdr:from>
    <xdr:ext cx="10115550" cy="5610225"/>
    <xdr:graphicFrame>
      <xdr:nvGraphicFramePr>
        <xdr:cNvPr id="12" name="Chart 1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19</xdr:col>
      <xdr:colOff>95250</xdr:colOff>
      <xdr:row>125</xdr:row>
      <xdr:rowOff>57150</xdr:rowOff>
    </xdr:from>
    <xdr:ext cx="10496550" cy="5810250"/>
    <xdr:graphicFrame>
      <xdr:nvGraphicFramePr>
        <xdr:cNvPr id="13" name="Chart 1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57</xdr:col>
      <xdr:colOff>47625</xdr:colOff>
      <xdr:row>125</xdr:row>
      <xdr:rowOff>66675</xdr:rowOff>
    </xdr:from>
    <xdr:ext cx="10115550" cy="5810250"/>
    <xdr:graphicFrame>
      <xdr:nvGraphicFramePr>
        <xdr:cNvPr id="14" name="Chart 1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180975</xdr:colOff>
      <xdr:row>68</xdr:row>
      <xdr:rowOff>76200</xdr:rowOff>
    </xdr:from>
    <xdr:ext cx="10115550" cy="5619750"/>
    <xdr:graphicFrame>
      <xdr:nvGraphicFramePr>
        <xdr:cNvPr id="15" name="Chart 1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56</xdr:col>
      <xdr:colOff>257175</xdr:colOff>
      <xdr:row>7</xdr:row>
      <xdr:rowOff>38100</xdr:rowOff>
    </xdr:from>
    <xdr:ext cx="10115550" cy="5705475"/>
    <xdr:graphicFrame>
      <xdr:nvGraphicFramePr>
        <xdr:cNvPr id="16" name="Chart 1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38</xdr:col>
      <xdr:colOff>209550</xdr:colOff>
      <xdr:row>7</xdr:row>
      <xdr:rowOff>142875</xdr:rowOff>
    </xdr:from>
    <xdr:ext cx="10115550" cy="5619750"/>
    <xdr:graphicFrame>
      <xdr:nvGraphicFramePr>
        <xdr:cNvPr id="17" name="Chart 1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38</xdr:col>
      <xdr:colOff>400050</xdr:colOff>
      <xdr:row>68</xdr:row>
      <xdr:rowOff>66675</xdr:rowOff>
    </xdr:from>
    <xdr:ext cx="10115550" cy="5619750"/>
    <xdr:graphicFrame>
      <xdr:nvGraphicFramePr>
        <xdr:cNvPr id="18" name="Chart 1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39</xdr:col>
      <xdr:colOff>38100</xdr:colOff>
      <xdr:row>125</xdr:row>
      <xdr:rowOff>152400</xdr:rowOff>
    </xdr:from>
    <xdr:ext cx="10115550" cy="5619750"/>
    <xdr:graphicFrame>
      <xdr:nvGraphicFramePr>
        <xdr:cNvPr id="19" name="Chart 1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51</xdr:col>
      <xdr:colOff>85725</xdr:colOff>
      <xdr:row>213</xdr:row>
      <xdr:rowOff>85725</xdr:rowOff>
    </xdr:from>
    <xdr:ext cx="10115550" cy="5619750"/>
    <xdr:graphicFrame>
      <xdr:nvGraphicFramePr>
        <xdr:cNvPr id="20" name="Chart 2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0</xdr:col>
      <xdr:colOff>0</xdr:colOff>
      <xdr:row>0</xdr:row>
      <xdr:rowOff>9525</xdr:rowOff>
    </xdr:from>
    <xdr:ext cx="4029075" cy="1228725"/>
    <xdr:pic>
      <xdr:nvPicPr>
        <xdr:cNvPr id="0" name="image1.png" title="Image"/>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19</xdr:col>
      <xdr:colOff>85725</xdr:colOff>
      <xdr:row>7</xdr:row>
      <xdr:rowOff>85725</xdr:rowOff>
    </xdr:from>
    <xdr:ext cx="10115550" cy="5619750"/>
    <xdr:graphicFrame>
      <xdr:nvGraphicFramePr>
        <xdr:cNvPr id="21" name="Chart 2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57</xdr:col>
      <xdr:colOff>38100</xdr:colOff>
      <xdr:row>68</xdr:row>
      <xdr:rowOff>76200</xdr:rowOff>
    </xdr:from>
    <xdr:ext cx="10115550" cy="5610225"/>
    <xdr:graphicFrame>
      <xdr:nvGraphicFramePr>
        <xdr:cNvPr id="22" name="Chart 2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19</xdr:col>
      <xdr:colOff>95250</xdr:colOff>
      <xdr:row>125</xdr:row>
      <xdr:rowOff>57150</xdr:rowOff>
    </xdr:from>
    <xdr:ext cx="10496550" cy="5810250"/>
    <xdr:graphicFrame>
      <xdr:nvGraphicFramePr>
        <xdr:cNvPr id="23" name="Chart 2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57</xdr:col>
      <xdr:colOff>47625</xdr:colOff>
      <xdr:row>125</xdr:row>
      <xdr:rowOff>66675</xdr:rowOff>
    </xdr:from>
    <xdr:ext cx="10115550" cy="5810250"/>
    <xdr:graphicFrame>
      <xdr:nvGraphicFramePr>
        <xdr:cNvPr id="24" name="Chart 2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180975</xdr:colOff>
      <xdr:row>68</xdr:row>
      <xdr:rowOff>76200</xdr:rowOff>
    </xdr:from>
    <xdr:ext cx="10115550" cy="5619750"/>
    <xdr:graphicFrame>
      <xdr:nvGraphicFramePr>
        <xdr:cNvPr id="25" name="Chart 2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56</xdr:col>
      <xdr:colOff>257175</xdr:colOff>
      <xdr:row>7</xdr:row>
      <xdr:rowOff>38100</xdr:rowOff>
    </xdr:from>
    <xdr:ext cx="10115550" cy="5705475"/>
    <xdr:graphicFrame>
      <xdr:nvGraphicFramePr>
        <xdr:cNvPr id="26" name="Chart 2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38</xdr:col>
      <xdr:colOff>209550</xdr:colOff>
      <xdr:row>7</xdr:row>
      <xdr:rowOff>142875</xdr:rowOff>
    </xdr:from>
    <xdr:ext cx="10115550" cy="5619750"/>
    <xdr:graphicFrame>
      <xdr:nvGraphicFramePr>
        <xdr:cNvPr id="27" name="Chart 2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38</xdr:col>
      <xdr:colOff>400050</xdr:colOff>
      <xdr:row>68</xdr:row>
      <xdr:rowOff>66675</xdr:rowOff>
    </xdr:from>
    <xdr:ext cx="10115550" cy="5619750"/>
    <xdr:graphicFrame>
      <xdr:nvGraphicFramePr>
        <xdr:cNvPr id="28" name="Chart 2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39</xdr:col>
      <xdr:colOff>38100</xdr:colOff>
      <xdr:row>125</xdr:row>
      <xdr:rowOff>152400</xdr:rowOff>
    </xdr:from>
    <xdr:ext cx="10115550" cy="5619750"/>
    <xdr:graphicFrame>
      <xdr:nvGraphicFramePr>
        <xdr:cNvPr id="29" name="Chart 2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67</xdr:col>
      <xdr:colOff>400050</xdr:colOff>
      <xdr:row>228</xdr:row>
      <xdr:rowOff>19050</xdr:rowOff>
    </xdr:from>
    <xdr:ext cx="10115550" cy="5619750"/>
    <xdr:graphicFrame>
      <xdr:nvGraphicFramePr>
        <xdr:cNvPr id="30" name="Chart 3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0</xdr:col>
      <xdr:colOff>114300</xdr:colOff>
      <xdr:row>49</xdr:row>
      <xdr:rowOff>19050</xdr:rowOff>
    </xdr:from>
    <xdr:ext cx="10115550" cy="5619750"/>
    <xdr:graphicFrame>
      <xdr:nvGraphicFramePr>
        <xdr:cNvPr id="31" name="Chart 3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0</xdr:col>
      <xdr:colOff>114300</xdr:colOff>
      <xdr:row>0</xdr:row>
      <xdr:rowOff>381000</xdr:rowOff>
    </xdr:from>
    <xdr:ext cx="3371850" cy="1162050"/>
    <xdr:pic>
      <xdr:nvPicPr>
        <xdr:cNvPr id="0" name="image2.png" title="Image"/>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247650</xdr:colOff>
      <xdr:row>52</xdr:row>
      <xdr:rowOff>104775</xdr:rowOff>
    </xdr:from>
    <xdr:ext cx="10115550" cy="5619750"/>
    <xdr:graphicFrame>
      <xdr:nvGraphicFramePr>
        <xdr:cNvPr id="32" name="Chart 3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276225</xdr:colOff>
      <xdr:row>165</xdr:row>
      <xdr:rowOff>171450</xdr:rowOff>
    </xdr:from>
    <xdr:ext cx="10115550" cy="5810250"/>
    <xdr:graphicFrame>
      <xdr:nvGraphicFramePr>
        <xdr:cNvPr id="33" name="Chart 3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276225</xdr:colOff>
      <xdr:row>79</xdr:row>
      <xdr:rowOff>200025</xdr:rowOff>
    </xdr:from>
    <xdr:ext cx="10115550" cy="5619750"/>
    <xdr:graphicFrame>
      <xdr:nvGraphicFramePr>
        <xdr:cNvPr id="34" name="Chart 3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266700</xdr:colOff>
      <xdr:row>108</xdr:row>
      <xdr:rowOff>180975</xdr:rowOff>
    </xdr:from>
    <xdr:ext cx="10115550" cy="5810250"/>
    <xdr:graphicFrame>
      <xdr:nvGraphicFramePr>
        <xdr:cNvPr id="35" name="Chart 3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266700</xdr:colOff>
      <xdr:row>137</xdr:row>
      <xdr:rowOff>95250</xdr:rowOff>
    </xdr:from>
    <xdr:ext cx="10115550" cy="5619750"/>
    <xdr:graphicFrame>
      <xdr:nvGraphicFramePr>
        <xdr:cNvPr id="36" name="Chart 36"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0</xdr:col>
      <xdr:colOff>247650</xdr:colOff>
      <xdr:row>196</xdr:row>
      <xdr:rowOff>95250</xdr:rowOff>
    </xdr:from>
    <xdr:ext cx="10115550" cy="5810250"/>
    <xdr:graphicFrame>
      <xdr:nvGraphicFramePr>
        <xdr:cNvPr id="37" name="Chart 37"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xdr:col>
      <xdr:colOff>123825</xdr:colOff>
      <xdr:row>0</xdr:row>
      <xdr:rowOff>333375</xdr:rowOff>
    </xdr:from>
    <xdr:ext cx="3371850" cy="1162050"/>
    <xdr:pic>
      <xdr:nvPicPr>
        <xdr:cNvPr id="0" name="image2.png" title="Image"/>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200025</xdr:colOff>
      <xdr:row>0</xdr:row>
      <xdr:rowOff>0</xdr:rowOff>
    </xdr:from>
    <xdr:ext cx="1028700" cy="14859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200025</xdr:colOff>
      <xdr:row>0</xdr:row>
      <xdr:rowOff>0</xdr:rowOff>
    </xdr:from>
    <xdr:ext cx="1028700" cy="14859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200025</xdr:colOff>
      <xdr:row>0</xdr:row>
      <xdr:rowOff>0</xdr:rowOff>
    </xdr:from>
    <xdr:ext cx="1028700" cy="14859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200025</xdr:colOff>
      <xdr:row>0</xdr:row>
      <xdr:rowOff>0</xdr:rowOff>
    </xdr:from>
    <xdr:ext cx="1028700" cy="14859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1019175</xdr:colOff>
      <xdr:row>0</xdr:row>
      <xdr:rowOff>0</xdr:rowOff>
    </xdr:from>
    <xdr:ext cx="1028700" cy="14859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2171700</xdr:colOff>
      <xdr:row>0</xdr:row>
      <xdr:rowOff>0</xdr:rowOff>
    </xdr:from>
    <xdr:ext cx="1028700" cy="14859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228600</xdr:colOff>
      <xdr:row>0</xdr:row>
      <xdr:rowOff>0</xdr:rowOff>
    </xdr:from>
    <xdr:ext cx="1028700" cy="14859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19</xdr:col>
      <xdr:colOff>123825</xdr:colOff>
      <xdr:row>125</xdr:row>
      <xdr:rowOff>114300</xdr:rowOff>
    </xdr:from>
    <xdr:ext cx="10115550" cy="5619750"/>
    <xdr:graphicFrame>
      <xdr:nvGraphicFramePr>
        <xdr:cNvPr id="38" name="Chart 3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56</xdr:col>
      <xdr:colOff>371475</xdr:colOff>
      <xdr:row>185</xdr:row>
      <xdr:rowOff>180975</xdr:rowOff>
    </xdr:from>
    <xdr:ext cx="10115550" cy="5610225"/>
    <xdr:graphicFrame>
      <xdr:nvGraphicFramePr>
        <xdr:cNvPr id="39" name="Chart 3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19</xdr:col>
      <xdr:colOff>0</xdr:colOff>
      <xdr:row>243</xdr:row>
      <xdr:rowOff>142875</xdr:rowOff>
    </xdr:from>
    <xdr:ext cx="10496550" cy="5810250"/>
    <xdr:graphicFrame>
      <xdr:nvGraphicFramePr>
        <xdr:cNvPr id="40" name="Chart 4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56</xdr:col>
      <xdr:colOff>409575</xdr:colOff>
      <xdr:row>243</xdr:row>
      <xdr:rowOff>152400</xdr:rowOff>
    </xdr:from>
    <xdr:ext cx="10115550" cy="5810250"/>
    <xdr:graphicFrame>
      <xdr:nvGraphicFramePr>
        <xdr:cNvPr id="41" name="Chart 41"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0</xdr:colOff>
      <xdr:row>185</xdr:row>
      <xdr:rowOff>152400</xdr:rowOff>
    </xdr:from>
    <xdr:ext cx="10115550" cy="5619750"/>
    <xdr:graphicFrame>
      <xdr:nvGraphicFramePr>
        <xdr:cNvPr id="42" name="Chart 42"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56</xdr:col>
      <xdr:colOff>371475</xdr:colOff>
      <xdr:row>125</xdr:row>
      <xdr:rowOff>123825</xdr:rowOff>
    </xdr:from>
    <xdr:ext cx="10115550" cy="5705475"/>
    <xdr:graphicFrame>
      <xdr:nvGraphicFramePr>
        <xdr:cNvPr id="43" name="Chart 43"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38</xdr:col>
      <xdr:colOff>400050</xdr:colOff>
      <xdr:row>125</xdr:row>
      <xdr:rowOff>114300</xdr:rowOff>
    </xdr:from>
    <xdr:ext cx="10115550" cy="5619750"/>
    <xdr:graphicFrame>
      <xdr:nvGraphicFramePr>
        <xdr:cNvPr id="44" name="Chart 44"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38</xdr:col>
      <xdr:colOff>219075</xdr:colOff>
      <xdr:row>185</xdr:row>
      <xdr:rowOff>161925</xdr:rowOff>
    </xdr:from>
    <xdr:ext cx="10115550" cy="5619750"/>
    <xdr:graphicFrame>
      <xdr:nvGraphicFramePr>
        <xdr:cNvPr id="45" name="Chart 45"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38</xdr:col>
      <xdr:colOff>476250</xdr:colOff>
      <xdr:row>244</xdr:row>
      <xdr:rowOff>38100</xdr:rowOff>
    </xdr:from>
    <xdr:ext cx="10115550" cy="5619750"/>
    <xdr:graphicFrame>
      <xdr:nvGraphicFramePr>
        <xdr:cNvPr id="46" name="Chart 46"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28</xdr:col>
      <xdr:colOff>304800</xdr:colOff>
      <xdr:row>66</xdr:row>
      <xdr:rowOff>0</xdr:rowOff>
    </xdr:from>
    <xdr:ext cx="10115550" cy="5619750"/>
    <xdr:graphicFrame>
      <xdr:nvGraphicFramePr>
        <xdr:cNvPr id="47" name="Chart 47"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37</xdr:col>
      <xdr:colOff>76200</xdr:colOff>
      <xdr:row>12</xdr:row>
      <xdr:rowOff>28575</xdr:rowOff>
    </xdr:from>
    <xdr:ext cx="10115550" cy="5619750"/>
    <xdr:graphicFrame>
      <xdr:nvGraphicFramePr>
        <xdr:cNvPr id="48" name="Chart 48"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17</xdr:col>
      <xdr:colOff>0</xdr:colOff>
      <xdr:row>12</xdr:row>
      <xdr:rowOff>28575</xdr:rowOff>
    </xdr:from>
    <xdr:ext cx="10115550" cy="5619750"/>
    <xdr:graphicFrame>
      <xdr:nvGraphicFramePr>
        <xdr:cNvPr id="49" name="Chart 49"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0</xdr:col>
      <xdr:colOff>19050</xdr:colOff>
      <xdr:row>0</xdr:row>
      <xdr:rowOff>9525</xdr:rowOff>
    </xdr:from>
    <xdr:ext cx="4029075" cy="1228725"/>
    <xdr:pic>
      <xdr:nvPicPr>
        <xdr:cNvPr id="0" name="image1.png" title="Image"/>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22</xdr:col>
      <xdr:colOff>171450</xdr:colOff>
      <xdr:row>139</xdr:row>
      <xdr:rowOff>180975</xdr:rowOff>
    </xdr:from>
    <xdr:ext cx="10115550" cy="5619750"/>
    <xdr:graphicFrame>
      <xdr:nvGraphicFramePr>
        <xdr:cNvPr id="50" name="Chart 5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61</xdr:col>
      <xdr:colOff>733425</xdr:colOff>
      <xdr:row>206</xdr:row>
      <xdr:rowOff>123825</xdr:rowOff>
    </xdr:from>
    <xdr:ext cx="10001250" cy="5610225"/>
    <xdr:graphicFrame>
      <xdr:nvGraphicFramePr>
        <xdr:cNvPr id="51" name="Chart 51"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22</xdr:col>
      <xdr:colOff>171450</xdr:colOff>
      <xdr:row>273</xdr:row>
      <xdr:rowOff>123825</xdr:rowOff>
    </xdr:from>
    <xdr:ext cx="10496550" cy="5810250"/>
    <xdr:graphicFrame>
      <xdr:nvGraphicFramePr>
        <xdr:cNvPr id="52" name="Chart 52"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61</xdr:col>
      <xdr:colOff>409575</xdr:colOff>
      <xdr:row>273</xdr:row>
      <xdr:rowOff>123825</xdr:rowOff>
    </xdr:from>
    <xdr:ext cx="10115550" cy="5810250"/>
    <xdr:graphicFrame>
      <xdr:nvGraphicFramePr>
        <xdr:cNvPr id="53" name="Chart 53"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22</xdr:col>
      <xdr:colOff>152400</xdr:colOff>
      <xdr:row>206</xdr:row>
      <xdr:rowOff>142875</xdr:rowOff>
    </xdr:from>
    <xdr:ext cx="10001250" cy="5619750"/>
    <xdr:graphicFrame>
      <xdr:nvGraphicFramePr>
        <xdr:cNvPr id="54" name="Chart 54"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59</xdr:col>
      <xdr:colOff>9525</xdr:colOff>
      <xdr:row>139</xdr:row>
      <xdr:rowOff>133350</xdr:rowOff>
    </xdr:from>
    <xdr:ext cx="10115550" cy="5705475"/>
    <xdr:graphicFrame>
      <xdr:nvGraphicFramePr>
        <xdr:cNvPr id="55" name="Chart 55"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42</xdr:col>
      <xdr:colOff>38100</xdr:colOff>
      <xdr:row>139</xdr:row>
      <xdr:rowOff>180975</xdr:rowOff>
    </xdr:from>
    <xdr:ext cx="10115550" cy="5619750"/>
    <xdr:graphicFrame>
      <xdr:nvGraphicFramePr>
        <xdr:cNvPr id="56" name="Chart 56"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36</xdr:col>
      <xdr:colOff>85725</xdr:colOff>
      <xdr:row>76</xdr:row>
      <xdr:rowOff>47625</xdr:rowOff>
    </xdr:from>
    <xdr:ext cx="10115550" cy="5619750"/>
    <xdr:graphicFrame>
      <xdr:nvGraphicFramePr>
        <xdr:cNvPr id="57" name="Chart 57"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43</xdr:col>
      <xdr:colOff>238125</xdr:colOff>
      <xdr:row>11</xdr:row>
      <xdr:rowOff>190500</xdr:rowOff>
    </xdr:from>
    <xdr:ext cx="10287000" cy="5619750"/>
    <xdr:graphicFrame>
      <xdr:nvGraphicFramePr>
        <xdr:cNvPr id="58" name="Chart 58"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22</xdr:col>
      <xdr:colOff>171450</xdr:colOff>
      <xdr:row>11</xdr:row>
      <xdr:rowOff>190500</xdr:rowOff>
    </xdr:from>
    <xdr:ext cx="10287000" cy="5619750"/>
    <xdr:graphicFrame>
      <xdr:nvGraphicFramePr>
        <xdr:cNvPr id="59" name="Chart 59"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44</xdr:col>
      <xdr:colOff>238125</xdr:colOff>
      <xdr:row>273</xdr:row>
      <xdr:rowOff>123825</xdr:rowOff>
    </xdr:from>
    <xdr:ext cx="10115550" cy="5810250"/>
    <xdr:graphicFrame>
      <xdr:nvGraphicFramePr>
        <xdr:cNvPr id="60" name="Chart 60"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44</xdr:col>
      <xdr:colOff>361950</xdr:colOff>
      <xdr:row>206</xdr:row>
      <xdr:rowOff>142875</xdr:rowOff>
    </xdr:from>
    <xdr:ext cx="10001250" cy="5610225"/>
    <xdr:graphicFrame>
      <xdr:nvGraphicFramePr>
        <xdr:cNvPr id="61" name="Chart 61"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171450</xdr:colOff>
      <xdr:row>41</xdr:row>
      <xdr:rowOff>28575</xdr:rowOff>
    </xdr:from>
    <xdr:ext cx="10287000" cy="5610225"/>
    <xdr:graphicFrame>
      <xdr:nvGraphicFramePr>
        <xdr:cNvPr id="62" name="Chart 62"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43</xdr:col>
      <xdr:colOff>238125</xdr:colOff>
      <xdr:row>41</xdr:row>
      <xdr:rowOff>28575</xdr:rowOff>
    </xdr:from>
    <xdr:ext cx="10287000" cy="5610225"/>
    <xdr:graphicFrame>
      <xdr:nvGraphicFramePr>
        <xdr:cNvPr id="63" name="Chart 63"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333375</xdr:colOff>
      <xdr:row>88</xdr:row>
      <xdr:rowOff>190500</xdr:rowOff>
    </xdr:from>
    <xdr:ext cx="11849100" cy="6743700"/>
    <xdr:pic>
      <xdr:nvPicPr>
        <xdr:cNvPr id="413323105" name="Chart64" title="Chart">
          <a:extLst>
            <a:ext uri="GoogleSheetsCustomDataVersion1">
              <go:sheetsCustomData xmlns:go="http://customooxmlschemas.google.com/" pictureOfChart="1"/>
            </a:ext>
          </a:extLst>
        </xdr:cNvPr>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276225</xdr:colOff>
      <xdr:row>0</xdr:row>
      <xdr:rowOff>57150</xdr:rowOff>
    </xdr:from>
    <xdr:ext cx="981075" cy="1485900"/>
    <xdr:pic>
      <xdr:nvPicPr>
        <xdr:cNvPr id="0" name="image3.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333375</xdr:colOff>
      <xdr:row>0</xdr:row>
      <xdr:rowOff>57150</xdr:rowOff>
    </xdr:from>
    <xdr:ext cx="981075" cy="1485900"/>
    <xdr:pic>
      <xdr:nvPicPr>
        <xdr:cNvPr id="0" name="image3.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2314575</xdr:colOff>
      <xdr:row>0</xdr:row>
      <xdr:rowOff>57150</xdr:rowOff>
    </xdr:from>
    <xdr:ext cx="981075" cy="1485900"/>
    <xdr:pic>
      <xdr:nvPicPr>
        <xdr:cNvPr id="0" name="image3.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1285875</xdr:colOff>
      <xdr:row>0</xdr:row>
      <xdr:rowOff>57150</xdr:rowOff>
    </xdr:from>
    <xdr:ext cx="981075" cy="1485900"/>
    <xdr:pic>
      <xdr:nvPicPr>
        <xdr:cNvPr id="0" name="image3.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257175</xdr:colOff>
      <xdr:row>0</xdr:row>
      <xdr:rowOff>57150</xdr:rowOff>
    </xdr:from>
    <xdr:ext cx="981075" cy="1485900"/>
    <xdr:pic>
      <xdr:nvPicPr>
        <xdr:cNvPr id="0" name="image3.png" title="Image"/>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16</xdr:col>
      <xdr:colOff>171450</xdr:colOff>
      <xdr:row>139</xdr:row>
      <xdr:rowOff>180975</xdr:rowOff>
    </xdr:from>
    <xdr:ext cx="10115550" cy="5619750"/>
    <xdr:graphicFrame>
      <xdr:nvGraphicFramePr>
        <xdr:cNvPr id="65" name="Chart 6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55</xdr:col>
      <xdr:colOff>733425</xdr:colOff>
      <xdr:row>206</xdr:row>
      <xdr:rowOff>123825</xdr:rowOff>
    </xdr:from>
    <xdr:ext cx="10001250" cy="5610225"/>
    <xdr:graphicFrame>
      <xdr:nvGraphicFramePr>
        <xdr:cNvPr id="66" name="Chart 6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171450</xdr:colOff>
      <xdr:row>273</xdr:row>
      <xdr:rowOff>123825</xdr:rowOff>
    </xdr:from>
    <xdr:ext cx="10496550" cy="5810250"/>
    <xdr:graphicFrame>
      <xdr:nvGraphicFramePr>
        <xdr:cNvPr id="67" name="Chart 6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55</xdr:col>
      <xdr:colOff>409575</xdr:colOff>
      <xdr:row>273</xdr:row>
      <xdr:rowOff>123825</xdr:rowOff>
    </xdr:from>
    <xdr:ext cx="10115550" cy="5810250"/>
    <xdr:graphicFrame>
      <xdr:nvGraphicFramePr>
        <xdr:cNvPr id="68" name="Chart 6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16</xdr:col>
      <xdr:colOff>152400</xdr:colOff>
      <xdr:row>206</xdr:row>
      <xdr:rowOff>142875</xdr:rowOff>
    </xdr:from>
    <xdr:ext cx="10001250" cy="5619750"/>
    <xdr:graphicFrame>
      <xdr:nvGraphicFramePr>
        <xdr:cNvPr id="69" name="Chart 6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55</xdr:col>
      <xdr:colOff>628650</xdr:colOff>
      <xdr:row>139</xdr:row>
      <xdr:rowOff>142875</xdr:rowOff>
    </xdr:from>
    <xdr:ext cx="10115550" cy="5705475"/>
    <xdr:graphicFrame>
      <xdr:nvGraphicFramePr>
        <xdr:cNvPr id="70" name="Chart 7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38</xdr:col>
      <xdr:colOff>133350</xdr:colOff>
      <xdr:row>139</xdr:row>
      <xdr:rowOff>171450</xdr:rowOff>
    </xdr:from>
    <xdr:ext cx="10115550" cy="5619750"/>
    <xdr:graphicFrame>
      <xdr:nvGraphicFramePr>
        <xdr:cNvPr id="71" name="Chart 7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30</xdr:col>
      <xdr:colOff>85725</xdr:colOff>
      <xdr:row>76</xdr:row>
      <xdr:rowOff>47625</xdr:rowOff>
    </xdr:from>
    <xdr:ext cx="10115550" cy="5619750"/>
    <xdr:graphicFrame>
      <xdr:nvGraphicFramePr>
        <xdr:cNvPr id="72" name="Chart 7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37</xdr:col>
      <xdr:colOff>238125</xdr:colOff>
      <xdr:row>11</xdr:row>
      <xdr:rowOff>190500</xdr:rowOff>
    </xdr:from>
    <xdr:ext cx="10287000" cy="5619750"/>
    <xdr:graphicFrame>
      <xdr:nvGraphicFramePr>
        <xdr:cNvPr id="73" name="Chart 7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16</xdr:col>
      <xdr:colOff>171450</xdr:colOff>
      <xdr:row>11</xdr:row>
      <xdr:rowOff>190500</xdr:rowOff>
    </xdr:from>
    <xdr:ext cx="10287000" cy="5619750"/>
    <xdr:graphicFrame>
      <xdr:nvGraphicFramePr>
        <xdr:cNvPr id="74" name="Chart 7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38</xdr:col>
      <xdr:colOff>238125</xdr:colOff>
      <xdr:row>273</xdr:row>
      <xdr:rowOff>123825</xdr:rowOff>
    </xdr:from>
    <xdr:ext cx="10115550" cy="5810250"/>
    <xdr:graphicFrame>
      <xdr:nvGraphicFramePr>
        <xdr:cNvPr id="75" name="Chart 7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38</xdr:col>
      <xdr:colOff>361950</xdr:colOff>
      <xdr:row>206</xdr:row>
      <xdr:rowOff>142875</xdr:rowOff>
    </xdr:from>
    <xdr:ext cx="10001250" cy="5610225"/>
    <xdr:graphicFrame>
      <xdr:nvGraphicFramePr>
        <xdr:cNvPr id="76" name="Chart 7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16</xdr:col>
      <xdr:colOff>171450</xdr:colOff>
      <xdr:row>41</xdr:row>
      <xdr:rowOff>28575</xdr:rowOff>
    </xdr:from>
    <xdr:ext cx="10287000" cy="5610225"/>
    <xdr:graphicFrame>
      <xdr:nvGraphicFramePr>
        <xdr:cNvPr id="77" name="Chart 7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37</xdr:col>
      <xdr:colOff>238125</xdr:colOff>
      <xdr:row>41</xdr:row>
      <xdr:rowOff>28575</xdr:rowOff>
    </xdr:from>
    <xdr:ext cx="10287000" cy="5610225"/>
    <xdr:graphicFrame>
      <xdr:nvGraphicFramePr>
        <xdr:cNvPr id="78" name="Chart 78"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333375</xdr:colOff>
      <xdr:row>0</xdr:row>
      <xdr:rowOff>190500</xdr:rowOff>
    </xdr:from>
    <xdr:ext cx="4029075" cy="12287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276225</xdr:colOff>
      <xdr:row>0</xdr:row>
      <xdr:rowOff>57150</xdr:rowOff>
    </xdr:from>
    <xdr:ext cx="981075" cy="1485900"/>
    <xdr:pic>
      <xdr:nvPicPr>
        <xdr:cNvPr id="0" name="image3.png" title="Image"/>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361950</xdr:colOff>
      <xdr:row>1</xdr:row>
      <xdr:rowOff>57150</xdr:rowOff>
    </xdr:from>
    <xdr:ext cx="1028700" cy="148590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438150</xdr:colOff>
      <xdr:row>1</xdr:row>
      <xdr:rowOff>47625</xdr:rowOff>
    </xdr:from>
    <xdr:ext cx="1028700" cy="148590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2028825</xdr:colOff>
      <xdr:row>0</xdr:row>
      <xdr:rowOff>76200</xdr:rowOff>
    </xdr:from>
    <xdr:ext cx="2190750" cy="182880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22</xdr:col>
      <xdr:colOff>171450</xdr:colOff>
      <xdr:row>141</xdr:row>
      <xdr:rowOff>180975</xdr:rowOff>
    </xdr:from>
    <xdr:ext cx="10115550" cy="5619750"/>
    <xdr:graphicFrame>
      <xdr:nvGraphicFramePr>
        <xdr:cNvPr id="79" name="Chart 7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61</xdr:col>
      <xdr:colOff>733425</xdr:colOff>
      <xdr:row>208</xdr:row>
      <xdr:rowOff>123825</xdr:rowOff>
    </xdr:from>
    <xdr:ext cx="10001250" cy="5610225"/>
    <xdr:graphicFrame>
      <xdr:nvGraphicFramePr>
        <xdr:cNvPr id="80" name="Chart 8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22</xdr:col>
      <xdr:colOff>171450</xdr:colOff>
      <xdr:row>275</xdr:row>
      <xdr:rowOff>123825</xdr:rowOff>
    </xdr:from>
    <xdr:ext cx="10496550" cy="5810250"/>
    <xdr:graphicFrame>
      <xdr:nvGraphicFramePr>
        <xdr:cNvPr id="81" name="Chart 8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61</xdr:col>
      <xdr:colOff>409575</xdr:colOff>
      <xdr:row>275</xdr:row>
      <xdr:rowOff>123825</xdr:rowOff>
    </xdr:from>
    <xdr:ext cx="10115550" cy="5810250"/>
    <xdr:graphicFrame>
      <xdr:nvGraphicFramePr>
        <xdr:cNvPr id="82" name="Chart 8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22</xdr:col>
      <xdr:colOff>152400</xdr:colOff>
      <xdr:row>208</xdr:row>
      <xdr:rowOff>142875</xdr:rowOff>
    </xdr:from>
    <xdr:ext cx="10001250" cy="5619750"/>
    <xdr:graphicFrame>
      <xdr:nvGraphicFramePr>
        <xdr:cNvPr id="83" name="Chart 8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59</xdr:col>
      <xdr:colOff>9525</xdr:colOff>
      <xdr:row>141</xdr:row>
      <xdr:rowOff>133350</xdr:rowOff>
    </xdr:from>
    <xdr:ext cx="10115550" cy="5705475"/>
    <xdr:graphicFrame>
      <xdr:nvGraphicFramePr>
        <xdr:cNvPr id="84" name="Chart 8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42</xdr:col>
      <xdr:colOff>38100</xdr:colOff>
      <xdr:row>141</xdr:row>
      <xdr:rowOff>180975</xdr:rowOff>
    </xdr:from>
    <xdr:ext cx="10115550" cy="5619750"/>
    <xdr:graphicFrame>
      <xdr:nvGraphicFramePr>
        <xdr:cNvPr id="85" name="Chart 8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43</xdr:col>
      <xdr:colOff>238125</xdr:colOff>
      <xdr:row>13</xdr:row>
      <xdr:rowOff>190500</xdr:rowOff>
    </xdr:from>
    <xdr:ext cx="10287000" cy="5619750"/>
    <xdr:graphicFrame>
      <xdr:nvGraphicFramePr>
        <xdr:cNvPr id="86" name="Chart 8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22</xdr:col>
      <xdr:colOff>171450</xdr:colOff>
      <xdr:row>13</xdr:row>
      <xdr:rowOff>190500</xdr:rowOff>
    </xdr:from>
    <xdr:ext cx="10287000" cy="5619750"/>
    <xdr:graphicFrame>
      <xdr:nvGraphicFramePr>
        <xdr:cNvPr id="87" name="Chart 8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44</xdr:col>
      <xdr:colOff>238125</xdr:colOff>
      <xdr:row>275</xdr:row>
      <xdr:rowOff>123825</xdr:rowOff>
    </xdr:from>
    <xdr:ext cx="10115550" cy="5810250"/>
    <xdr:graphicFrame>
      <xdr:nvGraphicFramePr>
        <xdr:cNvPr id="88" name="Chart 8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44</xdr:col>
      <xdr:colOff>361950</xdr:colOff>
      <xdr:row>208</xdr:row>
      <xdr:rowOff>142875</xdr:rowOff>
    </xdr:from>
    <xdr:ext cx="10001250" cy="5610225"/>
    <xdr:graphicFrame>
      <xdr:nvGraphicFramePr>
        <xdr:cNvPr id="89" name="Chart 8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171450</xdr:colOff>
      <xdr:row>43</xdr:row>
      <xdr:rowOff>28575</xdr:rowOff>
    </xdr:from>
    <xdr:ext cx="10287000" cy="5610225"/>
    <xdr:graphicFrame>
      <xdr:nvGraphicFramePr>
        <xdr:cNvPr id="90" name="Chart 9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43</xdr:col>
      <xdr:colOff>238125</xdr:colOff>
      <xdr:row>43</xdr:row>
      <xdr:rowOff>28575</xdr:rowOff>
    </xdr:from>
    <xdr:ext cx="10287000" cy="5610225"/>
    <xdr:graphicFrame>
      <xdr:nvGraphicFramePr>
        <xdr:cNvPr id="91" name="Chart 9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34</xdr:col>
      <xdr:colOff>76200</xdr:colOff>
      <xdr:row>77</xdr:row>
      <xdr:rowOff>38100</xdr:rowOff>
    </xdr:from>
    <xdr:ext cx="10287000" cy="5619750"/>
    <xdr:graphicFrame>
      <xdr:nvGraphicFramePr>
        <xdr:cNvPr id="92" name="Chart 9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xdr:col>
      <xdr:colOff>276225</xdr:colOff>
      <xdr:row>0</xdr:row>
      <xdr:rowOff>57150</xdr:rowOff>
    </xdr:from>
    <xdr:ext cx="981075" cy="1485900"/>
    <xdr:pic>
      <xdr:nvPicPr>
        <xdr:cNvPr id="0" name="image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1285875</xdr:colOff>
      <xdr:row>0</xdr:row>
      <xdr:rowOff>57150</xdr:rowOff>
    </xdr:from>
    <xdr:ext cx="981075" cy="1485900"/>
    <xdr:pic>
      <xdr:nvPicPr>
        <xdr:cNvPr id="0" name="image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257175</xdr:colOff>
      <xdr:row>0</xdr:row>
      <xdr:rowOff>57150</xdr:rowOff>
    </xdr:from>
    <xdr:ext cx="981075" cy="1485900"/>
    <xdr:pic>
      <xdr:nvPicPr>
        <xdr:cNvPr id="0" name="image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1362075</xdr:colOff>
      <xdr:row>0</xdr:row>
      <xdr:rowOff>57150</xdr:rowOff>
    </xdr:from>
    <xdr:ext cx="981075" cy="1485900"/>
    <xdr:pic>
      <xdr:nvPicPr>
        <xdr:cNvPr id="0" name="image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2819400</xdr:colOff>
      <xdr:row>0</xdr:row>
      <xdr:rowOff>0</xdr:rowOff>
    </xdr:from>
    <xdr:ext cx="2190750" cy="1828800"/>
    <xdr:pic>
      <xdr:nvPicPr>
        <xdr:cNvPr id="0" name="image6.png" title="Image"/>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0</xdr:colOff>
      <xdr:row>158</xdr:row>
      <xdr:rowOff>76200</xdr:rowOff>
    </xdr:from>
    <xdr:ext cx="10115550" cy="5619750"/>
    <xdr:graphicFrame>
      <xdr:nvGraphicFramePr>
        <xdr:cNvPr id="93" name="Chart 9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59</xdr:col>
      <xdr:colOff>742950</xdr:colOff>
      <xdr:row>224</xdr:row>
      <xdr:rowOff>161925</xdr:rowOff>
    </xdr:from>
    <xdr:ext cx="10001250" cy="5610225"/>
    <xdr:graphicFrame>
      <xdr:nvGraphicFramePr>
        <xdr:cNvPr id="94" name="Chart 9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22</xdr:col>
      <xdr:colOff>171450</xdr:colOff>
      <xdr:row>291</xdr:row>
      <xdr:rowOff>123825</xdr:rowOff>
    </xdr:from>
    <xdr:ext cx="10496550" cy="5810250"/>
    <xdr:graphicFrame>
      <xdr:nvGraphicFramePr>
        <xdr:cNvPr id="95" name="Chart 9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61</xdr:col>
      <xdr:colOff>409575</xdr:colOff>
      <xdr:row>291</xdr:row>
      <xdr:rowOff>123825</xdr:rowOff>
    </xdr:from>
    <xdr:ext cx="10115550" cy="5810250"/>
    <xdr:graphicFrame>
      <xdr:nvGraphicFramePr>
        <xdr:cNvPr id="96" name="Chart 9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22</xdr:col>
      <xdr:colOff>152400</xdr:colOff>
      <xdr:row>224</xdr:row>
      <xdr:rowOff>142875</xdr:rowOff>
    </xdr:from>
    <xdr:ext cx="10001250" cy="5619750"/>
    <xdr:graphicFrame>
      <xdr:nvGraphicFramePr>
        <xdr:cNvPr id="97" name="Chart 9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55</xdr:col>
      <xdr:colOff>238125</xdr:colOff>
      <xdr:row>158</xdr:row>
      <xdr:rowOff>76200</xdr:rowOff>
    </xdr:from>
    <xdr:ext cx="10553700" cy="5857875"/>
    <xdr:graphicFrame>
      <xdr:nvGraphicFramePr>
        <xdr:cNvPr id="98" name="Chart 9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43</xdr:col>
      <xdr:colOff>19050</xdr:colOff>
      <xdr:row>11</xdr:row>
      <xdr:rowOff>0</xdr:rowOff>
    </xdr:from>
    <xdr:ext cx="10287000" cy="5619750"/>
    <xdr:graphicFrame>
      <xdr:nvGraphicFramePr>
        <xdr:cNvPr id="99" name="Chart 9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23</xdr:col>
      <xdr:colOff>200025</xdr:colOff>
      <xdr:row>11</xdr:row>
      <xdr:rowOff>0</xdr:rowOff>
    </xdr:from>
    <xdr:ext cx="11068050" cy="5619750"/>
    <xdr:graphicFrame>
      <xdr:nvGraphicFramePr>
        <xdr:cNvPr id="100" name="Chart 10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44</xdr:col>
      <xdr:colOff>238125</xdr:colOff>
      <xdr:row>291</xdr:row>
      <xdr:rowOff>123825</xdr:rowOff>
    </xdr:from>
    <xdr:ext cx="10115550" cy="5810250"/>
    <xdr:graphicFrame>
      <xdr:nvGraphicFramePr>
        <xdr:cNvPr id="101" name="Chart 10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42</xdr:col>
      <xdr:colOff>409575</xdr:colOff>
      <xdr:row>224</xdr:row>
      <xdr:rowOff>133350</xdr:rowOff>
    </xdr:from>
    <xdr:ext cx="10001250" cy="5610225"/>
    <xdr:graphicFrame>
      <xdr:nvGraphicFramePr>
        <xdr:cNvPr id="102" name="Chart 10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22</xdr:col>
      <xdr:colOff>180975</xdr:colOff>
      <xdr:row>42</xdr:row>
      <xdr:rowOff>28575</xdr:rowOff>
    </xdr:from>
    <xdr:ext cx="11125200" cy="6067425"/>
    <xdr:graphicFrame>
      <xdr:nvGraphicFramePr>
        <xdr:cNvPr id="103" name="Chart 10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43</xdr:col>
      <xdr:colOff>238125</xdr:colOff>
      <xdr:row>42</xdr:row>
      <xdr:rowOff>28575</xdr:rowOff>
    </xdr:from>
    <xdr:ext cx="10287000" cy="6067425"/>
    <xdr:graphicFrame>
      <xdr:nvGraphicFramePr>
        <xdr:cNvPr id="104" name="Chart 10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34</xdr:col>
      <xdr:colOff>76200</xdr:colOff>
      <xdr:row>78</xdr:row>
      <xdr:rowOff>38100</xdr:rowOff>
    </xdr:from>
    <xdr:ext cx="10287000" cy="5619750"/>
    <xdr:graphicFrame>
      <xdr:nvGraphicFramePr>
        <xdr:cNvPr id="105" name="Chart 10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104775</xdr:colOff>
      <xdr:row>0</xdr:row>
      <xdr:rowOff>57150</xdr:rowOff>
    </xdr:from>
    <xdr:ext cx="981075" cy="1485900"/>
    <xdr:pic>
      <xdr:nvPicPr>
        <xdr:cNvPr id="0" name="image7.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1476375</xdr:colOff>
      <xdr:row>0</xdr:row>
      <xdr:rowOff>57150</xdr:rowOff>
    </xdr:from>
    <xdr:ext cx="981075" cy="1485900"/>
    <xdr:pic>
      <xdr:nvPicPr>
        <xdr:cNvPr id="0" name="image7.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257175</xdr:colOff>
      <xdr:row>0</xdr:row>
      <xdr:rowOff>57150</xdr:rowOff>
    </xdr:from>
    <xdr:ext cx="981075" cy="1485900"/>
    <xdr:pic>
      <xdr:nvPicPr>
        <xdr:cNvPr id="0" name="image7.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1114425</xdr:colOff>
      <xdr:row>0</xdr:row>
      <xdr:rowOff>57150</xdr:rowOff>
    </xdr:from>
    <xdr:ext cx="981075" cy="1485900"/>
    <xdr:pic>
      <xdr:nvPicPr>
        <xdr:cNvPr id="0" name="image7.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2847975</xdr:colOff>
      <xdr:row>0</xdr:row>
      <xdr:rowOff>57150</xdr:rowOff>
    </xdr:from>
    <xdr:ext cx="2190750" cy="1828800"/>
    <xdr:pic>
      <xdr:nvPicPr>
        <xdr:cNvPr id="0" name="image8.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485775</xdr:colOff>
      <xdr:row>0</xdr:row>
      <xdr:rowOff>190500</xdr:rowOff>
    </xdr:from>
    <xdr:ext cx="12001500" cy="8220075"/>
    <xdr:graphicFrame>
      <xdr:nvGraphicFramePr>
        <xdr:cNvPr id="106" name="Chart 10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314325</xdr:colOff>
      <xdr:row>43</xdr:row>
      <xdr:rowOff>104775</xdr:rowOff>
    </xdr:from>
    <xdr:ext cx="12915900" cy="7981950"/>
    <xdr:graphicFrame>
      <xdr:nvGraphicFramePr>
        <xdr:cNvPr id="107" name="Chart 10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314325</xdr:colOff>
      <xdr:row>0</xdr:row>
      <xdr:rowOff>190500</xdr:rowOff>
    </xdr:from>
    <xdr:ext cx="12830175" cy="8220075"/>
    <xdr:graphicFrame>
      <xdr:nvGraphicFramePr>
        <xdr:cNvPr id="108" name="Chart 10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106</xdr:col>
      <xdr:colOff>190500</xdr:colOff>
      <xdr:row>3</xdr:row>
      <xdr:rowOff>133350</xdr:rowOff>
    </xdr:from>
    <xdr:ext cx="11915775" cy="8220075"/>
    <xdr:graphicFrame>
      <xdr:nvGraphicFramePr>
        <xdr:cNvPr id="109" name="Chart 10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31</xdr:col>
      <xdr:colOff>466725</xdr:colOff>
      <xdr:row>43</xdr:row>
      <xdr:rowOff>104775</xdr:rowOff>
    </xdr:from>
    <xdr:ext cx="12830175" cy="7981950"/>
    <xdr:graphicFrame>
      <xdr:nvGraphicFramePr>
        <xdr:cNvPr id="110" name="Chart 110"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106</xdr:col>
      <xdr:colOff>200025</xdr:colOff>
      <xdr:row>45</xdr:row>
      <xdr:rowOff>161925</xdr:rowOff>
    </xdr:from>
    <xdr:ext cx="12411075" cy="8562975"/>
    <xdr:graphicFrame>
      <xdr:nvGraphicFramePr>
        <xdr:cNvPr id="111" name="Chart 111"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88</xdr:col>
      <xdr:colOff>676275</xdr:colOff>
      <xdr:row>3</xdr:row>
      <xdr:rowOff>133350</xdr:rowOff>
    </xdr:from>
    <xdr:ext cx="11915775" cy="8220075"/>
    <xdr:graphicFrame>
      <xdr:nvGraphicFramePr>
        <xdr:cNvPr id="112" name="Chart 112"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77</xdr:col>
      <xdr:colOff>447675</xdr:colOff>
      <xdr:row>45</xdr:row>
      <xdr:rowOff>200025</xdr:rowOff>
    </xdr:from>
    <xdr:ext cx="11915775" cy="8220075"/>
    <xdr:graphicFrame>
      <xdr:nvGraphicFramePr>
        <xdr:cNvPr id="113" name="Chart 113"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88</xdr:col>
      <xdr:colOff>676275</xdr:colOff>
      <xdr:row>45</xdr:row>
      <xdr:rowOff>200025</xdr:rowOff>
    </xdr:from>
    <xdr:ext cx="11915775" cy="8191500"/>
    <xdr:graphicFrame>
      <xdr:nvGraphicFramePr>
        <xdr:cNvPr id="114" name="Chart 114"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33</xdr:col>
      <xdr:colOff>104775</xdr:colOff>
      <xdr:row>84</xdr:row>
      <xdr:rowOff>142875</xdr:rowOff>
    </xdr:from>
    <xdr:ext cx="13735050" cy="8220075"/>
    <xdr:graphicFrame>
      <xdr:nvGraphicFramePr>
        <xdr:cNvPr id="115" name="Chart 115"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77</xdr:col>
      <xdr:colOff>447675</xdr:colOff>
      <xdr:row>88</xdr:row>
      <xdr:rowOff>123825</xdr:rowOff>
    </xdr:from>
    <xdr:ext cx="11915775" cy="8220075"/>
    <xdr:graphicFrame>
      <xdr:nvGraphicFramePr>
        <xdr:cNvPr id="116" name="Chart 116"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88</xdr:col>
      <xdr:colOff>676275</xdr:colOff>
      <xdr:row>88</xdr:row>
      <xdr:rowOff>123825</xdr:rowOff>
    </xdr:from>
    <xdr:ext cx="11915775" cy="8220075"/>
    <xdr:graphicFrame>
      <xdr:nvGraphicFramePr>
        <xdr:cNvPr id="117" name="Chart 117"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8</xdr:col>
      <xdr:colOff>314325</xdr:colOff>
      <xdr:row>84</xdr:row>
      <xdr:rowOff>123825</xdr:rowOff>
    </xdr:from>
    <xdr:ext cx="13735050" cy="8220075"/>
    <xdr:graphicFrame>
      <xdr:nvGraphicFramePr>
        <xdr:cNvPr id="118" name="Chart 118"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53</xdr:col>
      <xdr:colOff>542925</xdr:colOff>
      <xdr:row>70</xdr:row>
      <xdr:rowOff>152400</xdr:rowOff>
    </xdr:from>
    <xdr:ext cx="11915775" cy="8220075"/>
    <xdr:graphicFrame>
      <xdr:nvGraphicFramePr>
        <xdr:cNvPr id="119" name="Chart 119"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58</xdr:col>
      <xdr:colOff>295275</xdr:colOff>
      <xdr:row>28</xdr:row>
      <xdr:rowOff>76200</xdr:rowOff>
    </xdr:from>
    <xdr:ext cx="13735050" cy="8220075"/>
    <xdr:graphicFrame>
      <xdr:nvGraphicFramePr>
        <xdr:cNvPr id="120" name="Chart 120"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5</xdr:col>
      <xdr:colOff>180975</xdr:colOff>
      <xdr:row>2</xdr:row>
      <xdr:rowOff>114300</xdr:rowOff>
    </xdr:from>
    <xdr:ext cx="981075" cy="1485900"/>
    <xdr:pic>
      <xdr:nvPicPr>
        <xdr:cNvPr id="0" name="image10.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9525</xdr:colOff>
      <xdr:row>2</xdr:row>
      <xdr:rowOff>28575</xdr:rowOff>
    </xdr:from>
    <xdr:ext cx="981075" cy="1485900"/>
    <xdr:pic>
      <xdr:nvPicPr>
        <xdr:cNvPr id="0" name="image10.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542925</xdr:colOff>
      <xdr:row>1</xdr:row>
      <xdr:rowOff>76200</xdr:rowOff>
    </xdr:from>
    <xdr:ext cx="2190750" cy="1828800"/>
    <xdr:pic>
      <xdr:nvPicPr>
        <xdr:cNvPr id="0" name="image11.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1619250</xdr:colOff>
      <xdr:row>2</xdr:row>
      <xdr:rowOff>47625</xdr:rowOff>
    </xdr:from>
    <xdr:ext cx="981075" cy="1485900"/>
    <xdr:pic>
      <xdr:nvPicPr>
        <xdr:cNvPr id="0" name="image10.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1343025</xdr:colOff>
      <xdr:row>2</xdr:row>
      <xdr:rowOff>38100</xdr:rowOff>
    </xdr:from>
    <xdr:ext cx="981075" cy="1485900"/>
    <xdr:pic>
      <xdr:nvPicPr>
        <xdr:cNvPr id="0" name="image10.png" title="Image"/>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0.xml"/><Relationship Id="rId3"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1.xml"/><Relationship Id="rId3"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2.xml"/><Relationship Id="rId3"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7.xml"/><Relationship Id="rId3"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8.xml"/><Relationship Id="rId3"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hyperlink" Target="https://drive.google.com/file/d/13-s15SvCIUBukhSZiNkpd0sTff3izQ5G/view" TargetMode="External"/><Relationship Id="rId3" Type="http://schemas.openxmlformats.org/officeDocument/2006/relationships/drawing" Target="../drawings/drawing19.xml"/><Relationship Id="rId4"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38"/>
    <col customWidth="1" min="2" max="2" width="36.63"/>
    <col customWidth="1" min="4" max="4" width="2.25"/>
    <col customWidth="1" min="5" max="5" width="35.25"/>
    <col customWidth="1" min="6" max="6" width="16.88"/>
    <col customWidth="1" min="7" max="8" width="2.38"/>
    <col customWidth="1" min="9" max="9" width="6.25"/>
    <col customWidth="1" min="10" max="20" width="2.38"/>
    <col customWidth="1" min="21" max="21" width="3.63"/>
    <col customWidth="1" min="22" max="22" width="10.75"/>
    <col customWidth="1" min="23" max="23" width="6.5"/>
    <col customWidth="1" min="24" max="24" width="8.13"/>
    <col customWidth="1" min="25" max="26" width="6.75"/>
    <col customWidth="1" min="27" max="27" width="7.5"/>
    <col customWidth="1" min="28" max="31" width="6.75"/>
    <col customWidth="1" min="32" max="32" width="9.38"/>
    <col customWidth="1" min="33" max="33" width="7.63"/>
    <col customWidth="1" min="34" max="34" width="6.75"/>
    <col customWidth="1" min="35" max="35" width="10.0"/>
    <col customWidth="1" min="36" max="36" width="6.75"/>
    <col customWidth="1" min="37" max="37" width="10.75"/>
    <col customWidth="1" min="38" max="38" width="7.63"/>
    <col customWidth="1" min="39" max="39" width="6.75"/>
    <col customWidth="1" min="40" max="40" width="9.13"/>
    <col customWidth="1" min="41" max="41" width="6.75"/>
    <col customWidth="1" min="42" max="43" width="9.0"/>
    <col customWidth="1" min="44" max="44" width="6.75"/>
    <col customWidth="1" min="45" max="45" width="8.13"/>
    <col customWidth="1" min="46" max="47" width="6.75"/>
    <col customWidth="1" min="48" max="48" width="10.0"/>
    <col customWidth="1" min="49" max="49" width="6.75"/>
    <col customWidth="1" min="50" max="50" width="8.5"/>
    <col customWidth="1" min="51" max="53" width="6.75"/>
    <col customWidth="1" min="54" max="54" width="10.0"/>
    <col customWidth="1" min="55" max="61" width="6.75"/>
    <col customWidth="1" min="62" max="62" width="8.63"/>
    <col customWidth="1" min="63" max="112" width="6.75"/>
  </cols>
  <sheetData>
    <row r="1">
      <c r="A1" s="1"/>
      <c r="B1" s="1"/>
      <c r="C1" s="1"/>
      <c r="D1" s="1"/>
      <c r="F1" s="1"/>
    </row>
    <row r="2">
      <c r="D2" s="2"/>
      <c r="E2" s="3" t="str">
        <f>HYPERLINK("https://activate.codefi.network/","Check out Activate!")</f>
        <v>Check out Activate!</v>
      </c>
      <c r="F2" s="2"/>
    </row>
    <row r="3">
      <c r="D3" s="2"/>
      <c r="E3" s="4" t="s">
        <v>0</v>
      </c>
    </row>
    <row r="4">
      <c r="D4" s="2"/>
      <c r="F4" s="2"/>
    </row>
    <row r="5">
      <c r="D5" s="2"/>
    </row>
    <row r="6">
      <c r="D6" s="2"/>
      <c r="E6" s="2"/>
      <c r="R6" s="5" t="s">
        <v>1</v>
      </c>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7"/>
    </row>
    <row r="7">
      <c r="E7" s="8"/>
      <c r="F7" s="9"/>
      <c r="R7" s="10"/>
      <c r="BY7" s="11"/>
    </row>
    <row r="8">
      <c r="E8" s="12" t="s">
        <v>2</v>
      </c>
      <c r="F8" s="13"/>
      <c r="R8" s="10"/>
      <c r="BA8" s="14"/>
      <c r="BB8" s="14"/>
      <c r="BC8" s="14"/>
      <c r="BD8" s="14"/>
      <c r="BE8" s="14"/>
      <c r="BF8" s="14"/>
      <c r="BG8" s="14"/>
      <c r="BH8" s="14"/>
      <c r="BI8" s="14"/>
      <c r="BJ8" s="14"/>
      <c r="BK8" s="14"/>
      <c r="BL8" s="14"/>
      <c r="BM8" s="14"/>
      <c r="BY8" s="11"/>
    </row>
    <row r="9" ht="2.25" customHeight="1">
      <c r="E9" s="15" t="s">
        <v>3</v>
      </c>
      <c r="F9" s="16">
        <f>C14/C13</f>
        <v>15625</v>
      </c>
      <c r="R9" s="10"/>
      <c r="BA9" s="14"/>
      <c r="BB9" s="14"/>
      <c r="BC9" s="14"/>
      <c r="BD9" s="14"/>
      <c r="BE9" s="14"/>
      <c r="BF9" s="14"/>
      <c r="BG9" s="14"/>
      <c r="BH9" s="14"/>
      <c r="BI9" s="14"/>
      <c r="BJ9" s="14"/>
      <c r="BK9" s="14"/>
      <c r="BL9" s="14"/>
      <c r="BM9" s="14"/>
      <c r="BN9" s="11"/>
      <c r="BY9" s="11"/>
    </row>
    <row r="10">
      <c r="B10" s="17" t="s">
        <v>4</v>
      </c>
      <c r="C10" s="18"/>
      <c r="E10" s="19" t="s">
        <v>5</v>
      </c>
      <c r="F10" s="20">
        <f>C14/C13/C19</f>
        <v>244.140625</v>
      </c>
      <c r="R10" s="10"/>
      <c r="BA10" s="14"/>
      <c r="BB10" s="14"/>
      <c r="BC10" s="14"/>
      <c r="BD10" s="14"/>
      <c r="BE10" s="14"/>
      <c r="BF10" s="14"/>
      <c r="BG10" s="14"/>
      <c r="BH10" s="14"/>
      <c r="BI10" s="14"/>
      <c r="BJ10" s="14"/>
      <c r="BK10" s="14"/>
      <c r="BL10" s="14"/>
      <c r="BM10" s="14"/>
      <c r="BN10" s="11"/>
      <c r="BY10" s="11"/>
    </row>
    <row r="11">
      <c r="B11" s="21" t="s">
        <v>6</v>
      </c>
      <c r="C11" s="22"/>
      <c r="D11" s="23"/>
      <c r="E11" s="15" t="s">
        <v>7</v>
      </c>
      <c r="F11" s="16">
        <f>(60*60*24*365.242)/(C20*C21)</f>
        <v>82179.45</v>
      </c>
      <c r="R11" s="10"/>
      <c r="BA11" s="14"/>
      <c r="BB11" s="14"/>
      <c r="BC11" s="14"/>
      <c r="BD11" s="14"/>
      <c r="BE11" s="14"/>
      <c r="BF11" s="14"/>
      <c r="BG11" s="14"/>
      <c r="BH11" s="14"/>
      <c r="BI11" s="14"/>
      <c r="BJ11" s="14"/>
      <c r="BK11" s="14"/>
      <c r="BL11" s="14"/>
      <c r="BM11" s="14"/>
      <c r="BN11" s="11"/>
      <c r="BY11" s="11"/>
    </row>
    <row r="12">
      <c r="B12" s="15" t="s">
        <v>8</v>
      </c>
      <c r="C12" s="24">
        <f>'Coin Market Cap'!D3</f>
        <v>3251.17</v>
      </c>
      <c r="E12" s="15" t="s">
        <v>9</v>
      </c>
      <c r="F12" s="16">
        <f>32 * 10^9 * C22/ sqrt(C14 * 10^9) / F28</f>
        <v>22897.33609</v>
      </c>
      <c r="R12" s="10"/>
      <c r="BA12" s="14"/>
      <c r="BB12" s="14"/>
      <c r="BC12" s="14"/>
      <c r="BD12" s="14"/>
      <c r="BE12" s="14"/>
      <c r="BF12" s="14"/>
      <c r="BG12" s="14"/>
      <c r="BH12" s="14"/>
      <c r="BI12" s="14"/>
      <c r="BJ12" s="14"/>
      <c r="BK12" s="14"/>
      <c r="BL12" s="14"/>
      <c r="BM12" s="14"/>
      <c r="BN12" s="11"/>
      <c r="BY12" s="11"/>
    </row>
    <row r="13">
      <c r="B13" s="15" t="s">
        <v>10</v>
      </c>
      <c r="C13" s="25">
        <v>32.0</v>
      </c>
      <c r="E13" s="15" t="s">
        <v>11</v>
      </c>
      <c r="F13" s="16">
        <f>F12*F29*C15 + 1*(0.125*F12*C15 + 0.875*F12*(C15+C15*(1 - C15)*(1 - F30)+C15*(1 - C15)^2*(1 - 2*F30)))</f>
        <v>87992.77436</v>
      </c>
      <c r="R13" s="10"/>
      <c r="BA13" s="14"/>
      <c r="BB13" s="14"/>
      <c r="BC13" s="14"/>
      <c r="BD13" s="14"/>
      <c r="BE13" s="14"/>
      <c r="BF13" s="14"/>
      <c r="BG13" s="14"/>
      <c r="BH13" s="14"/>
      <c r="BI13" s="14"/>
      <c r="BJ13" s="14"/>
      <c r="BK13" s="14"/>
      <c r="BL13" s="14"/>
      <c r="BM13" s="14"/>
      <c r="BN13" s="11"/>
      <c r="BY13" s="11"/>
    </row>
    <row r="14">
      <c r="B14" s="15" t="s">
        <v>12</v>
      </c>
      <c r="C14" s="26">
        <v>500000.0</v>
      </c>
      <c r="E14" s="15" t="s">
        <v>13</v>
      </c>
      <c r="F14" s="16">
        <f>F12*4</f>
        <v>91589.34436</v>
      </c>
      <c r="R14" s="10"/>
      <c r="BA14" s="14"/>
      <c r="BB14" s="14"/>
      <c r="BC14" s="14"/>
      <c r="BD14" s="14"/>
      <c r="BE14" s="14"/>
      <c r="BF14" s="14"/>
      <c r="BG14" s="14"/>
      <c r="BH14" s="14"/>
      <c r="BI14" s="14"/>
      <c r="BJ14" s="14"/>
      <c r="BK14" s="14"/>
      <c r="BL14" s="14"/>
      <c r="BM14" s="14"/>
      <c r="BN14" s="11"/>
      <c r="BY14" s="11"/>
    </row>
    <row r="15">
      <c r="B15" s="15" t="s">
        <v>14</v>
      </c>
      <c r="C15" s="27">
        <v>0.95</v>
      </c>
      <c r="E15" s="15" t="s">
        <v>15</v>
      </c>
      <c r="F15" s="16">
        <f>(F13*F9*C15 - F14*F9*(1-C15)) *F11  / 10^9</f>
        <v>101457.8096</v>
      </c>
      <c r="R15" s="10"/>
      <c r="BA15" s="14"/>
      <c r="BB15" s="14"/>
      <c r="BC15" s="14"/>
      <c r="BD15" s="14"/>
      <c r="BE15" s="14"/>
      <c r="BF15" s="14"/>
      <c r="BG15" s="14"/>
      <c r="BH15" s="14"/>
      <c r="BI15" s="14"/>
      <c r="BJ15" s="14"/>
      <c r="BK15" s="14"/>
      <c r="BL15" s="14"/>
      <c r="BM15" s="14"/>
      <c r="BN15" s="11"/>
      <c r="BY15" s="11"/>
    </row>
    <row r="16">
      <c r="B16" s="15" t="s">
        <v>16</v>
      </c>
      <c r="C16" s="28">
        <v>0.0</v>
      </c>
      <c r="E16" s="15" t="s">
        <v>17</v>
      </c>
      <c r="F16" s="16">
        <f>F15/365</f>
        <v>277.9666016</v>
      </c>
      <c r="R16" s="10"/>
      <c r="BA16" s="14"/>
      <c r="BB16" s="14"/>
      <c r="BC16" s="14"/>
      <c r="BD16" s="14"/>
      <c r="BE16" s="14"/>
      <c r="BF16" s="14"/>
      <c r="BG16" s="14"/>
      <c r="BH16" s="14"/>
      <c r="BI16" s="14"/>
      <c r="BJ16" s="14"/>
      <c r="BK16" s="14"/>
      <c r="BL16" s="14"/>
      <c r="BM16" s="14"/>
      <c r="BN16" s="11"/>
      <c r="BY16" s="11"/>
    </row>
    <row r="17">
      <c r="B17" s="15" t="s">
        <v>18</v>
      </c>
      <c r="C17" s="28">
        <v>0.0</v>
      </c>
      <c r="E17" s="29" t="s">
        <v>19</v>
      </c>
      <c r="F17" s="30">
        <f>F15/C18</f>
        <v>0.0009223437235</v>
      </c>
      <c r="R17" s="10"/>
      <c r="BA17" s="14"/>
      <c r="BB17" s="14"/>
      <c r="BC17" s="14"/>
      <c r="BD17" s="14"/>
      <c r="BE17" s="14"/>
      <c r="BF17" s="14"/>
      <c r="BG17" s="14"/>
      <c r="BH17" s="14"/>
      <c r="BI17" s="14"/>
      <c r="BJ17" s="14"/>
      <c r="BK17" s="14"/>
      <c r="BL17" s="14"/>
      <c r="BM17" s="14"/>
      <c r="BN17" s="11"/>
      <c r="BY17" s="11"/>
    </row>
    <row r="18">
      <c r="B18" s="15" t="s">
        <v>20</v>
      </c>
      <c r="C18" s="28">
        <v>1.1E8</v>
      </c>
      <c r="R18" s="10"/>
      <c r="BA18" s="14"/>
      <c r="BB18" s="14"/>
      <c r="BC18" s="14"/>
      <c r="BD18" s="14"/>
      <c r="BE18" s="14"/>
      <c r="BF18" s="14"/>
      <c r="BG18" s="14"/>
      <c r="BH18" s="14"/>
      <c r="BI18" s="14"/>
      <c r="BJ18" s="14"/>
      <c r="BK18" s="14"/>
      <c r="BL18" s="14"/>
      <c r="BM18" s="14"/>
      <c r="BN18" s="11"/>
      <c r="BY18" s="11"/>
    </row>
    <row r="19">
      <c r="B19" s="15" t="s">
        <v>21</v>
      </c>
      <c r="C19" s="25">
        <v>64.0</v>
      </c>
      <c r="R19" s="10"/>
      <c r="BA19" s="14"/>
      <c r="BB19" s="14"/>
      <c r="BC19" s="14"/>
      <c r="BD19" s="14"/>
      <c r="BE19" s="14"/>
      <c r="BF19" s="14"/>
      <c r="BG19" s="14"/>
      <c r="BH19" s="14"/>
      <c r="BI19" s="14"/>
      <c r="BJ19" s="14"/>
      <c r="BK19" s="14"/>
      <c r="BL19" s="14"/>
      <c r="BM19" s="14"/>
      <c r="BN19" s="11"/>
      <c r="BY19" s="11"/>
    </row>
    <row r="20">
      <c r="B20" s="15" t="s">
        <v>22</v>
      </c>
      <c r="C20" s="25">
        <v>12.0</v>
      </c>
      <c r="E20" s="31" t="s">
        <v>23</v>
      </c>
      <c r="F20" s="32"/>
      <c r="R20" s="10"/>
      <c r="BA20" s="14"/>
      <c r="BB20" s="14"/>
      <c r="BC20" s="14"/>
      <c r="BD20" s="14"/>
      <c r="BE20" s="14"/>
      <c r="BF20" s="14"/>
      <c r="BG20" s="14"/>
      <c r="BH20" s="14"/>
      <c r="BI20" s="14"/>
      <c r="BJ20" s="14"/>
      <c r="BK20" s="14"/>
      <c r="BL20" s="14"/>
      <c r="BM20" s="14"/>
      <c r="BN20" s="11"/>
      <c r="BY20" s="11"/>
    </row>
    <row r="21">
      <c r="B21" s="15" t="s">
        <v>24</v>
      </c>
      <c r="C21" s="25">
        <v>32.0</v>
      </c>
      <c r="E21" s="33" t="s">
        <v>25</v>
      </c>
      <c r="F21" s="34">
        <f>C17*365.24</f>
        <v>0</v>
      </c>
      <c r="R21" s="10"/>
      <c r="BA21" s="14"/>
      <c r="BB21" s="14"/>
      <c r="BC21" s="14"/>
      <c r="BD21" s="14"/>
      <c r="BE21" s="14"/>
      <c r="BF21" s="14"/>
      <c r="BG21" s="14"/>
      <c r="BH21" s="14"/>
      <c r="BI21" s="14"/>
      <c r="BJ21" s="14"/>
      <c r="BK21" s="14"/>
      <c r="BL21" s="14"/>
      <c r="BM21" s="14"/>
      <c r="BN21" s="11"/>
      <c r="BY21" s="11"/>
    </row>
    <row r="22">
      <c r="B22" s="29" t="s">
        <v>26</v>
      </c>
      <c r="C22" s="35">
        <v>64.0</v>
      </c>
      <c r="E22" s="33" t="s">
        <v>27</v>
      </c>
      <c r="F22" s="36">
        <f>F15-F21</f>
        <v>101457.8096</v>
      </c>
      <c r="R22" s="10"/>
      <c r="BA22" s="14"/>
      <c r="BB22" s="14"/>
      <c r="BC22" s="14"/>
      <c r="BD22" s="14"/>
      <c r="BE22" s="14"/>
      <c r="BF22" s="14"/>
      <c r="BG22" s="14"/>
      <c r="BH22" s="14"/>
      <c r="BI22" s="14"/>
      <c r="BJ22" s="14"/>
      <c r="BK22" s="14"/>
      <c r="BL22" s="14"/>
      <c r="BM22" s="14"/>
      <c r="BN22" s="11"/>
      <c r="BY22" s="11"/>
    </row>
    <row r="23">
      <c r="E23" s="33" t="s">
        <v>28</v>
      </c>
      <c r="F23" s="37">
        <f>F22/C18</f>
        <v>0.0009223437235</v>
      </c>
      <c r="M23" s="38"/>
      <c r="R23" s="10"/>
      <c r="BA23" s="14"/>
      <c r="BB23" s="14"/>
      <c r="BC23" s="14"/>
      <c r="BD23" s="14"/>
      <c r="BE23" s="14"/>
      <c r="BF23" s="14"/>
      <c r="BG23" s="14"/>
      <c r="BH23" s="14"/>
      <c r="BI23" s="14"/>
      <c r="BJ23" s="14"/>
      <c r="BK23" s="14"/>
      <c r="BL23" s="14"/>
      <c r="BM23" s="14"/>
      <c r="BN23" s="11"/>
      <c r="BY23" s="11"/>
    </row>
    <row r="24">
      <c r="E24" s="39" t="s">
        <v>29</v>
      </c>
      <c r="F24" s="40">
        <f>F21/F22</f>
        <v>0</v>
      </c>
      <c r="R24" s="10"/>
      <c r="BA24" s="14"/>
      <c r="BB24" s="14"/>
      <c r="BC24" s="14"/>
      <c r="BD24" s="14"/>
      <c r="BE24" s="14"/>
      <c r="BF24" s="14"/>
      <c r="BG24" s="14"/>
      <c r="BH24" s="14"/>
      <c r="BI24" s="14"/>
      <c r="BJ24" s="14"/>
      <c r="BK24" s="14"/>
      <c r="BL24" s="14"/>
      <c r="BM24" s="14"/>
      <c r="BN24" s="11"/>
      <c r="BY24" s="11"/>
    </row>
    <row r="25">
      <c r="E25" s="41" t="s">
        <v>30</v>
      </c>
      <c r="F25" s="42" t="str">
        <f>F22/F21</f>
        <v>#DIV/0!</v>
      </c>
      <c r="R25" s="10"/>
      <c r="BA25" s="14"/>
      <c r="BB25" s="14"/>
      <c r="BC25" s="14"/>
      <c r="BD25" s="14"/>
      <c r="BE25" s="14"/>
      <c r="BF25" s="14"/>
      <c r="BG25" s="14"/>
      <c r="BH25" s="14"/>
      <c r="BI25" s="14"/>
      <c r="BJ25" s="14"/>
      <c r="BK25" s="14"/>
      <c r="BL25" s="14"/>
      <c r="BM25" s="14"/>
      <c r="BN25" s="11"/>
      <c r="BY25" s="11"/>
    </row>
    <row r="26">
      <c r="R26" s="10"/>
      <c r="BA26" s="14"/>
      <c r="BB26" s="14"/>
      <c r="BC26" s="14"/>
      <c r="BD26" s="14"/>
      <c r="BE26" s="14"/>
      <c r="BF26" s="14"/>
      <c r="BG26" s="14"/>
      <c r="BH26" s="14"/>
      <c r="BI26" s="14"/>
      <c r="BJ26" s="14"/>
      <c r="BK26" s="14"/>
      <c r="BL26" s="14"/>
      <c r="BM26" s="14"/>
      <c r="BN26" s="11"/>
      <c r="BY26" s="11"/>
    </row>
    <row r="27">
      <c r="B27" s="43" t="s">
        <v>31</v>
      </c>
      <c r="C27" s="44"/>
      <c r="E27" s="45" t="s">
        <v>32</v>
      </c>
      <c r="F27" s="46"/>
      <c r="R27" s="10"/>
      <c r="BA27" s="14"/>
      <c r="BB27" s="14"/>
      <c r="BC27" s="14"/>
      <c r="BD27" s="14"/>
      <c r="BE27" s="14"/>
      <c r="BF27" s="14"/>
      <c r="BG27" s="14"/>
      <c r="BH27" s="14"/>
      <c r="BI27" s="14"/>
      <c r="BJ27" s="14"/>
      <c r="BK27" s="14"/>
      <c r="BL27" s="14"/>
      <c r="BM27" s="14"/>
      <c r="BN27" s="11"/>
      <c r="BY27" s="11"/>
    </row>
    <row r="28">
      <c r="B28" s="15" t="s">
        <v>33</v>
      </c>
      <c r="C28" s="47" t="s">
        <v>34</v>
      </c>
      <c r="E28" s="15" t="s">
        <v>35</v>
      </c>
      <c r="F28" s="48">
        <v>4.0</v>
      </c>
      <c r="R28" s="10"/>
      <c r="BA28" s="14"/>
      <c r="BB28" s="14"/>
      <c r="BC28" s="14"/>
      <c r="BD28" s="14"/>
      <c r="BE28" s="14"/>
      <c r="BF28" s="14"/>
      <c r="BG28" s="14"/>
      <c r="BH28" s="14"/>
      <c r="BI28" s="14"/>
      <c r="BJ28" s="14"/>
      <c r="BK28" s="14"/>
      <c r="BL28" s="14"/>
      <c r="BM28" s="14"/>
      <c r="BN28" s="11"/>
      <c r="BY28" s="11"/>
    </row>
    <row r="29">
      <c r="B29" s="15" t="s">
        <v>36</v>
      </c>
      <c r="C29" s="47" t="s">
        <v>34</v>
      </c>
      <c r="E29" s="15" t="s">
        <v>37</v>
      </c>
      <c r="F29" s="48">
        <v>3.0</v>
      </c>
      <c r="R29" s="10"/>
      <c r="BA29" s="14"/>
      <c r="BB29" s="14"/>
      <c r="BC29" s="14"/>
      <c r="BD29" s="14"/>
      <c r="BE29" s="14"/>
      <c r="BF29" s="14"/>
      <c r="BG29" s="14"/>
      <c r="BH29" s="14"/>
      <c r="BI29" s="14"/>
      <c r="BJ29" s="14"/>
      <c r="BK29" s="14"/>
      <c r="BL29" s="14"/>
      <c r="BM29" s="14"/>
      <c r="BN29" s="11"/>
      <c r="BY29" s="11"/>
    </row>
    <row r="30">
      <c r="B30" s="29" t="s">
        <v>38</v>
      </c>
      <c r="C30" s="49" t="s">
        <v>34</v>
      </c>
      <c r="E30" s="29" t="s">
        <v>39</v>
      </c>
      <c r="F30" s="50">
        <f>1/64</f>
        <v>0.015625</v>
      </c>
      <c r="R30" s="10"/>
      <c r="AD30" s="51"/>
      <c r="AE30" s="51"/>
      <c r="AF30" s="51"/>
      <c r="AG30" s="51"/>
      <c r="AH30" s="51"/>
      <c r="AI30" s="51"/>
      <c r="AJ30" s="51"/>
      <c r="AK30" s="51"/>
      <c r="AL30" s="51"/>
      <c r="AM30" s="51"/>
      <c r="AN30" s="51"/>
      <c r="AO30" s="51"/>
      <c r="AP30" s="51"/>
      <c r="BA30" s="14"/>
      <c r="BB30" s="14"/>
      <c r="BC30" s="14"/>
      <c r="BD30" s="14"/>
      <c r="BE30" s="14"/>
      <c r="BF30" s="14"/>
      <c r="BG30" s="14"/>
      <c r="BH30" s="14"/>
      <c r="BI30" s="14"/>
      <c r="BJ30" s="14"/>
      <c r="BK30" s="14"/>
      <c r="BL30" s="14"/>
      <c r="BM30" s="14"/>
      <c r="BN30" s="11"/>
      <c r="BY30" s="11"/>
    </row>
    <row r="31">
      <c r="G31" s="52"/>
      <c r="H31" s="52"/>
      <c r="I31" s="52"/>
      <c r="J31" s="52"/>
      <c r="K31" s="52"/>
      <c r="L31" s="52"/>
      <c r="M31" s="52"/>
      <c r="N31" s="52"/>
      <c r="O31" s="52"/>
      <c r="P31" s="52"/>
      <c r="Q31" s="52"/>
      <c r="R31" s="53"/>
      <c r="S31" s="52"/>
      <c r="T31" s="52"/>
      <c r="BN31" s="11"/>
      <c r="BU31" s="52"/>
      <c r="BV31" s="52"/>
      <c r="BW31" s="52"/>
      <c r="BX31" s="52"/>
      <c r="BY31" s="54"/>
      <c r="BZ31" s="52"/>
      <c r="CA31" s="52"/>
      <c r="CB31" s="52"/>
      <c r="CC31" s="52"/>
      <c r="CD31" s="52"/>
      <c r="CE31" s="52"/>
      <c r="CF31" s="52"/>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row>
    <row r="32">
      <c r="B32" s="55" t="s">
        <v>40</v>
      </c>
      <c r="C32" s="56"/>
      <c r="E32" s="12" t="s">
        <v>41</v>
      </c>
      <c r="F32" s="57"/>
      <c r="R32" s="10"/>
      <c r="BN32" s="11"/>
      <c r="BY32" s="11"/>
    </row>
    <row r="33">
      <c r="B33" s="33" t="s">
        <v>42</v>
      </c>
      <c r="C33" s="58">
        <v>0.98</v>
      </c>
      <c r="E33" s="59" t="s">
        <v>43</v>
      </c>
      <c r="F33" s="60">
        <f>C13*C34</f>
        <v>32</v>
      </c>
      <c r="R33" s="10"/>
      <c r="BN33" s="11"/>
      <c r="BY33" s="11"/>
    </row>
    <row r="34">
      <c r="B34" s="33" t="s">
        <v>44</v>
      </c>
      <c r="C34" s="61">
        <v>1.0</v>
      </c>
      <c r="E34" s="59" t="s">
        <v>45</v>
      </c>
      <c r="F34" s="62">
        <f>(F13*C33-F14*(1-C33))*F11/10^9/C13</f>
        <v>0.2167512064</v>
      </c>
      <c r="I34" s="63"/>
      <c r="R34" s="10"/>
      <c r="BN34" s="11"/>
      <c r="BY34" s="11"/>
    </row>
    <row r="35">
      <c r="B35" s="33" t="s">
        <v>46</v>
      </c>
      <c r="C35" s="64">
        <v>225.0</v>
      </c>
      <c r="E35" s="59" t="s">
        <v>47</v>
      </c>
      <c r="F35" s="65">
        <f>F33*C12*F34</f>
        <v>22550.24063</v>
      </c>
      <c r="R35" s="10"/>
      <c r="BN35" s="11"/>
      <c r="BY35" s="11"/>
    </row>
    <row r="36">
      <c r="B36" s="33" t="s">
        <v>48</v>
      </c>
      <c r="C36" s="61">
        <v>2.5</v>
      </c>
      <c r="E36" s="59" t="s">
        <v>49</v>
      </c>
      <c r="F36" s="66">
        <f>C16*365.24/C14</f>
        <v>0</v>
      </c>
      <c r="R36" s="10"/>
      <c r="BY36" s="11"/>
    </row>
    <row r="37">
      <c r="B37" s="33" t="s">
        <v>50</v>
      </c>
      <c r="C37" s="67">
        <f>average(0.15,0.19,0.22,0.22,0.33,0.1936,0.11,0.2)</f>
        <v>0.2017</v>
      </c>
      <c r="E37" s="59" t="s">
        <v>51</v>
      </c>
      <c r="F37" s="65">
        <f>F36*F33*C12</f>
        <v>0</v>
      </c>
      <c r="R37" s="10"/>
      <c r="BY37" s="11"/>
    </row>
    <row r="38">
      <c r="B38" s="33" t="s">
        <v>52</v>
      </c>
      <c r="C38" s="61">
        <v>10.0</v>
      </c>
      <c r="E38" s="68" t="s">
        <v>53</v>
      </c>
      <c r="F38" s="69">
        <f>sum(F35+F37)</f>
        <v>22550.24063</v>
      </c>
      <c r="R38" s="10"/>
      <c r="U38" s="70" t="s">
        <v>54</v>
      </c>
      <c r="V38" s="71"/>
      <c r="W38" s="71"/>
      <c r="X38" s="71"/>
      <c r="Y38" s="71"/>
      <c r="Z38" s="71"/>
      <c r="AA38" s="71"/>
      <c r="AB38" s="71"/>
      <c r="AC38" s="18"/>
      <c r="AD38" s="51"/>
      <c r="AE38" s="72" t="s">
        <v>54</v>
      </c>
      <c r="AF38" s="73"/>
      <c r="AG38" s="73"/>
      <c r="AH38" s="73"/>
      <c r="AI38" s="73"/>
      <c r="AJ38" s="73"/>
      <c r="AK38" s="73"/>
      <c r="AL38" s="74"/>
      <c r="AM38" s="74"/>
      <c r="AN38" s="74"/>
      <c r="AO38" s="74"/>
      <c r="AP38" s="75"/>
      <c r="AR38" s="70" t="s">
        <v>54</v>
      </c>
      <c r="AS38" s="71"/>
      <c r="AT38" s="71"/>
      <c r="AU38" s="71"/>
      <c r="AV38" s="71"/>
      <c r="AW38" s="71"/>
      <c r="AX38" s="71"/>
      <c r="AY38" s="71"/>
      <c r="AZ38" s="71"/>
      <c r="BA38" s="71"/>
      <c r="BB38" s="71"/>
      <c r="BC38" s="71"/>
      <c r="BD38" s="71"/>
      <c r="BE38" s="71"/>
      <c r="BF38" s="71"/>
      <c r="BG38" s="18"/>
      <c r="BI38" s="70" t="s">
        <v>54</v>
      </c>
      <c r="BJ38" s="71"/>
      <c r="BK38" s="71"/>
      <c r="BL38" s="71"/>
      <c r="BM38" s="71"/>
      <c r="BN38" s="71"/>
      <c r="BO38" s="71"/>
      <c r="BP38" s="71"/>
      <c r="BQ38" s="71"/>
      <c r="BR38" s="71"/>
      <c r="BS38" s="71"/>
      <c r="BT38" s="71"/>
      <c r="BU38" s="71"/>
      <c r="BV38" s="71"/>
      <c r="BW38" s="71"/>
      <c r="BX38" s="18"/>
      <c r="BY38" s="11"/>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row>
    <row r="39">
      <c r="B39" s="33" t="s">
        <v>55</v>
      </c>
      <c r="C39" s="61">
        <v>40.0</v>
      </c>
      <c r="E39" s="21" t="s">
        <v>56</v>
      </c>
      <c r="F39" s="76">
        <f>(F38)/((C13*C12)*C34)</f>
        <v>0.2167512064</v>
      </c>
      <c r="R39" s="10"/>
      <c r="U39" s="77" t="s">
        <v>57</v>
      </c>
      <c r="AC39" s="78"/>
      <c r="AD39" s="51"/>
      <c r="AE39" s="79" t="s">
        <v>58</v>
      </c>
      <c r="AF39" s="80"/>
      <c r="AG39" s="80"/>
      <c r="AH39" s="80"/>
      <c r="AI39" s="81" t="s">
        <v>59</v>
      </c>
      <c r="AJ39" s="82"/>
      <c r="AK39" s="82"/>
      <c r="AL39" s="83"/>
      <c r="AM39" s="83"/>
      <c r="AN39" s="83"/>
      <c r="AO39" s="83"/>
      <c r="AP39" s="84"/>
      <c r="AR39" s="85" t="s">
        <v>58</v>
      </c>
      <c r="AS39" s="86"/>
      <c r="AT39" s="86" t="s">
        <v>44</v>
      </c>
      <c r="BG39" s="78"/>
      <c r="BI39" s="85" t="s">
        <v>58</v>
      </c>
      <c r="BJ39" s="86"/>
      <c r="BK39" s="86" t="s">
        <v>44</v>
      </c>
      <c r="BX39" s="78"/>
      <c r="BY39" s="11"/>
      <c r="CE39" s="87"/>
      <c r="CF39" s="87"/>
      <c r="CG39" s="87"/>
      <c r="CH39" s="87"/>
      <c r="CI39" s="87"/>
      <c r="CJ39" s="87"/>
      <c r="CK39" s="87"/>
      <c r="CL39" s="87"/>
      <c r="CM39" s="87"/>
      <c r="CN39" s="87"/>
      <c r="CO39" s="87"/>
      <c r="CP39" s="87"/>
      <c r="CQ39" s="87"/>
      <c r="CR39" s="87"/>
      <c r="CS39" s="87"/>
      <c r="CT39" s="87"/>
      <c r="CU39" s="87"/>
      <c r="CV39" s="87"/>
      <c r="CW39" s="87"/>
      <c r="CX39" s="87"/>
      <c r="CY39" s="87"/>
      <c r="CZ39" s="87"/>
      <c r="DA39" s="87"/>
      <c r="DB39" s="87"/>
      <c r="DC39" s="87"/>
      <c r="DD39" s="87"/>
      <c r="DE39" s="87"/>
      <c r="DF39" s="87"/>
      <c r="DG39" s="87"/>
      <c r="DH39" s="87"/>
    </row>
    <row r="40">
      <c r="B40" s="33" t="s">
        <v>60</v>
      </c>
      <c r="C40" s="67">
        <f>average(31.14,36.68,37.15,39.58,67.69,72.68,57.66, 68.78)</f>
        <v>51.42</v>
      </c>
      <c r="E40" s="88" t="s">
        <v>61</v>
      </c>
      <c r="F40" s="89">
        <f>IF(C30="Yes",0,C45*8760/1000*C37)</f>
        <v>0</v>
      </c>
      <c r="I40" s="9" t="s">
        <v>62</v>
      </c>
      <c r="R40" s="10"/>
      <c r="U40" s="90"/>
      <c r="V40" s="91">
        <f>$F$39</f>
        <v>0.2167512064</v>
      </c>
      <c r="W40" s="92">
        <v>64.0</v>
      </c>
      <c r="X40" s="93">
        <f t="shared" ref="X40:AC40" si="1">W40+10</f>
        <v>74</v>
      </c>
      <c r="Y40" s="93">
        <f t="shared" si="1"/>
        <v>84</v>
      </c>
      <c r="Z40" s="93">
        <f t="shared" si="1"/>
        <v>94</v>
      </c>
      <c r="AA40" s="93">
        <f t="shared" si="1"/>
        <v>104</v>
      </c>
      <c r="AB40" s="93">
        <f t="shared" si="1"/>
        <v>114</v>
      </c>
      <c r="AC40" s="94">
        <f t="shared" si="1"/>
        <v>124</v>
      </c>
      <c r="AD40" s="51"/>
      <c r="AE40" s="95"/>
      <c r="AF40" s="96">
        <f>$F$39</f>
        <v>0.2167512064</v>
      </c>
      <c r="AG40" s="97">
        <f t="shared" ref="AG40:AI40" si="2">AH40-0.05</f>
        <v>0.7</v>
      </c>
      <c r="AH40" s="97">
        <f t="shared" si="2"/>
        <v>0.75</v>
      </c>
      <c r="AI40" s="97">
        <f t="shared" si="2"/>
        <v>0.8</v>
      </c>
      <c r="AJ40" s="97">
        <v>0.85</v>
      </c>
      <c r="AK40" s="98">
        <v>0.9</v>
      </c>
      <c r="AL40" s="97">
        <f t="shared" ref="AL40:AP40" si="3">AK40+0.02</f>
        <v>0.92</v>
      </c>
      <c r="AM40" s="97">
        <f t="shared" si="3"/>
        <v>0.94</v>
      </c>
      <c r="AN40" s="97">
        <f t="shared" si="3"/>
        <v>0.96</v>
      </c>
      <c r="AO40" s="97">
        <f t="shared" si="3"/>
        <v>0.98</v>
      </c>
      <c r="AP40" s="99">
        <f t="shared" si="3"/>
        <v>1</v>
      </c>
      <c r="AR40" s="85" t="s">
        <v>63</v>
      </c>
      <c r="AS40" s="86"/>
      <c r="AT40" s="86"/>
      <c r="AU40" s="86"/>
      <c r="AV40" s="86"/>
      <c r="AW40" s="86"/>
      <c r="AX40" s="86"/>
      <c r="AY40" s="86"/>
      <c r="AZ40" s="86"/>
      <c r="BA40" s="86"/>
      <c r="BB40" s="86"/>
      <c r="BC40" s="86"/>
      <c r="BD40" s="86"/>
      <c r="BE40" s="86"/>
      <c r="BF40" s="86"/>
      <c r="BG40" s="100"/>
      <c r="BI40" s="85" t="s">
        <v>63</v>
      </c>
      <c r="BJ40" s="86"/>
      <c r="BK40" s="86"/>
      <c r="BL40" s="86"/>
      <c r="BM40" s="86"/>
      <c r="BN40" s="86"/>
      <c r="BO40" s="86"/>
      <c r="BP40" s="86"/>
      <c r="BQ40" s="86"/>
      <c r="BR40" s="86"/>
      <c r="BS40" s="86"/>
      <c r="BT40" s="86"/>
      <c r="BU40" s="86"/>
      <c r="BV40" s="86"/>
      <c r="BW40" s="86"/>
      <c r="BX40" s="100"/>
      <c r="BY40" s="11"/>
      <c r="CE40" s="87"/>
      <c r="CF40" s="87"/>
      <c r="CG40" s="87"/>
      <c r="CH40" s="87"/>
      <c r="CI40" s="87"/>
      <c r="CJ40" s="87"/>
      <c r="CK40" s="87"/>
      <c r="CL40" s="87"/>
      <c r="CM40" s="87"/>
      <c r="CN40" s="87"/>
      <c r="CO40" s="87"/>
      <c r="CP40" s="87"/>
      <c r="CQ40" s="87"/>
      <c r="CR40" s="87"/>
      <c r="CS40" s="87"/>
      <c r="CT40" s="87"/>
      <c r="CU40" s="87"/>
      <c r="CV40" s="87"/>
      <c r="CW40" s="87"/>
      <c r="CX40" s="87"/>
      <c r="CY40" s="87"/>
      <c r="CZ40" s="87"/>
      <c r="DA40" s="87"/>
      <c r="DB40" s="87"/>
      <c r="DC40" s="87"/>
      <c r="DD40" s="87"/>
      <c r="DE40" s="87"/>
      <c r="DF40" s="87"/>
      <c r="DG40" s="87"/>
      <c r="DH40" s="87"/>
    </row>
    <row r="41">
      <c r="B41" s="33" t="s">
        <v>64</v>
      </c>
      <c r="C41" s="64">
        <v>90.0</v>
      </c>
      <c r="E41" s="88" t="s">
        <v>65</v>
      </c>
      <c r="F41" s="101">
        <f>if(C30="Yes",0,C35/C36*C44)</f>
        <v>0</v>
      </c>
      <c r="R41" s="10"/>
      <c r="U41" s="102" t="s">
        <v>66</v>
      </c>
      <c r="V41" s="103">
        <v>100000.0</v>
      </c>
      <c r="W41" s="104">
        <v>0.46433959412298753</v>
      </c>
      <c r="X41" s="105">
        <v>0.5368926557047042</v>
      </c>
      <c r="Y41" s="105">
        <v>0.609445717286421</v>
      </c>
      <c r="Z41" s="105">
        <v>0.6819987788681379</v>
      </c>
      <c r="AA41" s="105">
        <v>0.7545518404498546</v>
      </c>
      <c r="AB41" s="105">
        <v>0.8271049020315713</v>
      </c>
      <c r="AC41" s="106">
        <v>0.8996579636132881</v>
      </c>
      <c r="AD41" s="51"/>
      <c r="AE41" s="102" t="s">
        <v>66</v>
      </c>
      <c r="AF41" s="103">
        <v>100000.0</v>
      </c>
      <c r="AG41" s="107">
        <v>0.38047055517584993</v>
      </c>
      <c r="AH41" s="107">
        <v>0.40198350828955076</v>
      </c>
      <c r="AI41" s="107">
        <v>0.4230780524378999</v>
      </c>
      <c r="AJ41" s="107">
        <v>0.44383610769200854</v>
      </c>
      <c r="AK41" s="108">
        <v>0.46433959412298753</v>
      </c>
      <c r="AL41" s="107">
        <v>0.47248805952083156</v>
      </c>
      <c r="AM41" s="107">
        <v>0.4806141440029038</v>
      </c>
      <c r="AN41" s="107">
        <v>0.4887230904537551</v>
      </c>
      <c r="AO41" s="107">
        <v>0.4968201417579368</v>
      </c>
      <c r="AP41" s="109">
        <v>0.5049105408</v>
      </c>
      <c r="AR41" s="85" t="s">
        <v>67</v>
      </c>
      <c r="AS41" s="86"/>
      <c r="AT41" s="86"/>
      <c r="AU41" s="86"/>
      <c r="AV41" s="86"/>
      <c r="AW41" s="86"/>
      <c r="AX41" s="86"/>
      <c r="AY41" s="86"/>
      <c r="AZ41" s="86"/>
      <c r="BA41" s="86"/>
      <c r="BB41" s="86"/>
      <c r="BC41" s="86"/>
      <c r="BD41" s="86"/>
      <c r="BE41" s="86"/>
      <c r="BF41" s="86"/>
      <c r="BG41" s="100"/>
      <c r="BI41" s="85" t="s">
        <v>68</v>
      </c>
      <c r="BJ41" s="86"/>
      <c r="BK41" s="86"/>
      <c r="BL41" s="86"/>
      <c r="BM41" s="86"/>
      <c r="BN41" s="86"/>
      <c r="BO41" s="86"/>
      <c r="BP41" s="86"/>
      <c r="BQ41" s="86"/>
      <c r="BR41" s="86"/>
      <c r="BS41" s="86"/>
      <c r="BT41" s="86"/>
      <c r="BU41" s="86"/>
      <c r="BV41" s="86"/>
      <c r="BW41" s="86"/>
      <c r="BX41" s="100"/>
      <c r="BY41" s="11"/>
      <c r="CE41" s="87"/>
      <c r="CF41" s="87"/>
      <c r="CG41" s="87"/>
      <c r="CH41" s="87"/>
      <c r="CI41" s="87"/>
      <c r="CJ41" s="87"/>
      <c r="CK41" s="87"/>
      <c r="CL41" s="87"/>
      <c r="CM41" s="87"/>
      <c r="CN41" s="87"/>
      <c r="CO41" s="87"/>
      <c r="CP41" s="87"/>
      <c r="CQ41" s="87"/>
      <c r="CR41" s="87"/>
      <c r="CS41" s="87"/>
      <c r="CT41" s="87"/>
      <c r="CU41" s="87"/>
      <c r="CV41" s="87"/>
      <c r="CW41" s="87"/>
      <c r="CX41" s="87"/>
      <c r="CY41" s="87"/>
      <c r="CZ41" s="87"/>
      <c r="DA41" s="87"/>
      <c r="DB41" s="87"/>
      <c r="DC41" s="87"/>
      <c r="DD41" s="87"/>
      <c r="DE41" s="87"/>
      <c r="DF41" s="87"/>
      <c r="DG41" s="87"/>
      <c r="DH41" s="87"/>
    </row>
    <row r="42">
      <c r="B42" s="33" t="s">
        <v>69</v>
      </c>
      <c r="C42" s="64">
        <v>20.0</v>
      </c>
      <c r="E42" s="88" t="s">
        <v>70</v>
      </c>
      <c r="F42" s="89">
        <f>IF(C28="Yes",0,C40*12)</f>
        <v>0</v>
      </c>
      <c r="R42" s="10"/>
      <c r="U42" s="110"/>
      <c r="V42" s="93">
        <f t="shared" ref="V42:V59" si="6">V41+50000</f>
        <v>150000</v>
      </c>
      <c r="W42" s="104">
        <v>0.3791316909907875</v>
      </c>
      <c r="X42" s="105">
        <v>0.4383710177080978</v>
      </c>
      <c r="Y42" s="105">
        <v>0.49761034442540836</v>
      </c>
      <c r="Z42" s="105">
        <v>0.5568496711427188</v>
      </c>
      <c r="AA42" s="105">
        <v>0.6160889978600295</v>
      </c>
      <c r="AB42" s="105">
        <v>0.67532832457734</v>
      </c>
      <c r="AC42" s="106">
        <v>0.7345676512946504</v>
      </c>
      <c r="AD42" s="51"/>
      <c r="AE42" s="110"/>
      <c r="AF42" s="93">
        <f t="shared" ref="AF42:AF59" si="7">AF41+50000</f>
        <v>150000</v>
      </c>
      <c r="AG42" s="111">
        <v>0.3106529074447552</v>
      </c>
      <c r="AH42" s="111">
        <v>0.3282181601077504</v>
      </c>
      <c r="AI42" s="111">
        <v>0.3454417832811066</v>
      </c>
      <c r="AJ42" s="111">
        <v>0.36239066442279505</v>
      </c>
      <c r="AK42" s="112">
        <v>0.3791316909907875</v>
      </c>
      <c r="AL42" s="111">
        <v>0.38578488512793485</v>
      </c>
      <c r="AM42" s="111">
        <v>0.3924198053238767</v>
      </c>
      <c r="AN42" s="111">
        <v>0.3990407323759229</v>
      </c>
      <c r="AO42" s="111">
        <v>0.40565194708138363</v>
      </c>
      <c r="AP42" s="113">
        <v>0.4122577302375692</v>
      </c>
      <c r="AR42" s="90"/>
      <c r="AS42" s="91">
        <f>$F$39</f>
        <v>0.2167512064</v>
      </c>
      <c r="AT42" s="103">
        <v>1.0</v>
      </c>
      <c r="AU42" s="93">
        <f t="shared" ref="AU42:AX42" si="4">AT42+1</f>
        <v>2</v>
      </c>
      <c r="AV42" s="93">
        <f t="shared" si="4"/>
        <v>3</v>
      </c>
      <c r="AW42" s="93">
        <f t="shared" si="4"/>
        <v>4</v>
      </c>
      <c r="AX42" s="93">
        <f t="shared" si="4"/>
        <v>5</v>
      </c>
      <c r="AY42" s="103">
        <v>10.0</v>
      </c>
      <c r="AZ42" s="103">
        <v>15.0</v>
      </c>
      <c r="BA42" s="103">
        <v>20.0</v>
      </c>
      <c r="BB42" s="103">
        <v>25.0</v>
      </c>
      <c r="BC42" s="103">
        <v>30.0</v>
      </c>
      <c r="BD42" s="103">
        <v>35.0</v>
      </c>
      <c r="BE42" s="103">
        <v>40.0</v>
      </c>
      <c r="BF42" s="103">
        <v>45.0</v>
      </c>
      <c r="BG42" s="114">
        <v>50.0</v>
      </c>
      <c r="BI42" s="90"/>
      <c r="BJ42" s="91">
        <f>$F$39</f>
        <v>0.2167512064</v>
      </c>
      <c r="BK42" s="103">
        <v>1.0</v>
      </c>
      <c r="BL42" s="93">
        <f t="shared" ref="BL42:BO42" si="5">BK42+1</f>
        <v>2</v>
      </c>
      <c r="BM42" s="93">
        <f t="shared" si="5"/>
        <v>3</v>
      </c>
      <c r="BN42" s="93">
        <f t="shared" si="5"/>
        <v>4</v>
      </c>
      <c r="BO42" s="93">
        <f t="shared" si="5"/>
        <v>5</v>
      </c>
      <c r="BP42" s="103">
        <v>10.0</v>
      </c>
      <c r="BQ42" s="103">
        <v>15.0</v>
      </c>
      <c r="BR42" s="103">
        <v>20.0</v>
      </c>
      <c r="BS42" s="103">
        <v>25.0</v>
      </c>
      <c r="BT42" s="103">
        <v>30.0</v>
      </c>
      <c r="BU42" s="103">
        <v>35.0</v>
      </c>
      <c r="BV42" s="103">
        <v>40.0</v>
      </c>
      <c r="BW42" s="103">
        <v>45.0</v>
      </c>
      <c r="BX42" s="114">
        <v>50.0</v>
      </c>
      <c r="BY42" s="11"/>
      <c r="CE42" s="115"/>
      <c r="CF42" s="115"/>
      <c r="CG42" s="115"/>
      <c r="CH42" s="115"/>
      <c r="CI42" s="115"/>
      <c r="CJ42" s="115"/>
      <c r="CK42" s="115"/>
      <c r="CL42" s="115"/>
      <c r="CM42" s="115"/>
      <c r="CN42" s="115"/>
      <c r="CO42" s="115"/>
      <c r="CP42" s="115"/>
      <c r="CQ42" s="115"/>
      <c r="CR42" s="115"/>
      <c r="CS42" s="115"/>
      <c r="CT42" s="115"/>
      <c r="CU42" s="115"/>
      <c r="CV42" s="115"/>
      <c r="CW42" s="115"/>
      <c r="CX42" s="115"/>
      <c r="CY42" s="115"/>
      <c r="CZ42" s="115"/>
      <c r="DA42" s="115"/>
      <c r="DB42" s="115"/>
      <c r="DC42" s="115"/>
      <c r="DD42" s="115"/>
      <c r="DE42" s="115"/>
      <c r="DF42" s="115"/>
      <c r="DG42" s="115"/>
      <c r="DH42" s="115"/>
    </row>
    <row r="43">
      <c r="B43" s="33" t="s">
        <v>71</v>
      </c>
      <c r="C43" s="64">
        <v>25.0</v>
      </c>
      <c r="E43" s="116" t="s">
        <v>72</v>
      </c>
      <c r="F43" s="117">
        <f>if(C29="yes",0,C41)</f>
        <v>0</v>
      </c>
      <c r="R43" s="10"/>
      <c r="U43" s="110"/>
      <c r="V43" s="93">
        <f t="shared" si="6"/>
        <v>200000</v>
      </c>
      <c r="W43" s="104">
        <v>0.3283376757777736</v>
      </c>
      <c r="X43" s="105">
        <v>0.3796404376180507</v>
      </c>
      <c r="Y43" s="105">
        <v>0.4309431994583279</v>
      </c>
      <c r="Z43" s="105">
        <v>0.48224596129860503</v>
      </c>
      <c r="AA43" s="105">
        <v>0.5335487231388821</v>
      </c>
      <c r="AB43" s="105">
        <v>0.5848514849791594</v>
      </c>
      <c r="AC43" s="106">
        <v>0.6361542468194363</v>
      </c>
      <c r="AD43" s="51"/>
      <c r="AE43" s="110"/>
      <c r="AF43" s="93">
        <f t="shared" si="7"/>
        <v>200000</v>
      </c>
      <c r="AG43" s="107">
        <v>0.269033309606654</v>
      </c>
      <c r="AH43" s="107">
        <v>0.2842452646367</v>
      </c>
      <c r="AI43" s="107">
        <v>0.2991613598500368</v>
      </c>
      <c r="AJ43" s="107">
        <v>0.31383952148446204</v>
      </c>
      <c r="AK43" s="108">
        <v>0.3283376757777736</v>
      </c>
      <c r="AL43" s="107">
        <v>0.3340995109168531</v>
      </c>
      <c r="AM43" s="107">
        <v>0.33984552035862114</v>
      </c>
      <c r="AN43" s="107">
        <v>0.3455794113822968</v>
      </c>
      <c r="AO43" s="107">
        <v>0.3513048912670992</v>
      </c>
      <c r="AP43" s="109">
        <v>0.357025667292247</v>
      </c>
      <c r="AR43" s="118" t="s">
        <v>73</v>
      </c>
      <c r="AS43" s="119">
        <f>AG40</f>
        <v>0.7</v>
      </c>
      <c r="AT43" s="14">
        <v>0.1203153536984451</v>
      </c>
      <c r="AU43" s="14">
        <v>0.1203153536984451</v>
      </c>
      <c r="AV43" s="14">
        <v>0.12031535369844511</v>
      </c>
      <c r="AW43" s="14">
        <v>0.1203153536984451</v>
      </c>
      <c r="AX43" s="14">
        <v>0.12031535369844511</v>
      </c>
      <c r="AY43" s="14">
        <v>0.12031535369844511</v>
      </c>
      <c r="AZ43" s="14">
        <v>0.12031535369844511</v>
      </c>
      <c r="BA43" s="14">
        <v>0.12031535369844511</v>
      </c>
      <c r="BB43" s="14">
        <v>0.1203153536984451</v>
      </c>
      <c r="BC43" s="14">
        <v>0.12031535369844511</v>
      </c>
      <c r="BD43" s="14">
        <v>0.12031535369844511</v>
      </c>
      <c r="BE43" s="14">
        <v>0.12031535369844511</v>
      </c>
      <c r="BF43" s="14">
        <v>0.12031535369844512</v>
      </c>
      <c r="BG43" s="120">
        <v>0.1203153536984451</v>
      </c>
      <c r="BI43" s="102" t="s">
        <v>66</v>
      </c>
      <c r="BJ43" s="103">
        <v>100000.0</v>
      </c>
      <c r="BK43" s="14">
        <v>0.46433959412298753</v>
      </c>
      <c r="BL43" s="14">
        <v>0.46433959412298753</v>
      </c>
      <c r="BM43" s="14">
        <v>0.46433959412298753</v>
      </c>
      <c r="BN43" s="14">
        <v>0.46433959412298753</v>
      </c>
      <c r="BO43" s="14">
        <v>0.46433959412298753</v>
      </c>
      <c r="BP43" s="14">
        <v>0.46433959412298753</v>
      </c>
      <c r="BQ43" s="14">
        <v>0.46433959412298753</v>
      </c>
      <c r="BR43" s="14">
        <v>0.46433959412298753</v>
      </c>
      <c r="BS43" s="14">
        <v>0.46433959412298753</v>
      </c>
      <c r="BT43" s="14">
        <v>0.46433959412298753</v>
      </c>
      <c r="BU43" s="14">
        <v>0.46433959412298753</v>
      </c>
      <c r="BV43" s="14">
        <v>0.46433959412298753</v>
      </c>
      <c r="BW43" s="14">
        <v>0.46433959412298753</v>
      </c>
      <c r="BX43" s="120">
        <v>0.46433959412298753</v>
      </c>
      <c r="BY43" s="11"/>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row>
    <row r="44">
      <c r="B44" s="121" t="s">
        <v>74</v>
      </c>
      <c r="C44" s="122">
        <f>CEILING(1024*(1-(1023/1024)^C34)/16,1)</f>
        <v>1</v>
      </c>
      <c r="E44" s="116" t="s">
        <v>75</v>
      </c>
      <c r="F44" s="117">
        <f>if(C30="Yes",12*C42*C44,0)</f>
        <v>240</v>
      </c>
      <c r="R44" s="10"/>
      <c r="U44" s="110"/>
      <c r="V44" s="93">
        <f t="shared" si="6"/>
        <v>250000</v>
      </c>
      <c r="W44" s="104">
        <v>0.29367414504535516</v>
      </c>
      <c r="X44" s="105">
        <v>0.3395607302086919</v>
      </c>
      <c r="Y44" s="105">
        <v>0.3854473153720286</v>
      </c>
      <c r="Z44" s="105">
        <v>0.43133390053536547</v>
      </c>
      <c r="AA44" s="105">
        <v>0.47722048569870196</v>
      </c>
      <c r="AB44" s="105">
        <v>0.5231070708620388</v>
      </c>
      <c r="AC44" s="106">
        <v>0.5689936560253755</v>
      </c>
      <c r="AD44" s="51"/>
      <c r="AE44" s="110"/>
      <c r="AF44" s="93">
        <f t="shared" si="7"/>
        <v>250000</v>
      </c>
      <c r="AG44" s="107">
        <v>0.2406307073968902</v>
      </c>
      <c r="AH44" s="107">
        <v>0.25423669360403134</v>
      </c>
      <c r="AI44" s="107">
        <v>0.2675780547463834</v>
      </c>
      <c r="AJ44" s="107">
        <v>0.2807066016261051</v>
      </c>
      <c r="AK44" s="108">
        <v>0.29367414504535516</v>
      </c>
      <c r="AL44" s="107">
        <v>0.29882768706380664</v>
      </c>
      <c r="AM44" s="107">
        <v>0.30396707414826624</v>
      </c>
      <c r="AN44" s="107">
        <v>0.3090956221900721</v>
      </c>
      <c r="AO44" s="107">
        <v>0.31421664708056224</v>
      </c>
      <c r="AP44" s="109">
        <v>0.319333464711075</v>
      </c>
      <c r="AR44" s="110"/>
      <c r="AS44" s="119">
        <v>0.75</v>
      </c>
      <c r="AT44" s="123">
        <v>0.12711834680201567</v>
      </c>
      <c r="AU44" s="123">
        <v>0.12711834680201567</v>
      </c>
      <c r="AV44" s="123">
        <v>0.12711834680201567</v>
      </c>
      <c r="AW44" s="123">
        <v>0.12711834680201567</v>
      </c>
      <c r="AX44" s="123">
        <v>0.12711834680201567</v>
      </c>
      <c r="AY44" s="123">
        <v>0.12711834680201567</v>
      </c>
      <c r="AZ44" s="123">
        <v>0.12711834680201567</v>
      </c>
      <c r="BA44" s="123">
        <v>0.12711834680201567</v>
      </c>
      <c r="BB44" s="123">
        <v>0.12711834680201567</v>
      </c>
      <c r="BC44" s="123">
        <v>0.12711834680201567</v>
      </c>
      <c r="BD44" s="123">
        <v>0.12711834680201567</v>
      </c>
      <c r="BE44" s="123">
        <v>0.12711834680201567</v>
      </c>
      <c r="BF44" s="123">
        <v>0.12711834680201567</v>
      </c>
      <c r="BG44" s="124">
        <v>0.12711834680201567</v>
      </c>
      <c r="BI44" s="110"/>
      <c r="BJ44" s="93">
        <f t="shared" ref="BJ44:BJ61" si="8">BJ43+50000</f>
        <v>150000</v>
      </c>
      <c r="BK44" s="123">
        <v>0.3791316909907875</v>
      </c>
      <c r="BL44" s="123">
        <v>0.3791316909907875</v>
      </c>
      <c r="BM44" s="123">
        <v>0.3791316909907875</v>
      </c>
      <c r="BN44" s="123">
        <v>0.3791316909907875</v>
      </c>
      <c r="BO44" s="123">
        <v>0.3791316909907875</v>
      </c>
      <c r="BP44" s="123">
        <v>0.3791316909907875</v>
      </c>
      <c r="BQ44" s="123">
        <v>0.3791316909907875</v>
      </c>
      <c r="BR44" s="123">
        <v>0.3791316909907875</v>
      </c>
      <c r="BS44" s="123">
        <v>0.3791316909907875</v>
      </c>
      <c r="BT44" s="123">
        <v>0.3791316909907875</v>
      </c>
      <c r="BU44" s="123">
        <v>0.3791316909907875</v>
      </c>
      <c r="BV44" s="123">
        <v>0.3791316909907875</v>
      </c>
      <c r="BW44" s="123">
        <v>0.3791316909907875</v>
      </c>
      <c r="BX44" s="124">
        <v>0.3791316909907875</v>
      </c>
      <c r="BY44" s="11"/>
      <c r="CE44" s="123"/>
      <c r="CF44" s="123"/>
      <c r="CG44" s="123"/>
      <c r="CH44" s="123"/>
      <c r="CI44" s="123"/>
      <c r="CJ44" s="123"/>
      <c r="CK44" s="123"/>
      <c r="CL44" s="123"/>
      <c r="CM44" s="123"/>
      <c r="CN44" s="123"/>
      <c r="CO44" s="123"/>
      <c r="CP44" s="123"/>
      <c r="CQ44" s="123"/>
      <c r="CR44" s="123"/>
      <c r="CS44" s="123"/>
      <c r="CT44" s="123"/>
      <c r="CU44" s="123"/>
      <c r="CV44" s="123"/>
      <c r="CW44" s="123"/>
      <c r="CX44" s="123"/>
      <c r="CY44" s="123"/>
      <c r="CZ44" s="123"/>
      <c r="DA44" s="123"/>
      <c r="DB44" s="123"/>
      <c r="DC44" s="123"/>
      <c r="DD44" s="123"/>
      <c r="DE44" s="123"/>
      <c r="DF44" s="123"/>
      <c r="DG44" s="123"/>
      <c r="DH44" s="123"/>
    </row>
    <row r="45" ht="19.5" customHeight="1">
      <c r="B45" s="33" t="s">
        <v>76</v>
      </c>
      <c r="C45" s="125">
        <f>C44*C39+1024*(1-(1023/1024)^C34)*C38</f>
        <v>50</v>
      </c>
      <c r="E45" s="116" t="s">
        <v>77</v>
      </c>
      <c r="F45" s="117">
        <f>C43*C44</f>
        <v>25</v>
      </c>
      <c r="R45" s="10"/>
      <c r="U45" s="110"/>
      <c r="V45" s="93">
        <f t="shared" si="6"/>
        <v>300000</v>
      </c>
      <c r="W45" s="104">
        <v>0.26808658966230847</v>
      </c>
      <c r="X45" s="105">
        <v>0.3099751192970441</v>
      </c>
      <c r="Y45" s="105">
        <v>0.3518636489317798</v>
      </c>
      <c r="Z45" s="105">
        <v>0.39375217856651545</v>
      </c>
      <c r="AA45" s="105">
        <v>0.43564070820125117</v>
      </c>
      <c r="AB45" s="105">
        <v>0.47752923783598683</v>
      </c>
      <c r="AC45" s="106">
        <v>0.5194177674707225</v>
      </c>
      <c r="AD45" s="51"/>
      <c r="AE45" s="110"/>
      <c r="AF45" s="93">
        <f t="shared" si="7"/>
        <v>300000</v>
      </c>
      <c r="AG45" s="107">
        <v>0.21966477744950336</v>
      </c>
      <c r="AH45" s="107">
        <v>0.23208528672076228</v>
      </c>
      <c r="AI45" s="107">
        <v>0.24426422746324414</v>
      </c>
      <c r="AJ45" s="107">
        <v>0.2562488962520569</v>
      </c>
      <c r="AK45" s="108">
        <v>0.26808658966230847</v>
      </c>
      <c r="AL45" s="107">
        <v>0.27279110835323606</v>
      </c>
      <c r="AM45" s="107">
        <v>0.27748270541641806</v>
      </c>
      <c r="AN45" s="107">
        <v>0.28216440783266145</v>
      </c>
      <c r="AO45" s="107">
        <v>0.286839242582773</v>
      </c>
      <c r="AP45" s="109">
        <v>0.29151023664755954</v>
      </c>
      <c r="AR45" s="110"/>
      <c r="AS45" s="119">
        <v>0.8</v>
      </c>
      <c r="AT45" s="14">
        <v>0.13378902737319173</v>
      </c>
      <c r="AU45" s="14">
        <v>0.13378902737319173</v>
      </c>
      <c r="AV45" s="14">
        <v>0.13378902737319173</v>
      </c>
      <c r="AW45" s="14">
        <v>0.13378902737319173</v>
      </c>
      <c r="AX45" s="14">
        <v>0.13378902737319173</v>
      </c>
      <c r="AY45" s="14">
        <v>0.13378902737319173</v>
      </c>
      <c r="AZ45" s="14">
        <v>0.13378902737319173</v>
      </c>
      <c r="BA45" s="14">
        <v>0.13378902737319173</v>
      </c>
      <c r="BB45" s="14">
        <v>0.13378902737319173</v>
      </c>
      <c r="BC45" s="14">
        <v>0.13378902737319173</v>
      </c>
      <c r="BD45" s="14">
        <v>0.13378902737319173</v>
      </c>
      <c r="BE45" s="14">
        <v>0.13378902737319173</v>
      </c>
      <c r="BF45" s="14">
        <v>0.13378902737319173</v>
      </c>
      <c r="BG45" s="120">
        <v>0.13378902737319173</v>
      </c>
      <c r="BI45" s="110"/>
      <c r="BJ45" s="93">
        <f t="shared" si="8"/>
        <v>200000</v>
      </c>
      <c r="BK45" s="14">
        <v>0.3283376757777736</v>
      </c>
      <c r="BL45" s="14">
        <v>0.3283376757777736</v>
      </c>
      <c r="BM45" s="14">
        <v>0.3283376757777736</v>
      </c>
      <c r="BN45" s="14">
        <v>0.3283376757777736</v>
      </c>
      <c r="BO45" s="14">
        <v>0.3283376757777736</v>
      </c>
      <c r="BP45" s="14">
        <v>0.3283376757777736</v>
      </c>
      <c r="BQ45" s="14">
        <v>0.3283376757777736</v>
      </c>
      <c r="BR45" s="14">
        <v>0.3283376757777736</v>
      </c>
      <c r="BS45" s="14">
        <v>0.3283376757777736</v>
      </c>
      <c r="BT45" s="14">
        <v>0.3283376757777736</v>
      </c>
      <c r="BU45" s="14">
        <v>0.3283376757777736</v>
      </c>
      <c r="BV45" s="14">
        <v>0.3283376757777736</v>
      </c>
      <c r="BW45" s="14">
        <v>0.3283376757777736</v>
      </c>
      <c r="BX45" s="120">
        <v>0.3283376757777736</v>
      </c>
      <c r="BY45" s="11"/>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row>
    <row r="46">
      <c r="B46" s="126" t="s">
        <v>78</v>
      </c>
      <c r="C46" s="127">
        <f>F33*C12</f>
        <v>104037.44</v>
      </c>
      <c r="E46" s="128" t="s">
        <v>79</v>
      </c>
      <c r="F46" s="129">
        <f>sum(F40:F45)</f>
        <v>265</v>
      </c>
      <c r="R46" s="10"/>
      <c r="U46" s="110"/>
      <c r="V46" s="93">
        <f t="shared" si="6"/>
        <v>350000</v>
      </c>
      <c r="W46" s="104">
        <v>0.24819995318884144</v>
      </c>
      <c r="X46" s="105">
        <v>0.2869811958745979</v>
      </c>
      <c r="Y46" s="105">
        <v>0.3257624385603543</v>
      </c>
      <c r="Z46" s="105">
        <v>0.36454368124611086</v>
      </c>
      <c r="AA46" s="105">
        <v>0.40332492393186736</v>
      </c>
      <c r="AB46" s="105">
        <v>0.44210616661762375</v>
      </c>
      <c r="AC46" s="106">
        <v>0.4808874093033803</v>
      </c>
      <c r="AD46" s="51"/>
      <c r="AE46" s="110"/>
      <c r="AF46" s="93">
        <f t="shared" si="7"/>
        <v>350000</v>
      </c>
      <c r="AG46" s="107">
        <v>0.20337006617481448</v>
      </c>
      <c r="AH46" s="107">
        <v>0.21486922330755734</v>
      </c>
      <c r="AI46" s="107">
        <v>0.22614473144088595</v>
      </c>
      <c r="AJ46" s="107">
        <v>0.23724037869468545</v>
      </c>
      <c r="AK46" s="108">
        <v>0.24819995318884144</v>
      </c>
      <c r="AL46" s="107">
        <v>0.25255549115265785</v>
      </c>
      <c r="AM46" s="107">
        <v>0.2568990660137857</v>
      </c>
      <c r="AN46" s="107">
        <v>0.26123348021189746</v>
      </c>
      <c r="AO46" s="107">
        <v>0.26556153618666595</v>
      </c>
      <c r="AP46" s="109">
        <v>0.26988603637776365</v>
      </c>
      <c r="AR46" s="110"/>
      <c r="AS46" s="119">
        <v>0.85</v>
      </c>
      <c r="AT46" s="14">
        <v>0.14035330081305256</v>
      </c>
      <c r="AU46" s="14">
        <v>0.14035330081305256</v>
      </c>
      <c r="AV46" s="14">
        <v>0.14035330081305256</v>
      </c>
      <c r="AW46" s="14">
        <v>0.14035330081305256</v>
      </c>
      <c r="AX46" s="14">
        <v>0.14035330081305256</v>
      </c>
      <c r="AY46" s="14">
        <v>0.14035330081305256</v>
      </c>
      <c r="AZ46" s="14">
        <v>0.14035330081305256</v>
      </c>
      <c r="BA46" s="14">
        <v>0.14035330081305256</v>
      </c>
      <c r="BB46" s="14">
        <v>0.14035330081305256</v>
      </c>
      <c r="BC46" s="14">
        <v>0.14035330081305256</v>
      </c>
      <c r="BD46" s="14">
        <v>0.14035330081305256</v>
      </c>
      <c r="BE46" s="14">
        <v>0.14035330081305256</v>
      </c>
      <c r="BF46" s="14">
        <v>0.14035330081305256</v>
      </c>
      <c r="BG46" s="120">
        <v>0.14035330081305256</v>
      </c>
      <c r="BI46" s="110"/>
      <c r="BJ46" s="93">
        <f t="shared" si="8"/>
        <v>250000</v>
      </c>
      <c r="BK46" s="14">
        <v>0.29367414504535516</v>
      </c>
      <c r="BL46" s="14">
        <v>0.29367414504535516</v>
      </c>
      <c r="BM46" s="14">
        <v>0.29367414504535516</v>
      </c>
      <c r="BN46" s="14">
        <v>0.29367414504535516</v>
      </c>
      <c r="BO46" s="14">
        <v>0.29367414504535516</v>
      </c>
      <c r="BP46" s="14">
        <v>0.29367414504535516</v>
      </c>
      <c r="BQ46" s="14">
        <v>0.29367414504535516</v>
      </c>
      <c r="BR46" s="14">
        <v>0.29367414504535516</v>
      </c>
      <c r="BS46" s="14">
        <v>0.29367414504535516</v>
      </c>
      <c r="BT46" s="14">
        <v>0.29367414504535516</v>
      </c>
      <c r="BU46" s="14">
        <v>0.29367414504535516</v>
      </c>
      <c r="BV46" s="14">
        <v>0.29367414504535516</v>
      </c>
      <c r="BW46" s="14">
        <v>0.29367414504535516</v>
      </c>
      <c r="BX46" s="120">
        <v>0.29367414504535516</v>
      </c>
      <c r="BY46" s="11"/>
      <c r="CE46" s="14"/>
      <c r="CF46" s="14"/>
      <c r="CG46" s="14"/>
      <c r="CH46" s="14"/>
      <c r="CI46" s="14"/>
      <c r="CJ46" s="14"/>
      <c r="CK46" s="14"/>
      <c r="CL46" s="14"/>
      <c r="CM46" s="14"/>
      <c r="CN46" s="14"/>
      <c r="CO46" s="14"/>
      <c r="CP46" s="14"/>
      <c r="CQ46" s="14"/>
      <c r="CR46" s="14"/>
      <c r="CS46" s="14"/>
      <c r="CT46" s="14"/>
      <c r="CU46" s="14"/>
      <c r="CV46" s="14"/>
      <c r="CW46" s="14"/>
      <c r="CX46" s="14"/>
      <c r="CY46" s="14"/>
      <c r="CZ46" s="14"/>
      <c r="DA46" s="14"/>
      <c r="DB46" s="14"/>
      <c r="DC46" s="14"/>
      <c r="DD46" s="14"/>
      <c r="DE46" s="14"/>
      <c r="DF46" s="14"/>
      <c r="DG46" s="14"/>
      <c r="DH46" s="14"/>
    </row>
    <row r="47" ht="18.0" customHeight="1">
      <c r="B47" s="130" t="s">
        <v>80</v>
      </c>
      <c r="C47" s="131">
        <f>(C35*C44)+C41+(F33*C12)+(C43*C34)</f>
        <v>104377.44</v>
      </c>
      <c r="E47" s="132" t="s">
        <v>81</v>
      </c>
      <c r="F47" s="133">
        <f>F38-F46</f>
        <v>22285.24063</v>
      </c>
      <c r="R47" s="10"/>
      <c r="U47" s="110"/>
      <c r="V47" s="93">
        <f t="shared" si="6"/>
        <v>400000</v>
      </c>
      <c r="W47" s="104">
        <v>0.23216979706149377</v>
      </c>
      <c r="X47" s="105">
        <v>0.2684463278523521</v>
      </c>
      <c r="Y47" s="105">
        <v>0.3047228586432105</v>
      </c>
      <c r="Z47" s="105">
        <v>0.34099938943406893</v>
      </c>
      <c r="AA47" s="105">
        <v>0.3772759202249273</v>
      </c>
      <c r="AB47" s="105">
        <v>0.41355245101578564</v>
      </c>
      <c r="AC47" s="106">
        <v>0.44982898180664405</v>
      </c>
      <c r="AD47" s="51"/>
      <c r="AE47" s="110"/>
      <c r="AF47" s="93">
        <f t="shared" si="7"/>
        <v>400000</v>
      </c>
      <c r="AG47" s="107">
        <v>0.19023527758792497</v>
      </c>
      <c r="AH47" s="107">
        <v>0.20099175414477538</v>
      </c>
      <c r="AI47" s="107">
        <v>0.21153902621894996</v>
      </c>
      <c r="AJ47" s="107">
        <v>0.22191805384600427</v>
      </c>
      <c r="AK47" s="108">
        <v>0.23216979706149377</v>
      </c>
      <c r="AL47" s="107">
        <v>0.23624402976041578</v>
      </c>
      <c r="AM47" s="107">
        <v>0.2403070720014519</v>
      </c>
      <c r="AN47" s="107">
        <v>0.24436154522687756</v>
      </c>
      <c r="AO47" s="107">
        <v>0.2484100708789684</v>
      </c>
      <c r="AP47" s="109">
        <v>0.2524552704</v>
      </c>
      <c r="AR47" s="110"/>
      <c r="AS47" s="134">
        <v>0.9</v>
      </c>
      <c r="AT47" s="135">
        <v>0.14683707252267758</v>
      </c>
      <c r="AU47" s="135">
        <v>0.14683707252267758</v>
      </c>
      <c r="AV47" s="135">
        <v>0.14683707252267758</v>
      </c>
      <c r="AW47" s="135">
        <v>0.14683707252267758</v>
      </c>
      <c r="AX47" s="135">
        <v>0.14683707252267758</v>
      </c>
      <c r="AY47" s="135">
        <v>0.14683707252267758</v>
      </c>
      <c r="AZ47" s="135">
        <v>0.14683707252267758</v>
      </c>
      <c r="BA47" s="135">
        <v>0.14683707252267758</v>
      </c>
      <c r="BB47" s="135">
        <v>0.14683707252267758</v>
      </c>
      <c r="BC47" s="135">
        <v>0.14683707252267758</v>
      </c>
      <c r="BD47" s="135">
        <v>0.14683707252267758</v>
      </c>
      <c r="BE47" s="135">
        <v>0.14683707252267758</v>
      </c>
      <c r="BF47" s="135">
        <v>0.14683707252267758</v>
      </c>
      <c r="BG47" s="136">
        <v>0.14683707252267758</v>
      </c>
      <c r="BI47" s="110"/>
      <c r="BJ47" s="93">
        <f t="shared" si="8"/>
        <v>300000</v>
      </c>
      <c r="BK47" s="14">
        <v>0.26808658966230847</v>
      </c>
      <c r="BL47" s="14">
        <v>0.26808658966230847</v>
      </c>
      <c r="BM47" s="14">
        <v>0.26808658966230847</v>
      </c>
      <c r="BN47" s="14">
        <v>0.26808658966230847</v>
      </c>
      <c r="BO47" s="14">
        <v>0.26808658966230847</v>
      </c>
      <c r="BP47" s="14">
        <v>0.26808658966230847</v>
      </c>
      <c r="BQ47" s="14">
        <v>0.26808658966230847</v>
      </c>
      <c r="BR47" s="14">
        <v>0.26808658966230847</v>
      </c>
      <c r="BS47" s="14">
        <v>0.26808658966230847</v>
      </c>
      <c r="BT47" s="14">
        <v>0.26808658966230847</v>
      </c>
      <c r="BU47" s="14">
        <v>0.26808658966230847</v>
      </c>
      <c r="BV47" s="14">
        <v>0.26808658966230847</v>
      </c>
      <c r="BW47" s="14">
        <v>0.26808658966230847</v>
      </c>
      <c r="BX47" s="120">
        <v>0.26808658966230847</v>
      </c>
      <c r="BY47" s="11"/>
      <c r="CE47" s="14"/>
      <c r="CF47" s="14"/>
      <c r="CG47" s="14"/>
      <c r="CH47" s="14"/>
      <c r="CI47" s="14"/>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row>
    <row r="48">
      <c r="E48" s="137" t="s">
        <v>82</v>
      </c>
      <c r="F48" s="138">
        <f>F47/(F33*C12)</f>
        <v>0.2142040465</v>
      </c>
      <c r="R48" s="10"/>
      <c r="U48" s="110"/>
      <c r="V48" s="93">
        <f t="shared" si="6"/>
        <v>450000</v>
      </c>
      <c r="W48" s="104">
        <v>0.21889178385184904</v>
      </c>
      <c r="X48" s="105">
        <v>0.25309362507870053</v>
      </c>
      <c r="Y48" s="105">
        <v>0.28729546630555186</v>
      </c>
      <c r="Z48" s="105">
        <v>0.32149730753240335</v>
      </c>
      <c r="AA48" s="105">
        <v>0.3556991487592547</v>
      </c>
      <c r="AB48" s="105">
        <v>0.3899009899861062</v>
      </c>
      <c r="AC48" s="106">
        <v>0.42410283121295755</v>
      </c>
      <c r="AD48" s="51"/>
      <c r="AE48" s="110"/>
      <c r="AF48" s="93">
        <f t="shared" si="7"/>
        <v>450000</v>
      </c>
      <c r="AG48" s="107">
        <v>0.1793555397377693</v>
      </c>
      <c r="AH48" s="107">
        <v>0.18949684309113332</v>
      </c>
      <c r="AI48" s="107">
        <v>0.1994409065666912</v>
      </c>
      <c r="AJ48" s="107">
        <v>0.20922634765630801</v>
      </c>
      <c r="AK48" s="108">
        <v>0.21889178385184904</v>
      </c>
      <c r="AL48" s="107">
        <v>0.22273300727790207</v>
      </c>
      <c r="AM48" s="107">
        <v>0.2265636802390808</v>
      </c>
      <c r="AN48" s="107">
        <v>0.2303862742548645</v>
      </c>
      <c r="AO48" s="107">
        <v>0.23420326084473264</v>
      </c>
      <c r="AP48" s="109">
        <v>0.23801711152816463</v>
      </c>
      <c r="AR48" s="110"/>
      <c r="AS48" s="119">
        <v>0.92</v>
      </c>
      <c r="AT48" s="14">
        <v>0.14941384353190332</v>
      </c>
      <c r="AU48" s="14">
        <v>0.14941384353190332</v>
      </c>
      <c r="AV48" s="14">
        <v>0.14941384353190332</v>
      </c>
      <c r="AW48" s="14">
        <v>0.14941384353190332</v>
      </c>
      <c r="AX48" s="14">
        <v>0.14941384353190332</v>
      </c>
      <c r="AY48" s="14">
        <v>0.14941384353190332</v>
      </c>
      <c r="AZ48" s="14">
        <v>0.14941384353190332</v>
      </c>
      <c r="BA48" s="14">
        <v>0.14941384353190332</v>
      </c>
      <c r="BB48" s="14">
        <v>0.14941384353190332</v>
      </c>
      <c r="BC48" s="14">
        <v>0.14941384353190332</v>
      </c>
      <c r="BD48" s="14">
        <v>0.14941384353190332</v>
      </c>
      <c r="BE48" s="14">
        <v>0.14941384353190332</v>
      </c>
      <c r="BF48" s="14">
        <v>0.14941384353190332</v>
      </c>
      <c r="BG48" s="120">
        <v>0.14941384353190332</v>
      </c>
      <c r="BI48" s="110"/>
      <c r="BJ48" s="93">
        <f t="shared" si="8"/>
        <v>350000</v>
      </c>
      <c r="BK48" s="14">
        <v>0.24819995318884144</v>
      </c>
      <c r="BL48" s="14">
        <v>0.24819995318884144</v>
      </c>
      <c r="BM48" s="14">
        <v>0.24819995318884147</v>
      </c>
      <c r="BN48" s="14">
        <v>0.24819995318884144</v>
      </c>
      <c r="BO48" s="14">
        <v>0.24819995318884144</v>
      </c>
      <c r="BP48" s="14">
        <v>0.24819995318884144</v>
      </c>
      <c r="BQ48" s="14">
        <v>0.24819995318884144</v>
      </c>
      <c r="BR48" s="14">
        <v>0.24819995318884144</v>
      </c>
      <c r="BS48" s="14">
        <v>0.24819995318884144</v>
      </c>
      <c r="BT48" s="14">
        <v>0.24819995318884144</v>
      </c>
      <c r="BU48" s="14">
        <v>0.24819995318884147</v>
      </c>
      <c r="BV48" s="14">
        <v>0.24819995318884144</v>
      </c>
      <c r="BW48" s="14">
        <v>0.24819995318884144</v>
      </c>
      <c r="BX48" s="120">
        <v>0.24819995318884144</v>
      </c>
      <c r="BY48" s="11"/>
      <c r="CE48" s="14"/>
      <c r="CF48" s="14"/>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row>
    <row r="49">
      <c r="B49" s="139"/>
      <c r="C49" s="140"/>
      <c r="R49" s="10"/>
      <c r="U49" s="110"/>
      <c r="V49" s="93">
        <f t="shared" si="6"/>
        <v>500000</v>
      </c>
      <c r="W49" s="104">
        <v>0.20765897942073241</v>
      </c>
      <c r="X49" s="105">
        <v>0.24010569495522185</v>
      </c>
      <c r="Y49" s="105">
        <v>0.27255241048971124</v>
      </c>
      <c r="Z49" s="105">
        <v>0.3049991260242006</v>
      </c>
      <c r="AA49" s="105">
        <v>0.33744584155869006</v>
      </c>
      <c r="AB49" s="105">
        <v>0.36989255709317953</v>
      </c>
      <c r="AC49" s="106">
        <v>0.4023392726276689</v>
      </c>
      <c r="AD49" s="51"/>
      <c r="AE49" s="110"/>
      <c r="AF49" s="93">
        <f t="shared" si="7"/>
        <v>500000</v>
      </c>
      <c r="AG49" s="111">
        <v>0.17015160496205697</v>
      </c>
      <c r="AH49" s="111">
        <v>0.17977249007385712</v>
      </c>
      <c r="AI49" s="111">
        <v>0.189206257007873</v>
      </c>
      <c r="AJ49" s="111">
        <v>0.19848954153364967</v>
      </c>
      <c r="AK49" s="112">
        <v>0.20765897942073241</v>
      </c>
      <c r="AL49" s="111">
        <v>0.21130308392910924</v>
      </c>
      <c r="AM49" s="111">
        <v>0.21493717938767315</v>
      </c>
      <c r="AN49" s="111">
        <v>0.21856361048567505</v>
      </c>
      <c r="AO49" s="111">
        <v>0.22218472191236574</v>
      </c>
      <c r="AP49" s="113">
        <v>0.22580285835699618</v>
      </c>
      <c r="AR49" s="110"/>
      <c r="AS49" s="119">
        <v>0.94</v>
      </c>
      <c r="AT49" s="14">
        <v>0.15198353707413312</v>
      </c>
      <c r="AU49" s="14">
        <v>0.15198353707413312</v>
      </c>
      <c r="AV49" s="14">
        <v>0.15198353707413312</v>
      </c>
      <c r="AW49" s="14">
        <v>0.15198353707413312</v>
      </c>
      <c r="AX49" s="14">
        <v>0.15198353707413312</v>
      </c>
      <c r="AY49" s="14">
        <v>0.15198353707413312</v>
      </c>
      <c r="AZ49" s="14">
        <v>0.15198353707413312</v>
      </c>
      <c r="BA49" s="14">
        <v>0.15198353707413312</v>
      </c>
      <c r="BB49" s="14">
        <v>0.15198353707413312</v>
      </c>
      <c r="BC49" s="14">
        <v>0.15198353707413312</v>
      </c>
      <c r="BD49" s="14">
        <v>0.15198353707413312</v>
      </c>
      <c r="BE49" s="14">
        <v>0.15198353707413312</v>
      </c>
      <c r="BF49" s="14">
        <v>0.15198353707413312</v>
      </c>
      <c r="BG49" s="120">
        <v>0.15198353707413312</v>
      </c>
      <c r="BI49" s="110"/>
      <c r="BJ49" s="93">
        <f t="shared" si="8"/>
        <v>400000</v>
      </c>
      <c r="BK49" s="14">
        <v>0.23216979706149377</v>
      </c>
      <c r="BL49" s="14">
        <v>0.23216979706149377</v>
      </c>
      <c r="BM49" s="14">
        <v>0.23216979706149377</v>
      </c>
      <c r="BN49" s="14">
        <v>0.23216979706149377</v>
      </c>
      <c r="BO49" s="14">
        <v>0.23216979706149377</v>
      </c>
      <c r="BP49" s="14">
        <v>0.23216979706149377</v>
      </c>
      <c r="BQ49" s="14">
        <v>0.23216979706149377</v>
      </c>
      <c r="BR49" s="14">
        <v>0.23216979706149377</v>
      </c>
      <c r="BS49" s="14">
        <v>0.23216979706149377</v>
      </c>
      <c r="BT49" s="14">
        <v>0.23216979706149377</v>
      </c>
      <c r="BU49" s="14">
        <v>0.23216979706149377</v>
      </c>
      <c r="BV49" s="14">
        <v>0.23216979706149377</v>
      </c>
      <c r="BW49" s="14">
        <v>0.23216979706149377</v>
      </c>
      <c r="BX49" s="120">
        <v>0.23216979706149377</v>
      </c>
      <c r="BY49" s="11"/>
      <c r="CE49" s="14"/>
      <c r="CF49" s="14"/>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row>
    <row r="50">
      <c r="B50" s="141"/>
      <c r="C50" s="142"/>
      <c r="R50" s="10"/>
      <c r="U50" s="110"/>
      <c r="V50" s="93">
        <f t="shared" si="6"/>
        <v>550000</v>
      </c>
      <c r="W50" s="104">
        <v>0.19799506819858867</v>
      </c>
      <c r="X50" s="105">
        <v>0.2289317976046181</v>
      </c>
      <c r="Y50" s="105">
        <v>0.25986852701064767</v>
      </c>
      <c r="Z50" s="105">
        <v>0.2908052564166771</v>
      </c>
      <c r="AA50" s="105">
        <v>0.3217419858227066</v>
      </c>
      <c r="AB50" s="105">
        <v>0.35267871522873606</v>
      </c>
      <c r="AC50" s="106">
        <v>0.3836154446347655</v>
      </c>
      <c r="AD50" s="51"/>
      <c r="AE50" s="110"/>
      <c r="AF50" s="93">
        <f t="shared" si="7"/>
        <v>550000</v>
      </c>
      <c r="AG50" s="107">
        <v>0.16223318983141602</v>
      </c>
      <c r="AH50" s="107">
        <v>0.17140634386094736</v>
      </c>
      <c r="AI50" s="107">
        <v>0.18040108770819357</v>
      </c>
      <c r="AJ50" s="107">
        <v>0.18925235220884415</v>
      </c>
      <c r="AK50" s="108">
        <v>0.19799506819858867</v>
      </c>
      <c r="AL50" s="107">
        <v>0.20146958551862718</v>
      </c>
      <c r="AM50" s="107">
        <v>0.20493455958411524</v>
      </c>
      <c r="AN50" s="107">
        <v>0.2083922259685368</v>
      </c>
      <c r="AO50" s="107">
        <v>0.21184482024537615</v>
      </c>
      <c r="AP50" s="109">
        <v>0.2152945779881173</v>
      </c>
      <c r="AR50" s="110"/>
      <c r="AS50" s="119">
        <v>0.96</v>
      </c>
      <c r="AT50" s="14">
        <v>0.154547811095036</v>
      </c>
      <c r="AU50" s="14">
        <v>0.154547811095036</v>
      </c>
      <c r="AV50" s="14">
        <v>0.154547811095036</v>
      </c>
      <c r="AW50" s="14">
        <v>0.154547811095036</v>
      </c>
      <c r="AX50" s="14">
        <v>0.154547811095036</v>
      </c>
      <c r="AY50" s="14">
        <v>0.154547811095036</v>
      </c>
      <c r="AZ50" s="14">
        <v>0.154547811095036</v>
      </c>
      <c r="BA50" s="14">
        <v>0.154547811095036</v>
      </c>
      <c r="BB50" s="14">
        <v>0.154547811095036</v>
      </c>
      <c r="BC50" s="14">
        <v>0.154547811095036</v>
      </c>
      <c r="BD50" s="14">
        <v>0.15454781109503596</v>
      </c>
      <c r="BE50" s="14">
        <v>0.154547811095036</v>
      </c>
      <c r="BF50" s="14">
        <v>0.154547811095036</v>
      </c>
      <c r="BG50" s="120">
        <v>0.154547811095036</v>
      </c>
      <c r="BI50" s="110"/>
      <c r="BJ50" s="93">
        <f t="shared" si="8"/>
        <v>450000</v>
      </c>
      <c r="BK50" s="14">
        <v>0.21889178385184904</v>
      </c>
      <c r="BL50" s="14">
        <v>0.21889178385184904</v>
      </c>
      <c r="BM50" s="14">
        <v>0.21889178385184904</v>
      </c>
      <c r="BN50" s="14">
        <v>0.21889178385184904</v>
      </c>
      <c r="BO50" s="14">
        <v>0.21889178385184904</v>
      </c>
      <c r="BP50" s="14">
        <v>0.21889178385184904</v>
      </c>
      <c r="BQ50" s="14">
        <v>0.21889178385184904</v>
      </c>
      <c r="BR50" s="14">
        <v>0.21889178385184904</v>
      </c>
      <c r="BS50" s="14">
        <v>0.21889178385184904</v>
      </c>
      <c r="BT50" s="14">
        <v>0.21889178385184904</v>
      </c>
      <c r="BU50" s="14">
        <v>0.21889178385184907</v>
      </c>
      <c r="BV50" s="14">
        <v>0.21889178385184904</v>
      </c>
      <c r="BW50" s="14">
        <v>0.21889178385184904</v>
      </c>
      <c r="BX50" s="120">
        <v>0.21889178385184904</v>
      </c>
      <c r="BY50" s="11"/>
      <c r="CE50" s="14"/>
      <c r="CF50" s="14"/>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row>
    <row r="51">
      <c r="B51" s="143"/>
      <c r="C51" s="143"/>
      <c r="R51" s="10"/>
      <c r="U51" s="110"/>
      <c r="V51" s="93">
        <f t="shared" si="6"/>
        <v>600000</v>
      </c>
      <c r="W51" s="104">
        <v>0.18956584549539374</v>
      </c>
      <c r="X51" s="105">
        <v>0.2191855088540489</v>
      </c>
      <c r="Y51" s="105">
        <v>0.24880517221270418</v>
      </c>
      <c r="Z51" s="105">
        <v>0.2784248355713594</v>
      </c>
      <c r="AA51" s="105">
        <v>0.30804449893001473</v>
      </c>
      <c r="AB51" s="105">
        <v>0.33766416228867</v>
      </c>
      <c r="AC51" s="106">
        <v>0.3672838256473252</v>
      </c>
      <c r="AD51" s="51"/>
      <c r="AE51" s="110"/>
      <c r="AF51" s="93">
        <f t="shared" si="7"/>
        <v>600000</v>
      </c>
      <c r="AG51" s="107">
        <v>0.1553264537223776</v>
      </c>
      <c r="AH51" s="107">
        <v>0.1641090800538752</v>
      </c>
      <c r="AI51" s="107">
        <v>0.1727208916405533</v>
      </c>
      <c r="AJ51" s="107">
        <v>0.18119533221139753</v>
      </c>
      <c r="AK51" s="108">
        <v>0.18956584549539374</v>
      </c>
      <c r="AL51" s="107">
        <v>0.19289244256396743</v>
      </c>
      <c r="AM51" s="107">
        <v>0.19620990266193836</v>
      </c>
      <c r="AN51" s="107">
        <v>0.19952036618796146</v>
      </c>
      <c r="AO51" s="107">
        <v>0.20282597354069182</v>
      </c>
      <c r="AP51" s="109">
        <v>0.2061288651187846</v>
      </c>
      <c r="AR51" s="110"/>
      <c r="AS51" s="119">
        <v>0.98</v>
      </c>
      <c r="AT51" s="144">
        <v>0.15710832354028112</v>
      </c>
      <c r="AU51" s="144">
        <v>0.15710832354028112</v>
      </c>
      <c r="AV51" s="144">
        <v>0.15710832354028112</v>
      </c>
      <c r="AW51" s="144">
        <v>0.15710832354028112</v>
      </c>
      <c r="AX51" s="144">
        <v>0.15710832354028112</v>
      </c>
      <c r="AY51" s="144">
        <v>0.15710832354028112</v>
      </c>
      <c r="AZ51" s="144">
        <v>0.15710832354028112</v>
      </c>
      <c r="BA51" s="144">
        <v>0.15710832354028112</v>
      </c>
      <c r="BB51" s="144">
        <v>0.15710832354028112</v>
      </c>
      <c r="BC51" s="144">
        <v>0.15710832354028112</v>
      </c>
      <c r="BD51" s="144">
        <v>0.15710832354028115</v>
      </c>
      <c r="BE51" s="144">
        <v>0.15710832354028112</v>
      </c>
      <c r="BF51" s="144">
        <v>0.15710832354028112</v>
      </c>
      <c r="BG51" s="145">
        <v>0.15710832354028112</v>
      </c>
      <c r="BI51" s="110"/>
      <c r="BJ51" s="93">
        <f t="shared" si="8"/>
        <v>500000</v>
      </c>
      <c r="BK51" s="144">
        <v>0.20765897942073241</v>
      </c>
      <c r="BL51" s="144">
        <v>0.20765897942073241</v>
      </c>
      <c r="BM51" s="144">
        <v>0.20765897942073241</v>
      </c>
      <c r="BN51" s="144">
        <v>0.20765897942073241</v>
      </c>
      <c r="BO51" s="144">
        <v>0.20765897942073241</v>
      </c>
      <c r="BP51" s="144">
        <v>0.20765897942073241</v>
      </c>
      <c r="BQ51" s="144">
        <v>0.20765897942073241</v>
      </c>
      <c r="BR51" s="144">
        <v>0.20765897942073241</v>
      </c>
      <c r="BS51" s="144">
        <v>0.20765897942073241</v>
      </c>
      <c r="BT51" s="144">
        <v>0.20765897942073241</v>
      </c>
      <c r="BU51" s="144">
        <v>0.20765897942073241</v>
      </c>
      <c r="BV51" s="144">
        <v>0.20765897942073241</v>
      </c>
      <c r="BW51" s="144">
        <v>0.20765897942073241</v>
      </c>
      <c r="BX51" s="145">
        <v>0.20765897942073241</v>
      </c>
      <c r="BY51" s="11"/>
      <c r="CE51" s="144"/>
      <c r="CF51" s="144"/>
      <c r="CG51" s="144"/>
      <c r="CH51" s="144"/>
      <c r="CI51" s="144"/>
      <c r="CJ51" s="144"/>
      <c r="CK51" s="144"/>
      <c r="CL51" s="144"/>
      <c r="CM51" s="144"/>
      <c r="CN51" s="144"/>
      <c r="CO51" s="144"/>
      <c r="CP51" s="144"/>
      <c r="CQ51" s="144"/>
      <c r="CR51" s="144"/>
      <c r="CS51" s="144"/>
      <c r="CT51" s="144"/>
      <c r="CU51" s="144"/>
      <c r="CV51" s="144"/>
      <c r="CW51" s="144"/>
      <c r="CX51" s="144"/>
      <c r="CY51" s="144"/>
      <c r="CZ51" s="144"/>
      <c r="DA51" s="144"/>
      <c r="DB51" s="144"/>
      <c r="DC51" s="144"/>
      <c r="DD51" s="144"/>
      <c r="DE51" s="144"/>
      <c r="DF51" s="144"/>
      <c r="DG51" s="144"/>
      <c r="DH51" s="144"/>
    </row>
    <row r="52">
      <c r="R52" s="10"/>
      <c r="U52" s="110"/>
      <c r="V52" s="93">
        <f t="shared" si="6"/>
        <v>650000</v>
      </c>
      <c r="W52" s="104">
        <v>0.18212897318206664</v>
      </c>
      <c r="X52" s="105">
        <v>0.21058662524176464</v>
      </c>
      <c r="Y52" s="105">
        <v>0.2390442773014625</v>
      </c>
      <c r="Z52" s="105">
        <v>0.2675019293611604</v>
      </c>
      <c r="AA52" s="105">
        <v>0.2959595814208583</v>
      </c>
      <c r="AB52" s="105">
        <v>0.32441723348055623</v>
      </c>
      <c r="AC52" s="106">
        <v>0.35287488554025404</v>
      </c>
      <c r="AD52" s="51"/>
      <c r="AE52" s="110"/>
      <c r="AF52" s="93">
        <f t="shared" si="7"/>
        <v>650000</v>
      </c>
      <c r="AG52" s="107">
        <v>0.14923282962993378</v>
      </c>
      <c r="AH52" s="107">
        <v>0.15767090407006967</v>
      </c>
      <c r="AI52" s="107">
        <v>0.16594486501182182</v>
      </c>
      <c r="AJ52" s="107">
        <v>0.17408684415066308</v>
      </c>
      <c r="AK52" s="108">
        <v>0.18212897318206664</v>
      </c>
      <c r="AL52" s="107">
        <v>0.18532506426433146</v>
      </c>
      <c r="AM52" s="107">
        <v>0.1885123768291922</v>
      </c>
      <c r="AN52" s="107">
        <v>0.19169296730515914</v>
      </c>
      <c r="AO52" s="107">
        <v>0.1948688921207426</v>
      </c>
      <c r="AP52" s="109">
        <v>0.1980422077044527</v>
      </c>
      <c r="AR52" s="146"/>
      <c r="AS52" s="147">
        <v>1.0</v>
      </c>
      <c r="AT52" s="148">
        <v>0.1596667323555375</v>
      </c>
      <c r="AU52" s="148">
        <v>0.1596667323555375</v>
      </c>
      <c r="AV52" s="148">
        <v>0.1596667323555375</v>
      </c>
      <c r="AW52" s="148">
        <v>0.1596667323555375</v>
      </c>
      <c r="AX52" s="148">
        <v>0.15966673235553747</v>
      </c>
      <c r="AY52" s="148">
        <v>0.15966673235553747</v>
      </c>
      <c r="AZ52" s="148">
        <v>0.1596667323555375</v>
      </c>
      <c r="BA52" s="148">
        <v>0.15966673235553747</v>
      </c>
      <c r="BB52" s="148">
        <v>0.1596667323555375</v>
      </c>
      <c r="BC52" s="148">
        <v>0.1596667323555375</v>
      </c>
      <c r="BD52" s="148">
        <v>0.1596667323555375</v>
      </c>
      <c r="BE52" s="148">
        <v>0.15966673235553747</v>
      </c>
      <c r="BF52" s="148">
        <v>0.1596667323555375</v>
      </c>
      <c r="BG52" s="149">
        <v>0.1596667323555375</v>
      </c>
      <c r="BI52" s="110"/>
      <c r="BJ52" s="93">
        <f t="shared" si="8"/>
        <v>550000</v>
      </c>
      <c r="BK52" s="51">
        <v>0.19799506819858867</v>
      </c>
      <c r="BL52" s="51">
        <v>0.19799506819858867</v>
      </c>
      <c r="BM52" s="51">
        <v>0.19799506819858867</v>
      </c>
      <c r="BN52" s="51">
        <v>0.19799506819858867</v>
      </c>
      <c r="BO52" s="51">
        <v>0.19799506819858867</v>
      </c>
      <c r="BP52" s="51">
        <v>0.19799506819858867</v>
      </c>
      <c r="BQ52" s="51">
        <v>0.19799506819858867</v>
      </c>
      <c r="BR52" s="51">
        <v>0.19799506819858867</v>
      </c>
      <c r="BS52" s="51">
        <v>0.19799506819858867</v>
      </c>
      <c r="BT52" s="51">
        <v>0.19799506819858867</v>
      </c>
      <c r="BU52" s="51">
        <v>0.1979950681985887</v>
      </c>
      <c r="BV52" s="51">
        <v>0.19799506819858867</v>
      </c>
      <c r="BW52" s="51">
        <v>0.19799506819858867</v>
      </c>
      <c r="BX52" s="150">
        <v>0.19799506819858867</v>
      </c>
      <c r="BY52" s="1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row>
    <row r="53">
      <c r="B53" s="151"/>
      <c r="C53" s="23"/>
      <c r="R53" s="10"/>
      <c r="U53" s="110"/>
      <c r="V53" s="93">
        <f t="shared" si="6"/>
        <v>700000</v>
      </c>
      <c r="W53" s="104">
        <v>0.1755038699900134</v>
      </c>
      <c r="X53" s="105">
        <v>0.202926349675953</v>
      </c>
      <c r="Y53" s="105">
        <v>0.23034882936189263</v>
      </c>
      <c r="Z53" s="105">
        <v>0.2577713090478322</v>
      </c>
      <c r="AA53" s="105">
        <v>0.2851937887337719</v>
      </c>
      <c r="AB53" s="105">
        <v>0.31261626841971146</v>
      </c>
      <c r="AC53" s="106">
        <v>0.34003874810565093</v>
      </c>
      <c r="AD53" s="51"/>
      <c r="AE53" s="110"/>
      <c r="AF53" s="93">
        <f t="shared" si="7"/>
        <v>700000</v>
      </c>
      <c r="AG53" s="107">
        <v>0.14380435288256824</v>
      </c>
      <c r="AH53" s="107">
        <v>0.15193548486906033</v>
      </c>
      <c r="AI53" s="107">
        <v>0.15990847313146106</v>
      </c>
      <c r="AJ53" s="107">
        <v>0.16775428054627664</v>
      </c>
      <c r="AK53" s="108">
        <v>0.1755038699900134</v>
      </c>
      <c r="AL53" s="107">
        <v>0.17858370041994343</v>
      </c>
      <c r="AM53" s="107">
        <v>0.18165507165883835</v>
      </c>
      <c r="AN53" s="107">
        <v>0.18471996533079446</v>
      </c>
      <c r="AO53" s="107">
        <v>0.1877803630599082</v>
      </c>
      <c r="AP53" s="109">
        <v>0.1908382464702759</v>
      </c>
      <c r="BI53" s="110"/>
      <c r="BJ53" s="93">
        <f t="shared" si="8"/>
        <v>600000</v>
      </c>
      <c r="BK53" s="51">
        <v>0.18956584549539374</v>
      </c>
      <c r="BL53" s="51">
        <v>0.18956584549539374</v>
      </c>
      <c r="BM53" s="51">
        <v>0.18956584549539374</v>
      </c>
      <c r="BN53" s="51">
        <v>0.18956584549539374</v>
      </c>
      <c r="BO53" s="51">
        <v>0.18956584549539374</v>
      </c>
      <c r="BP53" s="51">
        <v>0.18956584549539374</v>
      </c>
      <c r="BQ53" s="51">
        <v>0.18956584549539374</v>
      </c>
      <c r="BR53" s="51">
        <v>0.18956584549539374</v>
      </c>
      <c r="BS53" s="51">
        <v>0.18956584549539374</v>
      </c>
      <c r="BT53" s="51">
        <v>0.18956584549539374</v>
      </c>
      <c r="BU53" s="51">
        <v>0.18956584549539374</v>
      </c>
      <c r="BV53" s="51">
        <v>0.18956584549539374</v>
      </c>
      <c r="BW53" s="51">
        <v>0.18956584549539374</v>
      </c>
      <c r="BX53" s="150">
        <v>0.18956584549539374</v>
      </c>
      <c r="BY53" s="1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row>
    <row r="54">
      <c r="B54" s="152"/>
      <c r="C54" s="153"/>
      <c r="R54" s="10"/>
      <c r="U54" s="110"/>
      <c r="V54" s="93">
        <f t="shared" si="6"/>
        <v>750000</v>
      </c>
      <c r="W54" s="104">
        <v>0.16955284669596898</v>
      </c>
      <c r="X54" s="105">
        <v>0.19604547899221414</v>
      </c>
      <c r="Y54" s="105">
        <v>0.2225381112884593</v>
      </c>
      <c r="Z54" s="105">
        <v>0.24903074358470445</v>
      </c>
      <c r="AA54" s="105">
        <v>0.2755233758809497</v>
      </c>
      <c r="AB54" s="105">
        <v>0.30201600817719476</v>
      </c>
      <c r="AC54" s="106">
        <v>0.32850864047344</v>
      </c>
      <c r="AD54" s="51"/>
      <c r="AE54" s="110"/>
      <c r="AF54" s="93">
        <f t="shared" si="7"/>
        <v>750000</v>
      </c>
      <c r="AG54" s="107">
        <v>0.1389282036908846</v>
      </c>
      <c r="AH54" s="107">
        <v>0.1467836234901679</v>
      </c>
      <c r="AI54" s="107">
        <v>0.1544862619370609</v>
      </c>
      <c r="AJ54" s="107">
        <v>0.16206603201213682</v>
      </c>
      <c r="AK54" s="108">
        <v>0.16955284669596898</v>
      </c>
      <c r="AL54" s="107">
        <v>0.17252824556760205</v>
      </c>
      <c r="AM54" s="107">
        <v>0.17549547208428445</v>
      </c>
      <c r="AN54" s="107">
        <v>0.1784564406767729</v>
      </c>
      <c r="AO54" s="107">
        <v>0.18141306577582422</v>
      </c>
      <c r="AP54" s="109">
        <v>0.184367261812195</v>
      </c>
      <c r="BI54" s="110"/>
      <c r="BJ54" s="93">
        <f t="shared" si="8"/>
        <v>650000</v>
      </c>
      <c r="BK54" s="51">
        <v>0.18212897318206664</v>
      </c>
      <c r="BL54" s="51">
        <v>0.18212897318206664</v>
      </c>
      <c r="BM54" s="51">
        <v>0.18212897318206664</v>
      </c>
      <c r="BN54" s="51">
        <v>0.18212897318206664</v>
      </c>
      <c r="BO54" s="51">
        <v>0.18212897318206664</v>
      </c>
      <c r="BP54" s="51">
        <v>0.18212897318206664</v>
      </c>
      <c r="BQ54" s="51">
        <v>0.18212897318206664</v>
      </c>
      <c r="BR54" s="51">
        <v>0.18212897318206664</v>
      </c>
      <c r="BS54" s="51">
        <v>0.18212897318206664</v>
      </c>
      <c r="BT54" s="51">
        <v>0.18212897318206664</v>
      </c>
      <c r="BU54" s="51">
        <v>0.18212897318206664</v>
      </c>
      <c r="BV54" s="51">
        <v>0.18212897318206664</v>
      </c>
      <c r="BW54" s="51">
        <v>0.18212897318206664</v>
      </c>
      <c r="BX54" s="150">
        <v>0.18212897318206664</v>
      </c>
      <c r="BY54" s="1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row>
    <row r="55">
      <c r="B55" s="152"/>
      <c r="C55" s="153"/>
      <c r="R55" s="10"/>
      <c r="U55" s="110"/>
      <c r="V55" s="93">
        <f t="shared" si="6"/>
        <v>800000</v>
      </c>
      <c r="W55" s="104">
        <v>0.1641688378888868</v>
      </c>
      <c r="X55" s="105">
        <v>0.18982021880902536</v>
      </c>
      <c r="Y55" s="105">
        <v>0.21547159972916394</v>
      </c>
      <c r="Z55" s="105">
        <v>0.24112298064930252</v>
      </c>
      <c r="AA55" s="105">
        <v>0.26677436156944107</v>
      </c>
      <c r="AB55" s="105">
        <v>0.2924257424895797</v>
      </c>
      <c r="AC55" s="106">
        <v>0.31807712340971817</v>
      </c>
      <c r="AD55" s="51"/>
      <c r="AE55" s="110"/>
      <c r="AF55" s="93">
        <f t="shared" si="7"/>
        <v>800000</v>
      </c>
      <c r="AG55" s="107">
        <v>0.134516654803327</v>
      </c>
      <c r="AH55" s="107">
        <v>0.14212263231835</v>
      </c>
      <c r="AI55" s="107">
        <v>0.1495806799250184</v>
      </c>
      <c r="AJ55" s="107">
        <v>0.15691976074223102</v>
      </c>
      <c r="AK55" s="108">
        <v>0.1641688378888868</v>
      </c>
      <c r="AL55" s="107">
        <v>0.16704975545842654</v>
      </c>
      <c r="AM55" s="107">
        <v>0.16992276017931057</v>
      </c>
      <c r="AN55" s="107">
        <v>0.1727897056911484</v>
      </c>
      <c r="AO55" s="107">
        <v>0.1756524456335496</v>
      </c>
      <c r="AP55" s="109">
        <v>0.1785128336461235</v>
      </c>
      <c r="BI55" s="110"/>
      <c r="BJ55" s="93">
        <f t="shared" si="8"/>
        <v>700000</v>
      </c>
      <c r="BK55" s="51">
        <v>0.1755038699900134</v>
      </c>
      <c r="BL55" s="51">
        <v>0.1755038699900134</v>
      </c>
      <c r="BM55" s="51">
        <v>0.1755038699900134</v>
      </c>
      <c r="BN55" s="51">
        <v>0.1755038699900134</v>
      </c>
      <c r="BO55" s="51">
        <v>0.17550386999001344</v>
      </c>
      <c r="BP55" s="51">
        <v>0.17550386999001344</v>
      </c>
      <c r="BQ55" s="51">
        <v>0.1755038699900134</v>
      </c>
      <c r="BR55" s="51">
        <v>0.17550386999001344</v>
      </c>
      <c r="BS55" s="51">
        <v>0.1755038699900134</v>
      </c>
      <c r="BT55" s="51">
        <v>0.1755038699900134</v>
      </c>
      <c r="BU55" s="51">
        <v>0.17550386999001338</v>
      </c>
      <c r="BV55" s="51">
        <v>0.17550386999001344</v>
      </c>
      <c r="BW55" s="51">
        <v>0.1755038699900134</v>
      </c>
      <c r="BX55" s="150">
        <v>0.1755038699900134</v>
      </c>
      <c r="BY55" s="1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row>
    <row r="56">
      <c r="B56" s="23"/>
      <c r="C56" s="23"/>
      <c r="R56" s="10"/>
      <c r="U56" s="110"/>
      <c r="V56" s="93">
        <f t="shared" si="6"/>
        <v>850000</v>
      </c>
      <c r="W56" s="104">
        <v>0.15926716683547834</v>
      </c>
      <c r="X56" s="105">
        <v>0.18415266165352187</v>
      </c>
      <c r="Y56" s="105">
        <v>0.20903815647156532</v>
      </c>
      <c r="Z56" s="105">
        <v>0.23392365128960876</v>
      </c>
      <c r="AA56" s="105">
        <v>0.2588091461076523</v>
      </c>
      <c r="AB56" s="105">
        <v>0.2836946409256958</v>
      </c>
      <c r="AC56" s="106">
        <v>0.3085801357437394</v>
      </c>
      <c r="AD56" s="51"/>
      <c r="AE56" s="110"/>
      <c r="AF56" s="93">
        <f t="shared" si="7"/>
        <v>850000</v>
      </c>
      <c r="AG56" s="107">
        <v>0.13050032380208618</v>
      </c>
      <c r="AH56" s="107">
        <v>0.13787920584455984</v>
      </c>
      <c r="AI56" s="107">
        <v>0.145114574795896</v>
      </c>
      <c r="AJ56" s="107">
        <v>0.15223452900867532</v>
      </c>
      <c r="AK56" s="108">
        <v>0.15926716683547834</v>
      </c>
      <c r="AL56" s="107">
        <v>0.16206206740910425</v>
      </c>
      <c r="AM56" s="107">
        <v>0.16484929139195204</v>
      </c>
      <c r="AN56" s="107">
        <v>0.16763063707858675</v>
      </c>
      <c r="AO56" s="107">
        <v>0.17040790276357376</v>
      </c>
      <c r="AP56" s="109">
        <v>0.17318288674147797</v>
      </c>
      <c r="BI56" s="110"/>
      <c r="BJ56" s="93">
        <f t="shared" si="8"/>
        <v>750000</v>
      </c>
      <c r="BK56" s="51">
        <v>0.16955284669596898</v>
      </c>
      <c r="BL56" s="51">
        <v>0.16955284669596898</v>
      </c>
      <c r="BM56" s="51">
        <v>0.16955284669596898</v>
      </c>
      <c r="BN56" s="51">
        <v>0.16955284669596898</v>
      </c>
      <c r="BO56" s="51">
        <v>0.16955284669596898</v>
      </c>
      <c r="BP56" s="51">
        <v>0.16955284669596898</v>
      </c>
      <c r="BQ56" s="51">
        <v>0.16955284669596898</v>
      </c>
      <c r="BR56" s="51">
        <v>0.16955284669596898</v>
      </c>
      <c r="BS56" s="51">
        <v>0.16955284669596898</v>
      </c>
      <c r="BT56" s="51">
        <v>0.16955284669596898</v>
      </c>
      <c r="BU56" s="51">
        <v>0.16955284669596898</v>
      </c>
      <c r="BV56" s="51">
        <v>0.16955284669596898</v>
      </c>
      <c r="BW56" s="51">
        <v>0.16955284669596898</v>
      </c>
      <c r="BX56" s="150">
        <v>0.16955284669596898</v>
      </c>
      <c r="BY56" s="1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row>
    <row r="57">
      <c r="B57" s="151"/>
      <c r="C57" s="23"/>
      <c r="R57" s="10"/>
      <c r="U57" s="110"/>
      <c r="V57" s="93">
        <f t="shared" si="6"/>
        <v>900000</v>
      </c>
      <c r="W57" s="104">
        <v>0.15477986470766247</v>
      </c>
      <c r="X57" s="105">
        <v>0.17896421856823472</v>
      </c>
      <c r="Y57" s="105">
        <v>0.203148572428807</v>
      </c>
      <c r="Z57" s="105">
        <v>0.2273329262893793</v>
      </c>
      <c r="AA57" s="105">
        <v>0.25151728014995156</v>
      </c>
      <c r="AB57" s="105">
        <v>0.2757016340105238</v>
      </c>
      <c r="AC57" s="106">
        <v>0.29988598787109605</v>
      </c>
      <c r="AD57" s="51"/>
      <c r="AE57" s="110"/>
      <c r="AF57" s="93">
        <f t="shared" si="7"/>
        <v>900000</v>
      </c>
      <c r="AG57" s="111">
        <v>0.12682351839194997</v>
      </c>
      <c r="AH57" s="111">
        <v>0.13399450276318356</v>
      </c>
      <c r="AI57" s="111">
        <v>0.1410260174793</v>
      </c>
      <c r="AJ57" s="111">
        <v>0.14794536923066953</v>
      </c>
      <c r="AK57" s="112">
        <v>0.15477986470766247</v>
      </c>
      <c r="AL57" s="111">
        <v>0.15749601984027717</v>
      </c>
      <c r="AM57" s="111">
        <v>0.1602047146676346</v>
      </c>
      <c r="AN57" s="111">
        <v>0.1629076968179184</v>
      </c>
      <c r="AO57" s="111">
        <v>0.1656067139193123</v>
      </c>
      <c r="AP57" s="113">
        <v>0.16830351360000004</v>
      </c>
      <c r="BI57" s="110"/>
      <c r="BJ57" s="93">
        <f t="shared" si="8"/>
        <v>800000</v>
      </c>
      <c r="BK57" s="51">
        <v>0.1641688378888868</v>
      </c>
      <c r="BL57" s="51">
        <v>0.1641688378888868</v>
      </c>
      <c r="BM57" s="51">
        <v>0.1641688378888868</v>
      </c>
      <c r="BN57" s="51">
        <v>0.1641688378888868</v>
      </c>
      <c r="BO57" s="51">
        <v>0.1641688378888868</v>
      </c>
      <c r="BP57" s="51">
        <v>0.1641688378888868</v>
      </c>
      <c r="BQ57" s="51">
        <v>0.1641688378888868</v>
      </c>
      <c r="BR57" s="51">
        <v>0.1641688378888868</v>
      </c>
      <c r="BS57" s="51">
        <v>0.1641688378888868</v>
      </c>
      <c r="BT57" s="51">
        <v>0.1641688378888868</v>
      </c>
      <c r="BU57" s="51">
        <v>0.1641688378888868</v>
      </c>
      <c r="BV57" s="51">
        <v>0.1641688378888868</v>
      </c>
      <c r="BW57" s="51">
        <v>0.1641688378888868</v>
      </c>
      <c r="BX57" s="150">
        <v>0.1641688378888868</v>
      </c>
      <c r="BY57" s="1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row>
    <row r="58">
      <c r="B58" s="152"/>
      <c r="C58" s="23"/>
      <c r="R58" s="10"/>
      <c r="U58" s="154"/>
      <c r="V58" s="93">
        <f t="shared" si="6"/>
        <v>950000</v>
      </c>
      <c r="W58" s="104">
        <v>0.15065165769182498</v>
      </c>
      <c r="X58" s="105">
        <v>0.17419097920617266</v>
      </c>
      <c r="Y58" s="105">
        <v>0.19773030072052028</v>
      </c>
      <c r="Z58" s="105">
        <v>0.22126962223486799</v>
      </c>
      <c r="AA58" s="105">
        <v>0.2448089437492156</v>
      </c>
      <c r="AB58" s="105">
        <v>0.2683482652635633</v>
      </c>
      <c r="AC58" s="106">
        <v>0.2918875867779109</v>
      </c>
      <c r="AD58" s="51"/>
      <c r="AE58" s="154"/>
      <c r="AF58" s="93">
        <f t="shared" si="7"/>
        <v>950000</v>
      </c>
      <c r="AG58" s="107">
        <v>0.12344094831807313</v>
      </c>
      <c r="AH58" s="107">
        <v>0.13042067197172114</v>
      </c>
      <c r="AI58" s="107">
        <v>0.1372646458314228</v>
      </c>
      <c r="AJ58" s="107">
        <v>0.14399944827788758</v>
      </c>
      <c r="AK58" s="108">
        <v>0.15065165769182498</v>
      </c>
      <c r="AL58" s="107">
        <v>0.1532953689655712</v>
      </c>
      <c r="AM58" s="107">
        <v>0.15593181891139196</v>
      </c>
      <c r="AN58" s="107">
        <v>0.15856270854565274</v>
      </c>
      <c r="AO58" s="107">
        <v>0.1611897388847188</v>
      </c>
      <c r="AP58" s="109">
        <v>0.16381461094495567</v>
      </c>
      <c r="BI58" s="110"/>
      <c r="BJ58" s="93">
        <f t="shared" si="8"/>
        <v>850000</v>
      </c>
      <c r="BK58" s="51">
        <v>0.15926716683547834</v>
      </c>
      <c r="BL58" s="51">
        <v>0.15926716683547834</v>
      </c>
      <c r="BM58" s="51">
        <v>0.15926716683547834</v>
      </c>
      <c r="BN58" s="51">
        <v>0.15926716683547834</v>
      </c>
      <c r="BO58" s="51">
        <v>0.15926716683547834</v>
      </c>
      <c r="BP58" s="51">
        <v>0.15926716683547834</v>
      </c>
      <c r="BQ58" s="51">
        <v>0.15926716683547834</v>
      </c>
      <c r="BR58" s="51">
        <v>0.15926716683547834</v>
      </c>
      <c r="BS58" s="51">
        <v>0.15926716683547834</v>
      </c>
      <c r="BT58" s="51">
        <v>0.15926716683547834</v>
      </c>
      <c r="BU58" s="51">
        <v>0.15926716683547837</v>
      </c>
      <c r="BV58" s="51">
        <v>0.15926716683547834</v>
      </c>
      <c r="BW58" s="51">
        <v>0.15926716683547834</v>
      </c>
      <c r="BX58" s="150">
        <v>0.15926716683547834</v>
      </c>
      <c r="BY58" s="1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row>
    <row r="59">
      <c r="B59" s="152"/>
      <c r="C59" s="23"/>
      <c r="R59" s="10"/>
      <c r="U59" s="155"/>
      <c r="V59" s="156">
        <f t="shared" si="6"/>
        <v>1000000</v>
      </c>
      <c r="W59" s="157">
        <v>0.14683707252267758</v>
      </c>
      <c r="X59" s="158">
        <v>0.16978036510434594</v>
      </c>
      <c r="Y59" s="158">
        <v>0.1927236576860143</v>
      </c>
      <c r="Z59" s="158">
        <v>0.21566695026768273</v>
      </c>
      <c r="AA59" s="158">
        <v>0.23861024284935098</v>
      </c>
      <c r="AB59" s="158">
        <v>0.2615535354310194</v>
      </c>
      <c r="AC59" s="159">
        <v>0.2844968280126878</v>
      </c>
      <c r="AD59" s="51"/>
      <c r="AE59" s="155"/>
      <c r="AF59" s="156">
        <f t="shared" si="7"/>
        <v>1000000</v>
      </c>
      <c r="AG59" s="160">
        <v>0.1203153536984451</v>
      </c>
      <c r="AH59" s="160">
        <v>0.12711834680201567</v>
      </c>
      <c r="AI59" s="160">
        <v>0.1337890273731917</v>
      </c>
      <c r="AJ59" s="160">
        <v>0.14035330081305256</v>
      </c>
      <c r="AK59" s="161">
        <v>0.14683707252267758</v>
      </c>
      <c r="AL59" s="160">
        <v>0.14941384353190332</v>
      </c>
      <c r="AM59" s="160">
        <v>0.15198353707413312</v>
      </c>
      <c r="AN59" s="160">
        <v>0.15454781109503604</v>
      </c>
      <c r="AO59" s="160">
        <v>0.15710832354028112</v>
      </c>
      <c r="AP59" s="162">
        <v>0.1596667323555375</v>
      </c>
      <c r="BI59" s="110"/>
      <c r="BJ59" s="93">
        <f t="shared" si="8"/>
        <v>900000</v>
      </c>
      <c r="BK59" s="144">
        <v>0.15477986470766247</v>
      </c>
      <c r="BL59" s="144">
        <v>0.15477986470766247</v>
      </c>
      <c r="BM59" s="144">
        <v>0.15477986470766247</v>
      </c>
      <c r="BN59" s="144">
        <v>0.15477986470766247</v>
      </c>
      <c r="BO59" s="144">
        <v>0.15477986470766247</v>
      </c>
      <c r="BP59" s="144">
        <v>0.15477986470766247</v>
      </c>
      <c r="BQ59" s="144">
        <v>0.15477986470766247</v>
      </c>
      <c r="BR59" s="144">
        <v>0.15477986470766247</v>
      </c>
      <c r="BS59" s="144">
        <v>0.15477986470766247</v>
      </c>
      <c r="BT59" s="144">
        <v>0.15477986470766247</v>
      </c>
      <c r="BU59" s="144">
        <v>0.15477986470766247</v>
      </c>
      <c r="BV59" s="144">
        <v>0.15477986470766247</v>
      </c>
      <c r="BW59" s="144">
        <v>0.15477986470766247</v>
      </c>
      <c r="BX59" s="145">
        <v>0.15477986470766247</v>
      </c>
      <c r="BY59" s="11"/>
      <c r="CE59" s="144"/>
      <c r="CF59" s="144"/>
      <c r="CG59" s="144"/>
      <c r="CH59" s="144"/>
      <c r="CI59" s="144"/>
      <c r="CJ59" s="144"/>
      <c r="CK59" s="144"/>
      <c r="CL59" s="144"/>
      <c r="CM59" s="144"/>
      <c r="CN59" s="144"/>
      <c r="CO59" s="144"/>
      <c r="CP59" s="144"/>
      <c r="CQ59" s="144"/>
      <c r="CR59" s="144"/>
      <c r="CS59" s="144"/>
      <c r="CT59" s="144"/>
      <c r="CU59" s="144"/>
      <c r="CV59" s="144"/>
      <c r="CW59" s="144"/>
      <c r="CX59" s="144"/>
      <c r="CY59" s="144"/>
      <c r="CZ59" s="144"/>
      <c r="DA59" s="144"/>
      <c r="DB59" s="144"/>
      <c r="DC59" s="144"/>
      <c r="DD59" s="144"/>
      <c r="DE59" s="144"/>
      <c r="DF59" s="144"/>
      <c r="DG59" s="144"/>
      <c r="DH59" s="144"/>
    </row>
    <row r="60">
      <c r="B60" s="152"/>
      <c r="C60" s="23"/>
      <c r="R60" s="10"/>
      <c r="BI60" s="163"/>
      <c r="BJ60" s="93">
        <f t="shared" si="8"/>
        <v>950000</v>
      </c>
      <c r="BK60" s="51">
        <v>0.15065165769182498</v>
      </c>
      <c r="BL60" s="51">
        <v>0.15065165769182498</v>
      </c>
      <c r="BM60" s="51">
        <v>0.15065165769182498</v>
      </c>
      <c r="BN60" s="51">
        <v>0.15065165769182498</v>
      </c>
      <c r="BO60" s="51">
        <v>0.15065165769182498</v>
      </c>
      <c r="BP60" s="51">
        <v>0.15065165769182498</v>
      </c>
      <c r="BQ60" s="51">
        <v>0.15065165769182498</v>
      </c>
      <c r="BR60" s="51">
        <v>0.15065165769182498</v>
      </c>
      <c r="BS60" s="51">
        <v>0.15065165769182498</v>
      </c>
      <c r="BT60" s="51">
        <v>0.15065165769182498</v>
      </c>
      <c r="BU60" s="51">
        <v>0.15065165769182498</v>
      </c>
      <c r="BV60" s="51">
        <v>0.15065165769182498</v>
      </c>
      <c r="BW60" s="51">
        <v>0.15065165769182498</v>
      </c>
      <c r="BX60" s="150">
        <v>0.15065165769182498</v>
      </c>
      <c r="BY60" s="1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row>
    <row r="61">
      <c r="B61" s="152"/>
      <c r="C61" s="23"/>
      <c r="R61" s="10"/>
      <c r="BI61" s="164"/>
      <c r="BJ61" s="165">
        <f t="shared" si="8"/>
        <v>1000000</v>
      </c>
      <c r="BK61" s="166">
        <v>0.14683707252267758</v>
      </c>
      <c r="BL61" s="166">
        <v>0.14683707252267758</v>
      </c>
      <c r="BM61" s="166">
        <v>0.14683707252267758</v>
      </c>
      <c r="BN61" s="166">
        <v>0.14683707252267758</v>
      </c>
      <c r="BO61" s="166">
        <v>0.14683707252267758</v>
      </c>
      <c r="BP61" s="166">
        <v>0.14683707252267758</v>
      </c>
      <c r="BQ61" s="166">
        <v>0.14683707252267758</v>
      </c>
      <c r="BR61" s="166">
        <v>0.14683707252267758</v>
      </c>
      <c r="BS61" s="166">
        <v>0.14683707252267758</v>
      </c>
      <c r="BT61" s="166">
        <v>0.14683707252267758</v>
      </c>
      <c r="BU61" s="166">
        <v>0.14683707252267758</v>
      </c>
      <c r="BV61" s="166">
        <v>0.14683707252267758</v>
      </c>
      <c r="BW61" s="166">
        <v>0.14683707252267758</v>
      </c>
      <c r="BX61" s="167">
        <v>0.14683707252267758</v>
      </c>
      <c r="BY61" s="11"/>
      <c r="CE61" s="144"/>
      <c r="CF61" s="144"/>
      <c r="CG61" s="144"/>
      <c r="CH61" s="144"/>
      <c r="CI61" s="144"/>
      <c r="CJ61" s="144"/>
      <c r="CK61" s="144"/>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row>
    <row r="62">
      <c r="B62" s="23"/>
      <c r="C62" s="23"/>
      <c r="R62" s="10"/>
      <c r="BY62" s="11"/>
    </row>
    <row r="63">
      <c r="B63" s="23"/>
      <c r="C63" s="23"/>
      <c r="R63" s="168"/>
      <c r="S63" s="169"/>
      <c r="T63" s="169"/>
      <c r="U63" s="169"/>
      <c r="V63" s="169"/>
      <c r="W63" s="169"/>
      <c r="X63" s="169"/>
      <c r="Y63" s="169"/>
      <c r="Z63" s="169"/>
      <c r="AA63" s="169"/>
      <c r="AB63" s="169"/>
      <c r="AC63" s="169"/>
      <c r="AD63" s="169"/>
      <c r="AE63" s="169"/>
      <c r="AF63" s="169"/>
      <c r="AG63" s="169"/>
      <c r="AH63" s="169"/>
      <c r="AI63" s="169"/>
      <c r="AJ63" s="169"/>
      <c r="AK63" s="169"/>
      <c r="AL63" s="169"/>
      <c r="AM63" s="169"/>
      <c r="AN63" s="169"/>
      <c r="AO63" s="169"/>
      <c r="AP63" s="169"/>
      <c r="AQ63" s="169"/>
      <c r="AR63" s="169"/>
      <c r="AS63" s="169"/>
      <c r="AT63" s="169"/>
      <c r="AU63" s="169"/>
      <c r="AV63" s="169"/>
      <c r="AW63" s="169"/>
      <c r="AX63" s="169"/>
      <c r="AY63" s="169"/>
      <c r="AZ63" s="169"/>
      <c r="BA63" s="169"/>
      <c r="BB63" s="169"/>
      <c r="BC63" s="169"/>
      <c r="BD63" s="169"/>
      <c r="BE63" s="169"/>
      <c r="BF63" s="169"/>
      <c r="BG63" s="169"/>
      <c r="BH63" s="169"/>
      <c r="BI63" s="169"/>
      <c r="BJ63" s="169"/>
      <c r="BK63" s="169"/>
      <c r="BL63" s="169"/>
      <c r="BM63" s="169"/>
      <c r="BN63" s="169"/>
      <c r="BO63" s="169"/>
      <c r="BP63" s="169"/>
      <c r="BQ63" s="169"/>
      <c r="BR63" s="169"/>
      <c r="BS63" s="169"/>
      <c r="BT63" s="169"/>
      <c r="BU63" s="169"/>
      <c r="BV63" s="169"/>
      <c r="BW63" s="169"/>
      <c r="BX63" s="169"/>
      <c r="BY63" s="170"/>
    </row>
    <row r="64">
      <c r="B64" s="23"/>
      <c r="C64" s="23"/>
    </row>
    <row r="65">
      <c r="B65" s="23"/>
      <c r="C65" s="23"/>
    </row>
    <row r="66">
      <c r="B66" s="23"/>
      <c r="C66" s="23"/>
    </row>
    <row r="67">
      <c r="B67" s="151"/>
      <c r="C67" s="23"/>
      <c r="R67" s="5" t="s">
        <v>83</v>
      </c>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7"/>
    </row>
    <row r="68">
      <c r="B68" s="152"/>
      <c r="C68" s="153"/>
      <c r="R68" s="10"/>
      <c r="BY68" s="11"/>
    </row>
    <row r="69">
      <c r="B69" s="152"/>
      <c r="C69" s="153"/>
      <c r="R69" s="10"/>
      <c r="BY69" s="11"/>
    </row>
    <row r="70">
      <c r="B70" s="152"/>
      <c r="C70" s="153"/>
      <c r="R70" s="10"/>
      <c r="BY70" s="11"/>
    </row>
    <row r="71">
      <c r="B71" s="152"/>
      <c r="C71" s="153"/>
      <c r="R71" s="10"/>
      <c r="BY71" s="11"/>
    </row>
    <row r="72">
      <c r="B72" s="152"/>
      <c r="C72" s="153"/>
      <c r="R72" s="10"/>
      <c r="BY72" s="11"/>
    </row>
    <row r="73">
      <c r="B73" s="152"/>
      <c r="C73" s="153"/>
      <c r="R73" s="10"/>
      <c r="BY73" s="11"/>
    </row>
    <row r="74">
      <c r="B74" s="152"/>
      <c r="C74" s="153"/>
      <c r="R74" s="10"/>
      <c r="BM74" s="171"/>
      <c r="BY74" s="11"/>
    </row>
    <row r="75">
      <c r="B75" s="152"/>
      <c r="C75" s="153"/>
      <c r="R75" s="10"/>
      <c r="BM75" s="172"/>
      <c r="BY75" s="11"/>
    </row>
    <row r="76">
      <c r="B76" s="152"/>
      <c r="C76" s="153"/>
      <c r="R76" s="10"/>
      <c r="BM76" s="173"/>
      <c r="BY76" s="11"/>
    </row>
    <row r="77">
      <c r="B77" s="152"/>
      <c r="C77" s="153"/>
      <c r="R77" s="10"/>
      <c r="BM77" s="174"/>
      <c r="BY77" s="11"/>
    </row>
    <row r="78">
      <c r="B78" s="152"/>
      <c r="C78" s="153"/>
      <c r="R78" s="10"/>
      <c r="BM78" s="175"/>
      <c r="BY78" s="11"/>
    </row>
    <row r="79">
      <c r="B79" s="152"/>
      <c r="C79" s="153"/>
      <c r="R79" s="10"/>
      <c r="BM79" s="175"/>
      <c r="BY79" s="11"/>
    </row>
    <row r="80">
      <c r="B80" s="152"/>
      <c r="C80" s="153"/>
      <c r="R80" s="10"/>
      <c r="AW80" s="176"/>
      <c r="AX80" s="177"/>
      <c r="AY80" s="51"/>
      <c r="AZ80" s="51"/>
      <c r="BA80" s="51"/>
      <c r="BB80" s="51"/>
      <c r="BC80" s="51"/>
      <c r="BD80" s="51"/>
      <c r="BE80" s="51"/>
      <c r="BF80" s="51"/>
      <c r="BG80" s="51"/>
      <c r="BH80" s="51"/>
      <c r="BI80" s="51"/>
      <c r="BJ80" s="51"/>
      <c r="BK80" s="51"/>
      <c r="BL80" s="51"/>
      <c r="BM80" s="175"/>
      <c r="BY80" s="11"/>
    </row>
    <row r="81">
      <c r="B81" s="152"/>
      <c r="C81" s="153"/>
      <c r="R81" s="10"/>
      <c r="AW81" s="176"/>
      <c r="AX81" s="177"/>
      <c r="AY81" s="51"/>
      <c r="AZ81" s="51"/>
      <c r="BA81" s="51"/>
      <c r="BB81" s="51"/>
      <c r="BC81" s="51"/>
      <c r="BD81" s="51"/>
      <c r="BE81" s="51"/>
      <c r="BF81" s="51"/>
      <c r="BG81" s="51"/>
      <c r="BH81" s="51"/>
      <c r="BI81" s="51"/>
      <c r="BJ81" s="51"/>
      <c r="BK81" s="51"/>
      <c r="BL81" s="51"/>
      <c r="BM81" s="175"/>
      <c r="BY81" s="11"/>
    </row>
    <row r="82">
      <c r="B82" s="152"/>
      <c r="C82" s="153"/>
      <c r="R82" s="10"/>
      <c r="AW82" s="176"/>
      <c r="AX82" s="177"/>
      <c r="AY82" s="51"/>
      <c r="AZ82" s="51"/>
      <c r="BA82" s="51"/>
      <c r="BB82" s="51"/>
      <c r="BC82" s="51"/>
      <c r="BD82" s="51"/>
      <c r="BE82" s="51"/>
      <c r="BF82" s="51"/>
      <c r="BG82" s="51"/>
      <c r="BH82" s="51"/>
      <c r="BI82" s="51"/>
      <c r="BJ82" s="51"/>
      <c r="BK82" s="51"/>
      <c r="BL82" s="51"/>
      <c r="BM82" s="175"/>
      <c r="BY82" s="11"/>
    </row>
    <row r="83">
      <c r="B83" s="152"/>
      <c r="C83" s="153"/>
      <c r="R83" s="10"/>
      <c r="AW83" s="176"/>
      <c r="AX83" s="177"/>
      <c r="AY83" s="51"/>
      <c r="AZ83" s="51"/>
      <c r="BA83" s="51"/>
      <c r="BB83" s="51"/>
      <c r="BC83" s="51"/>
      <c r="BD83" s="51"/>
      <c r="BE83" s="51"/>
      <c r="BF83" s="51"/>
      <c r="BG83" s="51"/>
      <c r="BH83" s="51"/>
      <c r="BI83" s="51"/>
      <c r="BJ83" s="51"/>
      <c r="BK83" s="51"/>
      <c r="BL83" s="51"/>
      <c r="BM83" s="175"/>
      <c r="BY83" s="11"/>
    </row>
    <row r="84">
      <c r="B84" s="152"/>
      <c r="C84" s="153"/>
      <c r="R84" s="10"/>
      <c r="AW84" s="176"/>
      <c r="AX84" s="177"/>
      <c r="AY84" s="51"/>
      <c r="AZ84" s="51"/>
      <c r="BA84" s="51"/>
      <c r="BB84" s="51"/>
      <c r="BC84" s="51"/>
      <c r="BD84" s="51"/>
      <c r="BE84" s="51"/>
      <c r="BF84" s="51"/>
      <c r="BG84" s="51"/>
      <c r="BH84" s="51"/>
      <c r="BI84" s="51"/>
      <c r="BJ84" s="51"/>
      <c r="BK84" s="51"/>
      <c r="BL84" s="51"/>
      <c r="BM84" s="175"/>
      <c r="BY84" s="11"/>
    </row>
    <row r="85">
      <c r="B85" s="152"/>
      <c r="C85" s="153"/>
      <c r="R85" s="10"/>
      <c r="AW85" s="176"/>
      <c r="AX85" s="177"/>
      <c r="AY85" s="51"/>
      <c r="AZ85" s="51"/>
      <c r="BA85" s="51"/>
      <c r="BB85" s="51"/>
      <c r="BC85" s="51"/>
      <c r="BD85" s="51"/>
      <c r="BE85" s="51"/>
      <c r="BF85" s="51"/>
      <c r="BG85" s="51"/>
      <c r="BH85" s="51"/>
      <c r="BI85" s="51"/>
      <c r="BJ85" s="51"/>
      <c r="BK85" s="51"/>
      <c r="BL85" s="51"/>
      <c r="BM85" s="175"/>
      <c r="BN85" s="178"/>
      <c r="BO85" s="178"/>
      <c r="BY85" s="11"/>
    </row>
    <row r="86">
      <c r="B86" s="152"/>
      <c r="C86" s="153"/>
      <c r="R86" s="10"/>
      <c r="AW86" s="176"/>
      <c r="AX86" s="177"/>
      <c r="AY86" s="144"/>
      <c r="AZ86" s="144"/>
      <c r="BA86" s="144"/>
      <c r="BB86" s="144"/>
      <c r="BC86" s="144"/>
      <c r="BD86" s="144"/>
      <c r="BE86" s="144"/>
      <c r="BF86" s="144"/>
      <c r="BG86" s="144"/>
      <c r="BH86" s="144"/>
      <c r="BI86" s="144"/>
      <c r="BJ86" s="144"/>
      <c r="BK86" s="144"/>
      <c r="BL86" s="144"/>
      <c r="BM86" s="175"/>
      <c r="BN86" s="178"/>
      <c r="BO86" s="178"/>
      <c r="BY86" s="11"/>
    </row>
    <row r="87">
      <c r="B87" s="152"/>
      <c r="C87" s="153"/>
      <c r="R87" s="10"/>
      <c r="AW87" s="178"/>
      <c r="AX87" s="177"/>
      <c r="AY87" s="51"/>
      <c r="AZ87" s="51"/>
      <c r="BA87" s="51"/>
      <c r="BB87" s="51"/>
      <c r="BC87" s="51"/>
      <c r="BD87" s="51"/>
      <c r="BE87" s="51"/>
      <c r="BF87" s="51"/>
      <c r="BG87" s="51"/>
      <c r="BH87" s="51"/>
      <c r="BI87" s="51"/>
      <c r="BJ87" s="51"/>
      <c r="BK87" s="51"/>
      <c r="BL87" s="51"/>
      <c r="BM87" s="175"/>
      <c r="BY87" s="11"/>
    </row>
    <row r="88">
      <c r="B88" s="152"/>
      <c r="C88" s="153"/>
      <c r="R88" s="10"/>
      <c r="AW88" s="178"/>
      <c r="AX88" s="177"/>
      <c r="AY88" s="144"/>
      <c r="AZ88" s="144"/>
      <c r="BA88" s="144"/>
      <c r="BB88" s="144"/>
      <c r="BC88" s="144"/>
      <c r="BD88" s="144"/>
      <c r="BE88" s="144"/>
      <c r="BF88" s="144"/>
      <c r="BG88" s="144"/>
      <c r="BH88" s="144"/>
      <c r="BI88" s="144"/>
      <c r="BJ88" s="144"/>
      <c r="BK88" s="144"/>
      <c r="BL88" s="144"/>
      <c r="BM88" s="175"/>
      <c r="BY88" s="11"/>
    </row>
    <row r="89">
      <c r="B89" s="152"/>
      <c r="C89" s="153"/>
      <c r="R89" s="10"/>
      <c r="BM89" s="175"/>
      <c r="BY89" s="11"/>
    </row>
    <row r="90">
      <c r="B90" s="152"/>
      <c r="C90" s="153"/>
      <c r="R90" s="10"/>
      <c r="BM90" s="175"/>
      <c r="BY90" s="11"/>
    </row>
    <row r="91">
      <c r="R91" s="10"/>
      <c r="BM91" s="175"/>
      <c r="BN91" s="23"/>
      <c r="BO91" s="23"/>
      <c r="BY91" s="11"/>
    </row>
    <row r="92" ht="24.0" customHeight="1">
      <c r="R92" s="10"/>
      <c r="BM92" s="175"/>
      <c r="BN92" s="23"/>
      <c r="BO92" s="23"/>
      <c r="BY92" s="11"/>
    </row>
    <row r="93">
      <c r="R93" s="10"/>
      <c r="BM93" s="175"/>
      <c r="BN93" s="23"/>
      <c r="BO93" s="23"/>
      <c r="BT93" s="179"/>
      <c r="BU93" s="179"/>
      <c r="BV93" s="179"/>
      <c r="BW93" s="179"/>
      <c r="BX93" s="179"/>
      <c r="BY93" s="180"/>
      <c r="BZ93" s="179"/>
      <c r="CA93" s="179"/>
      <c r="CB93" s="179"/>
      <c r="CC93" s="179"/>
      <c r="CD93" s="179"/>
      <c r="CE93" s="179"/>
      <c r="CF93" s="179"/>
      <c r="CG93" s="179"/>
      <c r="CH93" s="179"/>
      <c r="CI93" s="179"/>
      <c r="CJ93" s="179"/>
      <c r="CK93" s="179"/>
      <c r="CL93" s="179"/>
      <c r="CM93" s="179"/>
      <c r="CN93" s="179"/>
      <c r="CO93" s="179"/>
      <c r="CP93" s="179"/>
      <c r="CQ93" s="179"/>
      <c r="CR93" s="179"/>
      <c r="CS93" s="179"/>
      <c r="CT93" s="179"/>
      <c r="CU93" s="179"/>
      <c r="CV93" s="179"/>
      <c r="CW93" s="179"/>
      <c r="CX93" s="179"/>
      <c r="CY93" s="179"/>
      <c r="CZ93" s="179"/>
      <c r="DA93" s="179"/>
      <c r="DB93" s="179"/>
      <c r="DC93" s="179"/>
      <c r="DD93" s="179"/>
      <c r="DE93" s="179"/>
      <c r="DF93" s="179"/>
      <c r="DG93" s="179"/>
      <c r="DH93" s="179"/>
    </row>
    <row r="94">
      <c r="R94" s="10"/>
      <c r="BM94" s="175"/>
      <c r="BN94" s="23"/>
      <c r="BO94" s="23"/>
      <c r="BY94" s="11"/>
    </row>
    <row r="95">
      <c r="R95" s="10"/>
      <c r="BN95" s="23"/>
      <c r="BO95" s="23"/>
      <c r="BY95" s="11"/>
    </row>
    <row r="96">
      <c r="R96" s="10"/>
      <c r="BN96" s="23"/>
      <c r="BO96" s="23"/>
      <c r="BY96" s="11"/>
    </row>
    <row r="97">
      <c r="R97" s="10"/>
      <c r="BN97" s="181"/>
      <c r="BO97" s="23"/>
      <c r="BY97" s="11"/>
    </row>
    <row r="98">
      <c r="R98" s="10"/>
      <c r="U98" s="70" t="s">
        <v>84</v>
      </c>
      <c r="V98" s="71"/>
      <c r="W98" s="71"/>
      <c r="X98" s="71"/>
      <c r="Y98" s="71"/>
      <c r="Z98" s="71"/>
      <c r="AA98" s="71"/>
      <c r="AB98" s="71"/>
      <c r="AC98" s="18"/>
      <c r="AE98" s="70" t="s">
        <v>84</v>
      </c>
      <c r="AF98" s="71"/>
      <c r="AG98" s="71"/>
      <c r="AH98" s="71"/>
      <c r="AI98" s="71"/>
      <c r="AJ98" s="71"/>
      <c r="AK98" s="71"/>
      <c r="AL98" s="71"/>
      <c r="AM98" s="71"/>
      <c r="AN98" s="71"/>
      <c r="AO98" s="71"/>
      <c r="AP98" s="18"/>
      <c r="AR98" s="70" t="s">
        <v>84</v>
      </c>
      <c r="AS98" s="71"/>
      <c r="AT98" s="71"/>
      <c r="AU98" s="71"/>
      <c r="AV98" s="71"/>
      <c r="AW98" s="71"/>
      <c r="AX98" s="71"/>
      <c r="AY98" s="71"/>
      <c r="AZ98" s="71"/>
      <c r="BA98" s="71"/>
      <c r="BB98" s="71"/>
      <c r="BC98" s="71"/>
      <c r="BD98" s="71"/>
      <c r="BE98" s="71"/>
      <c r="BF98" s="71"/>
      <c r="BG98" s="18"/>
      <c r="BI98" s="70" t="s">
        <v>84</v>
      </c>
      <c r="BJ98" s="71"/>
      <c r="BK98" s="71"/>
      <c r="BL98" s="71"/>
      <c r="BM98" s="71"/>
      <c r="BN98" s="71"/>
      <c r="BO98" s="71"/>
      <c r="BP98" s="71"/>
      <c r="BQ98" s="71"/>
      <c r="BR98" s="71"/>
      <c r="BS98" s="71"/>
      <c r="BT98" s="71"/>
      <c r="BU98" s="71"/>
      <c r="BV98" s="71"/>
      <c r="BW98" s="71"/>
      <c r="BX98" s="18"/>
      <c r="BY98" s="11"/>
    </row>
    <row r="99">
      <c r="R99" s="10"/>
      <c r="U99" s="77" t="s">
        <v>57</v>
      </c>
      <c r="AC99" s="78"/>
      <c r="AE99" s="85" t="s">
        <v>58</v>
      </c>
      <c r="AF99" s="182"/>
      <c r="AG99" s="182"/>
      <c r="AH99" s="182"/>
      <c r="AI99" s="183" t="s">
        <v>59</v>
      </c>
      <c r="AJ99" s="183"/>
      <c r="AK99" s="183"/>
      <c r="AL99" s="183"/>
      <c r="AM99" s="183"/>
      <c r="AN99" s="183"/>
      <c r="AO99" s="183"/>
      <c r="AP99" s="184"/>
      <c r="AR99" s="85" t="s">
        <v>58</v>
      </c>
      <c r="AS99" s="86"/>
      <c r="AT99" s="86" t="s">
        <v>44</v>
      </c>
      <c r="BG99" s="78"/>
      <c r="BI99" s="85" t="s">
        <v>58</v>
      </c>
      <c r="BJ99" s="86"/>
      <c r="BK99" s="86" t="s">
        <v>44</v>
      </c>
      <c r="BX99" s="78"/>
      <c r="BY99" s="11"/>
    </row>
    <row r="100">
      <c r="R100" s="10"/>
      <c r="U100" s="90"/>
      <c r="V100" s="91">
        <f>$F$48</f>
        <v>0.2142040465</v>
      </c>
      <c r="W100" s="92">
        <v>64.0</v>
      </c>
      <c r="X100" s="93">
        <f t="shared" ref="X100:AC100" si="9">W100+10</f>
        <v>74</v>
      </c>
      <c r="Y100" s="93">
        <f t="shared" si="9"/>
        <v>84</v>
      </c>
      <c r="Z100" s="93">
        <f t="shared" si="9"/>
        <v>94</v>
      </c>
      <c r="AA100" s="93">
        <f t="shared" si="9"/>
        <v>104</v>
      </c>
      <c r="AB100" s="93">
        <f t="shared" si="9"/>
        <v>114</v>
      </c>
      <c r="AC100" s="94">
        <f t="shared" si="9"/>
        <v>124</v>
      </c>
      <c r="AE100" s="90"/>
      <c r="AF100" s="96">
        <f>$F$48</f>
        <v>0.2142040465</v>
      </c>
      <c r="AG100" s="97">
        <f t="shared" ref="AG100:AI100" si="10">AH100-0.05</f>
        <v>0.7</v>
      </c>
      <c r="AH100" s="97">
        <f t="shared" si="10"/>
        <v>0.75</v>
      </c>
      <c r="AI100" s="97">
        <f t="shared" si="10"/>
        <v>0.8</v>
      </c>
      <c r="AJ100" s="97">
        <v>0.85</v>
      </c>
      <c r="AK100" s="98">
        <v>0.9</v>
      </c>
      <c r="AL100" s="97">
        <f t="shared" ref="AL100:AP100" si="11">AK100+0.02</f>
        <v>0.92</v>
      </c>
      <c r="AM100" s="97">
        <f t="shared" si="11"/>
        <v>0.94</v>
      </c>
      <c r="AN100" s="97">
        <f t="shared" si="11"/>
        <v>0.96</v>
      </c>
      <c r="AO100" s="97">
        <f t="shared" si="11"/>
        <v>0.98</v>
      </c>
      <c r="AP100" s="99">
        <f t="shared" si="11"/>
        <v>1</v>
      </c>
      <c r="AR100" s="85" t="s">
        <v>63</v>
      </c>
      <c r="AS100" s="86"/>
      <c r="AT100" s="86"/>
      <c r="AU100" s="86"/>
      <c r="AV100" s="86"/>
      <c r="AW100" s="86"/>
      <c r="AX100" s="86"/>
      <c r="AY100" s="86"/>
      <c r="AZ100" s="86"/>
      <c r="BA100" s="86"/>
      <c r="BB100" s="86"/>
      <c r="BC100" s="86"/>
      <c r="BD100" s="86"/>
      <c r="BE100" s="86"/>
      <c r="BF100" s="86"/>
      <c r="BG100" s="100"/>
      <c r="BI100" s="85" t="s">
        <v>63</v>
      </c>
      <c r="BJ100" s="86"/>
      <c r="BK100" s="86"/>
      <c r="BL100" s="86"/>
      <c r="BM100" s="86"/>
      <c r="BN100" s="86"/>
      <c r="BO100" s="86"/>
      <c r="BP100" s="86"/>
      <c r="BQ100" s="86"/>
      <c r="BR100" s="86"/>
      <c r="BS100" s="86"/>
      <c r="BT100" s="86"/>
      <c r="BU100" s="86"/>
      <c r="BV100" s="86"/>
      <c r="BW100" s="86"/>
      <c r="BX100" s="100"/>
      <c r="BY100" s="11"/>
    </row>
    <row r="101">
      <c r="R101" s="10"/>
      <c r="U101" s="102" t="s">
        <v>66</v>
      </c>
      <c r="V101" s="103">
        <v>100000.0</v>
      </c>
      <c r="W101" s="104">
        <v>0.43089475859667176</v>
      </c>
      <c r="X101" s="105">
        <v>0.5034478201783884</v>
      </c>
      <c r="Y101" s="105">
        <v>0.5760008817601052</v>
      </c>
      <c r="Z101" s="105">
        <v>0.648553943341822</v>
      </c>
      <c r="AA101" s="105">
        <v>0.7211070049235387</v>
      </c>
      <c r="AB101" s="105">
        <v>0.7936600665052554</v>
      </c>
      <c r="AC101" s="106">
        <v>0.8662131280869723</v>
      </c>
      <c r="AE101" s="102" t="s">
        <v>66</v>
      </c>
      <c r="AF101" s="103">
        <v>100000.0</v>
      </c>
      <c r="AG101" s="185">
        <v>0.34702571964953416</v>
      </c>
      <c r="AH101" s="185">
        <v>0.368538672763235</v>
      </c>
      <c r="AI101" s="185">
        <v>0.38963321691158415</v>
      </c>
      <c r="AJ101" s="185">
        <v>0.41039127216569277</v>
      </c>
      <c r="AK101" s="186">
        <v>0.43089475859667176</v>
      </c>
      <c r="AL101" s="185">
        <v>0.4390432239945158</v>
      </c>
      <c r="AM101" s="185">
        <v>0.44716930847658803</v>
      </c>
      <c r="AN101" s="185">
        <v>0.45527825492743934</v>
      </c>
      <c r="AO101" s="185">
        <v>0.46337530623162104</v>
      </c>
      <c r="AP101" s="187">
        <v>0.4714657052736842</v>
      </c>
      <c r="AR101" s="85" t="s">
        <v>67</v>
      </c>
      <c r="AS101" s="86"/>
      <c r="AT101" s="86"/>
      <c r="AU101" s="86"/>
      <c r="AV101" s="86"/>
      <c r="AW101" s="86"/>
      <c r="AX101" s="86"/>
      <c r="AY101" s="86"/>
      <c r="AZ101" s="86"/>
      <c r="BA101" s="86"/>
      <c r="BB101" s="86"/>
      <c r="BC101" s="86"/>
      <c r="BD101" s="86"/>
      <c r="BE101" s="86"/>
      <c r="BF101" s="86"/>
      <c r="BG101" s="100"/>
      <c r="BI101" s="85" t="s">
        <v>68</v>
      </c>
      <c r="BJ101" s="86"/>
      <c r="BK101" s="86"/>
      <c r="BL101" s="86"/>
      <c r="BM101" s="86"/>
      <c r="BN101" s="86"/>
      <c r="BO101" s="86"/>
      <c r="BP101" s="86"/>
      <c r="BQ101" s="86"/>
      <c r="BR101" s="86"/>
      <c r="BS101" s="86"/>
      <c r="BT101" s="86"/>
      <c r="BU101" s="86"/>
      <c r="BV101" s="86"/>
      <c r="BW101" s="86"/>
      <c r="BX101" s="100"/>
      <c r="BY101" s="11"/>
    </row>
    <row r="102">
      <c r="R102" s="10"/>
      <c r="U102" s="110"/>
      <c r="V102" s="93">
        <f t="shared" ref="V102:V119" si="14">V101+50000</f>
        <v>150000</v>
      </c>
      <c r="W102" s="104">
        <v>0.3456868554644717</v>
      </c>
      <c r="X102" s="105">
        <v>0.404926182181782</v>
      </c>
      <c r="Y102" s="105">
        <v>0.4641655088990926</v>
      </c>
      <c r="Z102" s="105">
        <v>0.523404835616403</v>
      </c>
      <c r="AA102" s="105">
        <v>0.5826441623337136</v>
      </c>
      <c r="AB102" s="105">
        <v>0.6418834890510243</v>
      </c>
      <c r="AC102" s="106">
        <v>0.7011228157683346</v>
      </c>
      <c r="AE102" s="110"/>
      <c r="AF102" s="93">
        <f t="shared" ref="AF102:AF119" si="15">AF101+50000</f>
        <v>150000</v>
      </c>
      <c r="AG102" s="188">
        <v>0.27720807191843944</v>
      </c>
      <c r="AH102" s="188">
        <v>0.2947733245814346</v>
      </c>
      <c r="AI102" s="188">
        <v>0.3119969477547908</v>
      </c>
      <c r="AJ102" s="188">
        <v>0.3289458288964793</v>
      </c>
      <c r="AK102" s="189">
        <v>0.3456868554644717</v>
      </c>
      <c r="AL102" s="188">
        <v>0.3523400496016191</v>
      </c>
      <c r="AM102" s="188">
        <v>0.35897496979756094</v>
      </c>
      <c r="AN102" s="188">
        <v>0.36559589684960714</v>
      </c>
      <c r="AO102" s="188">
        <v>0.37220711155506786</v>
      </c>
      <c r="AP102" s="190">
        <v>0.3788128947112534</v>
      </c>
      <c r="AR102" s="90"/>
      <c r="AS102" s="91">
        <f>$F$48</f>
        <v>0.2142040465</v>
      </c>
      <c r="AT102" s="103">
        <v>1.0</v>
      </c>
      <c r="AU102" s="93">
        <f t="shared" ref="AU102:AX102" si="12">AT102+1</f>
        <v>2</v>
      </c>
      <c r="AV102" s="93">
        <f t="shared" si="12"/>
        <v>3</v>
      </c>
      <c r="AW102" s="93">
        <f t="shared" si="12"/>
        <v>4</v>
      </c>
      <c r="AX102" s="93">
        <f t="shared" si="12"/>
        <v>5</v>
      </c>
      <c r="AY102" s="103">
        <v>10.0</v>
      </c>
      <c r="AZ102" s="103">
        <v>15.0</v>
      </c>
      <c r="BA102" s="103">
        <v>20.0</v>
      </c>
      <c r="BB102" s="103">
        <v>25.0</v>
      </c>
      <c r="BC102" s="103">
        <v>30.0</v>
      </c>
      <c r="BD102" s="103">
        <v>35.0</v>
      </c>
      <c r="BE102" s="103">
        <v>40.0</v>
      </c>
      <c r="BF102" s="103">
        <v>45.0</v>
      </c>
      <c r="BG102" s="114">
        <v>50.0</v>
      </c>
      <c r="BI102" s="90"/>
      <c r="BJ102" s="91">
        <f>$F$48</f>
        <v>0.2142040465</v>
      </c>
      <c r="BK102" s="103">
        <v>1.0</v>
      </c>
      <c r="BL102" s="93">
        <f t="shared" ref="BL102:BO102" si="13">BK102+1</f>
        <v>2</v>
      </c>
      <c r="BM102" s="93">
        <f t="shared" si="13"/>
        <v>3</v>
      </c>
      <c r="BN102" s="93">
        <f t="shared" si="13"/>
        <v>4</v>
      </c>
      <c r="BO102" s="93">
        <f t="shared" si="13"/>
        <v>5</v>
      </c>
      <c r="BP102" s="103">
        <v>10.0</v>
      </c>
      <c r="BQ102" s="103">
        <v>15.0</v>
      </c>
      <c r="BR102" s="103">
        <v>20.0</v>
      </c>
      <c r="BS102" s="103">
        <v>25.0</v>
      </c>
      <c r="BT102" s="103">
        <v>30.0</v>
      </c>
      <c r="BU102" s="103">
        <v>35.0</v>
      </c>
      <c r="BV102" s="103">
        <v>40.0</v>
      </c>
      <c r="BW102" s="103">
        <v>45.0</v>
      </c>
      <c r="BX102" s="114">
        <v>50.0</v>
      </c>
      <c r="BY102" s="11"/>
    </row>
    <row r="103">
      <c r="F103" s="191"/>
      <c r="R103" s="10"/>
      <c r="U103" s="110"/>
      <c r="V103" s="93">
        <f t="shared" si="14"/>
        <v>200000</v>
      </c>
      <c r="W103" s="104">
        <v>0.29489284025145784</v>
      </c>
      <c r="X103" s="105">
        <v>0.34619560209173494</v>
      </c>
      <c r="Y103" s="105">
        <v>0.3974983639320121</v>
      </c>
      <c r="Z103" s="105">
        <v>0.44880112577228926</v>
      </c>
      <c r="AA103" s="105">
        <v>0.5001038876125664</v>
      </c>
      <c r="AB103" s="105">
        <v>0.5514066494528437</v>
      </c>
      <c r="AC103" s="106">
        <v>0.6027094112931205</v>
      </c>
      <c r="AE103" s="110"/>
      <c r="AF103" s="93">
        <f t="shared" si="15"/>
        <v>200000</v>
      </c>
      <c r="AG103" s="185">
        <v>0.23558847408033823</v>
      </c>
      <c r="AH103" s="185">
        <v>0.25080042911038425</v>
      </c>
      <c r="AI103" s="185">
        <v>0.265716524323721</v>
      </c>
      <c r="AJ103" s="185">
        <v>0.28039468595814626</v>
      </c>
      <c r="AK103" s="186">
        <v>0.29489284025145784</v>
      </c>
      <c r="AL103" s="185">
        <v>0.3006546753905373</v>
      </c>
      <c r="AM103" s="185">
        <v>0.30640068483230537</v>
      </c>
      <c r="AN103" s="185">
        <v>0.3121345758559811</v>
      </c>
      <c r="AO103" s="185">
        <v>0.3178600557407834</v>
      </c>
      <c r="AP103" s="187">
        <v>0.3235808317659312</v>
      </c>
      <c r="AR103" s="118" t="s">
        <v>73</v>
      </c>
      <c r="AS103" s="119">
        <f>AG100</f>
        <v>0.7</v>
      </c>
      <c r="AT103" s="105">
        <v>0.0868705181721293</v>
      </c>
      <c r="AU103" s="105">
        <v>0.10214131873172531</v>
      </c>
      <c r="AV103" s="105">
        <v>0.10723253064820756</v>
      </c>
      <c r="AW103" s="105">
        <v>0.10977884471172634</v>
      </c>
      <c r="AX103" s="105">
        <v>0.11130719908085249</v>
      </c>
      <c r="AY103" s="105">
        <v>0.1143681426394832</v>
      </c>
      <c r="AZ103" s="105">
        <v>0.11539314569379489</v>
      </c>
      <c r="BA103" s="105">
        <v>0.11438220832770726</v>
      </c>
      <c r="BB103" s="105">
        <v>0.11499998220376016</v>
      </c>
      <c r="BC103" s="105">
        <v>0.11541414161574651</v>
      </c>
      <c r="BD103" s="105">
        <v>0.11483940416540545</v>
      </c>
      <c r="BE103" s="105">
        <v>0.11517353593159647</v>
      </c>
      <c r="BF103" s="105">
        <v>0.11543493389511283</v>
      </c>
      <c r="BG103" s="106">
        <v>0.1150346362770287</v>
      </c>
      <c r="BI103" s="102" t="s">
        <v>66</v>
      </c>
      <c r="BJ103" s="103">
        <v>100000.0</v>
      </c>
      <c r="BK103" s="105">
        <v>0.43089475859667176</v>
      </c>
      <c r="BL103" s="105">
        <v>0.4461655591562677</v>
      </c>
      <c r="BM103" s="105">
        <v>0.45125677107275</v>
      </c>
      <c r="BN103" s="105">
        <v>0.45380308513626877</v>
      </c>
      <c r="BO103" s="105">
        <v>0.4553314395053949</v>
      </c>
      <c r="BP103" s="105">
        <v>0.4583923830640256</v>
      </c>
      <c r="BQ103" s="105">
        <v>0.4594173861183373</v>
      </c>
      <c r="BR103" s="105">
        <v>0.4584064487522497</v>
      </c>
      <c r="BS103" s="105">
        <v>0.4590242226283026</v>
      </c>
      <c r="BT103" s="105">
        <v>0.4594383820402889</v>
      </c>
      <c r="BU103" s="105">
        <v>0.4588636445899479</v>
      </c>
      <c r="BV103" s="105">
        <v>0.45919777635613884</v>
      </c>
      <c r="BW103" s="105">
        <v>0.4594591743196552</v>
      </c>
      <c r="BX103" s="106">
        <v>0.4590588767015711</v>
      </c>
      <c r="BY103" s="11"/>
    </row>
    <row r="104">
      <c r="R104" s="10"/>
      <c r="U104" s="110"/>
      <c r="V104" s="93">
        <f t="shared" si="14"/>
        <v>250000</v>
      </c>
      <c r="W104" s="104">
        <v>0.2602293095190394</v>
      </c>
      <c r="X104" s="105">
        <v>0.3061158946823761</v>
      </c>
      <c r="Y104" s="105">
        <v>0.3520024798457128</v>
      </c>
      <c r="Z104" s="105">
        <v>0.3978890650090497</v>
      </c>
      <c r="AA104" s="105">
        <v>0.4437756501723862</v>
      </c>
      <c r="AB104" s="105">
        <v>0.48966223533572306</v>
      </c>
      <c r="AC104" s="106">
        <v>0.5355488204990598</v>
      </c>
      <c r="AE104" s="110"/>
      <c r="AF104" s="93">
        <f t="shared" si="15"/>
        <v>250000</v>
      </c>
      <c r="AG104" s="185">
        <v>0.20718587187057438</v>
      </c>
      <c r="AH104" s="185">
        <v>0.22079185807771556</v>
      </c>
      <c r="AI104" s="185">
        <v>0.23413321922006763</v>
      </c>
      <c r="AJ104" s="185">
        <v>0.24726176609978934</v>
      </c>
      <c r="AK104" s="186">
        <v>0.2602293095190394</v>
      </c>
      <c r="AL104" s="185">
        <v>0.26538285153749086</v>
      </c>
      <c r="AM104" s="185">
        <v>0.2705222386219504</v>
      </c>
      <c r="AN104" s="185">
        <v>0.27565078666375625</v>
      </c>
      <c r="AO104" s="185">
        <v>0.2807718115542464</v>
      </c>
      <c r="AP104" s="187">
        <v>0.2858886291847592</v>
      </c>
      <c r="AR104" s="110"/>
      <c r="AS104" s="119">
        <v>0.75</v>
      </c>
      <c r="AT104" s="192">
        <v>0.09367351127569988</v>
      </c>
      <c r="AU104" s="192">
        <v>0.1089443118352959</v>
      </c>
      <c r="AV104" s="192">
        <v>0.11403552375177815</v>
      </c>
      <c r="AW104" s="192">
        <v>0.1165818378152969</v>
      </c>
      <c r="AX104" s="192">
        <v>0.11811019218442305</v>
      </c>
      <c r="AY104" s="192">
        <v>0.12117113574305374</v>
      </c>
      <c r="AZ104" s="192">
        <v>0.12219613879736545</v>
      </c>
      <c r="BA104" s="192">
        <v>0.12118520143127783</v>
      </c>
      <c r="BB104" s="192">
        <v>0.12180297530733074</v>
      </c>
      <c r="BC104" s="192">
        <v>0.12221713471931707</v>
      </c>
      <c r="BD104" s="192">
        <v>0.12164239726897601</v>
      </c>
      <c r="BE104" s="192">
        <v>0.12197652903516705</v>
      </c>
      <c r="BF104" s="192">
        <v>0.12223792699868338</v>
      </c>
      <c r="BG104" s="193">
        <v>0.12183762938059928</v>
      </c>
      <c r="BI104" s="110"/>
      <c r="BJ104" s="93">
        <f t="shared" ref="BJ104:BJ121" si="16">BJ103+50000</f>
        <v>150000</v>
      </c>
      <c r="BK104" s="192">
        <v>0.3456868554644717</v>
      </c>
      <c r="BL104" s="192">
        <v>0.3609576560240677</v>
      </c>
      <c r="BM104" s="192">
        <v>0.36604886794054997</v>
      </c>
      <c r="BN104" s="192">
        <v>0.36859518200406877</v>
      </c>
      <c r="BO104" s="192">
        <v>0.37012353637319484</v>
      </c>
      <c r="BP104" s="192">
        <v>0.3731844799318256</v>
      </c>
      <c r="BQ104" s="192">
        <v>0.37420948298613727</v>
      </c>
      <c r="BR104" s="192">
        <v>0.37319854562004967</v>
      </c>
      <c r="BS104" s="192">
        <v>0.3738163194961025</v>
      </c>
      <c r="BT104" s="192">
        <v>0.37423047890808886</v>
      </c>
      <c r="BU104" s="192">
        <v>0.3736557414577478</v>
      </c>
      <c r="BV104" s="192">
        <v>0.3739898732239388</v>
      </c>
      <c r="BW104" s="192">
        <v>0.3742512711874552</v>
      </c>
      <c r="BX104" s="193">
        <v>0.3738509735693711</v>
      </c>
      <c r="BY104" s="11"/>
    </row>
    <row r="105">
      <c r="R105" s="10"/>
      <c r="U105" s="110"/>
      <c r="V105" s="93">
        <f t="shared" si="14"/>
        <v>300000</v>
      </c>
      <c r="W105" s="104">
        <v>0.23464175413599273</v>
      </c>
      <c r="X105" s="105">
        <v>0.2765302837707283</v>
      </c>
      <c r="Y105" s="105">
        <v>0.318418813405464</v>
      </c>
      <c r="Z105" s="105">
        <v>0.3603073430401997</v>
      </c>
      <c r="AA105" s="105">
        <v>0.4021958726749354</v>
      </c>
      <c r="AB105" s="105">
        <v>0.44408440230967106</v>
      </c>
      <c r="AC105" s="106">
        <v>0.48597293194440677</v>
      </c>
      <c r="AE105" s="110"/>
      <c r="AF105" s="93">
        <f t="shared" si="15"/>
        <v>300000</v>
      </c>
      <c r="AG105" s="185">
        <v>0.18621994192318755</v>
      </c>
      <c r="AH105" s="185">
        <v>0.1986404511944465</v>
      </c>
      <c r="AI105" s="185">
        <v>0.2108193919369283</v>
      </c>
      <c r="AJ105" s="185">
        <v>0.22280406072574108</v>
      </c>
      <c r="AK105" s="186">
        <v>0.23464175413599273</v>
      </c>
      <c r="AL105" s="185">
        <v>0.23934627282692028</v>
      </c>
      <c r="AM105" s="185">
        <v>0.24403786989010226</v>
      </c>
      <c r="AN105" s="185">
        <v>0.24871957230634567</v>
      </c>
      <c r="AO105" s="185">
        <v>0.2533944070564572</v>
      </c>
      <c r="AP105" s="187">
        <v>0.25806540112124376</v>
      </c>
      <c r="AR105" s="110"/>
      <c r="AS105" s="119">
        <v>0.8</v>
      </c>
      <c r="AT105" s="105">
        <v>0.10034419184687594</v>
      </c>
      <c r="AU105" s="105">
        <v>0.11561499240647197</v>
      </c>
      <c r="AV105" s="105">
        <v>0.12070620432295422</v>
      </c>
      <c r="AW105" s="105">
        <v>0.12325251838647297</v>
      </c>
      <c r="AX105" s="105">
        <v>0.1247808727555991</v>
      </c>
      <c r="AY105" s="105">
        <v>0.1278418163142298</v>
      </c>
      <c r="AZ105" s="105">
        <v>0.1288668193685415</v>
      </c>
      <c r="BA105" s="105">
        <v>0.12785588200245387</v>
      </c>
      <c r="BB105" s="105">
        <v>0.12847365587850682</v>
      </c>
      <c r="BC105" s="105">
        <v>0.12888781529049312</v>
      </c>
      <c r="BD105" s="105">
        <v>0.12831307784015208</v>
      </c>
      <c r="BE105" s="105">
        <v>0.1286472096063431</v>
      </c>
      <c r="BF105" s="105">
        <v>0.12890860756985947</v>
      </c>
      <c r="BG105" s="106">
        <v>0.12850830995177534</v>
      </c>
      <c r="BI105" s="110"/>
      <c r="BJ105" s="93">
        <f t="shared" si="16"/>
        <v>200000</v>
      </c>
      <c r="BK105" s="105">
        <v>0.29489284025145784</v>
      </c>
      <c r="BL105" s="105">
        <v>0.31016364081105385</v>
      </c>
      <c r="BM105" s="105">
        <v>0.31525485272753606</v>
      </c>
      <c r="BN105" s="105">
        <v>0.31780116679105486</v>
      </c>
      <c r="BO105" s="105">
        <v>0.319329521160181</v>
      </c>
      <c r="BP105" s="105">
        <v>0.3223904647188117</v>
      </c>
      <c r="BQ105" s="105">
        <v>0.32341546777312336</v>
      </c>
      <c r="BR105" s="105">
        <v>0.3224045304070358</v>
      </c>
      <c r="BS105" s="105">
        <v>0.3230223042830887</v>
      </c>
      <c r="BT105" s="105">
        <v>0.323436463695075</v>
      </c>
      <c r="BU105" s="105">
        <v>0.32286172624473397</v>
      </c>
      <c r="BV105" s="105">
        <v>0.323195858010925</v>
      </c>
      <c r="BW105" s="105">
        <v>0.32345725597444136</v>
      </c>
      <c r="BX105" s="106">
        <v>0.3230569583563572</v>
      </c>
      <c r="BY105" s="11"/>
    </row>
    <row r="106">
      <c r="R106" s="10"/>
      <c r="U106" s="110"/>
      <c r="V106" s="93">
        <f t="shared" si="14"/>
        <v>350000</v>
      </c>
      <c r="W106" s="104">
        <v>0.21475511766252567</v>
      </c>
      <c r="X106" s="105">
        <v>0.25353636034828214</v>
      </c>
      <c r="Y106" s="105">
        <v>0.29231760303403853</v>
      </c>
      <c r="Z106" s="105">
        <v>0.3310988457197951</v>
      </c>
      <c r="AA106" s="105">
        <v>0.3698800884055516</v>
      </c>
      <c r="AB106" s="105">
        <v>0.408661331091308</v>
      </c>
      <c r="AC106" s="106">
        <v>0.44744257377706453</v>
      </c>
      <c r="AE106" s="110"/>
      <c r="AF106" s="93">
        <f t="shared" si="15"/>
        <v>350000</v>
      </c>
      <c r="AG106" s="185">
        <v>0.16992523064849865</v>
      </c>
      <c r="AH106" s="185">
        <v>0.1814243877812415</v>
      </c>
      <c r="AI106" s="185">
        <v>0.19269989591457018</v>
      </c>
      <c r="AJ106" s="185">
        <v>0.20379554316836965</v>
      </c>
      <c r="AK106" s="186">
        <v>0.21475511766252567</v>
      </c>
      <c r="AL106" s="185">
        <v>0.21911065562634208</v>
      </c>
      <c r="AM106" s="185">
        <v>0.2234542304874699</v>
      </c>
      <c r="AN106" s="185">
        <v>0.2277886446855817</v>
      </c>
      <c r="AO106" s="185">
        <v>0.2321167006603502</v>
      </c>
      <c r="AP106" s="187">
        <v>0.23644120085144785</v>
      </c>
      <c r="AR106" s="110"/>
      <c r="AS106" s="119">
        <v>0.85</v>
      </c>
      <c r="AT106" s="105">
        <v>0.10690846528673677</v>
      </c>
      <c r="AU106" s="105">
        <v>0.12217926584633279</v>
      </c>
      <c r="AV106" s="105">
        <v>0.12727047776281503</v>
      </c>
      <c r="AW106" s="105">
        <v>0.1298167918263338</v>
      </c>
      <c r="AX106" s="105">
        <v>0.13134514619545995</v>
      </c>
      <c r="AY106" s="105">
        <v>0.13440608975409066</v>
      </c>
      <c r="AZ106" s="105">
        <v>0.13543109280840232</v>
      </c>
      <c r="BA106" s="105">
        <v>0.13442015544231473</v>
      </c>
      <c r="BB106" s="105">
        <v>0.1350379293183676</v>
      </c>
      <c r="BC106" s="105">
        <v>0.13545208873035394</v>
      </c>
      <c r="BD106" s="105">
        <v>0.1348773512800129</v>
      </c>
      <c r="BE106" s="105">
        <v>0.13521148304620392</v>
      </c>
      <c r="BF106" s="105">
        <v>0.13547288100972027</v>
      </c>
      <c r="BG106" s="106">
        <v>0.13507258339163616</v>
      </c>
      <c r="BI106" s="110"/>
      <c r="BJ106" s="93">
        <f t="shared" si="16"/>
        <v>250000</v>
      </c>
      <c r="BK106" s="105">
        <v>0.2602293095190394</v>
      </c>
      <c r="BL106" s="105">
        <v>0.2755001100786354</v>
      </c>
      <c r="BM106" s="105">
        <v>0.28059132199511766</v>
      </c>
      <c r="BN106" s="105">
        <v>0.2831376360586364</v>
      </c>
      <c r="BO106" s="105">
        <v>0.2846659904277625</v>
      </c>
      <c r="BP106" s="105">
        <v>0.2877269339863932</v>
      </c>
      <c r="BQ106" s="105">
        <v>0.28875193704070495</v>
      </c>
      <c r="BR106" s="105">
        <v>0.2877409996746173</v>
      </c>
      <c r="BS106" s="105">
        <v>0.2883587735506702</v>
      </c>
      <c r="BT106" s="105">
        <v>0.2887729329626566</v>
      </c>
      <c r="BU106" s="105">
        <v>0.2881981955123155</v>
      </c>
      <c r="BV106" s="105">
        <v>0.2885323272785065</v>
      </c>
      <c r="BW106" s="105">
        <v>0.28879372524202285</v>
      </c>
      <c r="BX106" s="106">
        <v>0.28839342762393877</v>
      </c>
      <c r="BY106" s="11"/>
    </row>
    <row r="107">
      <c r="R107" s="10"/>
      <c r="U107" s="110"/>
      <c r="V107" s="93">
        <f t="shared" si="14"/>
        <v>400000</v>
      </c>
      <c r="W107" s="104">
        <v>0.198724961535178</v>
      </c>
      <c r="X107" s="105">
        <v>0.23500149232603634</v>
      </c>
      <c r="Y107" s="105">
        <v>0.2712780231168947</v>
      </c>
      <c r="Z107" s="105">
        <v>0.30755455390775316</v>
      </c>
      <c r="AA107" s="105">
        <v>0.3438310846986115</v>
      </c>
      <c r="AB107" s="105">
        <v>0.38010761548946986</v>
      </c>
      <c r="AC107" s="106">
        <v>0.4163841462803283</v>
      </c>
      <c r="AE107" s="110"/>
      <c r="AF107" s="93">
        <f t="shared" si="15"/>
        <v>400000</v>
      </c>
      <c r="AG107" s="185">
        <v>0.15679044206160916</v>
      </c>
      <c r="AH107" s="185">
        <v>0.16754691861845958</v>
      </c>
      <c r="AI107" s="185">
        <v>0.17809419069263419</v>
      </c>
      <c r="AJ107" s="185">
        <v>0.18847321831968847</v>
      </c>
      <c r="AK107" s="186">
        <v>0.198724961535178</v>
      </c>
      <c r="AL107" s="185">
        <v>0.20279919423409998</v>
      </c>
      <c r="AM107" s="185">
        <v>0.20686223647513613</v>
      </c>
      <c r="AN107" s="185">
        <v>0.21091670970056176</v>
      </c>
      <c r="AO107" s="185">
        <v>0.21496523535265263</v>
      </c>
      <c r="AP107" s="187">
        <v>0.2190104348736842</v>
      </c>
      <c r="AR107" s="110"/>
      <c r="AS107" s="134">
        <v>0.9</v>
      </c>
      <c r="AT107" s="194">
        <v>0.11339223699636179</v>
      </c>
      <c r="AU107" s="194">
        <v>0.12866303755595782</v>
      </c>
      <c r="AV107" s="194">
        <v>0.13375424947244005</v>
      </c>
      <c r="AW107" s="194">
        <v>0.13630056353595882</v>
      </c>
      <c r="AX107" s="194">
        <v>0.13782891790508492</v>
      </c>
      <c r="AY107" s="194">
        <v>0.14088986146371565</v>
      </c>
      <c r="AZ107" s="194">
        <v>0.14191486451802737</v>
      </c>
      <c r="BA107" s="194">
        <v>0.14090392715193972</v>
      </c>
      <c r="BB107" s="194">
        <v>0.14152170102799264</v>
      </c>
      <c r="BC107" s="194">
        <v>0.141935860439979</v>
      </c>
      <c r="BD107" s="194">
        <v>0.14136112298963793</v>
      </c>
      <c r="BE107" s="194">
        <v>0.14169525475582895</v>
      </c>
      <c r="BF107" s="194">
        <v>0.1419566527193453</v>
      </c>
      <c r="BG107" s="195">
        <v>0.1415563551012612</v>
      </c>
      <c r="BI107" s="110"/>
      <c r="BJ107" s="93">
        <f t="shared" si="16"/>
        <v>300000</v>
      </c>
      <c r="BK107" s="105">
        <v>0.23464175413599273</v>
      </c>
      <c r="BL107" s="105">
        <v>0.24991255469558873</v>
      </c>
      <c r="BM107" s="105">
        <v>0.25500376661207097</v>
      </c>
      <c r="BN107" s="105">
        <v>0.2575500806755897</v>
      </c>
      <c r="BO107" s="105">
        <v>0.25907843504471584</v>
      </c>
      <c r="BP107" s="105">
        <v>0.2621393786033465</v>
      </c>
      <c r="BQ107" s="105">
        <v>0.2631643816576582</v>
      </c>
      <c r="BR107" s="105">
        <v>0.2621534442915706</v>
      </c>
      <c r="BS107" s="105">
        <v>0.2627712181676235</v>
      </c>
      <c r="BT107" s="105">
        <v>0.26318537757960986</v>
      </c>
      <c r="BU107" s="105">
        <v>0.2626106401292688</v>
      </c>
      <c r="BV107" s="105">
        <v>0.26294477189545984</v>
      </c>
      <c r="BW107" s="105">
        <v>0.26320616985897616</v>
      </c>
      <c r="BX107" s="106">
        <v>0.2628058722408921</v>
      </c>
      <c r="BY107" s="11"/>
    </row>
    <row r="108">
      <c r="R108" s="10"/>
      <c r="U108" s="110"/>
      <c r="V108" s="93">
        <f t="shared" si="14"/>
        <v>450000</v>
      </c>
      <c r="W108" s="104">
        <v>0.18544694832553327</v>
      </c>
      <c r="X108" s="105">
        <v>0.21964878955238476</v>
      </c>
      <c r="Y108" s="105">
        <v>0.25385063077923603</v>
      </c>
      <c r="Z108" s="105">
        <v>0.2880524720060875</v>
      </c>
      <c r="AA108" s="105">
        <v>0.3222543132329389</v>
      </c>
      <c r="AB108" s="105">
        <v>0.3564561544597904</v>
      </c>
      <c r="AC108" s="106">
        <v>0.3906579956866418</v>
      </c>
      <c r="AE108" s="110"/>
      <c r="AF108" s="93">
        <f t="shared" si="15"/>
        <v>450000</v>
      </c>
      <c r="AG108" s="185">
        <v>0.1459107042114535</v>
      </c>
      <c r="AH108" s="185">
        <v>0.15605200756481755</v>
      </c>
      <c r="AI108" s="185">
        <v>0.16599607104037542</v>
      </c>
      <c r="AJ108" s="185">
        <v>0.1757815121299922</v>
      </c>
      <c r="AK108" s="186">
        <v>0.18544694832553327</v>
      </c>
      <c r="AL108" s="185">
        <v>0.18928817175158627</v>
      </c>
      <c r="AM108" s="185">
        <v>0.19311884471276497</v>
      </c>
      <c r="AN108" s="185">
        <v>0.1969414387285487</v>
      </c>
      <c r="AO108" s="185">
        <v>0.2007584253184168</v>
      </c>
      <c r="AP108" s="187">
        <v>0.20457227600184885</v>
      </c>
      <c r="AR108" s="110"/>
      <c r="AS108" s="119">
        <v>0.92</v>
      </c>
      <c r="AT108" s="105">
        <v>0.11596900800558751</v>
      </c>
      <c r="AU108" s="105">
        <v>0.13123980856518355</v>
      </c>
      <c r="AV108" s="105">
        <v>0.1363310204816658</v>
      </c>
      <c r="AW108" s="105">
        <v>0.13887733454518453</v>
      </c>
      <c r="AX108" s="105">
        <v>0.14040568891431068</v>
      </c>
      <c r="AY108" s="105">
        <v>0.1434666324729414</v>
      </c>
      <c r="AZ108" s="105">
        <v>0.14449163552725308</v>
      </c>
      <c r="BA108" s="105">
        <v>0.14348069816116546</v>
      </c>
      <c r="BB108" s="105">
        <v>0.14409847203721837</v>
      </c>
      <c r="BC108" s="105">
        <v>0.1445126314492047</v>
      </c>
      <c r="BD108" s="105">
        <v>0.14393789399886367</v>
      </c>
      <c r="BE108" s="105">
        <v>0.14427202576505468</v>
      </c>
      <c r="BF108" s="105">
        <v>0.14453342372857103</v>
      </c>
      <c r="BG108" s="106">
        <v>0.1441331261104869</v>
      </c>
      <c r="BI108" s="110"/>
      <c r="BJ108" s="93">
        <f t="shared" si="16"/>
        <v>350000</v>
      </c>
      <c r="BK108" s="105">
        <v>0.21475511766252567</v>
      </c>
      <c r="BL108" s="105">
        <v>0.23002591822212168</v>
      </c>
      <c r="BM108" s="105">
        <v>0.23511713013860394</v>
      </c>
      <c r="BN108" s="105">
        <v>0.23766344420212265</v>
      </c>
      <c r="BO108" s="105">
        <v>0.2391917985712488</v>
      </c>
      <c r="BP108" s="105">
        <v>0.24225274212987954</v>
      </c>
      <c r="BQ108" s="105">
        <v>0.24327774518419118</v>
      </c>
      <c r="BR108" s="105">
        <v>0.2422668078181036</v>
      </c>
      <c r="BS108" s="105">
        <v>0.24288458169415647</v>
      </c>
      <c r="BT108" s="105">
        <v>0.24329874110614283</v>
      </c>
      <c r="BU108" s="105">
        <v>0.2427240036558018</v>
      </c>
      <c r="BV108" s="105">
        <v>0.2430581354219928</v>
      </c>
      <c r="BW108" s="105">
        <v>0.24331953338550916</v>
      </c>
      <c r="BX108" s="106">
        <v>0.24291923576742502</v>
      </c>
      <c r="BY108" s="11"/>
    </row>
    <row r="109">
      <c r="R109" s="10"/>
      <c r="U109" s="110"/>
      <c r="V109" s="93">
        <f t="shared" si="14"/>
        <v>500000</v>
      </c>
      <c r="W109" s="104">
        <v>0.1742141438944166</v>
      </c>
      <c r="X109" s="105">
        <v>0.20666085942890608</v>
      </c>
      <c r="Y109" s="105">
        <v>0.2391075749633954</v>
      </c>
      <c r="Z109" s="105">
        <v>0.2715542904978848</v>
      </c>
      <c r="AA109" s="105">
        <v>0.3040010060323743</v>
      </c>
      <c r="AB109" s="105">
        <v>0.33644772156686376</v>
      </c>
      <c r="AC109" s="106">
        <v>0.3688944371013531</v>
      </c>
      <c r="AE109" s="110"/>
      <c r="AF109" s="93">
        <f t="shared" si="15"/>
        <v>500000</v>
      </c>
      <c r="AG109" s="188">
        <v>0.13670676943574117</v>
      </c>
      <c r="AH109" s="188">
        <v>0.14632765454754132</v>
      </c>
      <c r="AI109" s="188">
        <v>0.1557614214815572</v>
      </c>
      <c r="AJ109" s="188">
        <v>0.1650447060073339</v>
      </c>
      <c r="AK109" s="189">
        <v>0.1742141438944166</v>
      </c>
      <c r="AL109" s="188">
        <v>0.17785824840279346</v>
      </c>
      <c r="AM109" s="188">
        <v>0.18149234386135737</v>
      </c>
      <c r="AN109" s="188">
        <v>0.18511877495935927</v>
      </c>
      <c r="AO109" s="188">
        <v>0.18873988638604994</v>
      </c>
      <c r="AP109" s="190">
        <v>0.1923580228306804</v>
      </c>
      <c r="AR109" s="110"/>
      <c r="AS109" s="119">
        <v>0.94</v>
      </c>
      <c r="AT109" s="105">
        <v>0.11853870154781733</v>
      </c>
      <c r="AU109" s="105">
        <v>0.13380950210741333</v>
      </c>
      <c r="AV109" s="105">
        <v>0.1389007140238956</v>
      </c>
      <c r="AW109" s="105">
        <v>0.14144702808741436</v>
      </c>
      <c r="AX109" s="105">
        <v>0.14297538245654048</v>
      </c>
      <c r="AY109" s="105">
        <v>0.1460363260151712</v>
      </c>
      <c r="AZ109" s="105">
        <v>0.14706132906948288</v>
      </c>
      <c r="BA109" s="105">
        <v>0.14605039170339526</v>
      </c>
      <c r="BB109" s="105">
        <v>0.1466681655794482</v>
      </c>
      <c r="BC109" s="105">
        <v>0.1470823249914345</v>
      </c>
      <c r="BD109" s="105">
        <v>0.14650758754109347</v>
      </c>
      <c r="BE109" s="105">
        <v>0.14684171930728449</v>
      </c>
      <c r="BF109" s="105">
        <v>0.14710311727080083</v>
      </c>
      <c r="BG109" s="106">
        <v>0.14670281965271673</v>
      </c>
      <c r="BI109" s="110"/>
      <c r="BJ109" s="93">
        <f t="shared" si="16"/>
        <v>400000</v>
      </c>
      <c r="BK109" s="105">
        <v>0.198724961535178</v>
      </c>
      <c r="BL109" s="105">
        <v>0.21399576209477397</v>
      </c>
      <c r="BM109" s="105">
        <v>0.21908697401125624</v>
      </c>
      <c r="BN109" s="105">
        <v>0.22163328807477498</v>
      </c>
      <c r="BO109" s="105">
        <v>0.2231616424439011</v>
      </c>
      <c r="BP109" s="105">
        <v>0.22622258600253184</v>
      </c>
      <c r="BQ109" s="105">
        <v>0.2272475890568435</v>
      </c>
      <c r="BR109" s="105">
        <v>0.2262366516907559</v>
      </c>
      <c r="BS109" s="105">
        <v>0.2268544255668088</v>
      </c>
      <c r="BT109" s="105">
        <v>0.22726858497879515</v>
      </c>
      <c r="BU109" s="105">
        <v>0.2266938475284541</v>
      </c>
      <c r="BV109" s="105">
        <v>0.22702797929464513</v>
      </c>
      <c r="BW109" s="105">
        <v>0.22728937725816148</v>
      </c>
      <c r="BX109" s="106">
        <v>0.22688907964007735</v>
      </c>
      <c r="BY109" s="11"/>
    </row>
    <row r="110">
      <c r="R110" s="10"/>
      <c r="U110" s="110"/>
      <c r="V110" s="93">
        <f t="shared" si="14"/>
        <v>550000</v>
      </c>
      <c r="W110" s="104">
        <v>0.1645502326722729</v>
      </c>
      <c r="X110" s="105">
        <v>0.1954869620783023</v>
      </c>
      <c r="Y110" s="105">
        <v>0.22642369148433186</v>
      </c>
      <c r="Z110" s="105">
        <v>0.2573604208903613</v>
      </c>
      <c r="AA110" s="105">
        <v>0.2882971502963908</v>
      </c>
      <c r="AB110" s="105">
        <v>0.3192338797024203</v>
      </c>
      <c r="AC110" s="106">
        <v>0.3501706091084497</v>
      </c>
      <c r="AE110" s="110"/>
      <c r="AF110" s="93">
        <f t="shared" si="15"/>
        <v>550000</v>
      </c>
      <c r="AG110" s="185">
        <v>0.12878835430510022</v>
      </c>
      <c r="AH110" s="185">
        <v>0.13796150833463158</v>
      </c>
      <c r="AI110" s="185">
        <v>0.1469562521818778</v>
      </c>
      <c r="AJ110" s="185">
        <v>0.15580751668252835</v>
      </c>
      <c r="AK110" s="186">
        <v>0.1645502326722729</v>
      </c>
      <c r="AL110" s="185">
        <v>0.1680247499923114</v>
      </c>
      <c r="AM110" s="185">
        <v>0.17148972405779941</v>
      </c>
      <c r="AN110" s="185">
        <v>0.17494739044222096</v>
      </c>
      <c r="AO110" s="185">
        <v>0.17839998471906038</v>
      </c>
      <c r="AP110" s="187">
        <v>0.18184974246180155</v>
      </c>
      <c r="AR110" s="110"/>
      <c r="AS110" s="119">
        <v>0.96</v>
      </c>
      <c r="AT110" s="105">
        <v>0.12110297556872018</v>
      </c>
      <c r="AU110" s="105">
        <v>0.13637377612831622</v>
      </c>
      <c r="AV110" s="105">
        <v>0.14146498804479846</v>
      </c>
      <c r="AW110" s="105">
        <v>0.1440113021083172</v>
      </c>
      <c r="AX110" s="105">
        <v>0.14553965647744332</v>
      </c>
      <c r="AY110" s="105">
        <v>0.14860060003607406</v>
      </c>
      <c r="AZ110" s="105">
        <v>0.14962560309038575</v>
      </c>
      <c r="BA110" s="105">
        <v>0.14861466572429813</v>
      </c>
      <c r="BB110" s="105">
        <v>0.14923243960035104</v>
      </c>
      <c r="BC110" s="105">
        <v>0.1496465990123374</v>
      </c>
      <c r="BD110" s="105">
        <v>0.1490718615619963</v>
      </c>
      <c r="BE110" s="105">
        <v>0.14940599332818735</v>
      </c>
      <c r="BF110" s="105">
        <v>0.1496673912917037</v>
      </c>
      <c r="BG110" s="106">
        <v>0.14926709367361957</v>
      </c>
      <c r="BI110" s="110"/>
      <c r="BJ110" s="93">
        <f t="shared" si="16"/>
        <v>450000</v>
      </c>
      <c r="BK110" s="105">
        <v>0.18544694832553327</v>
      </c>
      <c r="BL110" s="105">
        <v>0.20071774888512928</v>
      </c>
      <c r="BM110" s="105">
        <v>0.2058089608016115</v>
      </c>
      <c r="BN110" s="105">
        <v>0.20835527486513028</v>
      </c>
      <c r="BO110" s="105">
        <v>0.2098836292342564</v>
      </c>
      <c r="BP110" s="105">
        <v>0.21294457279288712</v>
      </c>
      <c r="BQ110" s="105">
        <v>0.2139695758471988</v>
      </c>
      <c r="BR110" s="105">
        <v>0.21295863848111118</v>
      </c>
      <c r="BS110" s="105">
        <v>0.2135764123571641</v>
      </c>
      <c r="BT110" s="105">
        <v>0.21399057176915046</v>
      </c>
      <c r="BU110" s="105">
        <v>0.2134158343188094</v>
      </c>
      <c r="BV110" s="105">
        <v>0.2137499660850004</v>
      </c>
      <c r="BW110" s="105">
        <v>0.21401136404851676</v>
      </c>
      <c r="BX110" s="106">
        <v>0.21361106643043265</v>
      </c>
      <c r="BY110" s="11"/>
    </row>
    <row r="111">
      <c r="R111" s="10"/>
      <c r="U111" s="110"/>
      <c r="V111" s="93">
        <f t="shared" si="14"/>
        <v>600000</v>
      </c>
      <c r="W111" s="104">
        <v>0.15612100996907796</v>
      </c>
      <c r="X111" s="105">
        <v>0.1857406733277331</v>
      </c>
      <c r="Y111" s="105">
        <v>0.2153603366863884</v>
      </c>
      <c r="Z111" s="105">
        <v>0.2449800000450436</v>
      </c>
      <c r="AA111" s="105">
        <v>0.2745996634036989</v>
      </c>
      <c r="AB111" s="105">
        <v>0.30421932676235425</v>
      </c>
      <c r="AC111" s="106">
        <v>0.3338389901210094</v>
      </c>
      <c r="AE111" s="110"/>
      <c r="AF111" s="93">
        <f t="shared" si="15"/>
        <v>600000</v>
      </c>
      <c r="AG111" s="185">
        <v>0.1218816181960618</v>
      </c>
      <c r="AH111" s="185">
        <v>0.13066424452755943</v>
      </c>
      <c r="AI111" s="185">
        <v>0.1392760561142375</v>
      </c>
      <c r="AJ111" s="185">
        <v>0.14775049668508172</v>
      </c>
      <c r="AK111" s="186">
        <v>0.15612100996907796</v>
      </c>
      <c r="AL111" s="185">
        <v>0.15944760703765165</v>
      </c>
      <c r="AM111" s="185">
        <v>0.16276506713562255</v>
      </c>
      <c r="AN111" s="185">
        <v>0.16607553066164568</v>
      </c>
      <c r="AO111" s="185">
        <v>0.16938113801437604</v>
      </c>
      <c r="AP111" s="187">
        <v>0.17268402959246879</v>
      </c>
      <c r="AR111" s="110"/>
      <c r="AS111" s="119">
        <v>0.98</v>
      </c>
      <c r="AT111" s="196">
        <v>0.12366348801396533</v>
      </c>
      <c r="AU111" s="196">
        <v>0.13893428857356133</v>
      </c>
      <c r="AV111" s="196">
        <v>0.1440255004900436</v>
      </c>
      <c r="AW111" s="196">
        <v>0.14657181455356236</v>
      </c>
      <c r="AX111" s="196">
        <v>0.14810016892268849</v>
      </c>
      <c r="AY111" s="196">
        <v>0.15116111248131922</v>
      </c>
      <c r="AZ111" s="196">
        <v>0.1521861155356309</v>
      </c>
      <c r="BA111" s="196">
        <v>0.1511751781695433</v>
      </c>
      <c r="BB111" s="196">
        <v>0.15179295204559617</v>
      </c>
      <c r="BC111" s="196">
        <v>0.15220711145758253</v>
      </c>
      <c r="BD111" s="196">
        <v>0.15163237400724147</v>
      </c>
      <c r="BE111" s="196">
        <v>0.1519665057734325</v>
      </c>
      <c r="BF111" s="196">
        <v>0.15222790373694883</v>
      </c>
      <c r="BG111" s="197">
        <v>0.1518276061188647</v>
      </c>
      <c r="BI111" s="110"/>
      <c r="BJ111" s="93">
        <f t="shared" si="16"/>
        <v>500000</v>
      </c>
      <c r="BK111" s="196">
        <v>0.1742141438944166</v>
      </c>
      <c r="BL111" s="196">
        <v>0.18948494445401265</v>
      </c>
      <c r="BM111" s="196">
        <v>0.19457615637049488</v>
      </c>
      <c r="BN111" s="196">
        <v>0.19712247043401365</v>
      </c>
      <c r="BO111" s="196">
        <v>0.19865082480313975</v>
      </c>
      <c r="BP111" s="196">
        <v>0.2017117683617705</v>
      </c>
      <c r="BQ111" s="196">
        <v>0.20273677141608215</v>
      </c>
      <c r="BR111" s="196">
        <v>0.20172583404999456</v>
      </c>
      <c r="BS111" s="196">
        <v>0.2023436079260475</v>
      </c>
      <c r="BT111" s="196">
        <v>0.2027577673380338</v>
      </c>
      <c r="BU111" s="196">
        <v>0.20218302988769274</v>
      </c>
      <c r="BV111" s="196">
        <v>0.20251716165388378</v>
      </c>
      <c r="BW111" s="196">
        <v>0.20277855961740013</v>
      </c>
      <c r="BX111" s="197">
        <v>0.20237826199931602</v>
      </c>
      <c r="BY111" s="11"/>
    </row>
    <row r="112">
      <c r="R112" s="10"/>
      <c r="U112" s="110"/>
      <c r="V112" s="93">
        <f t="shared" si="14"/>
        <v>650000</v>
      </c>
      <c r="W112" s="104">
        <v>0.14868413765575084</v>
      </c>
      <c r="X112" s="105">
        <v>0.1771417897154489</v>
      </c>
      <c r="Y112" s="105">
        <v>0.20559944177514666</v>
      </c>
      <c r="Z112" s="105">
        <v>0.23405709383484463</v>
      </c>
      <c r="AA112" s="105">
        <v>0.2625147458945425</v>
      </c>
      <c r="AB112" s="105">
        <v>0.29097239795424046</v>
      </c>
      <c r="AC112" s="106">
        <v>0.31943005001393826</v>
      </c>
      <c r="AE112" s="110"/>
      <c r="AF112" s="93">
        <f t="shared" si="15"/>
        <v>650000</v>
      </c>
      <c r="AG112" s="185">
        <v>0.115787994103618</v>
      </c>
      <c r="AH112" s="185">
        <v>0.12422606854375388</v>
      </c>
      <c r="AI112" s="185">
        <v>0.13250002948550602</v>
      </c>
      <c r="AJ112" s="185">
        <v>0.1406420086243473</v>
      </c>
      <c r="AK112" s="186">
        <v>0.14868413765575084</v>
      </c>
      <c r="AL112" s="185">
        <v>0.15188022873801568</v>
      </c>
      <c r="AM112" s="185">
        <v>0.15506754130287642</v>
      </c>
      <c r="AN112" s="185">
        <v>0.15824813177884334</v>
      </c>
      <c r="AO112" s="185">
        <v>0.1614240565944268</v>
      </c>
      <c r="AP112" s="187">
        <v>0.16459737217813689</v>
      </c>
      <c r="AR112" s="146"/>
      <c r="AS112" s="147">
        <v>1.0</v>
      </c>
      <c r="AT112" s="198">
        <v>0.12622189682922172</v>
      </c>
      <c r="AU112" s="198">
        <v>0.14149269738881773</v>
      </c>
      <c r="AV112" s="198">
        <v>0.14658390930529996</v>
      </c>
      <c r="AW112" s="198">
        <v>0.14913022336881873</v>
      </c>
      <c r="AX112" s="198">
        <v>0.15065857773794483</v>
      </c>
      <c r="AY112" s="198">
        <v>0.15371952129657557</v>
      </c>
      <c r="AZ112" s="198">
        <v>0.15474452435088726</v>
      </c>
      <c r="BA112" s="198">
        <v>0.15373358698479964</v>
      </c>
      <c r="BB112" s="198">
        <v>0.15435136086085255</v>
      </c>
      <c r="BC112" s="198">
        <v>0.15476552027283888</v>
      </c>
      <c r="BD112" s="198">
        <v>0.15419078282249785</v>
      </c>
      <c r="BE112" s="198">
        <v>0.15452491458868886</v>
      </c>
      <c r="BF112" s="198">
        <v>0.1547863125522052</v>
      </c>
      <c r="BG112" s="199">
        <v>0.15438601493412107</v>
      </c>
      <c r="BI112" s="110"/>
      <c r="BJ112" s="93">
        <f t="shared" si="16"/>
        <v>550000</v>
      </c>
      <c r="BK112" s="200">
        <v>0.1645502326722729</v>
      </c>
      <c r="BL112" s="200">
        <v>0.1798210332318689</v>
      </c>
      <c r="BM112" s="200">
        <v>0.18491224514835114</v>
      </c>
      <c r="BN112" s="200">
        <v>0.1874585592118699</v>
      </c>
      <c r="BO112" s="200">
        <v>0.18898691358099604</v>
      </c>
      <c r="BP112" s="200">
        <v>0.19204785713962674</v>
      </c>
      <c r="BQ112" s="200">
        <v>0.19307286019393843</v>
      </c>
      <c r="BR112" s="200">
        <v>0.1920619228278508</v>
      </c>
      <c r="BS112" s="200">
        <v>0.19267969670390375</v>
      </c>
      <c r="BT112" s="200">
        <v>0.19309385611589006</v>
      </c>
      <c r="BU112" s="200">
        <v>0.19251911866554902</v>
      </c>
      <c r="BV112" s="200">
        <v>0.19285325043174004</v>
      </c>
      <c r="BW112" s="200">
        <v>0.19311464839525638</v>
      </c>
      <c r="BX112" s="201">
        <v>0.19271435077717228</v>
      </c>
      <c r="BY112" s="11"/>
    </row>
    <row r="113">
      <c r="R113" s="10"/>
      <c r="U113" s="110"/>
      <c r="V113" s="93">
        <f t="shared" si="14"/>
        <v>700000</v>
      </c>
      <c r="W113" s="104">
        <v>0.1420590344636976</v>
      </c>
      <c r="X113" s="105">
        <v>0.16948151414963722</v>
      </c>
      <c r="Y113" s="105">
        <v>0.19690399383557686</v>
      </c>
      <c r="Z113" s="105">
        <v>0.2243264735215164</v>
      </c>
      <c r="AA113" s="105">
        <v>0.2517489532074561</v>
      </c>
      <c r="AB113" s="105">
        <v>0.2791714328933957</v>
      </c>
      <c r="AC113" s="106">
        <v>0.30659391257933516</v>
      </c>
      <c r="AE113" s="110"/>
      <c r="AF113" s="93">
        <f t="shared" si="15"/>
        <v>700000</v>
      </c>
      <c r="AG113" s="185">
        <v>0.11035951735625245</v>
      </c>
      <c r="AH113" s="185">
        <v>0.11849064934274454</v>
      </c>
      <c r="AI113" s="185">
        <v>0.12646363760514526</v>
      </c>
      <c r="AJ113" s="185">
        <v>0.13430944501996084</v>
      </c>
      <c r="AK113" s="186">
        <v>0.1420590344636976</v>
      </c>
      <c r="AL113" s="185">
        <v>0.14513886489362765</v>
      </c>
      <c r="AM113" s="185">
        <v>0.14821023613252257</v>
      </c>
      <c r="AN113" s="185">
        <v>0.1512751298044787</v>
      </c>
      <c r="AO113" s="185">
        <v>0.15433552753359242</v>
      </c>
      <c r="AP113" s="187">
        <v>0.15739341094396012</v>
      </c>
      <c r="BI113" s="110"/>
      <c r="BJ113" s="93">
        <f t="shared" si="16"/>
        <v>600000</v>
      </c>
      <c r="BK113" s="200">
        <v>0.15612100996907796</v>
      </c>
      <c r="BL113" s="200">
        <v>0.17139181052867397</v>
      </c>
      <c r="BM113" s="200">
        <v>0.1764830224451562</v>
      </c>
      <c r="BN113" s="200">
        <v>0.17902933650867497</v>
      </c>
      <c r="BO113" s="200">
        <v>0.1805576908778011</v>
      </c>
      <c r="BP113" s="200">
        <v>0.1836186344364318</v>
      </c>
      <c r="BQ113" s="200">
        <v>0.1846436374907435</v>
      </c>
      <c r="BR113" s="200">
        <v>0.18363270012465588</v>
      </c>
      <c r="BS113" s="200">
        <v>0.1842504740007088</v>
      </c>
      <c r="BT113" s="200">
        <v>0.18466463341269512</v>
      </c>
      <c r="BU113" s="200">
        <v>0.1840898959623541</v>
      </c>
      <c r="BV113" s="200">
        <v>0.1844240277285451</v>
      </c>
      <c r="BW113" s="200">
        <v>0.18468542569206145</v>
      </c>
      <c r="BX113" s="201">
        <v>0.18428512807397732</v>
      </c>
      <c r="BY113" s="11"/>
    </row>
    <row r="114">
      <c r="R114" s="10"/>
      <c r="U114" s="110"/>
      <c r="V114" s="93">
        <f t="shared" si="14"/>
        <v>750000</v>
      </c>
      <c r="W114" s="104">
        <v>0.13610801116965318</v>
      </c>
      <c r="X114" s="105">
        <v>0.16260064346589834</v>
      </c>
      <c r="Y114" s="105">
        <v>0.1890932757621435</v>
      </c>
      <c r="Z114" s="105">
        <v>0.21558590805838865</v>
      </c>
      <c r="AA114" s="105">
        <v>0.24207854035463394</v>
      </c>
      <c r="AB114" s="105">
        <v>0.26857117265087893</v>
      </c>
      <c r="AC114" s="106">
        <v>0.2950638049471242</v>
      </c>
      <c r="AE114" s="110"/>
      <c r="AF114" s="93">
        <f t="shared" si="15"/>
        <v>750000</v>
      </c>
      <c r="AG114" s="185">
        <v>0.10548336816456881</v>
      </c>
      <c r="AH114" s="185">
        <v>0.11333878796385212</v>
      </c>
      <c r="AI114" s="185">
        <v>0.1210414264107451</v>
      </c>
      <c r="AJ114" s="185">
        <v>0.12862119648582104</v>
      </c>
      <c r="AK114" s="186">
        <v>0.13610801116965318</v>
      </c>
      <c r="AL114" s="185">
        <v>0.13908341004128627</v>
      </c>
      <c r="AM114" s="185">
        <v>0.14205063655796865</v>
      </c>
      <c r="AN114" s="185">
        <v>0.14501160515045713</v>
      </c>
      <c r="AO114" s="185">
        <v>0.14796823024950845</v>
      </c>
      <c r="AP114" s="187">
        <v>0.15092242628587924</v>
      </c>
      <c r="BI114" s="110"/>
      <c r="BJ114" s="93">
        <f t="shared" si="16"/>
        <v>650000</v>
      </c>
      <c r="BK114" s="200">
        <v>0.14868413765575084</v>
      </c>
      <c r="BL114" s="200">
        <v>0.16395493821534685</v>
      </c>
      <c r="BM114" s="200">
        <v>0.1690461501318291</v>
      </c>
      <c r="BN114" s="200">
        <v>0.17159246419534785</v>
      </c>
      <c r="BO114" s="200">
        <v>0.17312081856447398</v>
      </c>
      <c r="BP114" s="200">
        <v>0.1761817621231047</v>
      </c>
      <c r="BQ114" s="200">
        <v>0.1772067651774164</v>
      </c>
      <c r="BR114" s="200">
        <v>0.17619582781132878</v>
      </c>
      <c r="BS114" s="200">
        <v>0.17681360168738172</v>
      </c>
      <c r="BT114" s="200">
        <v>0.17722776109936803</v>
      </c>
      <c r="BU114" s="200">
        <v>0.17665302364902696</v>
      </c>
      <c r="BV114" s="200">
        <v>0.176987155415218</v>
      </c>
      <c r="BW114" s="200">
        <v>0.17724855337873435</v>
      </c>
      <c r="BX114" s="201">
        <v>0.17684825576065025</v>
      </c>
      <c r="BY114" s="11"/>
    </row>
    <row r="115">
      <c r="R115" s="10"/>
      <c r="U115" s="110"/>
      <c r="V115" s="93">
        <f t="shared" si="14"/>
        <v>800000</v>
      </c>
      <c r="W115" s="104">
        <v>0.130724002362571</v>
      </c>
      <c r="X115" s="105">
        <v>0.15637538328270958</v>
      </c>
      <c r="Y115" s="105">
        <v>0.18202676420284816</v>
      </c>
      <c r="Z115" s="105">
        <v>0.20767814512298674</v>
      </c>
      <c r="AA115" s="105">
        <v>0.2333295260431253</v>
      </c>
      <c r="AB115" s="105">
        <v>0.2589809069632639</v>
      </c>
      <c r="AC115" s="106">
        <v>0.28463228788340234</v>
      </c>
      <c r="AE115" s="110"/>
      <c r="AF115" s="93">
        <f t="shared" si="15"/>
        <v>800000</v>
      </c>
      <c r="AG115" s="185">
        <v>0.10107181927701121</v>
      </c>
      <c r="AH115" s="185">
        <v>0.10867779679203422</v>
      </c>
      <c r="AI115" s="185">
        <v>0.1161358443987026</v>
      </c>
      <c r="AJ115" s="185">
        <v>0.12347492521591523</v>
      </c>
      <c r="AK115" s="186">
        <v>0.130724002362571</v>
      </c>
      <c r="AL115" s="185">
        <v>0.13360491993211074</v>
      </c>
      <c r="AM115" s="185">
        <v>0.1364779246529948</v>
      </c>
      <c r="AN115" s="185">
        <v>0.13934487016483263</v>
      </c>
      <c r="AO115" s="185">
        <v>0.1422076101072338</v>
      </c>
      <c r="AP115" s="187">
        <v>0.1450679981198077</v>
      </c>
      <c r="BI115" s="110"/>
      <c r="BJ115" s="93">
        <f t="shared" si="16"/>
        <v>700000</v>
      </c>
      <c r="BK115" s="200">
        <v>0.1420590344636976</v>
      </c>
      <c r="BL115" s="200">
        <v>0.15732983502329365</v>
      </c>
      <c r="BM115" s="200">
        <v>0.16242104693977588</v>
      </c>
      <c r="BN115" s="200">
        <v>0.16496736100329462</v>
      </c>
      <c r="BO115" s="200">
        <v>0.16649571537242078</v>
      </c>
      <c r="BP115" s="200">
        <v>0.1695566589310515</v>
      </c>
      <c r="BQ115" s="200">
        <v>0.1705816619853632</v>
      </c>
      <c r="BR115" s="200">
        <v>0.16957072461927558</v>
      </c>
      <c r="BS115" s="200">
        <v>0.1701884984953285</v>
      </c>
      <c r="BT115" s="200">
        <v>0.17060265790731483</v>
      </c>
      <c r="BU115" s="200">
        <v>0.17002792045697374</v>
      </c>
      <c r="BV115" s="200">
        <v>0.1703620522231648</v>
      </c>
      <c r="BW115" s="200">
        <v>0.17062345018668112</v>
      </c>
      <c r="BX115" s="201">
        <v>0.17022315256859702</v>
      </c>
      <c r="BY115" s="11"/>
    </row>
    <row r="116">
      <c r="R116" s="10"/>
      <c r="U116" s="110"/>
      <c r="V116" s="93">
        <f t="shared" si="14"/>
        <v>850000</v>
      </c>
      <c r="W116" s="104">
        <v>0.12582233130916257</v>
      </c>
      <c r="X116" s="105">
        <v>0.15070782612720607</v>
      </c>
      <c r="Y116" s="105">
        <v>0.17559332094524954</v>
      </c>
      <c r="Z116" s="105">
        <v>0.20047881576329296</v>
      </c>
      <c r="AA116" s="105">
        <v>0.2253643105813365</v>
      </c>
      <c r="AB116" s="105">
        <v>0.25024980539937997</v>
      </c>
      <c r="AC116" s="106">
        <v>0.2751353002174236</v>
      </c>
      <c r="AE116" s="110"/>
      <c r="AF116" s="93">
        <f t="shared" si="15"/>
        <v>850000</v>
      </c>
      <c r="AG116" s="185">
        <v>0.09705548827577039</v>
      </c>
      <c r="AH116" s="185">
        <v>0.10443437031824405</v>
      </c>
      <c r="AI116" s="185">
        <v>0.11166973926958022</v>
      </c>
      <c r="AJ116" s="185">
        <v>0.11878969348235952</v>
      </c>
      <c r="AK116" s="186">
        <v>0.12582233130916257</v>
      </c>
      <c r="AL116" s="185">
        <v>0.12861723188278848</v>
      </c>
      <c r="AM116" s="185">
        <v>0.13140445586563623</v>
      </c>
      <c r="AN116" s="185">
        <v>0.13418580155227094</v>
      </c>
      <c r="AO116" s="185">
        <v>0.13696306723725796</v>
      </c>
      <c r="AP116" s="187">
        <v>0.13973805121516217</v>
      </c>
      <c r="BI116" s="110"/>
      <c r="BJ116" s="93">
        <f t="shared" si="16"/>
        <v>750000</v>
      </c>
      <c r="BK116" s="200">
        <v>0.13610801116965318</v>
      </c>
      <c r="BL116" s="200">
        <v>0.15137881172924922</v>
      </c>
      <c r="BM116" s="200">
        <v>0.15647002364573145</v>
      </c>
      <c r="BN116" s="200">
        <v>0.1590163377092502</v>
      </c>
      <c r="BO116" s="200">
        <v>0.16054469207837635</v>
      </c>
      <c r="BP116" s="200">
        <v>0.16360563563700706</v>
      </c>
      <c r="BQ116" s="200">
        <v>0.16463063869131878</v>
      </c>
      <c r="BR116" s="200">
        <v>0.16361970132523113</v>
      </c>
      <c r="BS116" s="200">
        <v>0.16423747520128407</v>
      </c>
      <c r="BT116" s="200">
        <v>0.1646516346132704</v>
      </c>
      <c r="BU116" s="200">
        <v>0.16407689716292934</v>
      </c>
      <c r="BV116" s="200">
        <v>0.16441102892912035</v>
      </c>
      <c r="BW116" s="200">
        <v>0.1646724268926367</v>
      </c>
      <c r="BX116" s="201">
        <v>0.1642721292745526</v>
      </c>
      <c r="BY116" s="11"/>
    </row>
    <row r="117">
      <c r="R117" s="10"/>
      <c r="U117" s="110"/>
      <c r="V117" s="93">
        <f t="shared" si="14"/>
        <v>900000</v>
      </c>
      <c r="W117" s="104">
        <v>0.12133502918134667</v>
      </c>
      <c r="X117" s="105">
        <v>0.14551938304191894</v>
      </c>
      <c r="Y117" s="105">
        <v>0.1697037369024912</v>
      </c>
      <c r="Z117" s="105">
        <v>0.19388809076306351</v>
      </c>
      <c r="AA117" s="105">
        <v>0.21807244462363579</v>
      </c>
      <c r="AB117" s="105">
        <v>0.24225679848420797</v>
      </c>
      <c r="AC117" s="106">
        <v>0.2664411523447803</v>
      </c>
      <c r="AE117" s="110"/>
      <c r="AF117" s="93">
        <f t="shared" si="15"/>
        <v>900000</v>
      </c>
      <c r="AG117" s="188">
        <v>0.09337868286563417</v>
      </c>
      <c r="AH117" s="188">
        <v>0.10054966723686776</v>
      </c>
      <c r="AI117" s="188">
        <v>0.1075811819529842</v>
      </c>
      <c r="AJ117" s="188">
        <v>0.11450053370435374</v>
      </c>
      <c r="AK117" s="189">
        <v>0.12133502918134667</v>
      </c>
      <c r="AL117" s="188">
        <v>0.12405118431396138</v>
      </c>
      <c r="AM117" s="188">
        <v>0.1267598791413188</v>
      </c>
      <c r="AN117" s="188">
        <v>0.12946286129160262</v>
      </c>
      <c r="AO117" s="188">
        <v>0.13216187839299653</v>
      </c>
      <c r="AP117" s="190">
        <v>0.13485867807368423</v>
      </c>
      <c r="BI117" s="110"/>
      <c r="BJ117" s="93">
        <f t="shared" si="16"/>
        <v>800000</v>
      </c>
      <c r="BK117" s="200">
        <v>0.130724002362571</v>
      </c>
      <c r="BL117" s="200">
        <v>0.14599480292216704</v>
      </c>
      <c r="BM117" s="200">
        <v>0.15108601483864928</v>
      </c>
      <c r="BN117" s="200">
        <v>0.15363232890216802</v>
      </c>
      <c r="BO117" s="200">
        <v>0.15516068327129418</v>
      </c>
      <c r="BP117" s="200">
        <v>0.1582216268299249</v>
      </c>
      <c r="BQ117" s="200">
        <v>0.15924662988423657</v>
      </c>
      <c r="BR117" s="200">
        <v>0.15823569251814898</v>
      </c>
      <c r="BS117" s="200">
        <v>0.1588534663942019</v>
      </c>
      <c r="BT117" s="200">
        <v>0.1592676258061882</v>
      </c>
      <c r="BU117" s="200">
        <v>0.15869288835584716</v>
      </c>
      <c r="BV117" s="200">
        <v>0.15902702012203818</v>
      </c>
      <c r="BW117" s="200">
        <v>0.15928841808555452</v>
      </c>
      <c r="BX117" s="201">
        <v>0.15888812046747042</v>
      </c>
      <c r="BY117" s="11"/>
    </row>
    <row r="118">
      <c r="R118" s="10"/>
      <c r="U118" s="154"/>
      <c r="V118" s="93">
        <f t="shared" si="14"/>
        <v>950000</v>
      </c>
      <c r="W118" s="104">
        <v>0.11720682216550919</v>
      </c>
      <c r="X118" s="105">
        <v>0.14074614367985686</v>
      </c>
      <c r="Y118" s="105">
        <v>0.16428546519420448</v>
      </c>
      <c r="Z118" s="105">
        <v>0.1878247867085522</v>
      </c>
      <c r="AA118" s="105">
        <v>0.21136410822289983</v>
      </c>
      <c r="AB118" s="105">
        <v>0.23490342973724754</v>
      </c>
      <c r="AC118" s="106">
        <v>0.2584427512515951</v>
      </c>
      <c r="AE118" s="202"/>
      <c r="AF118" s="93">
        <f t="shared" si="15"/>
        <v>950000</v>
      </c>
      <c r="AG118" s="185">
        <v>0.08999611279175734</v>
      </c>
      <c r="AH118" s="185">
        <v>0.09697583644540533</v>
      </c>
      <c r="AI118" s="185">
        <v>0.10381981030510702</v>
      </c>
      <c r="AJ118" s="185">
        <v>0.11055461275157179</v>
      </c>
      <c r="AK118" s="186">
        <v>0.11720682216550919</v>
      </c>
      <c r="AL118" s="185">
        <v>0.11985053343925539</v>
      </c>
      <c r="AM118" s="185">
        <v>0.12248698338507616</v>
      </c>
      <c r="AN118" s="185">
        <v>0.12511787301933697</v>
      </c>
      <c r="AO118" s="185">
        <v>0.12774490335840302</v>
      </c>
      <c r="AP118" s="187">
        <v>0.13036977541863987</v>
      </c>
      <c r="BI118" s="110"/>
      <c r="BJ118" s="93">
        <f t="shared" si="16"/>
        <v>850000</v>
      </c>
      <c r="BK118" s="200">
        <v>0.12582233130916257</v>
      </c>
      <c r="BL118" s="200">
        <v>0.14109313186875858</v>
      </c>
      <c r="BM118" s="200">
        <v>0.1461843437852408</v>
      </c>
      <c r="BN118" s="200">
        <v>0.14873065784875958</v>
      </c>
      <c r="BO118" s="200">
        <v>0.1502590122178857</v>
      </c>
      <c r="BP118" s="200">
        <v>0.15331995577651641</v>
      </c>
      <c r="BQ118" s="200">
        <v>0.1543449588308281</v>
      </c>
      <c r="BR118" s="200">
        <v>0.15333402146474048</v>
      </c>
      <c r="BS118" s="200">
        <v>0.1539517953407934</v>
      </c>
      <c r="BT118" s="200">
        <v>0.15436595475277975</v>
      </c>
      <c r="BU118" s="200">
        <v>0.1537912173024387</v>
      </c>
      <c r="BV118" s="200">
        <v>0.1541253490686297</v>
      </c>
      <c r="BW118" s="200">
        <v>0.15438674703214608</v>
      </c>
      <c r="BX118" s="201">
        <v>0.15398644941406195</v>
      </c>
      <c r="BY118" s="11"/>
    </row>
    <row r="119">
      <c r="R119" s="10"/>
      <c r="U119" s="155"/>
      <c r="V119" s="156">
        <f t="shared" si="14"/>
        <v>1000000</v>
      </c>
      <c r="W119" s="157">
        <v>0.11339223699636179</v>
      </c>
      <c r="X119" s="158">
        <v>0.13633552957803013</v>
      </c>
      <c r="Y119" s="158">
        <v>0.15927882215969852</v>
      </c>
      <c r="Z119" s="158">
        <v>0.1822221147413669</v>
      </c>
      <c r="AA119" s="158">
        <v>0.20516540732303518</v>
      </c>
      <c r="AB119" s="158">
        <v>0.2281086999047036</v>
      </c>
      <c r="AC119" s="159">
        <v>0.251051992486372</v>
      </c>
      <c r="AE119" s="155"/>
      <c r="AF119" s="156">
        <f t="shared" si="15"/>
        <v>1000000</v>
      </c>
      <c r="AG119" s="203">
        <v>0.0868705181721293</v>
      </c>
      <c r="AH119" s="203">
        <v>0.09367351127569988</v>
      </c>
      <c r="AI119" s="203">
        <v>0.10034419184687592</v>
      </c>
      <c r="AJ119" s="203">
        <v>0.10690846528673677</v>
      </c>
      <c r="AK119" s="204">
        <v>0.11339223699636179</v>
      </c>
      <c r="AL119" s="203">
        <v>0.11596900800558751</v>
      </c>
      <c r="AM119" s="203">
        <v>0.11853870154781733</v>
      </c>
      <c r="AN119" s="203">
        <v>0.12110297556872024</v>
      </c>
      <c r="AO119" s="203">
        <v>0.12366348801396533</v>
      </c>
      <c r="AP119" s="205">
        <v>0.12622189682922172</v>
      </c>
      <c r="BI119" s="110"/>
      <c r="BJ119" s="93">
        <f t="shared" si="16"/>
        <v>900000</v>
      </c>
      <c r="BK119" s="196">
        <v>0.12133502918134667</v>
      </c>
      <c r="BL119" s="196">
        <v>0.1366058297409427</v>
      </c>
      <c r="BM119" s="196">
        <v>0.14169704165742494</v>
      </c>
      <c r="BN119" s="196">
        <v>0.14424335572094368</v>
      </c>
      <c r="BO119" s="196">
        <v>0.14577171009006984</v>
      </c>
      <c r="BP119" s="196">
        <v>0.14883265364870055</v>
      </c>
      <c r="BQ119" s="196">
        <v>0.14985765670301227</v>
      </c>
      <c r="BR119" s="196">
        <v>0.14884671933692462</v>
      </c>
      <c r="BS119" s="196">
        <v>0.14946449321297756</v>
      </c>
      <c r="BT119" s="196">
        <v>0.1498786526249639</v>
      </c>
      <c r="BU119" s="196">
        <v>0.14930391517462283</v>
      </c>
      <c r="BV119" s="196">
        <v>0.14963804694081384</v>
      </c>
      <c r="BW119" s="196">
        <v>0.1498994449043302</v>
      </c>
      <c r="BX119" s="197">
        <v>0.14949914728624608</v>
      </c>
      <c r="BY119" s="11"/>
    </row>
    <row r="120">
      <c r="R120" s="10"/>
      <c r="BI120" s="163"/>
      <c r="BJ120" s="93">
        <f t="shared" si="16"/>
        <v>950000</v>
      </c>
      <c r="BK120" s="200">
        <v>0.11720682216550919</v>
      </c>
      <c r="BL120" s="200">
        <v>0.13247762272510522</v>
      </c>
      <c r="BM120" s="200">
        <v>0.13756883464158745</v>
      </c>
      <c r="BN120" s="200">
        <v>0.14011514870510622</v>
      </c>
      <c r="BO120" s="200">
        <v>0.14164350307423235</v>
      </c>
      <c r="BP120" s="200">
        <v>0.14470444663286308</v>
      </c>
      <c r="BQ120" s="200">
        <v>0.14572944968717474</v>
      </c>
      <c r="BR120" s="200">
        <v>0.14471851232108715</v>
      </c>
      <c r="BS120" s="200">
        <v>0.14533628619714004</v>
      </c>
      <c r="BT120" s="200">
        <v>0.14575044560912637</v>
      </c>
      <c r="BU120" s="200">
        <v>0.14517570815878533</v>
      </c>
      <c r="BV120" s="200">
        <v>0.14550983992497638</v>
      </c>
      <c r="BW120" s="200">
        <v>0.1457712378884927</v>
      </c>
      <c r="BX120" s="201">
        <v>0.1453709402704086</v>
      </c>
      <c r="BY120" s="11"/>
    </row>
    <row r="121">
      <c r="R121" s="10"/>
      <c r="BI121" s="164"/>
      <c r="BJ121" s="165">
        <f t="shared" si="16"/>
        <v>1000000</v>
      </c>
      <c r="BK121" s="206">
        <v>0.11339223699636179</v>
      </c>
      <c r="BL121" s="206">
        <v>0.12866303755595782</v>
      </c>
      <c r="BM121" s="206">
        <v>0.13375424947244005</v>
      </c>
      <c r="BN121" s="206">
        <v>0.13630056353595882</v>
      </c>
      <c r="BO121" s="206">
        <v>0.13782891790508492</v>
      </c>
      <c r="BP121" s="206">
        <v>0.14088986146371565</v>
      </c>
      <c r="BQ121" s="206">
        <v>0.14191486451802737</v>
      </c>
      <c r="BR121" s="206">
        <v>0.14090392715193972</v>
      </c>
      <c r="BS121" s="206">
        <v>0.14152170102799264</v>
      </c>
      <c r="BT121" s="206">
        <v>0.141935860439979</v>
      </c>
      <c r="BU121" s="206">
        <v>0.14136112298963793</v>
      </c>
      <c r="BV121" s="206">
        <v>0.14169525475582895</v>
      </c>
      <c r="BW121" s="206">
        <v>0.1419566527193453</v>
      </c>
      <c r="BX121" s="207">
        <v>0.1415563551012612</v>
      </c>
      <c r="BY121" s="11"/>
    </row>
    <row r="122">
      <c r="R122" s="10"/>
      <c r="BN122" s="171"/>
      <c r="BO122" s="23"/>
      <c r="BY122" s="11"/>
    </row>
    <row r="123">
      <c r="R123" s="168"/>
      <c r="S123" s="169"/>
      <c r="T123" s="169"/>
      <c r="U123" s="169"/>
      <c r="V123" s="169"/>
      <c r="W123" s="169"/>
      <c r="X123" s="169"/>
      <c r="Y123" s="169"/>
      <c r="Z123" s="169"/>
      <c r="AA123" s="169"/>
      <c r="AB123" s="169"/>
      <c r="AC123" s="169"/>
      <c r="AD123" s="169"/>
      <c r="AE123" s="169"/>
      <c r="AF123" s="169"/>
      <c r="AG123" s="169"/>
      <c r="AH123" s="169"/>
      <c r="AI123" s="169"/>
      <c r="AJ123" s="169"/>
      <c r="AK123" s="169"/>
      <c r="AL123" s="169"/>
      <c r="AM123" s="169"/>
      <c r="AN123" s="169"/>
      <c r="AO123" s="169"/>
      <c r="AP123" s="169"/>
      <c r="AQ123" s="169"/>
      <c r="AR123" s="169"/>
      <c r="AS123" s="169"/>
      <c r="AT123" s="169"/>
      <c r="AU123" s="169"/>
      <c r="AV123" s="169"/>
      <c r="AW123" s="169"/>
      <c r="AX123" s="169"/>
      <c r="AY123" s="169"/>
      <c r="AZ123" s="169"/>
      <c r="BA123" s="169"/>
      <c r="BB123" s="169"/>
      <c r="BC123" s="169"/>
      <c r="BD123" s="169"/>
      <c r="BE123" s="169"/>
      <c r="BF123" s="169"/>
      <c r="BG123" s="169"/>
      <c r="BH123" s="169"/>
      <c r="BI123" s="169"/>
      <c r="BJ123" s="169"/>
      <c r="BK123" s="169"/>
      <c r="BL123" s="169"/>
      <c r="BM123" s="169"/>
      <c r="BN123" s="208"/>
      <c r="BO123" s="209"/>
      <c r="BP123" s="169"/>
      <c r="BQ123" s="169"/>
      <c r="BR123" s="169"/>
      <c r="BS123" s="169"/>
      <c r="BT123" s="169"/>
      <c r="BU123" s="169"/>
      <c r="BV123" s="169"/>
      <c r="BW123" s="169"/>
      <c r="BX123" s="169"/>
      <c r="BY123" s="170"/>
    </row>
    <row r="124" ht="37.5" customHeight="1">
      <c r="BN124" s="171"/>
      <c r="BO124" s="23"/>
    </row>
    <row r="125">
      <c r="R125" s="5" t="s">
        <v>85</v>
      </c>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210"/>
      <c r="BO125" s="211"/>
      <c r="BP125" s="6"/>
      <c r="BQ125" s="6"/>
      <c r="BR125" s="6"/>
      <c r="BS125" s="6"/>
      <c r="BT125" s="6"/>
      <c r="BU125" s="6"/>
      <c r="BV125" s="6"/>
      <c r="BW125" s="6"/>
      <c r="BX125" s="6"/>
      <c r="BY125" s="7"/>
    </row>
    <row r="126">
      <c r="R126" s="10"/>
      <c r="BN126" s="171"/>
      <c r="BO126" s="23"/>
      <c r="BY126" s="11"/>
    </row>
    <row r="127">
      <c r="R127" s="10"/>
      <c r="BH127" s="171"/>
      <c r="BI127" s="171"/>
      <c r="BJ127" s="171"/>
      <c r="BK127" s="171"/>
      <c r="BL127" s="171"/>
      <c r="BN127" s="171"/>
      <c r="BO127" s="23"/>
      <c r="BY127" s="11"/>
    </row>
    <row r="128">
      <c r="R128" s="10"/>
      <c r="BH128" s="172"/>
      <c r="BI128" s="172"/>
      <c r="BJ128" s="172"/>
      <c r="BK128" s="172"/>
      <c r="BL128" s="172"/>
      <c r="BN128" s="171"/>
      <c r="BO128" s="23"/>
      <c r="BY128" s="11"/>
    </row>
    <row r="129">
      <c r="R129" s="10"/>
      <c r="BH129" s="173"/>
      <c r="BI129" s="173"/>
      <c r="BJ129" s="173"/>
      <c r="BK129" s="173"/>
      <c r="BL129" s="173"/>
      <c r="BN129" s="171"/>
      <c r="BO129" s="23"/>
      <c r="BY129" s="11"/>
    </row>
    <row r="130">
      <c r="R130" s="10"/>
      <c r="BH130" s="174"/>
      <c r="BI130" s="174"/>
      <c r="BJ130" s="174"/>
      <c r="BK130" s="174"/>
      <c r="BL130" s="174"/>
      <c r="BN130" s="171"/>
      <c r="BO130" s="23"/>
      <c r="BY130" s="11"/>
    </row>
    <row r="131">
      <c r="R131" s="10"/>
      <c r="BH131" s="175"/>
      <c r="BI131" s="175"/>
      <c r="BJ131" s="175"/>
      <c r="BK131" s="175"/>
      <c r="BL131" s="175"/>
      <c r="BN131" s="171"/>
      <c r="BO131" s="23"/>
      <c r="BY131" s="11"/>
    </row>
    <row r="132">
      <c r="R132" s="10"/>
      <c r="BH132" s="175"/>
      <c r="BI132" s="175"/>
      <c r="BJ132" s="175"/>
      <c r="BK132" s="175"/>
      <c r="BL132" s="175"/>
      <c r="BN132" s="171"/>
      <c r="BO132" s="23"/>
      <c r="BY132" s="11"/>
    </row>
    <row r="133">
      <c r="R133" s="10"/>
      <c r="BH133" s="175"/>
      <c r="BI133" s="175"/>
      <c r="BJ133" s="175"/>
      <c r="BK133" s="175"/>
      <c r="BL133" s="175"/>
      <c r="BN133" s="171"/>
      <c r="BO133" s="23"/>
      <c r="BY133" s="11"/>
    </row>
    <row r="134">
      <c r="R134" s="10"/>
      <c r="BH134" s="175"/>
      <c r="BI134" s="175"/>
      <c r="BJ134" s="175"/>
      <c r="BK134" s="175"/>
      <c r="BL134" s="175"/>
      <c r="BN134" s="171"/>
      <c r="BO134" s="23"/>
      <c r="BY134" s="11"/>
    </row>
    <row r="135">
      <c r="R135" s="10"/>
      <c r="BH135" s="175"/>
      <c r="BI135" s="175"/>
      <c r="BJ135" s="175"/>
      <c r="BK135" s="175"/>
      <c r="BL135" s="175"/>
      <c r="BN135" s="171"/>
      <c r="BO135" s="23"/>
      <c r="BY135" s="11"/>
    </row>
    <row r="136">
      <c r="R136" s="10"/>
      <c r="BH136" s="175"/>
      <c r="BI136" s="175"/>
      <c r="BJ136" s="175"/>
      <c r="BK136" s="175"/>
      <c r="BL136" s="175"/>
      <c r="BY136" s="11"/>
    </row>
    <row r="137">
      <c r="R137" s="10"/>
      <c r="BH137" s="175"/>
      <c r="BI137" s="175"/>
      <c r="BJ137" s="175"/>
      <c r="BK137" s="175"/>
      <c r="BL137" s="175"/>
      <c r="BY137" s="11"/>
    </row>
    <row r="138">
      <c r="R138" s="10"/>
      <c r="BH138" s="175"/>
      <c r="BI138" s="175"/>
      <c r="BJ138" s="175"/>
      <c r="BK138" s="175"/>
      <c r="BL138" s="175"/>
      <c r="BY138" s="11"/>
    </row>
    <row r="139">
      <c r="R139" s="10"/>
      <c r="BH139" s="175"/>
      <c r="BI139" s="175"/>
      <c r="BJ139" s="175"/>
      <c r="BK139" s="175"/>
      <c r="BL139" s="175"/>
      <c r="BY139" s="11"/>
    </row>
    <row r="140">
      <c r="R140" s="10"/>
      <c r="BH140" s="175"/>
      <c r="BI140" s="175"/>
      <c r="BJ140" s="175"/>
      <c r="BK140" s="175"/>
      <c r="BL140" s="175"/>
      <c r="BY140" s="11"/>
    </row>
    <row r="141">
      <c r="R141" s="10"/>
      <c r="BH141" s="175"/>
      <c r="BI141" s="175"/>
      <c r="BJ141" s="175"/>
      <c r="BK141" s="175"/>
      <c r="BL141" s="175"/>
      <c r="BY141" s="11"/>
    </row>
    <row r="142">
      <c r="R142" s="10"/>
      <c r="BH142" s="175"/>
      <c r="BI142" s="175"/>
      <c r="BJ142" s="175"/>
      <c r="BK142" s="175"/>
      <c r="BL142" s="175"/>
      <c r="BY142" s="11"/>
    </row>
    <row r="143">
      <c r="R143" s="10"/>
      <c r="BH143" s="175"/>
      <c r="BI143" s="175"/>
      <c r="BJ143" s="175"/>
      <c r="BK143" s="175"/>
      <c r="BL143" s="175"/>
      <c r="BY143" s="11"/>
    </row>
    <row r="144">
      <c r="R144" s="10"/>
      <c r="BH144" s="175"/>
      <c r="BI144" s="175"/>
      <c r="BJ144" s="175"/>
      <c r="BK144" s="175"/>
      <c r="BL144" s="175"/>
      <c r="BY144" s="11"/>
    </row>
    <row r="145">
      <c r="R145" s="10"/>
      <c r="BH145" s="175"/>
      <c r="BI145" s="175"/>
      <c r="BJ145" s="175"/>
      <c r="BK145" s="175"/>
      <c r="BL145" s="175"/>
      <c r="BY145" s="11"/>
    </row>
    <row r="146">
      <c r="R146" s="10"/>
      <c r="BH146" s="175"/>
      <c r="BI146" s="175"/>
      <c r="BJ146" s="175"/>
      <c r="BK146" s="175"/>
      <c r="BL146" s="175"/>
      <c r="BY146" s="11"/>
    </row>
    <row r="147">
      <c r="R147" s="10"/>
      <c r="BH147" s="175"/>
      <c r="BI147" s="175"/>
      <c r="BJ147" s="175"/>
      <c r="BK147" s="175"/>
      <c r="BL147" s="175"/>
      <c r="BY147" s="11"/>
    </row>
    <row r="148">
      <c r="R148" s="10"/>
      <c r="BY148" s="11"/>
    </row>
    <row r="149">
      <c r="R149" s="10"/>
      <c r="BY149" s="11"/>
    </row>
    <row r="150">
      <c r="R150" s="10"/>
      <c r="BY150" s="11"/>
    </row>
    <row r="151">
      <c r="R151" s="10"/>
      <c r="BY151" s="11"/>
    </row>
    <row r="152">
      <c r="R152" s="10"/>
      <c r="BY152" s="11"/>
    </row>
    <row r="153">
      <c r="R153" s="10"/>
      <c r="BY153" s="11"/>
    </row>
    <row r="154">
      <c r="R154" s="10"/>
      <c r="BY154" s="11"/>
    </row>
    <row r="155">
      <c r="R155" s="10"/>
      <c r="BY155" s="11"/>
    </row>
    <row r="156">
      <c r="R156" s="10"/>
      <c r="BY156" s="11"/>
    </row>
    <row r="157">
      <c r="R157" s="10"/>
      <c r="U157" s="70" t="s">
        <v>86</v>
      </c>
      <c r="V157" s="71"/>
      <c r="W157" s="71"/>
      <c r="X157" s="71"/>
      <c r="Y157" s="71"/>
      <c r="Z157" s="71"/>
      <c r="AA157" s="71"/>
      <c r="AB157" s="71"/>
      <c r="AC157" s="18"/>
      <c r="AE157" s="70" t="s">
        <v>86</v>
      </c>
      <c r="AF157" s="71"/>
      <c r="AG157" s="71"/>
      <c r="AH157" s="71"/>
      <c r="AI157" s="71"/>
      <c r="AJ157" s="71"/>
      <c r="AK157" s="71"/>
      <c r="AL157" s="71"/>
      <c r="AM157" s="71"/>
      <c r="AN157" s="71"/>
      <c r="AO157" s="71"/>
      <c r="AP157" s="18"/>
      <c r="AR157" s="70" t="s">
        <v>87</v>
      </c>
      <c r="AS157" s="71"/>
      <c r="AT157" s="71"/>
      <c r="AU157" s="71"/>
      <c r="AV157" s="71"/>
      <c r="AW157" s="71"/>
      <c r="AX157" s="71"/>
      <c r="AY157" s="71"/>
      <c r="AZ157" s="71"/>
      <c r="BA157" s="71"/>
      <c r="BB157" s="71"/>
      <c r="BC157" s="71"/>
      <c r="BD157" s="71"/>
      <c r="BE157" s="71"/>
      <c r="BF157" s="71"/>
      <c r="BG157" s="18"/>
      <c r="BI157" s="70" t="s">
        <v>86</v>
      </c>
      <c r="BJ157" s="71"/>
      <c r="BK157" s="71"/>
      <c r="BL157" s="71"/>
      <c r="BM157" s="71"/>
      <c r="BN157" s="71"/>
      <c r="BO157" s="71"/>
      <c r="BP157" s="71"/>
      <c r="BQ157" s="71"/>
      <c r="BR157" s="71"/>
      <c r="BS157" s="71"/>
      <c r="BT157" s="71"/>
      <c r="BU157" s="71"/>
      <c r="BV157" s="71"/>
      <c r="BW157" s="71"/>
      <c r="BX157" s="18"/>
      <c r="BY157" s="11"/>
    </row>
    <row r="158">
      <c r="R158" s="10"/>
      <c r="U158" s="77" t="s">
        <v>57</v>
      </c>
      <c r="AC158" s="78"/>
      <c r="AD158" s="23"/>
      <c r="AE158" s="85" t="s">
        <v>58</v>
      </c>
      <c r="AF158" s="182"/>
      <c r="AG158" s="182"/>
      <c r="AH158" s="182"/>
      <c r="AI158" s="183" t="s">
        <v>59</v>
      </c>
      <c r="AJ158" s="183"/>
      <c r="AK158" s="183"/>
      <c r="AL158" s="183"/>
      <c r="AM158" s="183"/>
      <c r="AN158" s="183"/>
      <c r="AO158" s="183"/>
      <c r="AP158" s="184"/>
      <c r="AR158" s="85" t="s">
        <v>58</v>
      </c>
      <c r="AS158" s="86"/>
      <c r="AT158" s="86" t="s">
        <v>44</v>
      </c>
      <c r="BG158" s="78"/>
      <c r="BI158" s="85" t="s">
        <v>58</v>
      </c>
      <c r="BJ158" s="86"/>
      <c r="BK158" s="86" t="s">
        <v>44</v>
      </c>
      <c r="BX158" s="78"/>
      <c r="BY158" s="11"/>
    </row>
    <row r="159">
      <c r="R159" s="10"/>
      <c r="U159" s="90"/>
      <c r="V159" s="91">
        <f>$F$48</f>
        <v>0.2142040465</v>
      </c>
      <c r="W159" s="92">
        <v>64.0</v>
      </c>
      <c r="X159" s="93">
        <f t="shared" ref="X159:AC159" si="17">W159+10</f>
        <v>74</v>
      </c>
      <c r="Y159" s="93">
        <f t="shared" si="17"/>
        <v>84</v>
      </c>
      <c r="Z159" s="93">
        <f t="shared" si="17"/>
        <v>94</v>
      </c>
      <c r="AA159" s="93">
        <f t="shared" si="17"/>
        <v>104</v>
      </c>
      <c r="AB159" s="93">
        <f t="shared" si="17"/>
        <v>114</v>
      </c>
      <c r="AC159" s="94">
        <f t="shared" si="17"/>
        <v>124</v>
      </c>
      <c r="AD159" s="212"/>
      <c r="AE159" s="90"/>
      <c r="AF159" s="96">
        <f>$F$48</f>
        <v>0.2142040465</v>
      </c>
      <c r="AG159" s="97">
        <f t="shared" ref="AG159:AI159" si="18">AH159-0.05</f>
        <v>0.7</v>
      </c>
      <c r="AH159" s="97">
        <f t="shared" si="18"/>
        <v>0.75</v>
      </c>
      <c r="AI159" s="97">
        <f t="shared" si="18"/>
        <v>0.8</v>
      </c>
      <c r="AJ159" s="97">
        <v>0.85</v>
      </c>
      <c r="AK159" s="98">
        <v>0.9</v>
      </c>
      <c r="AL159" s="97">
        <f t="shared" ref="AL159:AP159" si="19">AK159+0.02</f>
        <v>0.92</v>
      </c>
      <c r="AM159" s="97">
        <f t="shared" si="19"/>
        <v>0.94</v>
      </c>
      <c r="AN159" s="97">
        <f t="shared" si="19"/>
        <v>0.96</v>
      </c>
      <c r="AO159" s="97">
        <f t="shared" si="19"/>
        <v>0.98</v>
      </c>
      <c r="AP159" s="99">
        <f t="shared" si="19"/>
        <v>1</v>
      </c>
      <c r="AR159" s="85" t="s">
        <v>63</v>
      </c>
      <c r="AS159" s="86"/>
      <c r="AT159" s="86"/>
      <c r="AU159" s="86"/>
      <c r="AV159" s="86"/>
      <c r="AW159" s="86"/>
      <c r="AX159" s="86"/>
      <c r="AY159" s="86"/>
      <c r="AZ159" s="86"/>
      <c r="BA159" s="86"/>
      <c r="BB159" s="86"/>
      <c r="BC159" s="86"/>
      <c r="BD159" s="86"/>
      <c r="BE159" s="86"/>
      <c r="BF159" s="86"/>
      <c r="BG159" s="100"/>
      <c r="BI159" s="85" t="s">
        <v>63</v>
      </c>
      <c r="BJ159" s="86"/>
      <c r="BK159" s="86"/>
      <c r="BL159" s="86"/>
      <c r="BM159" s="86"/>
      <c r="BN159" s="86"/>
      <c r="BO159" s="86"/>
      <c r="BP159" s="86"/>
      <c r="BQ159" s="86"/>
      <c r="BR159" s="86"/>
      <c r="BS159" s="86"/>
      <c r="BT159" s="86"/>
      <c r="BU159" s="86"/>
      <c r="BV159" s="86"/>
      <c r="BW159" s="86"/>
      <c r="BX159" s="100"/>
      <c r="BY159" s="11"/>
    </row>
    <row r="160">
      <c r="R160" s="10"/>
      <c r="U160" s="102" t="s">
        <v>66</v>
      </c>
      <c r="V160" s="103">
        <v>100000.0</v>
      </c>
      <c r="W160" s="104">
        <v>0.42075406780719804</v>
      </c>
      <c r="X160" s="105">
        <v>0.49330712938891474</v>
      </c>
      <c r="Y160" s="105">
        <v>0.5658601909706316</v>
      </c>
      <c r="Z160" s="105">
        <v>0.6384132525523484</v>
      </c>
      <c r="AA160" s="105">
        <v>0.7109663141340651</v>
      </c>
      <c r="AB160" s="105">
        <v>0.7835193757157818</v>
      </c>
      <c r="AC160" s="106">
        <v>0.8560724372974987</v>
      </c>
      <c r="AD160" s="177"/>
      <c r="AE160" s="102" t="s">
        <v>66</v>
      </c>
      <c r="AF160" s="103">
        <v>100000.0</v>
      </c>
      <c r="AG160" s="185">
        <v>0.33688502886006044</v>
      </c>
      <c r="AH160" s="185">
        <v>0.35839798197376127</v>
      </c>
      <c r="AI160" s="185">
        <v>0.37949252612211043</v>
      </c>
      <c r="AJ160" s="185">
        <v>0.4002505813762191</v>
      </c>
      <c r="AK160" s="186">
        <v>0.42075406780719804</v>
      </c>
      <c r="AL160" s="185">
        <v>0.4289025332050421</v>
      </c>
      <c r="AM160" s="185">
        <v>0.4370286176871143</v>
      </c>
      <c r="AN160" s="185">
        <v>0.4451375641379656</v>
      </c>
      <c r="AO160" s="185">
        <v>0.4532346154421474</v>
      </c>
      <c r="AP160" s="187">
        <v>0.4613250144842105</v>
      </c>
      <c r="AR160" s="85" t="s">
        <v>67</v>
      </c>
      <c r="AS160" s="86"/>
      <c r="AT160" s="86"/>
      <c r="AU160" s="86"/>
      <c r="AV160" s="86"/>
      <c r="AW160" s="86"/>
      <c r="AX160" s="86"/>
      <c r="AY160" s="86"/>
      <c r="AZ160" s="86"/>
      <c r="BA160" s="86"/>
      <c r="BB160" s="86"/>
      <c r="BC160" s="86"/>
      <c r="BD160" s="86"/>
      <c r="BE160" s="86"/>
      <c r="BF160" s="86"/>
      <c r="BG160" s="100"/>
      <c r="BI160" s="85" t="s">
        <v>68</v>
      </c>
      <c r="BJ160" s="86"/>
      <c r="BK160" s="86"/>
      <c r="BL160" s="86"/>
      <c r="BM160" s="86"/>
      <c r="BN160" s="86"/>
      <c r="BO160" s="86"/>
      <c r="BP160" s="86"/>
      <c r="BQ160" s="86"/>
      <c r="BR160" s="86"/>
      <c r="BS160" s="86"/>
      <c r="BT160" s="86"/>
      <c r="BU160" s="86"/>
      <c r="BV160" s="86"/>
      <c r="BW160" s="86"/>
      <c r="BX160" s="100"/>
      <c r="BY160" s="11"/>
    </row>
    <row r="161">
      <c r="R161" s="10"/>
      <c r="U161" s="110"/>
      <c r="V161" s="93">
        <f t="shared" ref="V161:V178" si="22">V160+50000</f>
        <v>150000</v>
      </c>
      <c r="W161" s="104">
        <v>0.33554616467499804</v>
      </c>
      <c r="X161" s="105">
        <v>0.3947854913923083</v>
      </c>
      <c r="Y161" s="105">
        <v>0.45402481810961887</v>
      </c>
      <c r="Z161" s="105">
        <v>0.5132641448269293</v>
      </c>
      <c r="AA161" s="105">
        <v>0.57250347154424</v>
      </c>
      <c r="AB161" s="105">
        <v>0.6317427982615507</v>
      </c>
      <c r="AC161" s="106">
        <v>0.6909821249788609</v>
      </c>
      <c r="AD161" s="51"/>
      <c r="AE161" s="110"/>
      <c r="AF161" s="93">
        <f t="shared" ref="AF161:AF178" si="23">AF160+50000</f>
        <v>150000</v>
      </c>
      <c r="AG161" s="188">
        <v>0.2670673811289657</v>
      </c>
      <c r="AH161" s="188">
        <v>0.28463263379196097</v>
      </c>
      <c r="AI161" s="188">
        <v>0.3018562569653171</v>
      </c>
      <c r="AJ161" s="188">
        <v>0.31880513810700556</v>
      </c>
      <c r="AK161" s="189">
        <v>0.33554616467499804</v>
      </c>
      <c r="AL161" s="188">
        <v>0.3421993588121454</v>
      </c>
      <c r="AM161" s="188">
        <v>0.3488342790080872</v>
      </c>
      <c r="AN161" s="188">
        <v>0.3554552060601335</v>
      </c>
      <c r="AO161" s="188">
        <v>0.36206642076559414</v>
      </c>
      <c r="AP161" s="190">
        <v>0.3686722039217797</v>
      </c>
      <c r="AR161" s="90"/>
      <c r="AS161" s="91">
        <f>$F$48</f>
        <v>0.2142040465</v>
      </c>
      <c r="AT161" s="103">
        <v>1.0</v>
      </c>
      <c r="AU161" s="93">
        <f t="shared" ref="AU161:AX161" si="20">AT161+1</f>
        <v>2</v>
      </c>
      <c r="AV161" s="93">
        <f t="shared" si="20"/>
        <v>3</v>
      </c>
      <c r="AW161" s="93">
        <f t="shared" si="20"/>
        <v>4</v>
      </c>
      <c r="AX161" s="93">
        <f t="shared" si="20"/>
        <v>5</v>
      </c>
      <c r="AY161" s="103">
        <v>10.0</v>
      </c>
      <c r="AZ161" s="103">
        <v>15.0</v>
      </c>
      <c r="BA161" s="103">
        <v>20.0</v>
      </c>
      <c r="BB161" s="103">
        <v>25.0</v>
      </c>
      <c r="BC161" s="103">
        <v>30.0</v>
      </c>
      <c r="BD161" s="103">
        <v>35.0</v>
      </c>
      <c r="BE161" s="103">
        <v>40.0</v>
      </c>
      <c r="BF161" s="103">
        <v>45.0</v>
      </c>
      <c r="BG161" s="114">
        <v>50.0</v>
      </c>
      <c r="BI161" s="90"/>
      <c r="BJ161" s="91">
        <f>$F$48</f>
        <v>0.2142040465</v>
      </c>
      <c r="BK161" s="103">
        <v>1.0</v>
      </c>
      <c r="BL161" s="93">
        <f t="shared" ref="BL161:BO161" si="21">BK161+1</f>
        <v>2</v>
      </c>
      <c r="BM161" s="93">
        <f t="shared" si="21"/>
        <v>3</v>
      </c>
      <c r="BN161" s="93">
        <f t="shared" si="21"/>
        <v>4</v>
      </c>
      <c r="BO161" s="93">
        <f t="shared" si="21"/>
        <v>5</v>
      </c>
      <c r="BP161" s="103">
        <v>10.0</v>
      </c>
      <c r="BQ161" s="103">
        <v>15.0</v>
      </c>
      <c r="BR161" s="103">
        <v>20.0</v>
      </c>
      <c r="BS161" s="103">
        <v>25.0</v>
      </c>
      <c r="BT161" s="103">
        <v>30.0</v>
      </c>
      <c r="BU161" s="103">
        <v>35.0</v>
      </c>
      <c r="BV161" s="103">
        <v>40.0</v>
      </c>
      <c r="BW161" s="103">
        <v>45.0</v>
      </c>
      <c r="BX161" s="114">
        <v>50.0</v>
      </c>
      <c r="BY161" s="11"/>
    </row>
    <row r="162">
      <c r="R162" s="10"/>
      <c r="U162" s="110"/>
      <c r="V162" s="93">
        <f t="shared" si="22"/>
        <v>200000</v>
      </c>
      <c r="W162" s="104">
        <v>0.2847521494619841</v>
      </c>
      <c r="X162" s="105">
        <v>0.3360549113022613</v>
      </c>
      <c r="Y162" s="105">
        <v>0.3873576731425384</v>
      </c>
      <c r="Z162" s="105">
        <v>0.43866043498281554</v>
      </c>
      <c r="AA162" s="105">
        <v>0.48996319682309264</v>
      </c>
      <c r="AB162" s="105">
        <v>0.5412659586633699</v>
      </c>
      <c r="AC162" s="106">
        <v>0.5925687205036468</v>
      </c>
      <c r="AD162" s="144"/>
      <c r="AE162" s="110"/>
      <c r="AF162" s="93">
        <f t="shared" si="23"/>
        <v>200000</v>
      </c>
      <c r="AG162" s="185">
        <v>0.22544778329086454</v>
      </c>
      <c r="AH162" s="185">
        <v>0.24065973832091053</v>
      </c>
      <c r="AI162" s="185">
        <v>0.25557583353424734</v>
      </c>
      <c r="AJ162" s="185">
        <v>0.2702539951686726</v>
      </c>
      <c r="AK162" s="186">
        <v>0.2847521494619841</v>
      </c>
      <c r="AL162" s="185">
        <v>0.2905139846010636</v>
      </c>
      <c r="AM162" s="185">
        <v>0.2962599940428317</v>
      </c>
      <c r="AN162" s="185">
        <v>0.3019938850665074</v>
      </c>
      <c r="AO162" s="185">
        <v>0.3077193649513097</v>
      </c>
      <c r="AP162" s="187">
        <v>0.3134401409764575</v>
      </c>
      <c r="AR162" s="118" t="s">
        <v>73</v>
      </c>
      <c r="AS162" s="119">
        <f>AG159</f>
        <v>0.7</v>
      </c>
      <c r="AT162" s="105">
        <v>0.07672982738265563</v>
      </c>
      <c r="AU162" s="105">
        <v>0.09852259054055036</v>
      </c>
      <c r="AV162" s="105">
        <v>0.10578684492651529</v>
      </c>
      <c r="AW162" s="105">
        <v>0.10941897211949773</v>
      </c>
      <c r="AX162" s="105">
        <v>0.11159824843528722</v>
      </c>
      <c r="AY162" s="105">
        <v>0.11595680106686616</v>
      </c>
      <c r="AZ162" s="105">
        <v>0.11740965194405914</v>
      </c>
      <c r="BA162" s="105">
        <v>0.11595680106686616</v>
      </c>
      <c r="BB162" s="105">
        <v>0.11682851159318194</v>
      </c>
      <c r="BC162" s="105">
        <v>0.11740965194405914</v>
      </c>
      <c r="BD162" s="105">
        <v>0.116579451442806</v>
      </c>
      <c r="BE162" s="105">
        <v>0.1170464392247609</v>
      </c>
      <c r="BF162" s="105">
        <v>0.11740965194405915</v>
      </c>
      <c r="BG162" s="106">
        <v>0.11682851159318194</v>
      </c>
      <c r="BI162" s="102" t="s">
        <v>66</v>
      </c>
      <c r="BJ162" s="103">
        <v>100000.0</v>
      </c>
      <c r="BK162" s="105">
        <v>0.42075406780719804</v>
      </c>
      <c r="BL162" s="105">
        <v>0.4425468309650928</v>
      </c>
      <c r="BM162" s="105">
        <v>0.4498110853510577</v>
      </c>
      <c r="BN162" s="105">
        <v>0.45344321254404013</v>
      </c>
      <c r="BO162" s="105">
        <v>0.4556224888598296</v>
      </c>
      <c r="BP162" s="105">
        <v>0.45998104149140856</v>
      </c>
      <c r="BQ162" s="105">
        <v>0.46143389236860155</v>
      </c>
      <c r="BR162" s="105">
        <v>0.45998104149140856</v>
      </c>
      <c r="BS162" s="105">
        <v>0.46085275201772435</v>
      </c>
      <c r="BT162" s="105">
        <v>0.46143389236860155</v>
      </c>
      <c r="BU162" s="105">
        <v>0.4606036918673484</v>
      </c>
      <c r="BV162" s="105">
        <v>0.4610706796493033</v>
      </c>
      <c r="BW162" s="105">
        <v>0.46143389236860155</v>
      </c>
      <c r="BX162" s="106">
        <v>0.46085275201772435</v>
      </c>
      <c r="BY162" s="11"/>
    </row>
    <row r="163">
      <c r="D163" s="213"/>
      <c r="G163" s="214"/>
      <c r="H163" s="214"/>
      <c r="I163" s="214"/>
      <c r="J163" s="214"/>
      <c r="K163" s="214"/>
      <c r="L163" s="214"/>
      <c r="M163" s="214"/>
      <c r="N163" s="214"/>
      <c r="O163" s="214"/>
      <c r="P163" s="214"/>
      <c r="Q163" s="214"/>
      <c r="R163" s="215"/>
      <c r="S163" s="214"/>
      <c r="T163" s="214"/>
      <c r="U163" s="110"/>
      <c r="V163" s="93">
        <f t="shared" si="22"/>
        <v>250000</v>
      </c>
      <c r="W163" s="104">
        <v>0.25008861872956567</v>
      </c>
      <c r="X163" s="105">
        <v>0.2959752038929024</v>
      </c>
      <c r="Y163" s="105">
        <v>0.34186178905623915</v>
      </c>
      <c r="Z163" s="105">
        <v>0.387748374219576</v>
      </c>
      <c r="AA163" s="105">
        <v>0.4336349593829125</v>
      </c>
      <c r="AB163" s="105">
        <v>0.47952154454624935</v>
      </c>
      <c r="AC163" s="106">
        <v>0.5254081297095861</v>
      </c>
      <c r="AD163" s="51"/>
      <c r="AE163" s="110"/>
      <c r="AF163" s="93">
        <f t="shared" si="23"/>
        <v>250000</v>
      </c>
      <c r="AG163" s="185">
        <v>0.19704518108110072</v>
      </c>
      <c r="AH163" s="185">
        <v>0.21065116728824188</v>
      </c>
      <c r="AI163" s="185">
        <v>0.22399252843059395</v>
      </c>
      <c r="AJ163" s="185">
        <v>0.23712107531031562</v>
      </c>
      <c r="AK163" s="186">
        <v>0.25008861872956567</v>
      </c>
      <c r="AL163" s="185">
        <v>0.25524216074801714</v>
      </c>
      <c r="AM163" s="185">
        <v>0.26038154783247675</v>
      </c>
      <c r="AN163" s="185">
        <v>0.2655100958742826</v>
      </c>
      <c r="AO163" s="185">
        <v>0.27063112076477275</v>
      </c>
      <c r="AP163" s="187">
        <v>0.27574793839528555</v>
      </c>
      <c r="AR163" s="110"/>
      <c r="AS163" s="119">
        <v>0.75</v>
      </c>
      <c r="AT163" s="192">
        <v>0.08353282048622619</v>
      </c>
      <c r="AU163" s="192">
        <v>0.10532558364412094</v>
      </c>
      <c r="AV163" s="192">
        <v>0.11258983803008586</v>
      </c>
      <c r="AW163" s="192">
        <v>0.1162219652230683</v>
      </c>
      <c r="AX163" s="192">
        <v>0.11840124153885778</v>
      </c>
      <c r="AY163" s="192">
        <v>0.12275979417043673</v>
      </c>
      <c r="AZ163" s="192">
        <v>0.1242126450476297</v>
      </c>
      <c r="BA163" s="192">
        <v>0.12275979417043673</v>
      </c>
      <c r="BB163" s="192">
        <v>0.12363150469675252</v>
      </c>
      <c r="BC163" s="192">
        <v>0.1242126450476297</v>
      </c>
      <c r="BD163" s="192">
        <v>0.12338244454637656</v>
      </c>
      <c r="BE163" s="192">
        <v>0.12384943232833147</v>
      </c>
      <c r="BF163" s="192">
        <v>0.1242126450476297</v>
      </c>
      <c r="BG163" s="193">
        <v>0.12363150469675252</v>
      </c>
      <c r="BI163" s="110"/>
      <c r="BJ163" s="93">
        <f t="shared" ref="BJ163:BJ180" si="24">BJ162+50000</f>
        <v>150000</v>
      </c>
      <c r="BK163" s="192">
        <v>0.33554616467499804</v>
      </c>
      <c r="BL163" s="192">
        <v>0.3573389278328928</v>
      </c>
      <c r="BM163" s="192">
        <v>0.3646031822188577</v>
      </c>
      <c r="BN163" s="192">
        <v>0.36823530941184013</v>
      </c>
      <c r="BO163" s="192">
        <v>0.3704145857276296</v>
      </c>
      <c r="BP163" s="192">
        <v>0.3747731383592085</v>
      </c>
      <c r="BQ163" s="192">
        <v>0.3762259892364015</v>
      </c>
      <c r="BR163" s="192">
        <v>0.3747731383592085</v>
      </c>
      <c r="BS163" s="192">
        <v>0.3756448488855243</v>
      </c>
      <c r="BT163" s="192">
        <v>0.3762259892364015</v>
      </c>
      <c r="BU163" s="192">
        <v>0.3753957887351484</v>
      </c>
      <c r="BV163" s="192">
        <v>0.37586277651710326</v>
      </c>
      <c r="BW163" s="192">
        <v>0.37622598923640155</v>
      </c>
      <c r="BX163" s="193">
        <v>0.3756448488855243</v>
      </c>
      <c r="BY163" s="11"/>
    </row>
    <row r="164">
      <c r="D164" s="173"/>
      <c r="E164" s="216"/>
      <c r="F164" s="214"/>
      <c r="G164" s="214"/>
      <c r="H164" s="214"/>
      <c r="I164" s="214"/>
      <c r="J164" s="214"/>
      <c r="K164" s="214"/>
      <c r="L164" s="214"/>
      <c r="M164" s="214"/>
      <c r="N164" s="214"/>
      <c r="O164" s="214"/>
      <c r="P164" s="214"/>
      <c r="Q164" s="214"/>
      <c r="R164" s="215"/>
      <c r="S164" s="214"/>
      <c r="T164" s="214"/>
      <c r="U164" s="110"/>
      <c r="V164" s="93">
        <f t="shared" si="22"/>
        <v>300000</v>
      </c>
      <c r="W164" s="104">
        <v>0.224501063346519</v>
      </c>
      <c r="X164" s="105">
        <v>0.2663895929812546</v>
      </c>
      <c r="Y164" s="105">
        <v>0.3082781226159903</v>
      </c>
      <c r="Z164" s="105">
        <v>0.35016665225072596</v>
      </c>
      <c r="AA164" s="105">
        <v>0.39205518188546173</v>
      </c>
      <c r="AB164" s="105">
        <v>0.43394371152019734</v>
      </c>
      <c r="AC164" s="106">
        <v>0.4758322411549331</v>
      </c>
      <c r="AD164" s="51"/>
      <c r="AE164" s="110"/>
      <c r="AF164" s="93">
        <f t="shared" si="23"/>
        <v>300000</v>
      </c>
      <c r="AG164" s="185">
        <v>0.17607925113371387</v>
      </c>
      <c r="AH164" s="185">
        <v>0.18849976040497282</v>
      </c>
      <c r="AI164" s="185">
        <v>0.20067870114745465</v>
      </c>
      <c r="AJ164" s="185">
        <v>0.2126633699362674</v>
      </c>
      <c r="AK164" s="186">
        <v>0.224501063346519</v>
      </c>
      <c r="AL164" s="185">
        <v>0.2292055820374466</v>
      </c>
      <c r="AM164" s="185">
        <v>0.2338971791006286</v>
      </c>
      <c r="AN164" s="185">
        <v>0.23857888151687198</v>
      </c>
      <c r="AO164" s="185">
        <v>0.2432537162669835</v>
      </c>
      <c r="AP164" s="187">
        <v>0.24792471033177008</v>
      </c>
      <c r="AR164" s="110"/>
      <c r="AS164" s="119">
        <v>0.8</v>
      </c>
      <c r="AT164" s="105">
        <v>0.09020350105740227</v>
      </c>
      <c r="AU164" s="105">
        <v>0.111996264215297</v>
      </c>
      <c r="AV164" s="105">
        <v>0.11926051860126191</v>
      </c>
      <c r="AW164" s="105">
        <v>0.12289264579424437</v>
      </c>
      <c r="AX164" s="105">
        <v>0.12507192211003382</v>
      </c>
      <c r="AY164" s="105">
        <v>0.1294304747416128</v>
      </c>
      <c r="AZ164" s="105">
        <v>0.13088332561880575</v>
      </c>
      <c r="BA164" s="105">
        <v>0.1294304747416128</v>
      </c>
      <c r="BB164" s="105">
        <v>0.13030218526792858</v>
      </c>
      <c r="BC164" s="105">
        <v>0.13088332561880575</v>
      </c>
      <c r="BD164" s="105">
        <v>0.13005312511755263</v>
      </c>
      <c r="BE164" s="105">
        <v>0.13052011289950752</v>
      </c>
      <c r="BF164" s="105">
        <v>0.13088332561880578</v>
      </c>
      <c r="BG164" s="106">
        <v>0.13030218526792858</v>
      </c>
      <c r="BI164" s="110"/>
      <c r="BJ164" s="93">
        <f t="shared" si="24"/>
        <v>200000</v>
      </c>
      <c r="BK164" s="105">
        <v>0.2847521494619841</v>
      </c>
      <c r="BL164" s="105">
        <v>0.3065449126198789</v>
      </c>
      <c r="BM164" s="105">
        <v>0.31380916700584377</v>
      </c>
      <c r="BN164" s="105">
        <v>0.3174412941988262</v>
      </c>
      <c r="BO164" s="105">
        <v>0.31962057051461573</v>
      </c>
      <c r="BP164" s="105">
        <v>0.3239791231461947</v>
      </c>
      <c r="BQ164" s="105">
        <v>0.32543197402338764</v>
      </c>
      <c r="BR164" s="105">
        <v>0.3239791231461947</v>
      </c>
      <c r="BS164" s="105">
        <v>0.3248508336725105</v>
      </c>
      <c r="BT164" s="105">
        <v>0.32543197402338764</v>
      </c>
      <c r="BU164" s="105">
        <v>0.32460177352213454</v>
      </c>
      <c r="BV164" s="105">
        <v>0.3250687613040894</v>
      </c>
      <c r="BW164" s="105">
        <v>0.3254319740233877</v>
      </c>
      <c r="BX164" s="106">
        <v>0.3248508336725105</v>
      </c>
      <c r="BY164" s="11"/>
    </row>
    <row r="165">
      <c r="D165" s="173"/>
      <c r="E165" s="216"/>
      <c r="F165" s="214"/>
      <c r="G165" s="174"/>
      <c r="H165" s="174"/>
      <c r="I165" s="174"/>
      <c r="J165" s="174"/>
      <c r="K165" s="174"/>
      <c r="L165" s="174"/>
      <c r="M165" s="174"/>
      <c r="N165" s="174"/>
      <c r="O165" s="174"/>
      <c r="P165" s="174"/>
      <c r="Q165" s="174"/>
      <c r="R165" s="217"/>
      <c r="S165" s="174"/>
      <c r="T165" s="174"/>
      <c r="U165" s="110"/>
      <c r="V165" s="93">
        <f t="shared" si="22"/>
        <v>350000</v>
      </c>
      <c r="W165" s="104">
        <v>0.20461442687305195</v>
      </c>
      <c r="X165" s="105">
        <v>0.24339566955880843</v>
      </c>
      <c r="Y165" s="105">
        <v>0.2821769122445648</v>
      </c>
      <c r="Z165" s="105">
        <v>0.32095815493032137</v>
      </c>
      <c r="AA165" s="105">
        <v>0.3597393976160779</v>
      </c>
      <c r="AB165" s="105">
        <v>0.3985206403018343</v>
      </c>
      <c r="AC165" s="106">
        <v>0.4373018829875908</v>
      </c>
      <c r="AD165" s="51"/>
      <c r="AE165" s="110"/>
      <c r="AF165" s="93">
        <f t="shared" si="23"/>
        <v>350000</v>
      </c>
      <c r="AG165" s="185">
        <v>0.159784539859025</v>
      </c>
      <c r="AH165" s="185">
        <v>0.17128369699176785</v>
      </c>
      <c r="AI165" s="185">
        <v>0.18255920512509646</v>
      </c>
      <c r="AJ165" s="185">
        <v>0.193654852378896</v>
      </c>
      <c r="AK165" s="186">
        <v>0.20461442687305195</v>
      </c>
      <c r="AL165" s="185">
        <v>0.20896996483686836</v>
      </c>
      <c r="AM165" s="185">
        <v>0.21331353969799624</v>
      </c>
      <c r="AN165" s="185">
        <v>0.217647953896108</v>
      </c>
      <c r="AO165" s="185">
        <v>0.22197600987087648</v>
      </c>
      <c r="AP165" s="187">
        <v>0.22630051006197419</v>
      </c>
      <c r="AR165" s="110"/>
      <c r="AS165" s="119">
        <v>0.85</v>
      </c>
      <c r="AT165" s="105">
        <v>0.09676777449726308</v>
      </c>
      <c r="AU165" s="105">
        <v>0.11856053765515781</v>
      </c>
      <c r="AV165" s="105">
        <v>0.12582479204112273</v>
      </c>
      <c r="AW165" s="105">
        <v>0.12945691923410518</v>
      </c>
      <c r="AX165" s="105">
        <v>0.13163619554989467</v>
      </c>
      <c r="AY165" s="105">
        <v>0.1359947481814736</v>
      </c>
      <c r="AZ165" s="105">
        <v>0.13744759905866658</v>
      </c>
      <c r="BA165" s="105">
        <v>0.1359947481814736</v>
      </c>
      <c r="BB165" s="105">
        <v>0.1368664587077894</v>
      </c>
      <c r="BC165" s="105">
        <v>0.13744759905866658</v>
      </c>
      <c r="BD165" s="105">
        <v>0.13661739855741345</v>
      </c>
      <c r="BE165" s="105">
        <v>0.13708438633936837</v>
      </c>
      <c r="BF165" s="105">
        <v>0.1374475990586666</v>
      </c>
      <c r="BG165" s="106">
        <v>0.1368664587077894</v>
      </c>
      <c r="BI165" s="110"/>
      <c r="BJ165" s="93">
        <f t="shared" si="24"/>
        <v>250000</v>
      </c>
      <c r="BK165" s="105">
        <v>0.25008861872956567</v>
      </c>
      <c r="BL165" s="105">
        <v>0.2718813818874604</v>
      </c>
      <c r="BM165" s="105">
        <v>0.27914563627342537</v>
      </c>
      <c r="BN165" s="105">
        <v>0.2827777634664078</v>
      </c>
      <c r="BO165" s="105">
        <v>0.2849570397821972</v>
      </c>
      <c r="BP165" s="105">
        <v>0.2893155924137762</v>
      </c>
      <c r="BQ165" s="105">
        <v>0.29076844329096924</v>
      </c>
      <c r="BR165" s="105">
        <v>0.2893155924137762</v>
      </c>
      <c r="BS165" s="105">
        <v>0.290187302940092</v>
      </c>
      <c r="BT165" s="105">
        <v>0.29076844329096924</v>
      </c>
      <c r="BU165" s="105">
        <v>0.2899382427897161</v>
      </c>
      <c r="BV165" s="105">
        <v>0.29040523057167095</v>
      </c>
      <c r="BW165" s="105">
        <v>0.2907684432909692</v>
      </c>
      <c r="BX165" s="106">
        <v>0.290187302940092</v>
      </c>
      <c r="BY165" s="11"/>
    </row>
    <row r="166">
      <c r="D166" s="218"/>
      <c r="E166" s="219"/>
      <c r="F166" s="174"/>
      <c r="G166" s="220"/>
      <c r="H166" s="220"/>
      <c r="I166" s="220"/>
      <c r="J166" s="220"/>
      <c r="K166" s="220"/>
      <c r="L166" s="220"/>
      <c r="M166" s="220"/>
      <c r="N166" s="220"/>
      <c r="O166" s="220"/>
      <c r="P166" s="220"/>
      <c r="Q166" s="220"/>
      <c r="R166" s="221"/>
      <c r="S166" s="220"/>
      <c r="T166" s="220"/>
      <c r="U166" s="110"/>
      <c r="V166" s="93">
        <f t="shared" si="22"/>
        <v>400000</v>
      </c>
      <c r="W166" s="104">
        <v>0.18858427074570427</v>
      </c>
      <c r="X166" s="105">
        <v>0.22486080153656265</v>
      </c>
      <c r="Y166" s="105">
        <v>0.26113733232742103</v>
      </c>
      <c r="Z166" s="105">
        <v>0.29741386311827944</v>
      </c>
      <c r="AA166" s="105">
        <v>0.3336903939091378</v>
      </c>
      <c r="AB166" s="105">
        <v>0.36996692469999615</v>
      </c>
      <c r="AC166" s="106">
        <v>0.4062434554908546</v>
      </c>
      <c r="AD166" s="51"/>
      <c r="AE166" s="110"/>
      <c r="AF166" s="93">
        <f t="shared" si="23"/>
        <v>400000</v>
      </c>
      <c r="AG166" s="185">
        <v>0.14664975127213548</v>
      </c>
      <c r="AH166" s="185">
        <v>0.15740622782898592</v>
      </c>
      <c r="AI166" s="185">
        <v>0.1679534999031605</v>
      </c>
      <c r="AJ166" s="185">
        <v>0.1783325275302148</v>
      </c>
      <c r="AK166" s="186">
        <v>0.18858427074570427</v>
      </c>
      <c r="AL166" s="185">
        <v>0.19265850344462632</v>
      </c>
      <c r="AM166" s="185">
        <v>0.19672154568566244</v>
      </c>
      <c r="AN166" s="185">
        <v>0.2007760189110881</v>
      </c>
      <c r="AO166" s="185">
        <v>0.20482454456317895</v>
      </c>
      <c r="AP166" s="187">
        <v>0.2088697440842105</v>
      </c>
      <c r="AR166" s="110"/>
      <c r="AS166" s="134">
        <v>0.9</v>
      </c>
      <c r="AT166" s="194">
        <v>0.1032515462068881</v>
      </c>
      <c r="AU166" s="194">
        <v>0.12504430936478284</v>
      </c>
      <c r="AV166" s="194">
        <v>0.13230856375074776</v>
      </c>
      <c r="AW166" s="194">
        <v>0.1359406909437302</v>
      </c>
      <c r="AX166" s="194">
        <v>0.13811996725951967</v>
      </c>
      <c r="AY166" s="194">
        <v>0.1424785198910986</v>
      </c>
      <c r="AZ166" s="194">
        <v>0.14393137076829163</v>
      </c>
      <c r="BA166" s="194">
        <v>0.1424785198910986</v>
      </c>
      <c r="BB166" s="194">
        <v>0.14335023041741443</v>
      </c>
      <c r="BC166" s="194">
        <v>0.14393137076829163</v>
      </c>
      <c r="BD166" s="194">
        <v>0.14310117026703847</v>
      </c>
      <c r="BE166" s="194">
        <v>0.14356815804899337</v>
      </c>
      <c r="BF166" s="194">
        <v>0.1439313707682916</v>
      </c>
      <c r="BG166" s="195">
        <v>0.14335023041741443</v>
      </c>
      <c r="BI166" s="110"/>
      <c r="BJ166" s="93">
        <f t="shared" si="24"/>
        <v>300000</v>
      </c>
      <c r="BK166" s="105">
        <v>0.224501063346519</v>
      </c>
      <c r="BL166" s="105">
        <v>0.24629382650441375</v>
      </c>
      <c r="BM166" s="105">
        <v>0.2535580808903787</v>
      </c>
      <c r="BN166" s="105">
        <v>0.2571902080833611</v>
      </c>
      <c r="BO166" s="105">
        <v>0.2593694843991506</v>
      </c>
      <c r="BP166" s="105">
        <v>0.2637280370307295</v>
      </c>
      <c r="BQ166" s="105">
        <v>0.2651808879079225</v>
      </c>
      <c r="BR166" s="105">
        <v>0.2637280370307295</v>
      </c>
      <c r="BS166" s="105">
        <v>0.2645997475570453</v>
      </c>
      <c r="BT166" s="105">
        <v>0.2651808879079225</v>
      </c>
      <c r="BU166" s="105">
        <v>0.2643506874066694</v>
      </c>
      <c r="BV166" s="105">
        <v>0.26481767518862426</v>
      </c>
      <c r="BW166" s="105">
        <v>0.2651808879079225</v>
      </c>
      <c r="BX166" s="106">
        <v>0.2645997475570453</v>
      </c>
      <c r="BY166" s="11"/>
    </row>
    <row r="167">
      <c r="E167" s="174"/>
      <c r="F167" s="220"/>
      <c r="G167" s="175"/>
      <c r="H167" s="175"/>
      <c r="I167" s="175"/>
      <c r="J167" s="175"/>
      <c r="K167" s="175"/>
      <c r="L167" s="175"/>
      <c r="M167" s="175"/>
      <c r="N167" s="175"/>
      <c r="O167" s="175"/>
      <c r="P167" s="175"/>
      <c r="Q167" s="175"/>
      <c r="R167" s="222"/>
      <c r="S167" s="175"/>
      <c r="T167" s="175"/>
      <c r="U167" s="110"/>
      <c r="V167" s="93">
        <f t="shared" si="22"/>
        <v>450000</v>
      </c>
      <c r="W167" s="104">
        <v>0.17530625753605958</v>
      </c>
      <c r="X167" s="105">
        <v>0.20950809876291107</v>
      </c>
      <c r="Y167" s="105">
        <v>0.24370993998976237</v>
      </c>
      <c r="Z167" s="105">
        <v>0.27791178121661386</v>
      </c>
      <c r="AA167" s="105">
        <v>0.3121136224434652</v>
      </c>
      <c r="AB167" s="105">
        <v>0.3463154636703167</v>
      </c>
      <c r="AC167" s="106">
        <v>0.3805173048971681</v>
      </c>
      <c r="AD167" s="51"/>
      <c r="AE167" s="110"/>
      <c r="AF167" s="93">
        <f t="shared" si="23"/>
        <v>450000</v>
      </c>
      <c r="AG167" s="185">
        <v>0.1357700134219798</v>
      </c>
      <c r="AH167" s="185">
        <v>0.14591131677534386</v>
      </c>
      <c r="AI167" s="185">
        <v>0.15585538025090173</v>
      </c>
      <c r="AJ167" s="185">
        <v>0.16564082134051855</v>
      </c>
      <c r="AK167" s="186">
        <v>0.17530625753605958</v>
      </c>
      <c r="AL167" s="185">
        <v>0.1791474809621126</v>
      </c>
      <c r="AM167" s="185">
        <v>0.1829781539232913</v>
      </c>
      <c r="AN167" s="185">
        <v>0.18680074793907503</v>
      </c>
      <c r="AO167" s="185">
        <v>0.19061773452894315</v>
      </c>
      <c r="AP167" s="187">
        <v>0.19443158521237514</v>
      </c>
      <c r="AR167" s="110"/>
      <c r="AS167" s="119">
        <v>0.92</v>
      </c>
      <c r="AT167" s="105">
        <v>0.10582831721611384</v>
      </c>
      <c r="AU167" s="105">
        <v>0.12762108037400857</v>
      </c>
      <c r="AV167" s="105">
        <v>0.1348853347599735</v>
      </c>
      <c r="AW167" s="105">
        <v>0.13851746195295594</v>
      </c>
      <c r="AX167" s="105">
        <v>0.14069673826874543</v>
      </c>
      <c r="AY167" s="105">
        <v>0.14505529090032437</v>
      </c>
      <c r="AZ167" s="105">
        <v>0.14650814177751734</v>
      </c>
      <c r="BA167" s="105">
        <v>0.14505529090032437</v>
      </c>
      <c r="BB167" s="105">
        <v>0.14592700142664014</v>
      </c>
      <c r="BC167" s="105">
        <v>0.14650814177751734</v>
      </c>
      <c r="BD167" s="105">
        <v>0.1456779412762642</v>
      </c>
      <c r="BE167" s="105">
        <v>0.1461449290582191</v>
      </c>
      <c r="BF167" s="105">
        <v>0.14650814177751734</v>
      </c>
      <c r="BG167" s="106">
        <v>0.14592700142664014</v>
      </c>
      <c r="BI167" s="110"/>
      <c r="BJ167" s="93">
        <f t="shared" si="24"/>
        <v>350000</v>
      </c>
      <c r="BK167" s="105">
        <v>0.20461442687305195</v>
      </c>
      <c r="BL167" s="105">
        <v>0.2264071900309467</v>
      </c>
      <c r="BM167" s="105">
        <v>0.23367144441691165</v>
      </c>
      <c r="BN167" s="105">
        <v>0.23730357160989407</v>
      </c>
      <c r="BO167" s="105">
        <v>0.23948284792568356</v>
      </c>
      <c r="BP167" s="105">
        <v>0.2438414005572625</v>
      </c>
      <c r="BQ167" s="105">
        <v>0.24529425143445546</v>
      </c>
      <c r="BR167" s="105">
        <v>0.2438414005572625</v>
      </c>
      <c r="BS167" s="105">
        <v>0.2447131110835783</v>
      </c>
      <c r="BT167" s="105">
        <v>0.24529425143445546</v>
      </c>
      <c r="BU167" s="105">
        <v>0.24446405093320236</v>
      </c>
      <c r="BV167" s="105">
        <v>0.24493103871515723</v>
      </c>
      <c r="BW167" s="105">
        <v>0.2452942514344555</v>
      </c>
      <c r="BX167" s="106">
        <v>0.2447131110835783</v>
      </c>
      <c r="BY167" s="11"/>
    </row>
    <row r="168">
      <c r="E168" s="174"/>
      <c r="F168" s="175"/>
      <c r="G168" s="220"/>
      <c r="H168" s="220"/>
      <c r="I168" s="220"/>
      <c r="J168" s="220"/>
      <c r="K168" s="220"/>
      <c r="L168" s="220"/>
      <c r="M168" s="220"/>
      <c r="N168" s="220"/>
      <c r="O168" s="220"/>
      <c r="P168" s="220"/>
      <c r="Q168" s="220"/>
      <c r="R168" s="221"/>
      <c r="S168" s="220"/>
      <c r="T168" s="220"/>
      <c r="U168" s="110"/>
      <c r="V168" s="93">
        <f t="shared" si="22"/>
        <v>500000</v>
      </c>
      <c r="W168" s="104">
        <v>0.16407345310494295</v>
      </c>
      <c r="X168" s="105">
        <v>0.1965201686394324</v>
      </c>
      <c r="Y168" s="105">
        <v>0.22896688417392175</v>
      </c>
      <c r="Z168" s="105">
        <v>0.2614135997084111</v>
      </c>
      <c r="AA168" s="105">
        <v>0.29386031524290057</v>
      </c>
      <c r="AB168" s="105">
        <v>0.32630703077739004</v>
      </c>
      <c r="AC168" s="106">
        <v>0.3587537463118794</v>
      </c>
      <c r="AD168" s="51"/>
      <c r="AE168" s="110"/>
      <c r="AF168" s="93">
        <f t="shared" si="23"/>
        <v>500000</v>
      </c>
      <c r="AG168" s="188">
        <v>0.1265660786462675</v>
      </c>
      <c r="AH168" s="188">
        <v>0.13618696375806763</v>
      </c>
      <c r="AI168" s="188">
        <v>0.1456207306920835</v>
      </c>
      <c r="AJ168" s="188">
        <v>0.1549040152178602</v>
      </c>
      <c r="AK168" s="189">
        <v>0.16407345310494295</v>
      </c>
      <c r="AL168" s="188">
        <v>0.16771755761331975</v>
      </c>
      <c r="AM168" s="188">
        <v>0.17135165307188366</v>
      </c>
      <c r="AN168" s="188">
        <v>0.17497808416988558</v>
      </c>
      <c r="AO168" s="188">
        <v>0.17859919559657628</v>
      </c>
      <c r="AP168" s="190">
        <v>0.1822173320412067</v>
      </c>
      <c r="AR168" s="110"/>
      <c r="AS168" s="119">
        <v>0.94</v>
      </c>
      <c r="AT168" s="105">
        <v>0.10839801075834364</v>
      </c>
      <c r="AU168" s="105">
        <v>0.13019077391623837</v>
      </c>
      <c r="AV168" s="105">
        <v>0.1374550283022033</v>
      </c>
      <c r="AW168" s="105">
        <v>0.14108715549518575</v>
      </c>
      <c r="AX168" s="105">
        <v>0.14326643181097523</v>
      </c>
      <c r="AY168" s="105">
        <v>0.14762498444255417</v>
      </c>
      <c r="AZ168" s="105">
        <v>0.14907783531974714</v>
      </c>
      <c r="BA168" s="105">
        <v>0.14762498444255417</v>
      </c>
      <c r="BB168" s="105">
        <v>0.14849669496886997</v>
      </c>
      <c r="BC168" s="105">
        <v>0.14907783531974714</v>
      </c>
      <c r="BD168" s="105">
        <v>0.148247634818494</v>
      </c>
      <c r="BE168" s="105">
        <v>0.1487146226004489</v>
      </c>
      <c r="BF168" s="105">
        <v>0.14907783531974717</v>
      </c>
      <c r="BG168" s="106">
        <v>0.14849669496886997</v>
      </c>
      <c r="BI168" s="110"/>
      <c r="BJ168" s="93">
        <f t="shared" si="24"/>
        <v>400000</v>
      </c>
      <c r="BK168" s="105">
        <v>0.18858427074570427</v>
      </c>
      <c r="BL168" s="105">
        <v>0.21037703390359902</v>
      </c>
      <c r="BM168" s="105">
        <v>0.21764128828956392</v>
      </c>
      <c r="BN168" s="105">
        <v>0.2212734154825464</v>
      </c>
      <c r="BO168" s="105">
        <v>0.22345269179833585</v>
      </c>
      <c r="BP168" s="105">
        <v>0.2278112444299148</v>
      </c>
      <c r="BQ168" s="105">
        <v>0.22926409530710778</v>
      </c>
      <c r="BR168" s="105">
        <v>0.2278112444299148</v>
      </c>
      <c r="BS168" s="105">
        <v>0.2286829549562306</v>
      </c>
      <c r="BT168" s="105">
        <v>0.22926409530710778</v>
      </c>
      <c r="BU168" s="105">
        <v>0.22843389480585466</v>
      </c>
      <c r="BV168" s="105">
        <v>0.22890088258780955</v>
      </c>
      <c r="BW168" s="105">
        <v>0.22926409530710778</v>
      </c>
      <c r="BX168" s="106">
        <v>0.2286829549562306</v>
      </c>
      <c r="BY168" s="11"/>
    </row>
    <row r="169">
      <c r="E169" s="174"/>
      <c r="F169" s="220"/>
      <c r="G169" s="220"/>
      <c r="H169" s="220"/>
      <c r="I169" s="220"/>
      <c r="J169" s="220"/>
      <c r="K169" s="220"/>
      <c r="L169" s="220"/>
      <c r="M169" s="220"/>
      <c r="N169" s="220"/>
      <c r="O169" s="220"/>
      <c r="P169" s="220"/>
      <c r="Q169" s="220"/>
      <c r="R169" s="221"/>
      <c r="S169" s="220"/>
      <c r="T169" s="220"/>
      <c r="U169" s="110"/>
      <c r="V169" s="93">
        <f t="shared" si="22"/>
        <v>550000</v>
      </c>
      <c r="W169" s="104">
        <v>0.1544095418827992</v>
      </c>
      <c r="X169" s="105">
        <v>0.18534627128882863</v>
      </c>
      <c r="Y169" s="105">
        <v>0.21628300069485817</v>
      </c>
      <c r="Z169" s="105">
        <v>0.2472197301008876</v>
      </c>
      <c r="AA169" s="105">
        <v>0.2781564595069171</v>
      </c>
      <c r="AB169" s="105">
        <v>0.3090931889129466</v>
      </c>
      <c r="AC169" s="106">
        <v>0.34002991831897605</v>
      </c>
      <c r="AD169" s="144"/>
      <c r="AE169" s="110"/>
      <c r="AF169" s="93">
        <f t="shared" si="23"/>
        <v>550000</v>
      </c>
      <c r="AG169" s="185">
        <v>0.11864766351562654</v>
      </c>
      <c r="AH169" s="185">
        <v>0.1278208175451579</v>
      </c>
      <c r="AI169" s="185">
        <v>0.1368155613924041</v>
      </c>
      <c r="AJ169" s="185">
        <v>0.14566682589305469</v>
      </c>
      <c r="AK169" s="186">
        <v>0.1544095418827992</v>
      </c>
      <c r="AL169" s="185">
        <v>0.1578840592028377</v>
      </c>
      <c r="AM169" s="185">
        <v>0.16134903326832575</v>
      </c>
      <c r="AN169" s="185">
        <v>0.1648066996527473</v>
      </c>
      <c r="AO169" s="185">
        <v>0.16825929392958666</v>
      </c>
      <c r="AP169" s="187">
        <v>0.17170905167232783</v>
      </c>
      <c r="AR169" s="110"/>
      <c r="AS169" s="119">
        <v>0.96</v>
      </c>
      <c r="AT169" s="105">
        <v>0.11096228477924651</v>
      </c>
      <c r="AU169" s="105">
        <v>0.13275504793714124</v>
      </c>
      <c r="AV169" s="105">
        <v>0.14001930232310617</v>
      </c>
      <c r="AW169" s="105">
        <v>0.1436514295160886</v>
      </c>
      <c r="AX169" s="105">
        <v>0.14583070583187807</v>
      </c>
      <c r="AY169" s="105">
        <v>0.15018925846345701</v>
      </c>
      <c r="AZ169" s="105">
        <v>0.15164210934065</v>
      </c>
      <c r="BA169" s="105">
        <v>0.15018925846345701</v>
      </c>
      <c r="BB169" s="105">
        <v>0.1510609689897728</v>
      </c>
      <c r="BC169" s="105">
        <v>0.15164210934065</v>
      </c>
      <c r="BD169" s="105">
        <v>0.15081190883939688</v>
      </c>
      <c r="BE169" s="105">
        <v>0.15127889662135177</v>
      </c>
      <c r="BF169" s="105">
        <v>0.15164210934065</v>
      </c>
      <c r="BG169" s="106">
        <v>0.1510609689897728</v>
      </c>
      <c r="BI169" s="110"/>
      <c r="BJ169" s="93">
        <f t="shared" si="24"/>
        <v>450000</v>
      </c>
      <c r="BK169" s="105">
        <v>0.17530625753605958</v>
      </c>
      <c r="BL169" s="105">
        <v>0.19709902069395432</v>
      </c>
      <c r="BM169" s="105">
        <v>0.20436327507991922</v>
      </c>
      <c r="BN169" s="105">
        <v>0.20799540227290167</v>
      </c>
      <c r="BO169" s="105">
        <v>0.21017467858869113</v>
      </c>
      <c r="BP169" s="105">
        <v>0.2145332312202701</v>
      </c>
      <c r="BQ169" s="105">
        <v>0.2159860820974631</v>
      </c>
      <c r="BR169" s="105">
        <v>0.2145332312202701</v>
      </c>
      <c r="BS169" s="105">
        <v>0.2154049417465859</v>
      </c>
      <c r="BT169" s="105">
        <v>0.2159860820974631</v>
      </c>
      <c r="BU169" s="105">
        <v>0.21515588159620996</v>
      </c>
      <c r="BV169" s="105">
        <v>0.21562286937816483</v>
      </c>
      <c r="BW169" s="105">
        <v>0.21598608209746306</v>
      </c>
      <c r="BX169" s="106">
        <v>0.2154049417465859</v>
      </c>
      <c r="BY169" s="11"/>
    </row>
    <row r="170">
      <c r="E170" s="174"/>
      <c r="F170" s="220"/>
      <c r="G170" s="220"/>
      <c r="H170" s="220"/>
      <c r="I170" s="220"/>
      <c r="J170" s="220"/>
      <c r="K170" s="220"/>
      <c r="L170" s="220"/>
      <c r="M170" s="220"/>
      <c r="N170" s="220"/>
      <c r="O170" s="220"/>
      <c r="P170" s="220"/>
      <c r="Q170" s="220"/>
      <c r="R170" s="221"/>
      <c r="S170" s="220"/>
      <c r="T170" s="220"/>
      <c r="U170" s="110"/>
      <c r="V170" s="93">
        <f t="shared" si="22"/>
        <v>600000</v>
      </c>
      <c r="W170" s="104">
        <v>0.14598031917960427</v>
      </c>
      <c r="X170" s="105">
        <v>0.17559998253825942</v>
      </c>
      <c r="Y170" s="105">
        <v>0.20521964589691472</v>
      </c>
      <c r="Z170" s="105">
        <v>0.23483930925556992</v>
      </c>
      <c r="AA170" s="105">
        <v>0.26445897261422524</v>
      </c>
      <c r="AB170" s="105">
        <v>0.2940786359728806</v>
      </c>
      <c r="AC170" s="106">
        <v>0.3236982993315357</v>
      </c>
      <c r="AD170" s="51"/>
      <c r="AE170" s="110"/>
      <c r="AF170" s="93">
        <f t="shared" si="23"/>
        <v>600000</v>
      </c>
      <c r="AG170" s="185">
        <v>0.11174092740658813</v>
      </c>
      <c r="AH170" s="185">
        <v>0.12052355373808574</v>
      </c>
      <c r="AI170" s="185">
        <v>0.1291353653247638</v>
      </c>
      <c r="AJ170" s="185">
        <v>0.13760980589560806</v>
      </c>
      <c r="AK170" s="186">
        <v>0.14598031917960427</v>
      </c>
      <c r="AL170" s="185">
        <v>0.14930691624817796</v>
      </c>
      <c r="AM170" s="185">
        <v>0.1526243763461489</v>
      </c>
      <c r="AN170" s="185">
        <v>0.155934839872172</v>
      </c>
      <c r="AO170" s="185">
        <v>0.15924044722490233</v>
      </c>
      <c r="AP170" s="187">
        <v>0.1625433388029951</v>
      </c>
      <c r="AR170" s="110"/>
      <c r="AS170" s="119">
        <v>0.98</v>
      </c>
      <c r="AT170" s="196">
        <v>0.11352279722449164</v>
      </c>
      <c r="AU170" s="196">
        <v>0.13531556038238637</v>
      </c>
      <c r="AV170" s="196">
        <v>0.1425798147683513</v>
      </c>
      <c r="AW170" s="196">
        <v>0.14621194196133375</v>
      </c>
      <c r="AX170" s="196">
        <v>0.14839121827712323</v>
      </c>
      <c r="AY170" s="196">
        <v>0.15274977090870218</v>
      </c>
      <c r="AZ170" s="196">
        <v>0.15420262178589517</v>
      </c>
      <c r="BA170" s="196">
        <v>0.15274977090870218</v>
      </c>
      <c r="BB170" s="196">
        <v>0.15362148143501797</v>
      </c>
      <c r="BC170" s="196">
        <v>0.15420262178589517</v>
      </c>
      <c r="BD170" s="196">
        <v>0.15337242128464204</v>
      </c>
      <c r="BE170" s="196">
        <v>0.1538394090665969</v>
      </c>
      <c r="BF170" s="196">
        <v>0.15420262178589517</v>
      </c>
      <c r="BG170" s="197">
        <v>0.15362148143501797</v>
      </c>
      <c r="BI170" s="110"/>
      <c r="BJ170" s="93">
        <f t="shared" si="24"/>
        <v>500000</v>
      </c>
      <c r="BK170" s="196">
        <v>0.16407345310494295</v>
      </c>
      <c r="BL170" s="196">
        <v>0.1858662162628377</v>
      </c>
      <c r="BM170" s="196">
        <v>0.1931304706488026</v>
      </c>
      <c r="BN170" s="196">
        <v>0.19676259784178504</v>
      </c>
      <c r="BO170" s="196">
        <v>0.1989418741575745</v>
      </c>
      <c r="BP170" s="196">
        <v>0.20330042678915344</v>
      </c>
      <c r="BQ170" s="196">
        <v>0.20475327766634643</v>
      </c>
      <c r="BR170" s="196">
        <v>0.20330042678915344</v>
      </c>
      <c r="BS170" s="196">
        <v>0.20417213731546927</v>
      </c>
      <c r="BT170" s="196">
        <v>0.20475327766634643</v>
      </c>
      <c r="BU170" s="196">
        <v>0.2039230771650933</v>
      </c>
      <c r="BV170" s="196">
        <v>0.2043900649470482</v>
      </c>
      <c r="BW170" s="196">
        <v>0.20475327766634643</v>
      </c>
      <c r="BX170" s="197">
        <v>0.20417213731546927</v>
      </c>
      <c r="BY170" s="11"/>
    </row>
    <row r="171">
      <c r="E171" s="174"/>
      <c r="F171" s="220"/>
      <c r="G171" s="220"/>
      <c r="H171" s="220"/>
      <c r="I171" s="220"/>
      <c r="J171" s="220"/>
      <c r="K171" s="220"/>
      <c r="L171" s="220"/>
      <c r="M171" s="220"/>
      <c r="N171" s="220"/>
      <c r="O171" s="220"/>
      <c r="P171" s="220"/>
      <c r="Q171" s="220"/>
      <c r="R171" s="221"/>
      <c r="S171" s="220"/>
      <c r="T171" s="220"/>
      <c r="U171" s="110"/>
      <c r="V171" s="93">
        <f t="shared" si="22"/>
        <v>650000</v>
      </c>
      <c r="W171" s="104">
        <v>0.13854344686627715</v>
      </c>
      <c r="X171" s="105">
        <v>0.16700109892597517</v>
      </c>
      <c r="Y171" s="105">
        <v>0.195458750985673</v>
      </c>
      <c r="Z171" s="105">
        <v>0.22391640304537092</v>
      </c>
      <c r="AA171" s="105">
        <v>0.25237405510506883</v>
      </c>
      <c r="AB171" s="105">
        <v>0.28083170716476674</v>
      </c>
      <c r="AC171" s="106">
        <v>0.30928935922446454</v>
      </c>
      <c r="AD171" s="51"/>
      <c r="AE171" s="110"/>
      <c r="AF171" s="93">
        <f t="shared" si="23"/>
        <v>650000</v>
      </c>
      <c r="AG171" s="185">
        <v>0.1056473033141443</v>
      </c>
      <c r="AH171" s="185">
        <v>0.1140853777542802</v>
      </c>
      <c r="AI171" s="185">
        <v>0.12235933869603234</v>
      </c>
      <c r="AJ171" s="185">
        <v>0.13050131783487362</v>
      </c>
      <c r="AK171" s="186">
        <v>0.13854344686627715</v>
      </c>
      <c r="AL171" s="185">
        <v>0.141739537948542</v>
      </c>
      <c r="AM171" s="185">
        <v>0.14492685051340273</v>
      </c>
      <c r="AN171" s="185">
        <v>0.14810744098936968</v>
      </c>
      <c r="AO171" s="185">
        <v>0.1512833658049531</v>
      </c>
      <c r="AP171" s="187">
        <v>0.1544566813886632</v>
      </c>
      <c r="AR171" s="146"/>
      <c r="AS171" s="147">
        <v>1.0</v>
      </c>
      <c r="AT171" s="198">
        <v>0.11608120603974803</v>
      </c>
      <c r="AU171" s="198">
        <v>0.13787396919764278</v>
      </c>
      <c r="AV171" s="198">
        <v>0.14513822358360767</v>
      </c>
      <c r="AW171" s="198">
        <v>0.14877035077659012</v>
      </c>
      <c r="AX171" s="198">
        <v>0.15094962709237958</v>
      </c>
      <c r="AY171" s="198">
        <v>0.15530817972395852</v>
      </c>
      <c r="AZ171" s="198">
        <v>0.1567610306011515</v>
      </c>
      <c r="BA171" s="198">
        <v>0.15530817972395852</v>
      </c>
      <c r="BB171" s="198">
        <v>0.15617989025027432</v>
      </c>
      <c r="BC171" s="198">
        <v>0.1567610306011515</v>
      </c>
      <c r="BD171" s="198">
        <v>0.1559308300998984</v>
      </c>
      <c r="BE171" s="198">
        <v>0.15639781788185328</v>
      </c>
      <c r="BF171" s="198">
        <v>0.15676103060115154</v>
      </c>
      <c r="BG171" s="199">
        <v>0.15617989025027432</v>
      </c>
      <c r="BI171" s="110"/>
      <c r="BJ171" s="93">
        <f t="shared" si="24"/>
        <v>550000</v>
      </c>
      <c r="BK171" s="200">
        <v>0.1544095418827992</v>
      </c>
      <c r="BL171" s="200">
        <v>0.17620230504069395</v>
      </c>
      <c r="BM171" s="200">
        <v>0.18346655942665885</v>
      </c>
      <c r="BN171" s="200">
        <v>0.1870986866196413</v>
      </c>
      <c r="BO171" s="200">
        <v>0.18927796293543078</v>
      </c>
      <c r="BP171" s="200">
        <v>0.19363651556700973</v>
      </c>
      <c r="BQ171" s="200">
        <v>0.1950893664442027</v>
      </c>
      <c r="BR171" s="200">
        <v>0.19363651556700973</v>
      </c>
      <c r="BS171" s="200">
        <v>0.19450822609332552</v>
      </c>
      <c r="BT171" s="200">
        <v>0.1950893664442027</v>
      </c>
      <c r="BU171" s="200">
        <v>0.1942591659429496</v>
      </c>
      <c r="BV171" s="200">
        <v>0.19472615372490445</v>
      </c>
      <c r="BW171" s="200">
        <v>0.1950893664442027</v>
      </c>
      <c r="BX171" s="201">
        <v>0.19450822609332552</v>
      </c>
      <c r="BY171" s="11"/>
    </row>
    <row r="172">
      <c r="E172" s="174"/>
      <c r="F172" s="220"/>
      <c r="G172" s="220"/>
      <c r="H172" s="220"/>
      <c r="I172" s="220"/>
      <c r="J172" s="220"/>
      <c r="K172" s="220"/>
      <c r="L172" s="220"/>
      <c r="M172" s="220"/>
      <c r="N172" s="220"/>
      <c r="O172" s="220"/>
      <c r="P172" s="220"/>
      <c r="Q172" s="220"/>
      <c r="R172" s="221"/>
      <c r="S172" s="220"/>
      <c r="T172" s="220"/>
      <c r="U172" s="110"/>
      <c r="V172" s="93">
        <f t="shared" si="22"/>
        <v>700000</v>
      </c>
      <c r="W172" s="104">
        <v>0.13191834367422392</v>
      </c>
      <c r="X172" s="105">
        <v>0.15934082336016353</v>
      </c>
      <c r="Y172" s="105">
        <v>0.18676330304610314</v>
      </c>
      <c r="Z172" s="105">
        <v>0.2141857827320427</v>
      </c>
      <c r="AA172" s="105">
        <v>0.24160826241798242</v>
      </c>
      <c r="AB172" s="105">
        <v>0.269030742103922</v>
      </c>
      <c r="AC172" s="106">
        <v>0.29645322178986144</v>
      </c>
      <c r="AD172" s="51"/>
      <c r="AE172" s="110"/>
      <c r="AF172" s="93">
        <f t="shared" si="23"/>
        <v>700000</v>
      </c>
      <c r="AG172" s="185">
        <v>0.10021882656677877</v>
      </c>
      <c r="AH172" s="185">
        <v>0.10834995855327086</v>
      </c>
      <c r="AI172" s="185">
        <v>0.11632294681567158</v>
      </c>
      <c r="AJ172" s="185">
        <v>0.12416875423048716</v>
      </c>
      <c r="AK172" s="186">
        <v>0.13191834367422392</v>
      </c>
      <c r="AL172" s="185">
        <v>0.13499817410415396</v>
      </c>
      <c r="AM172" s="185">
        <v>0.13806954534304888</v>
      </c>
      <c r="AN172" s="185">
        <v>0.141134439015005</v>
      </c>
      <c r="AO172" s="185">
        <v>0.14419483674411873</v>
      </c>
      <c r="AP172" s="187">
        <v>0.14725272015448643</v>
      </c>
      <c r="BI172" s="110"/>
      <c r="BJ172" s="93">
        <f t="shared" si="24"/>
        <v>600000</v>
      </c>
      <c r="BK172" s="200">
        <v>0.14598031917960427</v>
      </c>
      <c r="BL172" s="200">
        <v>0.16777308233749902</v>
      </c>
      <c r="BM172" s="200">
        <v>0.17503733672346392</v>
      </c>
      <c r="BN172" s="200">
        <v>0.1786694639164464</v>
      </c>
      <c r="BO172" s="200">
        <v>0.18084874023223585</v>
      </c>
      <c r="BP172" s="200">
        <v>0.1852072928638148</v>
      </c>
      <c r="BQ172" s="200">
        <v>0.18666014374100776</v>
      </c>
      <c r="BR172" s="200">
        <v>0.1852072928638148</v>
      </c>
      <c r="BS172" s="200">
        <v>0.1860790033901306</v>
      </c>
      <c r="BT172" s="200">
        <v>0.18666014374100776</v>
      </c>
      <c r="BU172" s="200">
        <v>0.18582994323975466</v>
      </c>
      <c r="BV172" s="200">
        <v>0.18629693102170952</v>
      </c>
      <c r="BW172" s="200">
        <v>0.18666014374100778</v>
      </c>
      <c r="BX172" s="201">
        <v>0.1860790033901306</v>
      </c>
      <c r="BY172" s="11"/>
    </row>
    <row r="173">
      <c r="E173" s="174"/>
      <c r="F173" s="220"/>
      <c r="G173" s="220"/>
      <c r="H173" s="220"/>
      <c r="I173" s="220"/>
      <c r="J173" s="220"/>
      <c r="K173" s="220"/>
      <c r="L173" s="220"/>
      <c r="M173" s="220"/>
      <c r="N173" s="220"/>
      <c r="O173" s="220"/>
      <c r="P173" s="220"/>
      <c r="Q173" s="220"/>
      <c r="R173" s="221"/>
      <c r="S173" s="220"/>
      <c r="T173" s="220"/>
      <c r="U173" s="110"/>
      <c r="V173" s="93">
        <f t="shared" si="22"/>
        <v>750000</v>
      </c>
      <c r="W173" s="104">
        <v>0.1259673203801795</v>
      </c>
      <c r="X173" s="105">
        <v>0.15245995267642465</v>
      </c>
      <c r="Y173" s="105">
        <v>0.17895258497266983</v>
      </c>
      <c r="Z173" s="105">
        <v>0.205445217268915</v>
      </c>
      <c r="AA173" s="105">
        <v>0.23193784956516025</v>
      </c>
      <c r="AB173" s="105">
        <v>0.25843048186140527</v>
      </c>
      <c r="AC173" s="106">
        <v>0.2849231141576505</v>
      </c>
      <c r="AD173" s="51"/>
      <c r="AE173" s="110"/>
      <c r="AF173" s="93">
        <f t="shared" si="23"/>
        <v>750000</v>
      </c>
      <c r="AG173" s="185">
        <v>0.09534267737509512</v>
      </c>
      <c r="AH173" s="185">
        <v>0.10319809717437843</v>
      </c>
      <c r="AI173" s="185">
        <v>0.11090073562127141</v>
      </c>
      <c r="AJ173" s="185">
        <v>0.11848050569634735</v>
      </c>
      <c r="AK173" s="186">
        <v>0.1259673203801795</v>
      </c>
      <c r="AL173" s="185">
        <v>0.12894271925181258</v>
      </c>
      <c r="AM173" s="185">
        <v>0.131909945768495</v>
      </c>
      <c r="AN173" s="185">
        <v>0.13487091436098345</v>
      </c>
      <c r="AO173" s="185">
        <v>0.13782753946003476</v>
      </c>
      <c r="AP173" s="187">
        <v>0.14078173549640555</v>
      </c>
      <c r="BI173" s="110"/>
      <c r="BJ173" s="93">
        <f t="shared" si="24"/>
        <v>650000</v>
      </c>
      <c r="BK173" s="200">
        <v>0.13854344686627715</v>
      </c>
      <c r="BL173" s="200">
        <v>0.1603362100241719</v>
      </c>
      <c r="BM173" s="200">
        <v>0.16760046441013682</v>
      </c>
      <c r="BN173" s="200">
        <v>0.17123259160311927</v>
      </c>
      <c r="BO173" s="200">
        <v>0.17341186791890872</v>
      </c>
      <c r="BP173" s="200">
        <v>0.17777042055048767</v>
      </c>
      <c r="BQ173" s="200">
        <v>0.17922327142768066</v>
      </c>
      <c r="BR173" s="200">
        <v>0.17777042055048767</v>
      </c>
      <c r="BS173" s="200">
        <v>0.1786421310768035</v>
      </c>
      <c r="BT173" s="200">
        <v>0.17922327142768066</v>
      </c>
      <c r="BU173" s="200">
        <v>0.17839307092642753</v>
      </c>
      <c r="BV173" s="200">
        <v>0.17886005870838242</v>
      </c>
      <c r="BW173" s="200">
        <v>0.17922327142768066</v>
      </c>
      <c r="BX173" s="201">
        <v>0.1786421310768035</v>
      </c>
      <c r="BY173" s="11"/>
    </row>
    <row r="174">
      <c r="E174" s="174"/>
      <c r="F174" s="220"/>
      <c r="G174" s="175"/>
      <c r="H174" s="175"/>
      <c r="I174" s="175"/>
      <c r="J174" s="175"/>
      <c r="K174" s="175"/>
      <c r="L174" s="175"/>
      <c r="M174" s="175"/>
      <c r="N174" s="175"/>
      <c r="O174" s="175"/>
      <c r="P174" s="175"/>
      <c r="Q174" s="175"/>
      <c r="R174" s="222"/>
      <c r="S174" s="175"/>
      <c r="T174" s="175"/>
      <c r="U174" s="110"/>
      <c r="V174" s="93">
        <f t="shared" si="22"/>
        <v>800000</v>
      </c>
      <c r="W174" s="104">
        <v>0.12058331157309733</v>
      </c>
      <c r="X174" s="105">
        <v>0.1462346924932359</v>
      </c>
      <c r="Y174" s="105">
        <v>0.17188607341337447</v>
      </c>
      <c r="Z174" s="105">
        <v>0.19753745433351302</v>
      </c>
      <c r="AA174" s="105">
        <v>0.2231888352536516</v>
      </c>
      <c r="AB174" s="105">
        <v>0.24884021617379024</v>
      </c>
      <c r="AC174" s="106">
        <v>0.2744915970939287</v>
      </c>
      <c r="AD174" s="51"/>
      <c r="AE174" s="110"/>
      <c r="AF174" s="93">
        <f t="shared" si="23"/>
        <v>800000</v>
      </c>
      <c r="AG174" s="185">
        <v>0.09093112848753752</v>
      </c>
      <c r="AH174" s="185">
        <v>0.09853710600256053</v>
      </c>
      <c r="AI174" s="185">
        <v>0.10599515360922893</v>
      </c>
      <c r="AJ174" s="185">
        <v>0.11333423442644155</v>
      </c>
      <c r="AK174" s="186">
        <v>0.12058331157309733</v>
      </c>
      <c r="AL174" s="185">
        <v>0.12346422914263706</v>
      </c>
      <c r="AM174" s="185">
        <v>0.1263372338635211</v>
      </c>
      <c r="AN174" s="185">
        <v>0.12920417937535894</v>
      </c>
      <c r="AO174" s="185">
        <v>0.1320669193177601</v>
      </c>
      <c r="AP174" s="187">
        <v>0.13492730733033403</v>
      </c>
      <c r="BI174" s="110"/>
      <c r="BJ174" s="93">
        <f t="shared" si="24"/>
        <v>700000</v>
      </c>
      <c r="BK174" s="200">
        <v>0.13191834367422392</v>
      </c>
      <c r="BL174" s="200">
        <v>0.15371110683211867</v>
      </c>
      <c r="BM174" s="200">
        <v>0.1609753612180836</v>
      </c>
      <c r="BN174" s="200">
        <v>0.16460748841106604</v>
      </c>
      <c r="BO174" s="200">
        <v>0.16678676472685552</v>
      </c>
      <c r="BP174" s="200">
        <v>0.17114531735843447</v>
      </c>
      <c r="BQ174" s="200">
        <v>0.17259816823562746</v>
      </c>
      <c r="BR174" s="200">
        <v>0.17114531735843447</v>
      </c>
      <c r="BS174" s="200">
        <v>0.17201702788475026</v>
      </c>
      <c r="BT174" s="200">
        <v>0.17259816823562746</v>
      </c>
      <c r="BU174" s="200">
        <v>0.1717679677343743</v>
      </c>
      <c r="BV174" s="200">
        <v>0.17223495551632922</v>
      </c>
      <c r="BW174" s="200">
        <v>0.17259816823562746</v>
      </c>
      <c r="BX174" s="201">
        <v>0.17201702788475026</v>
      </c>
      <c r="BY174" s="11"/>
    </row>
    <row r="175">
      <c r="E175" s="174"/>
      <c r="F175" s="175"/>
      <c r="G175" s="220"/>
      <c r="H175" s="220"/>
      <c r="I175" s="220"/>
      <c r="J175" s="220"/>
      <c r="K175" s="220"/>
      <c r="L175" s="220"/>
      <c r="M175" s="220"/>
      <c r="N175" s="220"/>
      <c r="O175" s="220"/>
      <c r="P175" s="220"/>
      <c r="Q175" s="220"/>
      <c r="R175" s="221"/>
      <c r="S175" s="220"/>
      <c r="T175" s="220"/>
      <c r="U175" s="110"/>
      <c r="V175" s="93">
        <f t="shared" si="22"/>
        <v>850000</v>
      </c>
      <c r="W175" s="104">
        <v>0.11568164051968888</v>
      </c>
      <c r="X175" s="105">
        <v>0.14056713533773238</v>
      </c>
      <c r="Y175" s="105">
        <v>0.16545263015577585</v>
      </c>
      <c r="Z175" s="105">
        <v>0.1903381249738193</v>
      </c>
      <c r="AA175" s="105">
        <v>0.21522361979186283</v>
      </c>
      <c r="AB175" s="105">
        <v>0.2401091146099063</v>
      </c>
      <c r="AC175" s="106">
        <v>0.2649946094279499</v>
      </c>
      <c r="AD175" s="51"/>
      <c r="AE175" s="110"/>
      <c r="AF175" s="93">
        <f t="shared" si="23"/>
        <v>850000</v>
      </c>
      <c r="AG175" s="185">
        <v>0.0869147974862967</v>
      </c>
      <c r="AH175" s="185">
        <v>0.09429367952877037</v>
      </c>
      <c r="AI175" s="185">
        <v>0.10152904848010653</v>
      </c>
      <c r="AJ175" s="185">
        <v>0.10864900269288584</v>
      </c>
      <c r="AK175" s="186">
        <v>0.11568164051968888</v>
      </c>
      <c r="AL175" s="185">
        <v>0.11847654109331479</v>
      </c>
      <c r="AM175" s="185">
        <v>0.12126376507616256</v>
      </c>
      <c r="AN175" s="185">
        <v>0.12404511076279727</v>
      </c>
      <c r="AO175" s="185">
        <v>0.12682237644778427</v>
      </c>
      <c r="AP175" s="187">
        <v>0.12959736042568848</v>
      </c>
      <c r="BI175" s="110"/>
      <c r="BJ175" s="93">
        <f t="shared" si="24"/>
        <v>750000</v>
      </c>
      <c r="BK175" s="200">
        <v>0.1259673203801795</v>
      </c>
      <c r="BL175" s="200">
        <v>0.14776008353807424</v>
      </c>
      <c r="BM175" s="200">
        <v>0.15502433792403916</v>
      </c>
      <c r="BN175" s="200">
        <v>0.1586564651170216</v>
      </c>
      <c r="BO175" s="200">
        <v>0.1608357414328111</v>
      </c>
      <c r="BP175" s="200">
        <v>0.16519429406439004</v>
      </c>
      <c r="BQ175" s="200">
        <v>0.16664714494158303</v>
      </c>
      <c r="BR175" s="200">
        <v>0.16519429406439004</v>
      </c>
      <c r="BS175" s="200">
        <v>0.16606600459070583</v>
      </c>
      <c r="BT175" s="200">
        <v>0.16664714494158303</v>
      </c>
      <c r="BU175" s="200">
        <v>0.16581694444032988</v>
      </c>
      <c r="BV175" s="200">
        <v>0.16628393222228477</v>
      </c>
      <c r="BW175" s="200">
        <v>0.16664714494158303</v>
      </c>
      <c r="BX175" s="201">
        <v>0.16606600459070583</v>
      </c>
      <c r="BY175" s="11"/>
    </row>
    <row r="176">
      <c r="E176" s="174"/>
      <c r="F176" s="220"/>
      <c r="G176" s="220"/>
      <c r="H176" s="220"/>
      <c r="I176" s="220"/>
      <c r="J176" s="220"/>
      <c r="K176" s="220"/>
      <c r="L176" s="220"/>
      <c r="M176" s="220"/>
      <c r="N176" s="220"/>
      <c r="O176" s="220"/>
      <c r="P176" s="220"/>
      <c r="Q176" s="220"/>
      <c r="R176" s="221"/>
      <c r="S176" s="220"/>
      <c r="T176" s="220"/>
      <c r="U176" s="110"/>
      <c r="V176" s="93">
        <f t="shared" si="22"/>
        <v>900000</v>
      </c>
      <c r="W176" s="104">
        <v>0.111194338391873</v>
      </c>
      <c r="X176" s="105">
        <v>0.13537869225244525</v>
      </c>
      <c r="Y176" s="105">
        <v>0.15956304611301753</v>
      </c>
      <c r="Z176" s="105">
        <v>0.18374739997358983</v>
      </c>
      <c r="AA176" s="105">
        <v>0.2079317538341621</v>
      </c>
      <c r="AB176" s="105">
        <v>0.2321161076947343</v>
      </c>
      <c r="AC176" s="106">
        <v>0.2563004615553066</v>
      </c>
      <c r="AD176" s="51"/>
      <c r="AE176" s="110"/>
      <c r="AF176" s="93">
        <f t="shared" si="23"/>
        <v>900000</v>
      </c>
      <c r="AG176" s="188">
        <v>0.08323799207616049</v>
      </c>
      <c r="AH176" s="188">
        <v>0.09040897644739408</v>
      </c>
      <c r="AI176" s="188">
        <v>0.09744049116351051</v>
      </c>
      <c r="AJ176" s="188">
        <v>0.10435984291488007</v>
      </c>
      <c r="AK176" s="189">
        <v>0.111194338391873</v>
      </c>
      <c r="AL176" s="188">
        <v>0.11391049352448769</v>
      </c>
      <c r="AM176" s="188">
        <v>0.11661918835184513</v>
      </c>
      <c r="AN176" s="188">
        <v>0.11932217050212893</v>
      </c>
      <c r="AO176" s="188">
        <v>0.12202118760352285</v>
      </c>
      <c r="AP176" s="190">
        <v>0.12471798728421056</v>
      </c>
      <c r="BI176" s="110"/>
      <c r="BJ176" s="93">
        <f t="shared" si="24"/>
        <v>800000</v>
      </c>
      <c r="BK176" s="200">
        <v>0.12058331157309733</v>
      </c>
      <c r="BL176" s="200">
        <v>0.14237607473099206</v>
      </c>
      <c r="BM176" s="200">
        <v>0.149640329116957</v>
      </c>
      <c r="BN176" s="200">
        <v>0.15327245630993944</v>
      </c>
      <c r="BO176" s="200">
        <v>0.15545173262572892</v>
      </c>
      <c r="BP176" s="200">
        <v>0.15981028525730787</v>
      </c>
      <c r="BQ176" s="200">
        <v>0.16126313613450083</v>
      </c>
      <c r="BR176" s="200">
        <v>0.15981028525730787</v>
      </c>
      <c r="BS176" s="200">
        <v>0.16068199578362366</v>
      </c>
      <c r="BT176" s="200">
        <v>0.16126313613450083</v>
      </c>
      <c r="BU176" s="200">
        <v>0.16043293563324773</v>
      </c>
      <c r="BV176" s="200">
        <v>0.16089992341520262</v>
      </c>
      <c r="BW176" s="200">
        <v>0.16126313613450086</v>
      </c>
      <c r="BX176" s="201">
        <v>0.16068199578362366</v>
      </c>
      <c r="BY176" s="11"/>
    </row>
    <row r="177">
      <c r="E177" s="174"/>
      <c r="F177" s="220"/>
      <c r="G177" s="220"/>
      <c r="H177" s="220"/>
      <c r="I177" s="220"/>
      <c r="J177" s="220"/>
      <c r="K177" s="220"/>
      <c r="L177" s="220"/>
      <c r="M177" s="220"/>
      <c r="N177" s="220"/>
      <c r="O177" s="220"/>
      <c r="P177" s="220"/>
      <c r="Q177" s="220"/>
      <c r="R177" s="221"/>
      <c r="S177" s="220"/>
      <c r="T177" s="220"/>
      <c r="U177" s="154"/>
      <c r="V177" s="93">
        <f t="shared" si="22"/>
        <v>950000</v>
      </c>
      <c r="W177" s="104">
        <v>0.10706613137603552</v>
      </c>
      <c r="X177" s="105">
        <v>0.13060545289038317</v>
      </c>
      <c r="Y177" s="105">
        <v>0.15414477440473082</v>
      </c>
      <c r="Z177" s="105">
        <v>0.1776840959190785</v>
      </c>
      <c r="AA177" s="105">
        <v>0.20122341743342614</v>
      </c>
      <c r="AB177" s="105">
        <v>0.22476273894777385</v>
      </c>
      <c r="AC177" s="106">
        <v>0.2483020604621214</v>
      </c>
      <c r="AD177" s="144"/>
      <c r="AE177" s="202"/>
      <c r="AF177" s="93">
        <f t="shared" si="23"/>
        <v>950000</v>
      </c>
      <c r="AG177" s="185">
        <v>0.07985542200228365</v>
      </c>
      <c r="AH177" s="185">
        <v>0.08683514565593166</v>
      </c>
      <c r="AI177" s="185">
        <v>0.09367911951563333</v>
      </c>
      <c r="AJ177" s="185">
        <v>0.10041392196209811</v>
      </c>
      <c r="AK177" s="186">
        <v>0.10706613137603552</v>
      </c>
      <c r="AL177" s="185">
        <v>0.10970984264978172</v>
      </c>
      <c r="AM177" s="185">
        <v>0.11234629259560248</v>
      </c>
      <c r="AN177" s="185">
        <v>0.11497718222986328</v>
      </c>
      <c r="AO177" s="185">
        <v>0.11760421256892933</v>
      </c>
      <c r="AP177" s="187">
        <v>0.12022908462916619</v>
      </c>
      <c r="BI177" s="110"/>
      <c r="BJ177" s="93">
        <f t="shared" si="24"/>
        <v>850000</v>
      </c>
      <c r="BK177" s="200">
        <v>0.11568164051968888</v>
      </c>
      <c r="BL177" s="200">
        <v>0.13747440367758362</v>
      </c>
      <c r="BM177" s="200">
        <v>0.14473865806354852</v>
      </c>
      <c r="BN177" s="200">
        <v>0.14837078525653097</v>
      </c>
      <c r="BO177" s="200">
        <v>0.15055006157232045</v>
      </c>
      <c r="BP177" s="200">
        <v>0.1549086142038994</v>
      </c>
      <c r="BQ177" s="200">
        <v>0.1563614650810924</v>
      </c>
      <c r="BR177" s="200">
        <v>0.1549086142038994</v>
      </c>
      <c r="BS177" s="200">
        <v>0.1557803247302152</v>
      </c>
      <c r="BT177" s="200">
        <v>0.1563614650810924</v>
      </c>
      <c r="BU177" s="200">
        <v>0.15553126457983926</v>
      </c>
      <c r="BV177" s="200">
        <v>0.15599825236179413</v>
      </c>
      <c r="BW177" s="200">
        <v>0.1563614650810924</v>
      </c>
      <c r="BX177" s="201">
        <v>0.1557803247302152</v>
      </c>
      <c r="BY177" s="11"/>
    </row>
    <row r="178">
      <c r="E178" s="174"/>
      <c r="F178" s="220"/>
      <c r="G178" s="220"/>
      <c r="H178" s="220"/>
      <c r="I178" s="220"/>
      <c r="J178" s="220"/>
      <c r="K178" s="220"/>
      <c r="L178" s="220"/>
      <c r="M178" s="220"/>
      <c r="N178" s="220"/>
      <c r="O178" s="220"/>
      <c r="P178" s="220"/>
      <c r="Q178" s="220"/>
      <c r="R178" s="221"/>
      <c r="S178" s="220"/>
      <c r="T178" s="220"/>
      <c r="U178" s="155"/>
      <c r="V178" s="156">
        <f t="shared" si="22"/>
        <v>1000000</v>
      </c>
      <c r="W178" s="157">
        <v>0.1032515462068881</v>
      </c>
      <c r="X178" s="158">
        <v>0.12619483878855645</v>
      </c>
      <c r="Y178" s="158">
        <v>0.14913813137022483</v>
      </c>
      <c r="Z178" s="158">
        <v>0.17208142395189324</v>
      </c>
      <c r="AA178" s="158">
        <v>0.19502471653356152</v>
      </c>
      <c r="AB178" s="158">
        <v>0.21796800911522993</v>
      </c>
      <c r="AC178" s="159">
        <v>0.2409113016968983</v>
      </c>
      <c r="AD178" s="51"/>
      <c r="AE178" s="155"/>
      <c r="AF178" s="156">
        <f t="shared" si="23"/>
        <v>1000000</v>
      </c>
      <c r="AG178" s="203">
        <v>0.07672982738265563</v>
      </c>
      <c r="AH178" s="203">
        <v>0.08353282048622619</v>
      </c>
      <c r="AI178" s="203">
        <v>0.09020350105740223</v>
      </c>
      <c r="AJ178" s="203">
        <v>0.09676777449726308</v>
      </c>
      <c r="AK178" s="204">
        <v>0.1032515462068881</v>
      </c>
      <c r="AL178" s="203">
        <v>0.10582831721611384</v>
      </c>
      <c r="AM178" s="203">
        <v>0.10839801075834364</v>
      </c>
      <c r="AN178" s="203">
        <v>0.11096228477924656</v>
      </c>
      <c r="AO178" s="203">
        <v>0.11352279722449164</v>
      </c>
      <c r="AP178" s="205">
        <v>0.11608120603974803</v>
      </c>
      <c r="BI178" s="110"/>
      <c r="BJ178" s="93">
        <f t="shared" si="24"/>
        <v>900000</v>
      </c>
      <c r="BK178" s="196">
        <v>0.111194338391873</v>
      </c>
      <c r="BL178" s="196">
        <v>0.13298710154976773</v>
      </c>
      <c r="BM178" s="196">
        <v>0.14025135593573265</v>
      </c>
      <c r="BN178" s="196">
        <v>0.1438834831287151</v>
      </c>
      <c r="BO178" s="196">
        <v>0.1460627594445046</v>
      </c>
      <c r="BP178" s="196">
        <v>0.15042131207608353</v>
      </c>
      <c r="BQ178" s="196">
        <v>0.15187416295327652</v>
      </c>
      <c r="BR178" s="196">
        <v>0.15042131207608353</v>
      </c>
      <c r="BS178" s="196">
        <v>0.15129302260239932</v>
      </c>
      <c r="BT178" s="196">
        <v>0.15187416295327652</v>
      </c>
      <c r="BU178" s="196">
        <v>0.15104396245202337</v>
      </c>
      <c r="BV178" s="196">
        <v>0.15151095023397826</v>
      </c>
      <c r="BW178" s="196">
        <v>0.15187416295327652</v>
      </c>
      <c r="BX178" s="197">
        <v>0.15129302260239932</v>
      </c>
      <c r="BY178" s="11"/>
    </row>
    <row r="179">
      <c r="E179" s="174"/>
      <c r="F179" s="220"/>
      <c r="G179" s="220"/>
      <c r="H179" s="220"/>
      <c r="I179" s="220"/>
      <c r="J179" s="220"/>
      <c r="K179" s="220"/>
      <c r="L179" s="220"/>
      <c r="M179" s="220"/>
      <c r="N179" s="220"/>
      <c r="O179" s="220"/>
      <c r="P179" s="220"/>
      <c r="Q179" s="220"/>
      <c r="R179" s="221"/>
      <c r="S179" s="220"/>
      <c r="T179" s="220"/>
      <c r="AD179" s="23"/>
      <c r="AE179" s="23"/>
      <c r="AF179" s="23"/>
      <c r="AG179" s="23"/>
      <c r="AH179" s="23"/>
      <c r="AI179" s="51"/>
      <c r="BI179" s="163"/>
      <c r="BJ179" s="93">
        <f t="shared" si="24"/>
        <v>950000</v>
      </c>
      <c r="BK179" s="200">
        <v>0.10706613137603552</v>
      </c>
      <c r="BL179" s="200">
        <v>0.12885889453393026</v>
      </c>
      <c r="BM179" s="200">
        <v>0.13612314891989516</v>
      </c>
      <c r="BN179" s="200">
        <v>0.1397552761128776</v>
      </c>
      <c r="BO179" s="200">
        <v>0.1419345524286671</v>
      </c>
      <c r="BP179" s="200">
        <v>0.14629310506024604</v>
      </c>
      <c r="BQ179" s="200">
        <v>0.147745955937439</v>
      </c>
      <c r="BR179" s="200">
        <v>0.14629310506024604</v>
      </c>
      <c r="BS179" s="200">
        <v>0.14716481558656183</v>
      </c>
      <c r="BT179" s="200">
        <v>0.147745955937439</v>
      </c>
      <c r="BU179" s="200">
        <v>0.14691575543618587</v>
      </c>
      <c r="BV179" s="200">
        <v>0.1473827432181408</v>
      </c>
      <c r="BW179" s="200">
        <v>0.147745955937439</v>
      </c>
      <c r="BX179" s="201">
        <v>0.14716481558656183</v>
      </c>
      <c r="BY179" s="11"/>
    </row>
    <row r="180">
      <c r="E180" s="174"/>
      <c r="F180" s="220"/>
      <c r="G180" s="220"/>
      <c r="H180" s="220"/>
      <c r="I180" s="220"/>
      <c r="J180" s="220"/>
      <c r="K180" s="220"/>
      <c r="L180" s="220"/>
      <c r="M180" s="220"/>
      <c r="N180" s="220"/>
      <c r="O180" s="220"/>
      <c r="P180" s="220"/>
      <c r="Q180" s="220"/>
      <c r="R180" s="221"/>
      <c r="S180" s="220"/>
      <c r="T180" s="220"/>
      <c r="BI180" s="164"/>
      <c r="BJ180" s="165">
        <f t="shared" si="24"/>
        <v>1000000</v>
      </c>
      <c r="BK180" s="206">
        <v>0.1032515462068881</v>
      </c>
      <c r="BL180" s="206">
        <v>0.12504430936478284</v>
      </c>
      <c r="BM180" s="206">
        <v>0.13230856375074776</v>
      </c>
      <c r="BN180" s="206">
        <v>0.1359406909437302</v>
      </c>
      <c r="BO180" s="206">
        <v>0.13811996725951967</v>
      </c>
      <c r="BP180" s="206">
        <v>0.1424785198910986</v>
      </c>
      <c r="BQ180" s="206">
        <v>0.14393137076829163</v>
      </c>
      <c r="BR180" s="206">
        <v>0.1424785198910986</v>
      </c>
      <c r="BS180" s="206">
        <v>0.14335023041741443</v>
      </c>
      <c r="BT180" s="206">
        <v>0.14393137076829163</v>
      </c>
      <c r="BU180" s="206">
        <v>0.14310117026703847</v>
      </c>
      <c r="BV180" s="206">
        <v>0.14356815804899337</v>
      </c>
      <c r="BW180" s="206">
        <v>0.1439313707682916</v>
      </c>
      <c r="BX180" s="207">
        <v>0.14335023041741443</v>
      </c>
      <c r="BY180" s="11"/>
    </row>
    <row r="181">
      <c r="E181" s="174"/>
      <c r="F181" s="220"/>
      <c r="G181" s="220"/>
      <c r="H181" s="220"/>
      <c r="I181" s="220"/>
      <c r="J181" s="220"/>
      <c r="K181" s="220"/>
      <c r="L181" s="220"/>
      <c r="M181" s="220"/>
      <c r="N181" s="220"/>
      <c r="O181" s="220"/>
      <c r="P181" s="220"/>
      <c r="Q181" s="220"/>
      <c r="R181" s="221"/>
      <c r="S181" s="220"/>
      <c r="T181" s="220"/>
      <c r="BY181" s="11"/>
    </row>
    <row r="182">
      <c r="E182" s="174"/>
      <c r="F182" s="220"/>
      <c r="G182" s="220"/>
      <c r="H182" s="220"/>
      <c r="I182" s="220"/>
      <c r="J182" s="220"/>
      <c r="K182" s="220"/>
      <c r="L182" s="220"/>
      <c r="M182" s="220"/>
      <c r="N182" s="220"/>
      <c r="O182" s="220"/>
      <c r="P182" s="220"/>
      <c r="Q182" s="220"/>
      <c r="R182" s="223"/>
      <c r="S182" s="224"/>
      <c r="T182" s="224"/>
      <c r="U182" s="169"/>
      <c r="V182" s="169"/>
      <c r="W182" s="169"/>
      <c r="X182" s="169"/>
      <c r="Y182" s="169"/>
      <c r="Z182" s="169"/>
      <c r="AA182" s="169"/>
      <c r="AB182" s="169"/>
      <c r="AC182" s="169"/>
      <c r="AD182" s="169"/>
      <c r="AE182" s="169"/>
      <c r="AF182" s="169"/>
      <c r="AG182" s="169"/>
      <c r="AH182" s="169"/>
      <c r="AI182" s="169"/>
      <c r="AJ182" s="169"/>
      <c r="AK182" s="169"/>
      <c r="AL182" s="169"/>
      <c r="AM182" s="169"/>
      <c r="AN182" s="169"/>
      <c r="AO182" s="169"/>
      <c r="AP182" s="169"/>
      <c r="AQ182" s="169"/>
      <c r="AR182" s="169"/>
      <c r="AS182" s="169"/>
      <c r="AT182" s="169"/>
      <c r="AU182" s="169"/>
      <c r="AV182" s="169"/>
      <c r="AW182" s="169"/>
      <c r="AX182" s="169"/>
      <c r="AY182" s="169"/>
      <c r="AZ182" s="169"/>
      <c r="BA182" s="169"/>
      <c r="BB182" s="169"/>
      <c r="BC182" s="169"/>
      <c r="BD182" s="169"/>
      <c r="BE182" s="169"/>
      <c r="BF182" s="169"/>
      <c r="BG182" s="169"/>
      <c r="BH182" s="169"/>
      <c r="BI182" s="169"/>
      <c r="BJ182" s="169"/>
      <c r="BK182" s="169"/>
      <c r="BL182" s="169"/>
      <c r="BM182" s="169"/>
      <c r="BN182" s="169"/>
      <c r="BO182" s="169"/>
      <c r="BP182" s="169"/>
      <c r="BQ182" s="169"/>
      <c r="BR182" s="169"/>
      <c r="BS182" s="169"/>
      <c r="BT182" s="169"/>
      <c r="BU182" s="169"/>
      <c r="BV182" s="169"/>
      <c r="BW182" s="169"/>
      <c r="BX182" s="169"/>
      <c r="BY182" s="170"/>
    </row>
    <row r="183">
      <c r="E183" s="174"/>
      <c r="F183" s="220"/>
      <c r="G183" s="220"/>
      <c r="H183" s="220"/>
      <c r="I183" s="220"/>
      <c r="J183" s="220"/>
      <c r="K183" s="220"/>
      <c r="L183" s="220"/>
      <c r="M183" s="220"/>
      <c r="N183" s="220"/>
      <c r="O183" s="220"/>
      <c r="P183" s="220"/>
      <c r="Q183" s="220"/>
      <c r="R183" s="220"/>
      <c r="S183" s="220"/>
      <c r="T183" s="220"/>
    </row>
    <row r="184">
      <c r="E184" s="174"/>
      <c r="F184" s="220"/>
      <c r="G184" s="220"/>
      <c r="H184" s="220"/>
      <c r="I184" s="220"/>
      <c r="J184" s="220"/>
      <c r="K184" s="220"/>
      <c r="L184" s="220"/>
      <c r="M184" s="220"/>
      <c r="N184" s="220"/>
      <c r="O184" s="220"/>
      <c r="P184" s="220"/>
      <c r="Q184" s="220"/>
      <c r="R184" s="220"/>
      <c r="S184" s="220"/>
      <c r="T184" s="220"/>
    </row>
    <row r="185">
      <c r="E185" s="174"/>
      <c r="F185" s="220"/>
      <c r="G185" s="220"/>
      <c r="H185" s="220"/>
      <c r="I185" s="220"/>
      <c r="J185" s="220"/>
      <c r="K185" s="220"/>
      <c r="L185" s="220"/>
      <c r="M185" s="220"/>
      <c r="N185" s="220"/>
      <c r="O185" s="220"/>
      <c r="P185" s="220"/>
      <c r="Q185" s="220"/>
      <c r="R185" s="220"/>
      <c r="S185" s="220"/>
      <c r="T185" s="220"/>
    </row>
    <row r="186">
      <c r="E186" s="174"/>
      <c r="F186" s="220"/>
      <c r="G186" s="220"/>
      <c r="H186" s="220"/>
      <c r="I186" s="220"/>
      <c r="J186" s="220"/>
      <c r="K186" s="220"/>
      <c r="L186" s="220"/>
      <c r="M186" s="220"/>
      <c r="N186" s="220"/>
      <c r="O186" s="220"/>
      <c r="P186" s="220"/>
      <c r="Q186" s="220"/>
      <c r="R186" s="220"/>
      <c r="S186" s="220"/>
      <c r="T186" s="220"/>
    </row>
    <row r="187">
      <c r="E187" s="174"/>
      <c r="F187" s="220"/>
      <c r="G187" s="220"/>
      <c r="H187" s="220"/>
      <c r="I187" s="220"/>
      <c r="J187" s="220"/>
      <c r="K187" s="220"/>
      <c r="L187" s="220"/>
      <c r="M187" s="220"/>
      <c r="N187" s="220"/>
      <c r="O187" s="220"/>
      <c r="P187" s="220"/>
      <c r="Q187" s="220"/>
      <c r="R187" s="220"/>
      <c r="S187" s="220"/>
      <c r="T187" s="220"/>
    </row>
    <row r="188">
      <c r="E188" s="174"/>
      <c r="F188" s="220"/>
      <c r="G188" s="220"/>
      <c r="H188" s="220"/>
      <c r="I188" s="220"/>
      <c r="J188" s="220"/>
      <c r="K188" s="220"/>
      <c r="L188" s="220"/>
      <c r="M188" s="220"/>
      <c r="N188" s="220"/>
      <c r="O188" s="220"/>
      <c r="P188" s="220"/>
      <c r="Q188" s="220"/>
      <c r="R188" s="220"/>
      <c r="S188" s="220"/>
      <c r="T188" s="220"/>
    </row>
    <row r="189">
      <c r="E189" s="174"/>
      <c r="F189" s="220"/>
      <c r="G189" s="220"/>
      <c r="H189" s="220"/>
      <c r="I189" s="220"/>
      <c r="J189" s="220"/>
      <c r="K189" s="220"/>
      <c r="L189" s="220"/>
      <c r="M189" s="220"/>
      <c r="N189" s="220"/>
      <c r="O189" s="220"/>
      <c r="P189" s="220"/>
      <c r="Q189" s="220"/>
      <c r="R189" s="220"/>
      <c r="S189" s="220"/>
      <c r="T189" s="220"/>
    </row>
    <row r="190">
      <c r="E190" s="174"/>
      <c r="F190" s="220"/>
      <c r="G190" s="220"/>
      <c r="H190" s="220"/>
      <c r="I190" s="220"/>
      <c r="J190" s="220"/>
      <c r="K190" s="220"/>
      <c r="L190" s="220"/>
      <c r="M190" s="220"/>
      <c r="N190" s="220"/>
      <c r="O190" s="220"/>
      <c r="P190" s="220"/>
      <c r="Q190" s="220"/>
      <c r="R190" s="220"/>
      <c r="S190" s="220"/>
      <c r="T190" s="220"/>
    </row>
    <row r="191">
      <c r="E191" s="174"/>
      <c r="F191" s="220"/>
      <c r="G191" s="220"/>
      <c r="H191" s="220"/>
      <c r="I191" s="220"/>
      <c r="J191" s="220"/>
      <c r="K191" s="220"/>
      <c r="L191" s="220"/>
      <c r="M191" s="220"/>
      <c r="N191" s="220"/>
      <c r="O191" s="220"/>
      <c r="P191" s="220"/>
      <c r="Q191" s="220"/>
      <c r="R191" s="220"/>
      <c r="S191" s="220"/>
      <c r="T191" s="220"/>
    </row>
    <row r="192">
      <c r="E192" s="174"/>
      <c r="F192" s="220"/>
      <c r="G192" s="220"/>
      <c r="H192" s="220"/>
      <c r="I192" s="220"/>
      <c r="J192" s="220"/>
      <c r="K192" s="220"/>
      <c r="L192" s="220"/>
      <c r="M192" s="220"/>
      <c r="N192" s="220"/>
      <c r="O192" s="220"/>
      <c r="P192" s="220"/>
      <c r="Q192" s="220"/>
      <c r="R192" s="220"/>
      <c r="S192" s="220"/>
      <c r="T192" s="220"/>
    </row>
    <row r="193">
      <c r="E193" s="174"/>
      <c r="F193" s="220"/>
      <c r="G193" s="220"/>
      <c r="H193" s="220"/>
      <c r="I193" s="220"/>
      <c r="J193" s="220"/>
      <c r="K193" s="220"/>
      <c r="L193" s="220"/>
      <c r="M193" s="220"/>
      <c r="N193" s="220"/>
      <c r="O193" s="220"/>
      <c r="P193" s="220"/>
      <c r="Q193" s="220"/>
      <c r="R193" s="220"/>
      <c r="S193" s="220"/>
      <c r="T193" s="220"/>
      <c r="AV193" s="225"/>
      <c r="AW193" s="225"/>
      <c r="AX193" s="225"/>
      <c r="AY193" s="225"/>
      <c r="AZ193" s="225"/>
      <c r="BA193" s="225"/>
      <c r="BB193" s="225"/>
      <c r="BC193" s="225"/>
    </row>
    <row r="194">
      <c r="E194" s="174"/>
      <c r="F194" s="220"/>
      <c r="G194" s="220"/>
      <c r="H194" s="220"/>
      <c r="I194" s="220"/>
      <c r="J194" s="220"/>
      <c r="K194" s="220"/>
      <c r="L194" s="220"/>
      <c r="M194" s="220"/>
      <c r="N194" s="220"/>
      <c r="O194" s="220"/>
      <c r="P194" s="220"/>
      <c r="Q194" s="220"/>
      <c r="R194" s="220"/>
      <c r="S194" s="220"/>
      <c r="T194" s="220"/>
      <c r="AV194" s="226"/>
      <c r="AW194" s="226"/>
      <c r="AX194" s="226"/>
      <c r="AY194" s="226"/>
      <c r="AZ194" s="226"/>
      <c r="BA194" s="226"/>
      <c r="BB194" s="23"/>
      <c r="BC194" s="225"/>
    </row>
    <row r="195">
      <c r="E195" s="174"/>
      <c r="F195" s="220"/>
      <c r="G195" s="220"/>
      <c r="H195" s="220"/>
      <c r="I195" s="220"/>
      <c r="J195" s="220"/>
      <c r="K195" s="220"/>
      <c r="L195" s="220"/>
      <c r="M195" s="220"/>
      <c r="N195" s="220"/>
      <c r="O195" s="220"/>
      <c r="P195" s="220"/>
      <c r="Q195" s="220"/>
      <c r="R195" s="220"/>
      <c r="S195" s="220"/>
      <c r="T195" s="220"/>
      <c r="AV195" s="115"/>
      <c r="AW195" s="115"/>
      <c r="AX195" s="115"/>
      <c r="AY195" s="177"/>
      <c r="AZ195" s="115"/>
      <c r="BA195" s="177"/>
      <c r="BB195" s="177"/>
      <c r="BC195" s="177"/>
    </row>
    <row r="196">
      <c r="E196" s="174"/>
      <c r="F196" s="220"/>
      <c r="G196" s="220"/>
      <c r="H196" s="220"/>
      <c r="I196" s="220"/>
      <c r="J196" s="220"/>
      <c r="K196" s="220"/>
      <c r="L196" s="220"/>
      <c r="M196" s="220"/>
      <c r="N196" s="220"/>
      <c r="O196" s="220"/>
      <c r="P196" s="220"/>
      <c r="Q196" s="220"/>
      <c r="R196" s="220"/>
      <c r="S196" s="220"/>
      <c r="T196" s="220"/>
      <c r="AV196" s="178"/>
      <c r="AW196" s="178"/>
      <c r="AX196" s="178"/>
      <c r="AY196" s="178"/>
      <c r="AZ196" s="178"/>
      <c r="BA196" s="178"/>
      <c r="BB196" s="178"/>
      <c r="BC196" s="178"/>
    </row>
    <row r="197">
      <c r="E197" s="174"/>
      <c r="F197" s="220"/>
      <c r="G197" s="220"/>
      <c r="H197" s="220"/>
      <c r="I197" s="220"/>
      <c r="J197" s="220"/>
      <c r="K197" s="220"/>
      <c r="L197" s="220"/>
      <c r="M197" s="220"/>
      <c r="N197" s="220"/>
      <c r="O197" s="220"/>
      <c r="P197" s="220"/>
      <c r="Q197" s="220"/>
      <c r="R197" s="220"/>
      <c r="S197" s="220"/>
      <c r="T197" s="220"/>
      <c r="AV197" s="178"/>
      <c r="AW197" s="178"/>
      <c r="AX197" s="178"/>
      <c r="AY197" s="178"/>
      <c r="AZ197" s="178"/>
      <c r="BA197" s="178"/>
      <c r="BB197" s="178"/>
      <c r="BC197" s="178"/>
    </row>
    <row r="198">
      <c r="E198" s="174"/>
      <c r="F198" s="220"/>
      <c r="G198" s="220"/>
      <c r="H198" s="220"/>
      <c r="I198" s="220"/>
      <c r="J198" s="220"/>
      <c r="K198" s="220"/>
      <c r="L198" s="220"/>
      <c r="M198" s="220"/>
      <c r="N198" s="220"/>
      <c r="O198" s="220"/>
      <c r="P198" s="220"/>
      <c r="Q198" s="220"/>
      <c r="R198" s="220"/>
      <c r="S198" s="220"/>
      <c r="T198" s="220"/>
      <c r="AV198" s="178"/>
      <c r="AW198" s="178"/>
      <c r="AX198" s="178"/>
      <c r="AY198" s="178"/>
      <c r="AZ198" s="178"/>
      <c r="BA198" s="178"/>
      <c r="BB198" s="178"/>
      <c r="BC198" s="178"/>
    </row>
    <row r="199">
      <c r="E199" s="174"/>
      <c r="F199" s="220"/>
      <c r="G199" s="220"/>
      <c r="H199" s="220"/>
      <c r="I199" s="220"/>
      <c r="J199" s="220"/>
      <c r="K199" s="220"/>
      <c r="L199" s="220"/>
      <c r="M199" s="220"/>
      <c r="N199" s="220"/>
      <c r="O199" s="220"/>
      <c r="P199" s="220"/>
      <c r="Q199" s="220"/>
      <c r="R199" s="220"/>
      <c r="S199" s="220"/>
      <c r="T199" s="220"/>
      <c r="AV199" s="178"/>
      <c r="AW199" s="178"/>
      <c r="AX199" s="178"/>
      <c r="AY199" s="178"/>
      <c r="AZ199" s="178"/>
      <c r="BA199" s="178"/>
      <c r="BB199" s="178"/>
      <c r="BC199" s="178"/>
    </row>
    <row r="200">
      <c r="E200" s="174"/>
      <c r="F200" s="220"/>
      <c r="G200" s="220"/>
      <c r="H200" s="220"/>
      <c r="I200" s="220"/>
      <c r="J200" s="220"/>
      <c r="K200" s="220"/>
      <c r="L200" s="220"/>
      <c r="M200" s="220"/>
      <c r="N200" s="220"/>
      <c r="O200" s="220"/>
      <c r="P200" s="220"/>
      <c r="Q200" s="220"/>
      <c r="R200" s="220"/>
      <c r="S200" s="220"/>
      <c r="T200" s="220"/>
      <c r="AG200" s="23"/>
      <c r="AH200" s="23"/>
      <c r="AI200" s="172"/>
      <c r="AJ200" s="178"/>
      <c r="AK200" s="178"/>
      <c r="AL200" s="178"/>
      <c r="AM200" s="178"/>
      <c r="AN200" s="23"/>
      <c r="AO200" s="191"/>
      <c r="AP200" s="115"/>
      <c r="AQ200" s="178"/>
      <c r="AR200" s="178"/>
      <c r="AS200" s="178"/>
      <c r="AT200" s="178"/>
      <c r="AU200" s="178"/>
      <c r="AV200" s="178"/>
      <c r="AW200" s="178"/>
      <c r="AX200" s="178"/>
      <c r="AY200" s="178"/>
      <c r="AZ200" s="178"/>
      <c r="BA200" s="178"/>
      <c r="BB200" s="178"/>
      <c r="BC200" s="178"/>
    </row>
    <row r="201">
      <c r="E201" s="174"/>
      <c r="F201" s="220"/>
      <c r="G201" s="220"/>
      <c r="H201" s="220"/>
      <c r="I201" s="220"/>
      <c r="J201" s="220"/>
      <c r="K201" s="220"/>
      <c r="L201" s="220"/>
      <c r="M201" s="220"/>
      <c r="N201" s="220"/>
      <c r="O201" s="220"/>
      <c r="P201" s="220"/>
      <c r="Q201" s="220"/>
      <c r="R201" s="220"/>
      <c r="S201" s="220"/>
      <c r="T201" s="220"/>
      <c r="AK201" s="23"/>
      <c r="AL201" s="23"/>
      <c r="BC201" s="178"/>
    </row>
    <row r="202">
      <c r="E202" s="174"/>
      <c r="F202" s="220"/>
      <c r="G202" s="220"/>
      <c r="H202" s="220"/>
      <c r="I202" s="220"/>
      <c r="J202" s="220"/>
      <c r="K202" s="220"/>
      <c r="L202" s="220"/>
      <c r="M202" s="220"/>
      <c r="N202" s="220"/>
      <c r="O202" s="220"/>
      <c r="P202" s="220"/>
      <c r="Q202" s="220"/>
      <c r="R202" s="220"/>
      <c r="S202" s="220"/>
      <c r="T202" s="220"/>
      <c r="AK202" s="87"/>
      <c r="AL202" s="87"/>
      <c r="AO202" s="70" t="s">
        <v>88</v>
      </c>
      <c r="AP202" s="71"/>
      <c r="AQ202" s="71"/>
      <c r="AR202" s="71"/>
      <c r="AS202" s="71"/>
      <c r="AT202" s="71"/>
      <c r="AU202" s="71"/>
      <c r="AV202" s="71"/>
      <c r="AW202" s="18"/>
      <c r="AX202" s="212"/>
      <c r="AY202" s="212"/>
      <c r="AZ202" s="212"/>
      <c r="BA202" s="212"/>
      <c r="BB202" s="225"/>
      <c r="BC202" s="227"/>
      <c r="BD202" s="228" t="s">
        <v>88</v>
      </c>
      <c r="BE202" s="229"/>
      <c r="BF202" s="230"/>
      <c r="BG202" s="230"/>
      <c r="BH202" s="231"/>
      <c r="BI202" s="232"/>
      <c r="BJ202" s="233"/>
      <c r="BK202" s="233"/>
      <c r="BL202" s="233"/>
      <c r="BM202" s="233"/>
      <c r="BN202" s="233"/>
      <c r="BO202" s="234"/>
    </row>
    <row r="203">
      <c r="E203" s="174"/>
      <c r="F203" s="220"/>
      <c r="G203" s="220"/>
      <c r="H203" s="220"/>
      <c r="I203" s="220"/>
      <c r="J203" s="220"/>
      <c r="K203" s="220"/>
      <c r="L203" s="220"/>
      <c r="M203" s="220"/>
      <c r="N203" s="220"/>
      <c r="O203" s="220"/>
      <c r="P203" s="220"/>
      <c r="Q203" s="220"/>
      <c r="R203" s="220"/>
      <c r="S203" s="220"/>
      <c r="T203" s="220"/>
      <c r="AK203" s="87"/>
      <c r="AL203" s="87"/>
      <c r="AO203" s="85"/>
      <c r="AP203" s="182"/>
      <c r="AQ203" s="182"/>
      <c r="AR203" s="182"/>
      <c r="AS203" s="183"/>
      <c r="AT203" s="183"/>
      <c r="AU203" s="183"/>
      <c r="AV203" s="183"/>
      <c r="AW203" s="184"/>
      <c r="AX203" s="177"/>
      <c r="AY203" s="177"/>
      <c r="AZ203" s="177"/>
      <c r="BA203" s="177"/>
      <c r="BB203" s="177"/>
      <c r="BC203" s="51"/>
      <c r="BD203" s="85" t="s">
        <v>58</v>
      </c>
      <c r="BE203" s="235"/>
      <c r="BF203" s="236"/>
      <c r="BG203" s="236"/>
      <c r="BH203" s="237" t="s">
        <v>59</v>
      </c>
      <c r="BI203" s="237"/>
      <c r="BJ203" s="237"/>
      <c r="BK203" s="237"/>
      <c r="BL203" s="237"/>
      <c r="BM203" s="237"/>
      <c r="BN203" s="237"/>
      <c r="BO203" s="238"/>
    </row>
    <row r="204">
      <c r="E204" s="174"/>
      <c r="F204" s="220"/>
      <c r="G204" s="175"/>
      <c r="H204" s="175"/>
      <c r="I204" s="175"/>
      <c r="J204" s="175"/>
      <c r="K204" s="175"/>
      <c r="L204" s="175"/>
      <c r="M204" s="175"/>
      <c r="N204" s="175"/>
      <c r="O204" s="175"/>
      <c r="P204" s="175"/>
      <c r="Q204" s="175"/>
      <c r="R204" s="175"/>
      <c r="S204" s="175"/>
      <c r="T204" s="175"/>
      <c r="AK204" s="87"/>
      <c r="AL204" s="87"/>
      <c r="AO204" s="90"/>
      <c r="AP204" s="239">
        <f>$F$17</f>
        <v>0.0009223437235</v>
      </c>
      <c r="AQ204" s="240">
        <v>64.0</v>
      </c>
      <c r="AR204" s="241">
        <f t="shared" ref="AR204:AW204" si="25">AQ204+10</f>
        <v>74</v>
      </c>
      <c r="AS204" s="241">
        <f t="shared" si="25"/>
        <v>84</v>
      </c>
      <c r="AT204" s="241">
        <f t="shared" si="25"/>
        <v>94</v>
      </c>
      <c r="AU204" s="241">
        <f t="shared" si="25"/>
        <v>104</v>
      </c>
      <c r="AV204" s="241">
        <f t="shared" si="25"/>
        <v>114</v>
      </c>
      <c r="AW204" s="242">
        <f t="shared" si="25"/>
        <v>124</v>
      </c>
      <c r="AX204" s="178"/>
      <c r="AY204" s="178"/>
      <c r="AZ204" s="178"/>
      <c r="BA204" s="178"/>
      <c r="BB204" s="178"/>
      <c r="BC204" s="51"/>
      <c r="BD204" s="243"/>
      <c r="BE204" s="244">
        <f>$F$17</f>
        <v>0.0009223437235</v>
      </c>
      <c r="BF204" s="245">
        <f t="shared" ref="BF204:BH204" si="26">BG204-0.05</f>
        <v>0.7</v>
      </c>
      <c r="BG204" s="245">
        <f t="shared" si="26"/>
        <v>0.75</v>
      </c>
      <c r="BH204" s="245">
        <f t="shared" si="26"/>
        <v>0.8</v>
      </c>
      <c r="BI204" s="245">
        <v>0.85</v>
      </c>
      <c r="BJ204" s="246">
        <v>0.9</v>
      </c>
      <c r="BK204" s="245">
        <f t="shared" ref="BK204:BO204" si="27">BJ204+0.02</f>
        <v>0.92</v>
      </c>
      <c r="BL204" s="245">
        <f t="shared" si="27"/>
        <v>0.94</v>
      </c>
      <c r="BM204" s="245">
        <f t="shared" si="27"/>
        <v>0.96</v>
      </c>
      <c r="BN204" s="245">
        <f t="shared" si="27"/>
        <v>0.98</v>
      </c>
      <c r="BO204" s="247">
        <f t="shared" si="27"/>
        <v>1</v>
      </c>
    </row>
    <row r="205">
      <c r="E205" s="174"/>
      <c r="F205" s="175"/>
      <c r="AK205" s="177"/>
      <c r="AL205" s="177"/>
      <c r="AO205" s="102" t="s">
        <v>66</v>
      </c>
      <c r="AP205" s="103">
        <v>2000000.0</v>
      </c>
      <c r="AQ205" s="248">
        <v>0.0015907843779627013</v>
      </c>
      <c r="AR205" s="249">
        <v>0.0018393444370193733</v>
      </c>
      <c r="AS205" s="249">
        <v>0.0020879044960760455</v>
      </c>
      <c r="AT205" s="249">
        <v>0.0023364645551327175</v>
      </c>
      <c r="AU205" s="249">
        <v>0.0025850246141893886</v>
      </c>
      <c r="AV205" s="249">
        <v>0.0028335846732460614</v>
      </c>
      <c r="AW205" s="250">
        <v>0.003082144732302734</v>
      </c>
      <c r="AX205" s="251"/>
      <c r="AY205" s="251"/>
      <c r="AZ205" s="251"/>
      <c r="BA205" s="251"/>
      <c r="BB205" s="251"/>
      <c r="BC205" s="51"/>
      <c r="BD205" s="102" t="s">
        <v>66</v>
      </c>
      <c r="BE205" s="103">
        <v>2000000.0</v>
      </c>
      <c r="BF205" s="252">
        <v>5.88719043143297E-4</v>
      </c>
      <c r="BG205" s="253">
        <v>8.269278155446847E-4</v>
      </c>
      <c r="BH205" s="254">
        <v>0.001073525805285321</v>
      </c>
      <c r="BI205" s="255">
        <v>0.0013282367476597963</v>
      </c>
      <c r="BJ205" s="256">
        <v>0.0015907843779627013</v>
      </c>
      <c r="BK205" s="257">
        <v>0.0016979358194098122</v>
      </c>
      <c r="BL205" s="258">
        <v>0.001806279247631459</v>
      </c>
      <c r="BM205" s="259">
        <v>0.0019157969816864973</v>
      </c>
      <c r="BN205" s="259">
        <v>0.002026471340633781</v>
      </c>
      <c r="BO205" s="260">
        <v>0.002138284643532161</v>
      </c>
    </row>
    <row r="206">
      <c r="AK206" s="51"/>
      <c r="AL206" s="51"/>
      <c r="AO206" s="110"/>
      <c r="AP206" s="93">
        <f t="shared" ref="AP206:AP209" si="28">AP205+500000</f>
        <v>2500000</v>
      </c>
      <c r="AQ206" s="261">
        <v>0.0017785510033346591</v>
      </c>
      <c r="AR206" s="262">
        <v>0.0020564495976056994</v>
      </c>
      <c r="AS206" s="262">
        <v>0.0023343481918767406</v>
      </c>
      <c r="AT206" s="262">
        <v>0.0026122467861477805</v>
      </c>
      <c r="AU206" s="262">
        <v>0.0028901453804188212</v>
      </c>
      <c r="AV206" s="262">
        <v>0.003168043974689862</v>
      </c>
      <c r="AW206" s="263">
        <v>0.003445942568960902</v>
      </c>
      <c r="AX206" s="178"/>
      <c r="AY206" s="178"/>
      <c r="AZ206" s="178"/>
      <c r="BA206" s="178"/>
      <c r="BB206" s="178"/>
      <c r="BC206" s="51"/>
      <c r="BD206" s="110"/>
      <c r="BE206" s="93">
        <f t="shared" ref="BE206:BE209" si="29">BE205+500000</f>
        <v>2500000</v>
      </c>
      <c r="BF206" s="264">
        <v>6.582079000585219E-4</v>
      </c>
      <c r="BG206" s="264">
        <v>9.245334040216612E-4</v>
      </c>
      <c r="BH206" s="264">
        <v>0.0012002383381090904</v>
      </c>
      <c r="BI206" s="264">
        <v>0.0014850138289902697</v>
      </c>
      <c r="BJ206" s="265">
        <v>0.0017785510033346591</v>
      </c>
      <c r="BK206" s="264">
        <v>0.0018983499568160727</v>
      </c>
      <c r="BL206" s="264">
        <v>0.0020194815920255593</v>
      </c>
      <c r="BM206" s="264">
        <v>0.0021419261410699636</v>
      </c>
      <c r="BN206" s="264">
        <v>0.0022656638360561325</v>
      </c>
      <c r="BO206" s="266">
        <v>0.002390674909090909</v>
      </c>
    </row>
    <row r="207">
      <c r="AK207" s="144"/>
      <c r="AL207" s="144"/>
      <c r="AO207" s="110"/>
      <c r="AP207" s="93">
        <f t="shared" si="28"/>
        <v>3000000</v>
      </c>
      <c r="AQ207" s="248">
        <v>0.0019483050083996772</v>
      </c>
      <c r="AR207" s="249">
        <v>0.0022527276659621265</v>
      </c>
      <c r="AS207" s="249">
        <v>0.0025571503235245776</v>
      </c>
      <c r="AT207" s="249">
        <v>0.0028615729810870256</v>
      </c>
      <c r="AU207" s="249">
        <v>0.0031659956386494766</v>
      </c>
      <c r="AV207" s="249">
        <v>0.0034704182962119255</v>
      </c>
      <c r="AW207" s="250">
        <v>0.003774840953774376</v>
      </c>
      <c r="AX207" s="178"/>
      <c r="AY207" s="178"/>
      <c r="AZ207" s="178"/>
      <c r="BA207" s="178"/>
      <c r="BB207" s="178"/>
      <c r="BC207" s="178"/>
      <c r="BD207" s="110"/>
      <c r="BE207" s="93">
        <f t="shared" si="29"/>
        <v>3000000</v>
      </c>
      <c r="BF207" s="267">
        <v>7.210306287803169E-4</v>
      </c>
      <c r="BG207" s="267">
        <v>0.0010127756010994025</v>
      </c>
      <c r="BH207" s="267">
        <v>0.0013147952243297229</v>
      </c>
      <c r="BI207" s="267">
        <v>0.00162675114469018</v>
      </c>
      <c r="BJ207" s="268">
        <v>0.0019483050083996772</v>
      </c>
      <c r="BK207" s="267">
        <v>0.0020795381867742425</v>
      </c>
      <c r="BL207" s="267">
        <v>0.0022122312448376873</v>
      </c>
      <c r="BM207" s="267">
        <v>0.002346362527948024</v>
      </c>
      <c r="BN207" s="267">
        <v>0.0024819103814632593</v>
      </c>
      <c r="BO207" s="269">
        <v>0.0026188531507414063</v>
      </c>
    </row>
    <row r="208">
      <c r="AK208" s="51"/>
      <c r="AL208" s="51"/>
      <c r="AO208" s="110"/>
      <c r="AP208" s="93">
        <f t="shared" si="28"/>
        <v>3500000</v>
      </c>
      <c r="AQ208" s="248">
        <v>0.0021044099268079427</v>
      </c>
      <c r="AR208" s="249">
        <v>0.002433223977871684</v>
      </c>
      <c r="AS208" s="249">
        <v>0.002762038028935426</v>
      </c>
      <c r="AT208" s="249">
        <v>0.003090852079999166</v>
      </c>
      <c r="AU208" s="249">
        <v>0.0034196661310629066</v>
      </c>
      <c r="AV208" s="249">
        <v>0.003748480182126648</v>
      </c>
      <c r="AW208" s="250">
        <v>0.004077294233190389</v>
      </c>
      <c r="AX208" s="178"/>
      <c r="AY208" s="178"/>
      <c r="AZ208" s="178"/>
      <c r="BA208" s="178"/>
      <c r="BB208" s="178"/>
      <c r="BC208" s="178"/>
      <c r="BD208" s="110"/>
      <c r="BE208" s="93">
        <f t="shared" si="29"/>
        <v>3500000</v>
      </c>
      <c r="BF208" s="267">
        <v>7.788020901225349E-4</v>
      </c>
      <c r="BG208" s="267">
        <v>0.0010939226760665638</v>
      </c>
      <c r="BH208" s="267">
        <v>0.001420141153397654</v>
      </c>
      <c r="BI208" s="267">
        <v>0.0017570920582625368</v>
      </c>
      <c r="BJ208" s="268">
        <v>0.0021044099268079427</v>
      </c>
      <c r="BK208" s="267">
        <v>0.0022461579601535196</v>
      </c>
      <c r="BL208" s="267">
        <v>0.002389482843784847</v>
      </c>
      <c r="BM208" s="267">
        <v>0.002534361188015318</v>
      </c>
      <c r="BN208" s="267">
        <v>0.002680769603158321</v>
      </c>
      <c r="BO208" s="269">
        <v>0.002828684699527248</v>
      </c>
    </row>
    <row r="209">
      <c r="AK209" s="51"/>
      <c r="AL209" s="51"/>
      <c r="AO209" s="110"/>
      <c r="AP209" s="93">
        <f t="shared" si="28"/>
        <v>4000000</v>
      </c>
      <c r="AQ209" s="248">
        <v>0.0022497088421260998</v>
      </c>
      <c r="AR209" s="249">
        <v>0.0026012258487083033</v>
      </c>
      <c r="AS209" s="249">
        <v>0.0029527428552905055</v>
      </c>
      <c r="AT209" s="249">
        <v>0.0033042598618727085</v>
      </c>
      <c r="AU209" s="249">
        <v>0.0036557768684549125</v>
      </c>
      <c r="AV209" s="249">
        <v>0.004007293875037116</v>
      </c>
      <c r="AW209" s="250">
        <v>0.004358810881619318</v>
      </c>
      <c r="AX209" s="178"/>
      <c r="AY209" s="178"/>
      <c r="AZ209" s="178"/>
      <c r="BA209" s="178"/>
      <c r="BB209" s="178"/>
      <c r="BC209" s="178"/>
      <c r="BD209" s="110"/>
      <c r="BE209" s="93">
        <f t="shared" si="29"/>
        <v>4000000</v>
      </c>
      <c r="BF209" s="267">
        <v>8.32574455240562E-4</v>
      </c>
      <c r="BG209" s="267">
        <v>0.0011694525318468505</v>
      </c>
      <c r="BH209" s="267">
        <v>0.0015181947533919994</v>
      </c>
      <c r="BI209" s="267">
        <v>0.0018784104225828145</v>
      </c>
      <c r="BJ209" s="268">
        <v>0.0022497088421260998</v>
      </c>
      <c r="BK209" s="267">
        <v>0.0024012438638484307</v>
      </c>
      <c r="BL209" s="267">
        <v>0.00255446460943348</v>
      </c>
      <c r="BM209" s="267">
        <v>0.0027093460742544854</v>
      </c>
      <c r="BN209" s="270">
        <v>0.0028658632536846806</v>
      </c>
      <c r="BO209" s="271">
        <v>0.003023991143097301</v>
      </c>
    </row>
    <row r="210">
      <c r="AK210" s="51"/>
      <c r="AL210" s="51"/>
      <c r="AO210" s="110"/>
      <c r="AP210" s="103">
        <v>4200000.0</v>
      </c>
      <c r="AQ210" s="248">
        <v>0.002386176566944052</v>
      </c>
      <c r="AR210" s="249">
        <v>0.00275901665552906</v>
      </c>
      <c r="AS210" s="249">
        <v>0.003131856744114068</v>
      </c>
      <c r="AT210" s="249">
        <v>0.003504696832699076</v>
      </c>
      <c r="AU210" s="249">
        <v>0.003877536921284084</v>
      </c>
      <c r="AV210" s="249">
        <v>0.004250377009869093</v>
      </c>
      <c r="AW210" s="250">
        <v>0.0046232170984541006</v>
      </c>
      <c r="AX210" s="178"/>
      <c r="AY210" s="178"/>
      <c r="AZ210" s="178"/>
      <c r="BA210" s="178"/>
      <c r="BB210" s="178"/>
      <c r="BD210" s="110"/>
      <c r="BE210" s="103">
        <v>4200000.0</v>
      </c>
      <c r="BF210" s="267">
        <v>8.830785647149458E-4</v>
      </c>
      <c r="BG210" s="267">
        <v>0.001240391723317027</v>
      </c>
      <c r="BH210" s="267">
        <v>0.0016102887079279822</v>
      </c>
      <c r="BI210" s="267">
        <v>0.0019923551214896945</v>
      </c>
      <c r="BJ210" s="268">
        <v>0.002386176566944052</v>
      </c>
      <c r="BK210" s="267">
        <v>0.0025469037291147175</v>
      </c>
      <c r="BL210" s="267">
        <v>0.002709418871447188</v>
      </c>
      <c r="BM210" s="270">
        <v>0.0028736954725297453</v>
      </c>
      <c r="BN210" s="270">
        <v>0.0030397070109506705</v>
      </c>
      <c r="BO210" s="271">
        <v>0.0032074269652982417</v>
      </c>
    </row>
    <row r="211">
      <c r="AK211" s="51"/>
      <c r="AL211" s="51"/>
      <c r="AO211" s="110"/>
      <c r="AP211" s="103">
        <v>5000000.0</v>
      </c>
      <c r="AQ211" s="248">
        <v>0.0025152509502881504</v>
      </c>
      <c r="AR211" s="249">
        <v>0.0029082589112706734</v>
      </c>
      <c r="AS211" s="249">
        <v>0.0033012668722531982</v>
      </c>
      <c r="AT211" s="249">
        <v>0.0036942748332357204</v>
      </c>
      <c r="AU211" s="249">
        <v>0.004087282794218244</v>
      </c>
      <c r="AV211" s="249">
        <v>0.004480290755200769</v>
      </c>
      <c r="AW211" s="250">
        <v>0.004873298716183292</v>
      </c>
      <c r="AX211" s="178"/>
      <c r="AY211" s="178"/>
      <c r="AZ211" s="178"/>
      <c r="BA211" s="178"/>
      <c r="BB211" s="178"/>
      <c r="BD211" s="110"/>
      <c r="BE211" s="103">
        <v>5000000.0</v>
      </c>
      <c r="BF211" s="267">
        <v>9.308465391238762E-4</v>
      </c>
      <c r="BG211" s="267">
        <v>0.0013074876788343973</v>
      </c>
      <c r="BH211" s="267">
        <v>0.0016973933358340198</v>
      </c>
      <c r="BI211" s="267">
        <v>0.002100126697269639</v>
      </c>
      <c r="BJ211" s="268">
        <v>0.0025152509502881504</v>
      </c>
      <c r="BK211" s="267">
        <v>0.002684672255059669</v>
      </c>
      <c r="BL211" s="270">
        <v>0.0028559782564053556</v>
      </c>
      <c r="BM211" s="270">
        <v>0.0030291409983026103</v>
      </c>
      <c r="BN211" s="270">
        <v>0.0032041325247288343</v>
      </c>
      <c r="BO211" s="271">
        <v>0.0033809248796614288</v>
      </c>
    </row>
    <row r="212">
      <c r="AK212" s="51"/>
      <c r="AL212" s="51"/>
      <c r="AO212" s="110"/>
      <c r="AP212" s="103">
        <v>5500000.0</v>
      </c>
      <c r="AQ212" s="248">
        <v>0.002638017452030595</v>
      </c>
      <c r="AR212" s="249">
        <v>0.003050207678910375</v>
      </c>
      <c r="AS212" s="249">
        <v>0.003462397905790155</v>
      </c>
      <c r="AT212" s="249">
        <v>0.0038745881326699367</v>
      </c>
      <c r="AU212" s="249">
        <v>0.004286778359549716</v>
      </c>
      <c r="AV212" s="249">
        <v>0.0046989685864294965</v>
      </c>
      <c r="AW212" s="250">
        <v>0.005111158813309277</v>
      </c>
      <c r="AX212" s="251"/>
      <c r="AY212" s="251"/>
      <c r="AZ212" s="251"/>
      <c r="BA212" s="251"/>
      <c r="BB212" s="251"/>
      <c r="BC212" s="178"/>
      <c r="BD212" s="110"/>
      <c r="BE212" s="103">
        <v>5500000.0</v>
      </c>
      <c r="BF212" s="267">
        <v>9.76280086521685E-4</v>
      </c>
      <c r="BG212" s="267">
        <v>0.0013713046464349698</v>
      </c>
      <c r="BH212" s="267">
        <v>0.0017802411494477702</v>
      </c>
      <c r="BI212" s="267">
        <v>0.0022026314623747557</v>
      </c>
      <c r="BJ212" s="268">
        <v>0.002638017452030595</v>
      </c>
      <c r="BK212" s="270">
        <v>0.002815708015543496</v>
      </c>
      <c r="BL212" s="270">
        <v>0.0029953752654994998</v>
      </c>
      <c r="BM212" s="270">
        <v>0.0031769898813747443</v>
      </c>
      <c r="BN212" s="270">
        <v>0.0033605225426453695</v>
      </c>
      <c r="BO212" s="271">
        <v>0.003545943928787512</v>
      </c>
    </row>
    <row r="213">
      <c r="AK213" s="51"/>
      <c r="AL213" s="51"/>
      <c r="AO213" s="110"/>
      <c r="AP213" s="93">
        <f t="shared" ref="AP213:AP220" si="30">AP212+500000</f>
        <v>6000000</v>
      </c>
      <c r="AQ213" s="272">
        <v>0.002755319366518252</v>
      </c>
      <c r="AR213" s="251">
        <v>0.003185838017536727</v>
      </c>
      <c r="AS213" s="251">
        <v>0.003616356668555203</v>
      </c>
      <c r="AT213" s="251">
        <v>0.004046875319573681</v>
      </c>
      <c r="AU213" s="251">
        <v>0.004477393970592158</v>
      </c>
      <c r="AV213" s="251">
        <v>0.004907912621610635</v>
      </c>
      <c r="AW213" s="273">
        <v>0.005338431272629112</v>
      </c>
      <c r="AX213" s="178"/>
      <c r="AY213" s="178"/>
      <c r="AZ213" s="178"/>
      <c r="BA213" s="178"/>
      <c r="BB213" s="178"/>
      <c r="BD213" s="110"/>
      <c r="BE213" s="93">
        <f t="shared" ref="BE213:BE220" si="31">BE212+500000</f>
        <v>6000000</v>
      </c>
      <c r="BF213" s="264">
        <v>0.0010196912941075244</v>
      </c>
      <c r="BG213" s="264">
        <v>0.0014322809907153392</v>
      </c>
      <c r="BH213" s="264">
        <v>0.0018594012379904697</v>
      </c>
      <c r="BI213" s="264">
        <v>0.00230057353142681</v>
      </c>
      <c r="BJ213" s="265">
        <v>0.002755319366518252</v>
      </c>
      <c r="BK213" s="274">
        <v>0.002940911107208889</v>
      </c>
      <c r="BL213" s="274">
        <v>0.0031285674295549733</v>
      </c>
      <c r="BM213" s="274">
        <v>0.003318257709268116</v>
      </c>
      <c r="BN213" s="274">
        <v>0.003509951322059925</v>
      </c>
      <c r="BO213" s="275">
        <v>0.0037036176436420092</v>
      </c>
    </row>
    <row r="214">
      <c r="AK214" s="144"/>
      <c r="AL214" s="144"/>
      <c r="AO214" s="110"/>
      <c r="AP214" s="93">
        <f t="shared" si="30"/>
        <v>6500000</v>
      </c>
      <c r="AQ214" s="248">
        <v>0.002867827321475803</v>
      </c>
      <c r="AR214" s="249">
        <v>0.0033159253404563974</v>
      </c>
      <c r="AS214" s="249">
        <v>0.003764023359436992</v>
      </c>
      <c r="AT214" s="249">
        <v>0.004212121378417586</v>
      </c>
      <c r="AU214" s="249">
        <v>0.00466021939739818</v>
      </c>
      <c r="AV214" s="249">
        <v>0.005108317416378775</v>
      </c>
      <c r="AW214" s="250">
        <v>0.005556415435359368</v>
      </c>
      <c r="AX214" s="178"/>
      <c r="AY214" s="178"/>
      <c r="AZ214" s="178"/>
      <c r="BA214" s="178"/>
      <c r="BB214" s="178"/>
      <c r="BC214" s="23"/>
      <c r="BD214" s="110"/>
      <c r="BE214" s="93">
        <f t="shared" si="31"/>
        <v>6500000</v>
      </c>
      <c r="BF214" s="267">
        <v>0.0010613283484476276</v>
      </c>
      <c r="BG214" s="267">
        <v>0.0014907653200268948</v>
      </c>
      <c r="BH214" s="267">
        <v>0.001935326168244998</v>
      </c>
      <c r="BI214" s="267">
        <v>0.00239451284982146</v>
      </c>
      <c r="BJ214" s="276">
        <v>0.002867827321475803</v>
      </c>
      <c r="BK214" s="270">
        <v>0.0030609973296645207</v>
      </c>
      <c r="BL214" s="270">
        <v>0.003256316222570872</v>
      </c>
      <c r="BM214" s="270">
        <v>0.003453752125424906</v>
      </c>
      <c r="BN214" s="270">
        <v>0.003653273163456674</v>
      </c>
      <c r="BO214" s="271">
        <v>0.003854847461896222</v>
      </c>
    </row>
    <row r="215">
      <c r="AK215" s="51"/>
      <c r="AL215" s="51"/>
      <c r="AO215" s="110"/>
      <c r="AP215" s="93">
        <f t="shared" si="30"/>
        <v>7000000</v>
      </c>
      <c r="AQ215" s="248">
        <v>0.002976085059284366</v>
      </c>
      <c r="AR215" s="249">
        <v>0.0034410983497975478</v>
      </c>
      <c r="AS215" s="249">
        <v>0.0039061116403107292</v>
      </c>
      <c r="AT215" s="249">
        <v>0.0043711249308239115</v>
      </c>
      <c r="AU215" s="249">
        <v>0.004836138221337093</v>
      </c>
      <c r="AV215" s="249">
        <v>0.005301151511850276</v>
      </c>
      <c r="AW215" s="250">
        <v>0.005766164802363458</v>
      </c>
      <c r="AX215" s="178"/>
      <c r="AY215" s="178"/>
      <c r="AZ215" s="178"/>
      <c r="BA215" s="178"/>
      <c r="BB215" s="178"/>
      <c r="BC215" s="225"/>
      <c r="BD215" s="110"/>
      <c r="BE215" s="93">
        <f t="shared" si="31"/>
        <v>7000000</v>
      </c>
      <c r="BF215" s="267">
        <v>0.0011013924782558022</v>
      </c>
      <c r="BG215" s="267">
        <v>0.0015470402846808047</v>
      </c>
      <c r="BH215" s="267">
        <v>0.0020083828796191323</v>
      </c>
      <c r="BI215" s="267">
        <v>0.002484903419132936</v>
      </c>
      <c r="BJ215" s="276">
        <v>0.002976085059284366</v>
      </c>
      <c r="BK215" s="270">
        <v>0.003176547050481393</v>
      </c>
      <c r="BL215" s="270">
        <v>0.0033792390447383623</v>
      </c>
      <c r="BM215" s="270">
        <v>0.0035841279640432522</v>
      </c>
      <c r="BN215" s="270">
        <v>0.003791180730384039</v>
      </c>
      <c r="BO215" s="271">
        <v>0.004000364265748697</v>
      </c>
    </row>
    <row r="216">
      <c r="AK216" s="51"/>
      <c r="AL216" s="51"/>
      <c r="AO216" s="110"/>
      <c r="AP216" s="93">
        <f t="shared" si="30"/>
        <v>7500000</v>
      </c>
      <c r="AQ216" s="248">
        <v>0.0030805407016282335</v>
      </c>
      <c r="AR216" s="249">
        <v>0.0035618751862576447</v>
      </c>
      <c r="AS216" s="249">
        <v>0.004043209670887056</v>
      </c>
      <c r="AT216" s="249">
        <v>0.004524544155516468</v>
      </c>
      <c r="AU216" s="249">
        <v>0.005005878640145879</v>
      </c>
      <c r="AV216" s="249">
        <v>0.005487213124775291</v>
      </c>
      <c r="AW216" s="250">
        <v>0.005968547609404701</v>
      </c>
      <c r="AX216" s="178"/>
      <c r="AY216" s="178"/>
      <c r="AZ216" s="178"/>
      <c r="BA216" s="178"/>
      <c r="BB216" s="178"/>
      <c r="BC216" s="226"/>
      <c r="BD216" s="110"/>
      <c r="BE216" s="93">
        <f t="shared" si="31"/>
        <v>7500000</v>
      </c>
      <c r="BF216" s="267">
        <v>0.001140049524844578</v>
      </c>
      <c r="BG216" s="267">
        <v>0.0016013388290601217</v>
      </c>
      <c r="BH216" s="267">
        <v>0.0020788737827969776</v>
      </c>
      <c r="BI216" s="270">
        <v>0.0025721194017535465</v>
      </c>
      <c r="BJ216" s="276">
        <v>0.0030805407016282335</v>
      </c>
      <c r="BK216" s="270">
        <v>0.0032880385757516227</v>
      </c>
      <c r="BL216" s="270">
        <v>0.0034978447223383514</v>
      </c>
      <c r="BM216" s="270">
        <v>0.0037099249023931193</v>
      </c>
      <c r="BN216" s="277">
        <v>0.003924244876920623</v>
      </c>
      <c r="BO216" s="278">
        <v>0.004140770406925561</v>
      </c>
    </row>
    <row r="217">
      <c r="AK217" s="51"/>
      <c r="AL217" s="51"/>
      <c r="AO217" s="110"/>
      <c r="AP217" s="93">
        <f t="shared" si="30"/>
        <v>8000000</v>
      </c>
      <c r="AQ217" s="248">
        <v>0.0031815687559254026</v>
      </c>
      <c r="AR217" s="249">
        <v>0.0036786888740387466</v>
      </c>
      <c r="AS217" s="249">
        <v>0.004175808992152091</v>
      </c>
      <c r="AT217" s="249">
        <v>0.004672929110265435</v>
      </c>
      <c r="AU217" s="249">
        <v>0.005170049228378777</v>
      </c>
      <c r="AV217" s="249">
        <v>0.005667169346492123</v>
      </c>
      <c r="AW217" s="250">
        <v>0.006164289464605468</v>
      </c>
      <c r="AX217" s="178"/>
      <c r="AY217" s="178"/>
      <c r="AZ217" s="178"/>
      <c r="BA217" s="178"/>
      <c r="BB217" s="178"/>
      <c r="BC217" s="177"/>
      <c r="BD217" s="110"/>
      <c r="BE217" s="93">
        <f t="shared" si="31"/>
        <v>8000000</v>
      </c>
      <c r="BF217" s="267">
        <v>0.001177438086286594</v>
      </c>
      <c r="BG217" s="267">
        <v>0.0016538556310893694</v>
      </c>
      <c r="BH217" s="267">
        <v>0.002147051610570642</v>
      </c>
      <c r="BI217" s="270">
        <v>0.0026564734953195925</v>
      </c>
      <c r="BJ217" s="276">
        <v>0.0031815687559254026</v>
      </c>
      <c r="BK217" s="270">
        <v>0.0033958716388196243</v>
      </c>
      <c r="BL217" s="270">
        <v>0.003612558495262918</v>
      </c>
      <c r="BM217" s="270">
        <v>0.0038315939633729946</v>
      </c>
      <c r="BN217" s="277">
        <v>0.004052942681267562</v>
      </c>
      <c r="BO217" s="278">
        <v>0.004276569287064322</v>
      </c>
    </row>
    <row r="218">
      <c r="AK218" s="51"/>
      <c r="AL218" s="51"/>
      <c r="AO218" s="110"/>
      <c r="AP218" s="93">
        <f t="shared" si="30"/>
        <v>8500000</v>
      </c>
      <c r="AQ218" s="248">
        <v>0.003279486008961351</v>
      </c>
      <c r="AR218" s="249">
        <v>0.0037919056978615636</v>
      </c>
      <c r="AS218" s="249">
        <v>0.004304325386761775</v>
      </c>
      <c r="AT218" s="249">
        <v>0.004816745075661985</v>
      </c>
      <c r="AU218" s="249">
        <v>0.0053291647645621965</v>
      </c>
      <c r="AV218" s="249">
        <v>0.0058415844534624095</v>
      </c>
      <c r="AW218" s="250">
        <v>0.006354004142362619</v>
      </c>
      <c r="AX218" s="178"/>
      <c r="AY218" s="178"/>
      <c r="AZ218" s="178"/>
      <c r="BA218" s="178"/>
      <c r="BB218" s="178"/>
      <c r="BC218" s="178"/>
      <c r="BD218" s="110"/>
      <c r="BE218" s="93">
        <f t="shared" si="31"/>
        <v>8500000</v>
      </c>
      <c r="BF218" s="267">
        <v>0.001213675399346187</v>
      </c>
      <c r="BG218" s="267">
        <v>0.0017047553641260061</v>
      </c>
      <c r="BH218" s="270">
        <v>0.0022131301435088188</v>
      </c>
      <c r="BI218" s="270">
        <v>0.0027382302032141056</v>
      </c>
      <c r="BJ218" s="276">
        <v>0.003279486008961351</v>
      </c>
      <c r="BK218" s="270">
        <v>0.003500384364473163</v>
      </c>
      <c r="BL218" s="270">
        <v>0.003723740063672853</v>
      </c>
      <c r="BM218" s="277">
        <v>0.003949516656366466</v>
      </c>
      <c r="BN218" s="277">
        <v>0.004177677692360051</v>
      </c>
      <c r="BO218" s="278">
        <v>0.004408186721459653</v>
      </c>
    </row>
    <row r="219">
      <c r="AK219" s="51"/>
      <c r="AL219" s="51"/>
      <c r="AO219" s="110"/>
      <c r="AP219" s="93">
        <f t="shared" si="30"/>
        <v>9000000</v>
      </c>
      <c r="AQ219" s="248">
        <v>0.0033745632631891503</v>
      </c>
      <c r="AR219" s="249">
        <v>0.0039018387730624547</v>
      </c>
      <c r="AS219" s="249">
        <v>0.004429114282935758</v>
      </c>
      <c r="AT219" s="249">
        <v>0.004956389792809063</v>
      </c>
      <c r="AU219" s="249">
        <v>0.005483665302682368</v>
      </c>
      <c r="AV219" s="249">
        <v>0.006010940812555673</v>
      </c>
      <c r="AW219" s="250">
        <v>0.006538216322428978</v>
      </c>
      <c r="AX219" s="178"/>
      <c r="AY219" s="178"/>
      <c r="AZ219" s="178"/>
      <c r="BA219" s="178"/>
      <c r="BB219" s="178"/>
      <c r="BC219" s="178"/>
      <c r="BD219" s="110"/>
      <c r="BE219" s="93">
        <f t="shared" si="31"/>
        <v>9000000</v>
      </c>
      <c r="BF219" s="267">
        <v>0.001248861682860843</v>
      </c>
      <c r="BG219" s="267">
        <v>0.0017541787977702762</v>
      </c>
      <c r="BH219" s="270">
        <v>0.002277292130088</v>
      </c>
      <c r="BI219" s="270">
        <v>0.002817615633874222</v>
      </c>
      <c r="BJ219" s="276">
        <v>0.0033745632631891503</v>
      </c>
      <c r="BK219" s="270">
        <v>0.003601865795772645</v>
      </c>
      <c r="BL219" s="270">
        <v>0.0038316969141502194</v>
      </c>
      <c r="BM219" s="277">
        <v>0.004064019111381728</v>
      </c>
      <c r="BN219" s="277">
        <v>0.004298794880527021</v>
      </c>
      <c r="BO219" s="278">
        <v>0.0045359867146459515</v>
      </c>
    </row>
    <row r="220">
      <c r="AK220" s="51"/>
      <c r="AL220" s="51"/>
      <c r="AO220" s="110"/>
      <c r="AP220" s="93">
        <f t="shared" si="30"/>
        <v>9500000</v>
      </c>
      <c r="AQ220" s="248">
        <v>0.0034670341722513125</v>
      </c>
      <c r="AR220" s="249">
        <v>0.004008758261665581</v>
      </c>
      <c r="AS220" s="249">
        <v>0.004550482351079848</v>
      </c>
      <c r="AT220" s="249">
        <v>0.0050922064404941144</v>
      </c>
      <c r="AU220" s="249">
        <v>0.005633930529908383</v>
      </c>
      <c r="AV220" s="249">
        <v>0.006175654619322651</v>
      </c>
      <c r="AW220" s="250">
        <v>0.0067173787087369185</v>
      </c>
      <c r="AX220" s="251"/>
      <c r="AY220" s="251"/>
      <c r="AZ220" s="251"/>
      <c r="BA220" s="251"/>
      <c r="BB220" s="251"/>
      <c r="BC220" s="178"/>
      <c r="BD220" s="110"/>
      <c r="BE220" s="93">
        <f t="shared" si="31"/>
        <v>9500000</v>
      </c>
      <c r="BF220" s="267">
        <v>0.0012830834075997972</v>
      </c>
      <c r="BG220" s="267">
        <v>0.0018022473907810617</v>
      </c>
      <c r="BH220" s="270">
        <v>0.002339695249260918</v>
      </c>
      <c r="BI220" s="270">
        <v>0.0028948248780730932</v>
      </c>
      <c r="BJ220" s="276">
        <v>0.0034670341722513125</v>
      </c>
      <c r="BK220" s="270">
        <v>0.0037005653247126477</v>
      </c>
      <c r="BL220" s="277">
        <v>0.003936694352120105</v>
      </c>
      <c r="BM220" s="277">
        <v>0.004175382719755842</v>
      </c>
      <c r="BN220" s="277">
        <v>0.004416591892902019</v>
      </c>
      <c r="BO220" s="278">
        <v>0.004660283336840791</v>
      </c>
    </row>
    <row r="221">
      <c r="AK221" s="51"/>
      <c r="AL221" s="51"/>
      <c r="AO221" s="146"/>
      <c r="AP221" s="279">
        <v>1.0E7</v>
      </c>
      <c r="AQ221" s="280">
        <v>0.0035571020066693182</v>
      </c>
      <c r="AR221" s="281">
        <v>0.004112899195211399</v>
      </c>
      <c r="AS221" s="281">
        <v>0.004668696383753481</v>
      </c>
      <c r="AT221" s="281">
        <v>0.005224493572295561</v>
      </c>
      <c r="AU221" s="281">
        <v>0.0057802907608376424</v>
      </c>
      <c r="AV221" s="281">
        <v>0.006336087949379724</v>
      </c>
      <c r="AW221" s="282">
        <v>0.006891885137921804</v>
      </c>
      <c r="AX221" s="23"/>
      <c r="AY221" s="23"/>
      <c r="AZ221" s="23"/>
      <c r="BA221" s="23"/>
      <c r="BB221" s="23"/>
      <c r="BC221" s="178"/>
      <c r="BD221" s="146"/>
      <c r="BE221" s="279">
        <v>1.0E7</v>
      </c>
      <c r="BF221" s="283">
        <v>0.0013164158001170438</v>
      </c>
      <c r="BG221" s="284">
        <v>0.0018490668080433225</v>
      </c>
      <c r="BH221" s="284">
        <v>0.0024004766762181808</v>
      </c>
      <c r="BI221" s="284">
        <v>0.0029700276579805395</v>
      </c>
      <c r="BJ221" s="285">
        <v>0.0035571020066693182</v>
      </c>
      <c r="BK221" s="284">
        <v>0.0037966999136321454</v>
      </c>
      <c r="BL221" s="286">
        <v>0.0040389631840511185</v>
      </c>
      <c r="BM221" s="286">
        <v>0.004283852282139927</v>
      </c>
      <c r="BN221" s="286">
        <v>0.004531327672112265</v>
      </c>
      <c r="BO221" s="287">
        <v>0.004781349818181818</v>
      </c>
    </row>
    <row r="222">
      <c r="AK222" s="144"/>
      <c r="AL222" s="144"/>
      <c r="BC222" s="178"/>
    </row>
    <row r="223">
      <c r="AK223" s="178"/>
      <c r="AL223" s="178"/>
      <c r="BC223" s="178"/>
    </row>
    <row r="224">
      <c r="AK224" s="178"/>
      <c r="AL224" s="178"/>
      <c r="BC224" s="178"/>
    </row>
    <row r="226">
      <c r="AK226" s="51"/>
      <c r="AL226" s="51"/>
      <c r="AM226" s="51"/>
      <c r="AN226" s="51"/>
      <c r="AO226" s="51"/>
      <c r="AP226" s="51"/>
    </row>
    <row r="227">
      <c r="AK227" s="51"/>
      <c r="AL227" s="51"/>
      <c r="AM227" s="51"/>
      <c r="AN227" s="51"/>
      <c r="AO227" s="51"/>
      <c r="AP227" s="51"/>
    </row>
    <row r="228">
      <c r="AK228" s="144"/>
      <c r="AL228" s="144"/>
      <c r="AM228" s="144"/>
      <c r="AN228" s="144"/>
      <c r="AO228" s="144"/>
      <c r="AP228" s="144"/>
    </row>
    <row r="229">
      <c r="AK229" s="51"/>
      <c r="AL229" s="51"/>
      <c r="AM229" s="51"/>
      <c r="AN229" s="51"/>
      <c r="AO229" s="51"/>
      <c r="AP229" s="51"/>
    </row>
    <row r="230">
      <c r="AK230" s="51"/>
      <c r="AL230" s="51"/>
      <c r="AM230" s="51"/>
      <c r="AN230" s="51"/>
      <c r="AO230" s="51"/>
      <c r="AP230" s="51"/>
    </row>
    <row r="231">
      <c r="AK231" s="51"/>
      <c r="AL231" s="51"/>
      <c r="AM231" s="51"/>
      <c r="AN231" s="51"/>
      <c r="AO231" s="51"/>
      <c r="AP231" s="51"/>
    </row>
    <row r="232">
      <c r="AK232" s="51"/>
      <c r="AL232" s="51"/>
      <c r="AM232" s="51"/>
      <c r="AN232" s="51"/>
      <c r="AO232" s="51"/>
      <c r="AP232" s="51"/>
    </row>
    <row r="233">
      <c r="AK233" s="51"/>
      <c r="AL233" s="51"/>
      <c r="AM233" s="51"/>
      <c r="AN233" s="51"/>
      <c r="AO233" s="51"/>
      <c r="AP233" s="51"/>
    </row>
    <row r="234">
      <c r="AK234" s="51"/>
      <c r="AL234" s="51"/>
      <c r="AM234" s="51"/>
      <c r="AN234" s="51"/>
      <c r="AO234" s="51"/>
      <c r="AP234" s="51"/>
    </row>
    <row r="235">
      <c r="AK235" s="51"/>
      <c r="AL235" s="51"/>
      <c r="AM235" s="51"/>
      <c r="AN235" s="51"/>
      <c r="AO235" s="51"/>
      <c r="AP235" s="51"/>
    </row>
    <row r="236">
      <c r="AK236" s="144"/>
      <c r="AL236" s="144"/>
      <c r="AM236" s="144"/>
      <c r="AN236" s="144"/>
      <c r="AO236" s="144"/>
      <c r="AP236" s="144"/>
    </row>
    <row r="239">
      <c r="AK239" s="23"/>
      <c r="AL239" s="23"/>
      <c r="AM239" s="23"/>
      <c r="AN239" s="23"/>
      <c r="AO239" s="23"/>
      <c r="AP239" s="23"/>
    </row>
    <row r="240">
      <c r="AK240" s="87"/>
      <c r="AL240" s="87"/>
      <c r="AM240" s="87"/>
      <c r="AN240" s="87"/>
      <c r="AO240" s="87"/>
      <c r="AP240" s="87"/>
    </row>
    <row r="241">
      <c r="AK241" s="51"/>
      <c r="AL241" s="51"/>
      <c r="AM241" s="51"/>
      <c r="AN241" s="51"/>
      <c r="AO241" s="51"/>
      <c r="AP241" s="51"/>
    </row>
    <row r="242">
      <c r="AK242" s="51"/>
      <c r="AL242" s="51"/>
      <c r="AM242" s="51"/>
      <c r="AN242" s="51"/>
      <c r="AO242" s="51"/>
      <c r="AP242" s="51"/>
    </row>
    <row r="243">
      <c r="AK243" s="51"/>
      <c r="AL243" s="51"/>
      <c r="AM243" s="51"/>
      <c r="AN243" s="51"/>
      <c r="AO243" s="51"/>
      <c r="AP243" s="51"/>
    </row>
    <row r="244">
      <c r="AK244" s="51"/>
      <c r="AL244" s="51"/>
      <c r="AM244" s="51"/>
      <c r="AN244" s="51"/>
      <c r="AO244" s="51"/>
      <c r="AP244" s="51"/>
    </row>
    <row r="245">
      <c r="AK245" s="51"/>
      <c r="AL245" s="51"/>
      <c r="AM245" s="51"/>
      <c r="AN245" s="51"/>
      <c r="AO245" s="51"/>
      <c r="AP245" s="51"/>
    </row>
    <row r="246">
      <c r="AK246" s="51"/>
      <c r="AL246" s="51"/>
      <c r="AM246" s="51"/>
      <c r="AN246" s="51"/>
      <c r="AO246" s="51"/>
      <c r="AP246" s="51"/>
    </row>
  </sheetData>
  <mergeCells count="25">
    <mergeCell ref="U39:AC39"/>
    <mergeCell ref="AT39:BG39"/>
    <mergeCell ref="BK39:BX39"/>
    <mergeCell ref="U41:U57"/>
    <mergeCell ref="AE41:AE57"/>
    <mergeCell ref="AR43:AR52"/>
    <mergeCell ref="BI43:BI59"/>
    <mergeCell ref="U99:AC99"/>
    <mergeCell ref="AT99:BG99"/>
    <mergeCell ref="BK99:BX99"/>
    <mergeCell ref="AE101:AE117"/>
    <mergeCell ref="F103:F125"/>
    <mergeCell ref="AR103:AR112"/>
    <mergeCell ref="BI103:BI119"/>
    <mergeCell ref="U160:U176"/>
    <mergeCell ref="D166:D204"/>
    <mergeCell ref="AO205:AO221"/>
    <mergeCell ref="BD205:BD221"/>
    <mergeCell ref="U101:U117"/>
    <mergeCell ref="U158:AC158"/>
    <mergeCell ref="AT158:BG158"/>
    <mergeCell ref="BK158:BX158"/>
    <mergeCell ref="AE160:AE176"/>
    <mergeCell ref="AR162:AR171"/>
    <mergeCell ref="BI162:BI178"/>
  </mergeCells>
  <conditionalFormatting sqref="AT43:BG52 BK43:BX61 CE43:DH61 AY80:BL88 AG101:AP119 AT103:BG112 BK103:BX121 AG160:AP178 AT162:BG171 BK162:BX180">
    <cfRule type="colorScale" priority="1">
      <colorScale>
        <cfvo type="min"/>
        <cfvo type="formula" val="0"/>
        <cfvo type="max"/>
        <color rgb="FFE67C73"/>
        <color rgb="FFFFFFFF"/>
        <color rgb="FF57BB8A"/>
      </colorScale>
    </cfRule>
  </conditionalFormatting>
  <conditionalFormatting sqref="X38:AC38 AR38:BG38 BI38:BX38 CE38:DH38 X98:AC98 AR98:BG98 BI98:BX98 X157:AC157 AR157:BG157 BI157:BX157 AK201:AL201">
    <cfRule type="colorScale" priority="2">
      <colorScale>
        <cfvo type="min"/>
        <cfvo type="percentile" val="50"/>
        <cfvo type="max"/>
        <color rgb="FFE67C73"/>
        <color rgb="FFFFFFFF"/>
        <color rgb="FF57BB8A"/>
      </colorScale>
    </cfRule>
  </conditionalFormatting>
  <conditionalFormatting sqref="AT38 AV38 BK38 BM38 W98 AG98 AT98 AV98 BK98 BM98 BK118 W157 AG157 AT157 AV157 BK157 BM157 BK177 AQ202">
    <cfRule type="colorScale" priority="3">
      <colorScale>
        <cfvo type="min"/>
        <cfvo type="percentile" val="50"/>
        <cfvo type="max"/>
        <color rgb="FF57BB8A"/>
        <color rgb="FFFFFFFF"/>
        <color rgb="FFE67C73"/>
      </colorScale>
    </cfRule>
  </conditionalFormatting>
  <conditionalFormatting sqref="F47:F48">
    <cfRule type="cellIs" dxfId="0" priority="4" operator="greaterThan">
      <formula>0</formula>
    </cfRule>
  </conditionalFormatting>
  <conditionalFormatting sqref="F47:F48">
    <cfRule type="cellIs" dxfId="1" priority="5" operator="lessThan">
      <formula>0</formula>
    </cfRule>
  </conditionalFormatting>
  <conditionalFormatting sqref="C28:C30">
    <cfRule type="cellIs" dxfId="0" priority="6" operator="equal">
      <formula>"Yes"</formula>
    </cfRule>
  </conditionalFormatting>
  <conditionalFormatting sqref="C28:C30">
    <cfRule type="cellIs" dxfId="1" priority="7" operator="equal">
      <formula>"No"</formula>
    </cfRule>
  </conditionalFormatting>
  <conditionalFormatting sqref="W101:AC119 W160:AC178">
    <cfRule type="colorScale" priority="8">
      <colorScale>
        <cfvo type="min"/>
        <cfvo type="max"/>
        <color rgb="FFFFFFFF"/>
        <color rgb="FF57BB8A"/>
      </colorScale>
    </cfRule>
  </conditionalFormatting>
  <conditionalFormatting sqref="AG101:AP119 AG160:AP178">
    <cfRule type="colorScale" priority="9">
      <colorScale>
        <cfvo type="min"/>
        <cfvo type="percentile" val="5"/>
        <cfvo type="max"/>
        <color rgb="FFE67C73"/>
        <color rgb="FFFFFFFF"/>
        <color rgb="FF57BB8A"/>
      </colorScale>
    </cfRule>
  </conditionalFormatting>
  <conditionalFormatting sqref="W101:AC117 W160:AC176">
    <cfRule type="colorScale" priority="10">
      <colorScale>
        <cfvo type="min"/>
        <cfvo type="max"/>
        <color rgb="FFFFFFFF"/>
        <color rgb="FF57BB8A"/>
      </colorScale>
    </cfRule>
  </conditionalFormatting>
  <conditionalFormatting sqref="AG41:AP59 AG101:AP119 AG160:AP178">
    <cfRule type="colorScale" priority="11">
      <colorScale>
        <cfvo type="min"/>
        <cfvo type="max"/>
        <color rgb="FFFFFFFF"/>
        <color rgb="FF57BB8A"/>
      </colorScale>
    </cfRule>
  </conditionalFormatting>
  <conditionalFormatting sqref="W41:AC59 W101:AC119 W160:AC178">
    <cfRule type="colorScale" priority="12">
      <colorScale>
        <cfvo type="min"/>
        <cfvo type="max"/>
        <color rgb="FFFFFFFF"/>
        <color rgb="FF57BB8A"/>
      </colorScale>
    </cfRule>
  </conditionalFormatting>
  <dataValidations>
    <dataValidation type="list" allowBlank="1" sqref="C28:C30">
      <formula1>"Yes,No"</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38"/>
    <col customWidth="1" min="2" max="2" width="36.63"/>
    <col customWidth="1" min="4" max="4" width="2.25"/>
    <col customWidth="1" min="5" max="5" width="35.25"/>
    <col customWidth="1" min="6" max="6" width="16.88"/>
    <col customWidth="1" min="7" max="8" width="2.38"/>
    <col customWidth="1" min="9" max="9" width="6.25"/>
    <col customWidth="1" min="10" max="20" width="2.38"/>
    <col customWidth="1" min="21" max="21" width="3.63"/>
    <col customWidth="1" min="22" max="22" width="10.75"/>
    <col customWidth="1" min="23" max="23" width="6.5"/>
    <col customWidth="1" min="24" max="24" width="8.13"/>
    <col customWidth="1" min="25" max="26" width="6.75"/>
    <col customWidth="1" min="27" max="27" width="7.5"/>
    <col customWidth="1" min="28" max="31" width="6.75"/>
    <col customWidth="1" min="32" max="32" width="9.38"/>
    <col customWidth="1" min="33" max="33" width="7.63"/>
    <col customWidth="1" min="34" max="34" width="6.75"/>
    <col customWidth="1" min="35" max="35" width="10.0"/>
    <col customWidth="1" min="36" max="36" width="6.75"/>
    <col customWidth="1" min="37" max="37" width="10.75"/>
    <col customWidth="1" min="38" max="38" width="7.63"/>
    <col customWidth="1" min="39" max="39" width="6.75"/>
    <col customWidth="1" min="40" max="40" width="9.13"/>
    <col customWidth="1" min="41" max="41" width="6.75"/>
    <col customWidth="1" min="42" max="43" width="9.0"/>
    <col customWidth="1" min="44" max="44" width="6.75"/>
    <col customWidth="1" min="45" max="45" width="8.13"/>
    <col customWidth="1" min="46" max="47" width="6.75"/>
    <col customWidth="1" min="48" max="48" width="10.0"/>
    <col customWidth="1" min="49" max="49" width="6.75"/>
    <col customWidth="1" min="50" max="50" width="8.5"/>
    <col customWidth="1" min="51" max="53" width="6.75"/>
    <col customWidth="1" min="54" max="54" width="10.0"/>
    <col customWidth="1" min="55" max="61" width="6.75"/>
    <col customWidth="1" min="62" max="62" width="8.63"/>
    <col customWidth="1" min="63" max="112" width="6.75"/>
  </cols>
  <sheetData>
    <row r="1">
      <c r="A1" s="1"/>
      <c r="B1" s="1"/>
      <c r="C1" s="1"/>
      <c r="D1" s="1"/>
      <c r="F1" s="1"/>
    </row>
    <row r="2">
      <c r="D2" s="2"/>
      <c r="E2" s="3" t="str">
        <f>HYPERLINK("https://activate.codefi.network/","Check out Activate!")</f>
        <v>Check out Activate!</v>
      </c>
      <c r="F2" s="2"/>
    </row>
    <row r="3">
      <c r="D3" s="2"/>
      <c r="E3" s="4" t="s">
        <v>0</v>
      </c>
    </row>
    <row r="4">
      <c r="D4" s="2"/>
      <c r="F4" s="2"/>
    </row>
    <row r="5">
      <c r="D5" s="2"/>
    </row>
    <row r="6">
      <c r="D6" s="2"/>
      <c r="E6" s="2"/>
      <c r="R6" s="5" t="s">
        <v>1</v>
      </c>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7"/>
    </row>
    <row r="7">
      <c r="E7" s="8"/>
      <c r="F7" s="9"/>
      <c r="R7" s="10"/>
      <c r="BY7" s="11"/>
    </row>
    <row r="8">
      <c r="E8" s="12" t="s">
        <v>2</v>
      </c>
      <c r="F8" s="13"/>
      <c r="R8" s="10"/>
      <c r="BA8" s="14"/>
      <c r="BB8" s="14"/>
      <c r="BC8" s="14"/>
      <c r="BD8" s="14"/>
      <c r="BE8" s="14"/>
      <c r="BF8" s="14"/>
      <c r="BG8" s="14"/>
      <c r="BH8" s="14"/>
      <c r="BI8" s="14"/>
      <c r="BJ8" s="14"/>
      <c r="BK8" s="14"/>
      <c r="BL8" s="14"/>
      <c r="BM8" s="14"/>
      <c r="BY8" s="11"/>
    </row>
    <row r="9" ht="2.25" customHeight="1">
      <c r="E9" s="15" t="s">
        <v>3</v>
      </c>
      <c r="F9" s="16">
        <f>C14/C13</f>
        <v>406250</v>
      </c>
      <c r="R9" s="10"/>
      <c r="BA9" s="14"/>
      <c r="BB9" s="14"/>
      <c r="BC9" s="14"/>
      <c r="BD9" s="14"/>
      <c r="BE9" s="14"/>
      <c r="BF9" s="14"/>
      <c r="BG9" s="14"/>
      <c r="BH9" s="14"/>
      <c r="BI9" s="14"/>
      <c r="BJ9" s="14"/>
      <c r="BK9" s="14"/>
      <c r="BL9" s="14"/>
      <c r="BM9" s="14"/>
      <c r="BN9" s="11"/>
      <c r="BY9" s="11"/>
    </row>
    <row r="10">
      <c r="B10" s="17" t="s">
        <v>4</v>
      </c>
      <c r="C10" s="18"/>
      <c r="E10" s="19" t="s">
        <v>5</v>
      </c>
      <c r="F10" s="20">
        <f>C14/C13/C19</f>
        <v>6347.65625</v>
      </c>
      <c r="R10" s="10"/>
      <c r="BA10" s="14"/>
      <c r="BB10" s="14"/>
      <c r="BC10" s="14"/>
      <c r="BD10" s="14"/>
      <c r="BE10" s="14"/>
      <c r="BF10" s="14"/>
      <c r="BG10" s="14"/>
      <c r="BH10" s="14"/>
      <c r="BI10" s="14"/>
      <c r="BJ10" s="14"/>
      <c r="BK10" s="14"/>
      <c r="BL10" s="14"/>
      <c r="BM10" s="14"/>
      <c r="BN10" s="11"/>
      <c r="BY10" s="11"/>
    </row>
    <row r="11">
      <c r="B11" s="21" t="s">
        <v>6</v>
      </c>
      <c r="C11" s="22"/>
      <c r="D11" s="23"/>
      <c r="E11" s="15" t="s">
        <v>7</v>
      </c>
      <c r="F11" s="16">
        <f>(60*60*24*365.242)/(C20*C21)</f>
        <v>82179.45</v>
      </c>
      <c r="R11" s="10"/>
      <c r="BA11" s="14"/>
      <c r="BB11" s="14"/>
      <c r="BC11" s="14"/>
      <c r="BD11" s="14"/>
      <c r="BE11" s="14"/>
      <c r="BF11" s="14"/>
      <c r="BG11" s="14"/>
      <c r="BH11" s="14"/>
      <c r="BI11" s="14"/>
      <c r="BJ11" s="14"/>
      <c r="BK11" s="14"/>
      <c r="BL11" s="14"/>
      <c r="BM11" s="14"/>
      <c r="BN11" s="11"/>
      <c r="BY11" s="11"/>
    </row>
    <row r="12">
      <c r="B12" s="15" t="s">
        <v>8</v>
      </c>
      <c r="C12" s="24">
        <f>'Coin Market Cap'!D3</f>
        <v>3251.17</v>
      </c>
      <c r="E12" s="15" t="s">
        <v>9</v>
      </c>
      <c r="F12" s="16">
        <f>32 * 10^9 * C22/ sqrt(C14 * 10^9) / F28</f>
        <v>4490.537059</v>
      </c>
      <c r="R12" s="10"/>
      <c r="BA12" s="14"/>
      <c r="BB12" s="14"/>
      <c r="BC12" s="14"/>
      <c r="BD12" s="14"/>
      <c r="BE12" s="14"/>
      <c r="BF12" s="14"/>
      <c r="BG12" s="14"/>
      <c r="BH12" s="14"/>
      <c r="BI12" s="14"/>
      <c r="BJ12" s="14"/>
      <c r="BK12" s="14"/>
      <c r="BL12" s="14"/>
      <c r="BM12" s="14"/>
      <c r="BN12" s="11"/>
      <c r="BY12" s="11"/>
    </row>
    <row r="13">
      <c r="B13" s="15" t="s">
        <v>10</v>
      </c>
      <c r="C13" s="25">
        <v>32.0</v>
      </c>
      <c r="E13" s="15" t="s">
        <v>11</v>
      </c>
      <c r="F13" s="16">
        <f>F12*F29*C15 + 1*(0.125*F12*C15 + 0.875*F12*(C15+C15*(1 - C15)*(1 - F30)+C15*(1 - C15)^2*(1 - 2*F30)))</f>
        <v>16548.29563</v>
      </c>
      <c r="R13" s="10"/>
      <c r="BA13" s="14"/>
      <c r="BB13" s="14"/>
      <c r="BC13" s="14"/>
      <c r="BD13" s="14"/>
      <c r="BE13" s="14"/>
      <c r="BF13" s="14"/>
      <c r="BG13" s="14"/>
      <c r="BH13" s="14"/>
      <c r="BI13" s="14"/>
      <c r="BJ13" s="14"/>
      <c r="BK13" s="14"/>
      <c r="BL13" s="14"/>
      <c r="BM13" s="14"/>
      <c r="BN13" s="11"/>
      <c r="BY13" s="11"/>
    </row>
    <row r="14">
      <c r="B14" s="15" t="s">
        <v>12</v>
      </c>
      <c r="C14" s="26">
        <v>1.3E7</v>
      </c>
      <c r="E14" s="15" t="s">
        <v>13</v>
      </c>
      <c r="F14" s="16">
        <f>F12*4</f>
        <v>17962.14824</v>
      </c>
      <c r="R14" s="10"/>
      <c r="BA14" s="14"/>
      <c r="BB14" s="14"/>
      <c r="BC14" s="14"/>
      <c r="BD14" s="14"/>
      <c r="BE14" s="14"/>
      <c r="BF14" s="14"/>
      <c r="BG14" s="14"/>
      <c r="BH14" s="14"/>
      <c r="BI14" s="14"/>
      <c r="BJ14" s="14"/>
      <c r="BK14" s="14"/>
      <c r="BL14" s="14"/>
      <c r="BM14" s="14"/>
      <c r="BN14" s="11"/>
      <c r="BY14" s="11"/>
    </row>
    <row r="15">
      <c r="B15" s="15" t="s">
        <v>14</v>
      </c>
      <c r="C15" s="27">
        <v>0.9</v>
      </c>
      <c r="E15" s="15" t="s">
        <v>15</v>
      </c>
      <c r="F15" s="16">
        <f>(F13*F9*C15 - F14*F9*(1-C15)) *F11  / 10^9</f>
        <v>437256.992</v>
      </c>
      <c r="R15" s="10"/>
      <c r="BA15" s="14"/>
      <c r="BB15" s="14"/>
      <c r="BC15" s="14"/>
      <c r="BD15" s="14"/>
      <c r="BE15" s="14"/>
      <c r="BF15" s="14"/>
      <c r="BG15" s="14"/>
      <c r="BH15" s="14"/>
      <c r="BI15" s="14"/>
      <c r="BJ15" s="14"/>
      <c r="BK15" s="14"/>
      <c r="BL15" s="14"/>
      <c r="BM15" s="14"/>
      <c r="BN15" s="11"/>
      <c r="BY15" s="11"/>
    </row>
    <row r="16">
      <c r="B16" s="15" t="s">
        <v>16</v>
      </c>
      <c r="C16" s="28">
        <v>0.0</v>
      </c>
      <c r="E16" s="15" t="s">
        <v>17</v>
      </c>
      <c r="F16" s="16">
        <f>F15/365</f>
        <v>1197.964362</v>
      </c>
      <c r="R16" s="10"/>
      <c r="BA16" s="14"/>
      <c r="BB16" s="14"/>
      <c r="BC16" s="14"/>
      <c r="BD16" s="14"/>
      <c r="BE16" s="14"/>
      <c r="BF16" s="14"/>
      <c r="BG16" s="14"/>
      <c r="BH16" s="14"/>
      <c r="BI16" s="14"/>
      <c r="BJ16" s="14"/>
      <c r="BK16" s="14"/>
      <c r="BL16" s="14"/>
      <c r="BM16" s="14"/>
      <c r="BN16" s="11"/>
      <c r="BY16" s="11"/>
    </row>
    <row r="17">
      <c r="B17" s="15" t="s">
        <v>18</v>
      </c>
      <c r="C17" s="28">
        <v>0.0</v>
      </c>
      <c r="E17" s="29" t="s">
        <v>19</v>
      </c>
      <c r="F17" s="30">
        <f>F15/C18</f>
        <v>0.003975063564</v>
      </c>
      <c r="R17" s="10"/>
      <c r="BA17" s="14"/>
      <c r="BB17" s="14"/>
      <c r="BC17" s="14"/>
      <c r="BD17" s="14"/>
      <c r="BE17" s="14"/>
      <c r="BF17" s="14"/>
      <c r="BG17" s="14"/>
      <c r="BH17" s="14"/>
      <c r="BI17" s="14"/>
      <c r="BJ17" s="14"/>
      <c r="BK17" s="14"/>
      <c r="BL17" s="14"/>
      <c r="BM17" s="14"/>
      <c r="BN17" s="11"/>
      <c r="BY17" s="11"/>
    </row>
    <row r="18">
      <c r="B18" s="15" t="s">
        <v>20</v>
      </c>
      <c r="C18" s="28">
        <v>1.1E8</v>
      </c>
      <c r="R18" s="10"/>
      <c r="BA18" s="14"/>
      <c r="BB18" s="14"/>
      <c r="BC18" s="14"/>
      <c r="BD18" s="14"/>
      <c r="BE18" s="14"/>
      <c r="BF18" s="14"/>
      <c r="BG18" s="14"/>
      <c r="BH18" s="14"/>
      <c r="BI18" s="14"/>
      <c r="BJ18" s="14"/>
      <c r="BK18" s="14"/>
      <c r="BL18" s="14"/>
      <c r="BM18" s="14"/>
      <c r="BN18" s="11"/>
      <c r="BY18" s="11"/>
    </row>
    <row r="19">
      <c r="B19" s="15" t="s">
        <v>21</v>
      </c>
      <c r="C19" s="25">
        <v>64.0</v>
      </c>
      <c r="R19" s="10"/>
      <c r="BA19" s="14"/>
      <c r="BB19" s="14"/>
      <c r="BC19" s="14"/>
      <c r="BD19" s="14"/>
      <c r="BE19" s="14"/>
      <c r="BF19" s="14"/>
      <c r="BG19" s="14"/>
      <c r="BH19" s="14"/>
      <c r="BI19" s="14"/>
      <c r="BJ19" s="14"/>
      <c r="BK19" s="14"/>
      <c r="BL19" s="14"/>
      <c r="BM19" s="14"/>
      <c r="BN19" s="11"/>
      <c r="BY19" s="11"/>
    </row>
    <row r="20">
      <c r="B20" s="15" t="s">
        <v>22</v>
      </c>
      <c r="C20" s="25">
        <v>12.0</v>
      </c>
      <c r="E20" s="31" t="s">
        <v>23</v>
      </c>
      <c r="F20" s="32"/>
      <c r="R20" s="10"/>
      <c r="BA20" s="14"/>
      <c r="BB20" s="14"/>
      <c r="BC20" s="14"/>
      <c r="BD20" s="14"/>
      <c r="BE20" s="14"/>
      <c r="BF20" s="14"/>
      <c r="BG20" s="14"/>
      <c r="BH20" s="14"/>
      <c r="BI20" s="14"/>
      <c r="BJ20" s="14"/>
      <c r="BK20" s="14"/>
      <c r="BL20" s="14"/>
      <c r="BM20" s="14"/>
      <c r="BN20" s="11"/>
      <c r="BY20" s="11"/>
    </row>
    <row r="21">
      <c r="B21" s="15" t="s">
        <v>24</v>
      </c>
      <c r="C21" s="25">
        <v>32.0</v>
      </c>
      <c r="E21" s="33" t="s">
        <v>25</v>
      </c>
      <c r="F21" s="34">
        <f>C17*365.24</f>
        <v>0</v>
      </c>
      <c r="R21" s="10"/>
      <c r="BA21" s="14"/>
      <c r="BB21" s="14"/>
      <c r="BC21" s="14"/>
      <c r="BD21" s="14"/>
      <c r="BE21" s="14"/>
      <c r="BF21" s="14"/>
      <c r="BG21" s="14"/>
      <c r="BH21" s="14"/>
      <c r="BI21" s="14"/>
      <c r="BJ21" s="14"/>
      <c r="BK21" s="14"/>
      <c r="BL21" s="14"/>
      <c r="BM21" s="14"/>
      <c r="BN21" s="11"/>
      <c r="BY21" s="11"/>
    </row>
    <row r="22">
      <c r="B22" s="29" t="s">
        <v>26</v>
      </c>
      <c r="C22" s="35">
        <v>64.0</v>
      </c>
      <c r="E22" s="33" t="s">
        <v>27</v>
      </c>
      <c r="F22" s="36">
        <f>F15-F21</f>
        <v>437256.992</v>
      </c>
      <c r="R22" s="10"/>
      <c r="BA22" s="14"/>
      <c r="BB22" s="14"/>
      <c r="BC22" s="14"/>
      <c r="BD22" s="14"/>
      <c r="BE22" s="14"/>
      <c r="BF22" s="14"/>
      <c r="BG22" s="14"/>
      <c r="BH22" s="14"/>
      <c r="BI22" s="14"/>
      <c r="BJ22" s="14"/>
      <c r="BK22" s="14"/>
      <c r="BL22" s="14"/>
      <c r="BM22" s="14"/>
      <c r="BN22" s="11"/>
      <c r="BY22" s="11"/>
    </row>
    <row r="23">
      <c r="E23" s="33" t="s">
        <v>28</v>
      </c>
      <c r="F23" s="37">
        <f>F22/C18</f>
        <v>0.003975063564</v>
      </c>
      <c r="M23" s="38"/>
      <c r="R23" s="10"/>
      <c r="BA23" s="14"/>
      <c r="BB23" s="14"/>
      <c r="BC23" s="14"/>
      <c r="BD23" s="14"/>
      <c r="BE23" s="14"/>
      <c r="BF23" s="14"/>
      <c r="BG23" s="14"/>
      <c r="BH23" s="14"/>
      <c r="BI23" s="14"/>
      <c r="BJ23" s="14"/>
      <c r="BK23" s="14"/>
      <c r="BL23" s="14"/>
      <c r="BM23" s="14"/>
      <c r="BN23" s="11"/>
      <c r="BY23" s="11"/>
    </row>
    <row r="24">
      <c r="E24" s="39" t="s">
        <v>29</v>
      </c>
      <c r="F24" s="40">
        <f>F21/F22</f>
        <v>0</v>
      </c>
      <c r="R24" s="10"/>
      <c r="BA24" s="14"/>
      <c r="BB24" s="14"/>
      <c r="BC24" s="14"/>
      <c r="BD24" s="14"/>
      <c r="BE24" s="14"/>
      <c r="BF24" s="14"/>
      <c r="BG24" s="14"/>
      <c r="BH24" s="14"/>
      <c r="BI24" s="14"/>
      <c r="BJ24" s="14"/>
      <c r="BK24" s="14"/>
      <c r="BL24" s="14"/>
      <c r="BM24" s="14"/>
      <c r="BN24" s="11"/>
      <c r="BY24" s="11"/>
    </row>
    <row r="25">
      <c r="E25" s="41" t="s">
        <v>30</v>
      </c>
      <c r="F25" s="42" t="str">
        <f>F22/F21</f>
        <v>#DIV/0!</v>
      </c>
      <c r="R25" s="10"/>
      <c r="BA25" s="14"/>
      <c r="BB25" s="14"/>
      <c r="BC25" s="14"/>
      <c r="BD25" s="14"/>
      <c r="BE25" s="14"/>
      <c r="BF25" s="14"/>
      <c r="BG25" s="14"/>
      <c r="BH25" s="14"/>
      <c r="BI25" s="14"/>
      <c r="BJ25" s="14"/>
      <c r="BK25" s="14"/>
      <c r="BL25" s="14"/>
      <c r="BM25" s="14"/>
      <c r="BN25" s="11"/>
      <c r="BY25" s="11"/>
    </row>
    <row r="26">
      <c r="R26" s="10"/>
      <c r="BA26" s="14"/>
      <c r="BB26" s="14"/>
      <c r="BC26" s="14"/>
      <c r="BD26" s="14"/>
      <c r="BE26" s="14"/>
      <c r="BF26" s="14"/>
      <c r="BG26" s="14"/>
      <c r="BH26" s="14"/>
      <c r="BI26" s="14"/>
      <c r="BJ26" s="14"/>
      <c r="BK26" s="14"/>
      <c r="BL26" s="14"/>
      <c r="BM26" s="14"/>
      <c r="BN26" s="11"/>
      <c r="BY26" s="11"/>
    </row>
    <row r="27">
      <c r="B27" s="43" t="s">
        <v>31</v>
      </c>
      <c r="C27" s="44"/>
      <c r="E27" s="45" t="s">
        <v>32</v>
      </c>
      <c r="F27" s="46"/>
      <c r="R27" s="10"/>
      <c r="BA27" s="14"/>
      <c r="BB27" s="14"/>
      <c r="BC27" s="14"/>
      <c r="BD27" s="14"/>
      <c r="BE27" s="14"/>
      <c r="BF27" s="14"/>
      <c r="BG27" s="14"/>
      <c r="BH27" s="14"/>
      <c r="BI27" s="14"/>
      <c r="BJ27" s="14"/>
      <c r="BK27" s="14"/>
      <c r="BL27" s="14"/>
      <c r="BM27" s="14"/>
      <c r="BN27" s="11"/>
      <c r="BY27" s="11"/>
    </row>
    <row r="28">
      <c r="B28" s="15" t="s">
        <v>33</v>
      </c>
      <c r="C28" s="47" t="s">
        <v>34</v>
      </c>
      <c r="E28" s="15" t="s">
        <v>35</v>
      </c>
      <c r="F28" s="48">
        <v>4.0</v>
      </c>
      <c r="R28" s="10"/>
      <c r="BA28" s="14"/>
      <c r="BB28" s="14"/>
      <c r="BC28" s="14"/>
      <c r="BD28" s="14"/>
      <c r="BE28" s="14"/>
      <c r="BF28" s="14"/>
      <c r="BG28" s="14"/>
      <c r="BH28" s="14"/>
      <c r="BI28" s="14"/>
      <c r="BJ28" s="14"/>
      <c r="BK28" s="14"/>
      <c r="BL28" s="14"/>
      <c r="BM28" s="14"/>
      <c r="BN28" s="11"/>
      <c r="BY28" s="11"/>
    </row>
    <row r="29">
      <c r="B29" s="15" t="s">
        <v>36</v>
      </c>
      <c r="C29" s="47" t="s">
        <v>34</v>
      </c>
      <c r="E29" s="15" t="s">
        <v>37</v>
      </c>
      <c r="F29" s="48">
        <v>3.0</v>
      </c>
      <c r="R29" s="10"/>
      <c r="BA29" s="14"/>
      <c r="BB29" s="14"/>
      <c r="BC29" s="14"/>
      <c r="BD29" s="14"/>
      <c r="BE29" s="14"/>
      <c r="BF29" s="14"/>
      <c r="BG29" s="14"/>
      <c r="BH29" s="14"/>
      <c r="BI29" s="14"/>
      <c r="BJ29" s="14"/>
      <c r="BK29" s="14"/>
      <c r="BL29" s="14"/>
      <c r="BM29" s="14"/>
      <c r="BN29" s="11"/>
      <c r="BY29" s="11"/>
    </row>
    <row r="30">
      <c r="B30" s="29" t="s">
        <v>38</v>
      </c>
      <c r="C30" s="49" t="s">
        <v>34</v>
      </c>
      <c r="E30" s="29" t="s">
        <v>39</v>
      </c>
      <c r="F30" s="50">
        <f>1/64</f>
        <v>0.015625</v>
      </c>
      <c r="R30" s="10"/>
      <c r="AD30" s="51"/>
      <c r="AE30" s="51"/>
      <c r="AF30" s="51"/>
      <c r="AG30" s="51"/>
      <c r="AH30" s="51"/>
      <c r="AI30" s="51"/>
      <c r="AJ30" s="51"/>
      <c r="AK30" s="51"/>
      <c r="AL30" s="51"/>
      <c r="AM30" s="51"/>
      <c r="AN30" s="51"/>
      <c r="AO30" s="51"/>
      <c r="AP30" s="51"/>
      <c r="BA30" s="14"/>
      <c r="BB30" s="14"/>
      <c r="BC30" s="14"/>
      <c r="BD30" s="14"/>
      <c r="BE30" s="14"/>
      <c r="BF30" s="14"/>
      <c r="BG30" s="14"/>
      <c r="BH30" s="14"/>
      <c r="BI30" s="14"/>
      <c r="BJ30" s="14"/>
      <c r="BK30" s="14"/>
      <c r="BL30" s="14"/>
      <c r="BM30" s="14"/>
      <c r="BN30" s="11"/>
      <c r="BY30" s="11"/>
    </row>
    <row r="31">
      <c r="G31" s="52"/>
      <c r="H31" s="52"/>
      <c r="I31" s="52"/>
      <c r="J31" s="52"/>
      <c r="K31" s="52"/>
      <c r="L31" s="52"/>
      <c r="M31" s="52"/>
      <c r="N31" s="52"/>
      <c r="O31" s="52"/>
      <c r="P31" s="52"/>
      <c r="Q31" s="52"/>
      <c r="R31" s="53"/>
      <c r="S31" s="52"/>
      <c r="T31" s="52"/>
      <c r="BN31" s="11"/>
      <c r="BU31" s="52"/>
      <c r="BV31" s="52"/>
      <c r="BW31" s="52"/>
      <c r="BX31" s="52"/>
      <c r="BY31" s="54"/>
      <c r="BZ31" s="52"/>
      <c r="CA31" s="52"/>
      <c r="CB31" s="52"/>
      <c r="CC31" s="52"/>
      <c r="CD31" s="52"/>
      <c r="CE31" s="52"/>
      <c r="CF31" s="52"/>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row>
    <row r="32">
      <c r="B32" s="55" t="s">
        <v>40</v>
      </c>
      <c r="C32" s="56"/>
      <c r="E32" s="12" t="s">
        <v>41</v>
      </c>
      <c r="F32" s="57"/>
      <c r="R32" s="10"/>
      <c r="BN32" s="11"/>
      <c r="BY32" s="11"/>
    </row>
    <row r="33">
      <c r="B33" s="33" t="s">
        <v>42</v>
      </c>
      <c r="C33" s="58">
        <v>0.98</v>
      </c>
      <c r="E33" s="59" t="s">
        <v>43</v>
      </c>
      <c r="F33" s="60">
        <f>C13*C34</f>
        <v>32</v>
      </c>
      <c r="R33" s="10"/>
      <c r="BN33" s="11"/>
      <c r="BY33" s="11"/>
    </row>
    <row r="34">
      <c r="B34" s="33" t="s">
        <v>44</v>
      </c>
      <c r="C34" s="61">
        <v>1.0</v>
      </c>
      <c r="E34" s="59" t="s">
        <v>45</v>
      </c>
      <c r="F34" s="62">
        <f>(F13*C33-F14*(1-C33))*F11/10^9/C13</f>
        <v>0.04072527647</v>
      </c>
      <c r="I34" s="63"/>
      <c r="R34" s="10"/>
      <c r="BN34" s="11"/>
      <c r="BY34" s="11"/>
    </row>
    <row r="35">
      <c r="B35" s="33" t="s">
        <v>46</v>
      </c>
      <c r="C35" s="64">
        <v>225.0</v>
      </c>
      <c r="E35" s="59" t="s">
        <v>47</v>
      </c>
      <c r="F35" s="65">
        <f>F33*C12*F34</f>
        <v>4236.953507</v>
      </c>
      <c r="R35" s="10"/>
      <c r="BN35" s="11"/>
      <c r="BY35" s="11"/>
    </row>
    <row r="36">
      <c r="B36" s="33" t="s">
        <v>48</v>
      </c>
      <c r="C36" s="61">
        <v>2.5</v>
      </c>
      <c r="E36" s="59" t="s">
        <v>49</v>
      </c>
      <c r="F36" s="66">
        <f>C16*365.24/C14</f>
        <v>0</v>
      </c>
      <c r="R36" s="10"/>
      <c r="BY36" s="11"/>
    </row>
    <row r="37">
      <c r="B37" s="33" t="s">
        <v>50</v>
      </c>
      <c r="C37" s="67">
        <f>average(0.15,0.19,0.22,0.22,0.33,0.1936,0.11,0.2)</f>
        <v>0.2017</v>
      </c>
      <c r="E37" s="59" t="s">
        <v>51</v>
      </c>
      <c r="F37" s="65">
        <f>F36*F33*C12</f>
        <v>0</v>
      </c>
      <c r="R37" s="10"/>
      <c r="BY37" s="11"/>
    </row>
    <row r="38">
      <c r="B38" s="33" t="s">
        <v>52</v>
      </c>
      <c r="C38" s="61">
        <v>10.0</v>
      </c>
      <c r="E38" s="68" t="s">
        <v>53</v>
      </c>
      <c r="F38" s="69">
        <f>sum(F35+F37)</f>
        <v>4236.953507</v>
      </c>
      <c r="R38" s="10"/>
      <c r="U38" s="70" t="s">
        <v>54</v>
      </c>
      <c r="V38" s="71"/>
      <c r="W38" s="71"/>
      <c r="X38" s="71"/>
      <c r="Y38" s="71"/>
      <c r="Z38" s="71"/>
      <c r="AA38" s="71"/>
      <c r="AB38" s="71"/>
      <c r="AC38" s="18"/>
      <c r="AD38" s="51"/>
      <c r="AE38" s="72" t="s">
        <v>54</v>
      </c>
      <c r="AF38" s="73"/>
      <c r="AG38" s="73"/>
      <c r="AH38" s="73"/>
      <c r="AI38" s="73"/>
      <c r="AJ38" s="73"/>
      <c r="AK38" s="73"/>
      <c r="AL38" s="74"/>
      <c r="AM38" s="74"/>
      <c r="AN38" s="74"/>
      <c r="AO38" s="74"/>
      <c r="AP38" s="75"/>
      <c r="AR38" s="70" t="s">
        <v>54</v>
      </c>
      <c r="AS38" s="71"/>
      <c r="AT38" s="71"/>
      <c r="AU38" s="71"/>
      <c r="AV38" s="71"/>
      <c r="AW38" s="71"/>
      <c r="AX38" s="71"/>
      <c r="AY38" s="71"/>
      <c r="AZ38" s="71"/>
      <c r="BA38" s="71"/>
      <c r="BB38" s="71"/>
      <c r="BC38" s="71"/>
      <c r="BD38" s="71"/>
      <c r="BE38" s="71"/>
      <c r="BF38" s="71"/>
      <c r="BG38" s="18"/>
      <c r="BI38" s="70" t="s">
        <v>54</v>
      </c>
      <c r="BJ38" s="71"/>
      <c r="BK38" s="71"/>
      <c r="BL38" s="71"/>
      <c r="BM38" s="71"/>
      <c r="BN38" s="71"/>
      <c r="BO38" s="71"/>
      <c r="BP38" s="71"/>
      <c r="BQ38" s="71"/>
      <c r="BR38" s="71"/>
      <c r="BS38" s="71"/>
      <c r="BT38" s="71"/>
      <c r="BU38" s="71"/>
      <c r="BV38" s="71"/>
      <c r="BW38" s="71"/>
      <c r="BX38" s="18"/>
      <c r="BY38" s="11"/>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row>
    <row r="39">
      <c r="B39" s="33" t="s">
        <v>55</v>
      </c>
      <c r="C39" s="61">
        <v>40.0</v>
      </c>
      <c r="E39" s="21" t="s">
        <v>56</v>
      </c>
      <c r="F39" s="76">
        <f>(F38)/((C13*C12)*C34)</f>
        <v>0.04072527647</v>
      </c>
      <c r="R39" s="10"/>
      <c r="U39" s="77" t="s">
        <v>57</v>
      </c>
      <c r="AC39" s="78"/>
      <c r="AD39" s="51"/>
      <c r="AE39" s="79" t="s">
        <v>58</v>
      </c>
      <c r="AF39" s="80"/>
      <c r="AG39" s="80"/>
      <c r="AH39" s="80"/>
      <c r="AI39" s="81" t="s">
        <v>59</v>
      </c>
      <c r="AJ39" s="82"/>
      <c r="AK39" s="82"/>
      <c r="AL39" s="83"/>
      <c r="AM39" s="83"/>
      <c r="AN39" s="83"/>
      <c r="AO39" s="83"/>
      <c r="AP39" s="84"/>
      <c r="AR39" s="85" t="s">
        <v>58</v>
      </c>
      <c r="AS39" s="86"/>
      <c r="AT39" s="86" t="s">
        <v>44</v>
      </c>
      <c r="BG39" s="78"/>
      <c r="BI39" s="85" t="s">
        <v>58</v>
      </c>
      <c r="BJ39" s="86"/>
      <c r="BK39" s="86" t="s">
        <v>44</v>
      </c>
      <c r="BX39" s="78"/>
      <c r="BY39" s="11"/>
      <c r="CE39" s="87"/>
      <c r="CF39" s="87"/>
      <c r="CG39" s="87"/>
      <c r="CH39" s="87"/>
      <c r="CI39" s="87"/>
      <c r="CJ39" s="87"/>
      <c r="CK39" s="87"/>
      <c r="CL39" s="87"/>
      <c r="CM39" s="87"/>
      <c r="CN39" s="87"/>
      <c r="CO39" s="87"/>
      <c r="CP39" s="87"/>
      <c r="CQ39" s="87"/>
      <c r="CR39" s="87"/>
      <c r="CS39" s="87"/>
      <c r="CT39" s="87"/>
      <c r="CU39" s="87"/>
      <c r="CV39" s="87"/>
      <c r="CW39" s="87"/>
      <c r="CX39" s="87"/>
      <c r="CY39" s="87"/>
      <c r="CZ39" s="87"/>
      <c r="DA39" s="87"/>
      <c r="DB39" s="87"/>
      <c r="DC39" s="87"/>
      <c r="DD39" s="87"/>
      <c r="DE39" s="87"/>
      <c r="DF39" s="87"/>
      <c r="DG39" s="87"/>
      <c r="DH39" s="87"/>
    </row>
    <row r="40">
      <c r="B40" s="33" t="s">
        <v>60</v>
      </c>
      <c r="C40" s="67">
        <f>average(31.14,36.68,37.15,39.58,67.69,72.68,57.66, 68.78)</f>
        <v>51.42</v>
      </c>
      <c r="E40" s="88" t="s">
        <v>61</v>
      </c>
      <c r="F40" s="89">
        <f>IF(C30="Yes",0,C45*8760/1000*C37)</f>
        <v>0</v>
      </c>
      <c r="I40" s="9" t="s">
        <v>62</v>
      </c>
      <c r="R40" s="10"/>
      <c r="U40" s="90"/>
      <c r="V40" s="91">
        <f>$F$39</f>
        <v>0.04072527647</v>
      </c>
      <c r="W40" s="92">
        <v>64.0</v>
      </c>
      <c r="X40" s="93">
        <f t="shared" ref="X40:AC40" si="1">W40+10</f>
        <v>74</v>
      </c>
      <c r="Y40" s="93">
        <f t="shared" si="1"/>
        <v>84</v>
      </c>
      <c r="Z40" s="93">
        <f t="shared" si="1"/>
        <v>94</v>
      </c>
      <c r="AA40" s="93">
        <f t="shared" si="1"/>
        <v>104</v>
      </c>
      <c r="AB40" s="93">
        <f t="shared" si="1"/>
        <v>114</v>
      </c>
      <c r="AC40" s="94">
        <f t="shared" si="1"/>
        <v>124</v>
      </c>
      <c r="AD40" s="51"/>
      <c r="AE40" s="95"/>
      <c r="AF40" s="96">
        <f>$F$39</f>
        <v>0.04072527647</v>
      </c>
      <c r="AG40" s="97">
        <f t="shared" ref="AG40:AI40" si="2">AH40-0.05</f>
        <v>0.7</v>
      </c>
      <c r="AH40" s="97">
        <f t="shared" si="2"/>
        <v>0.75</v>
      </c>
      <c r="AI40" s="97">
        <f t="shared" si="2"/>
        <v>0.8</v>
      </c>
      <c r="AJ40" s="97">
        <v>0.85</v>
      </c>
      <c r="AK40" s="98">
        <v>0.9</v>
      </c>
      <c r="AL40" s="97">
        <f t="shared" ref="AL40:AP40" si="3">AK40+0.02</f>
        <v>0.92</v>
      </c>
      <c r="AM40" s="97">
        <f t="shared" si="3"/>
        <v>0.94</v>
      </c>
      <c r="AN40" s="97">
        <f t="shared" si="3"/>
        <v>0.96</v>
      </c>
      <c r="AO40" s="97">
        <f t="shared" si="3"/>
        <v>0.98</v>
      </c>
      <c r="AP40" s="99">
        <f t="shared" si="3"/>
        <v>1</v>
      </c>
      <c r="AR40" s="85" t="s">
        <v>63</v>
      </c>
      <c r="AS40" s="86"/>
      <c r="AT40" s="86"/>
      <c r="AU40" s="86"/>
      <c r="AV40" s="86"/>
      <c r="AW40" s="86"/>
      <c r="AX40" s="86"/>
      <c r="AY40" s="86"/>
      <c r="AZ40" s="86"/>
      <c r="BA40" s="86"/>
      <c r="BB40" s="86"/>
      <c r="BC40" s="86"/>
      <c r="BD40" s="86"/>
      <c r="BE40" s="86"/>
      <c r="BF40" s="86"/>
      <c r="BG40" s="100"/>
      <c r="BI40" s="85" t="s">
        <v>63</v>
      </c>
      <c r="BJ40" s="86"/>
      <c r="BK40" s="86"/>
      <c r="BL40" s="86"/>
      <c r="BM40" s="86"/>
      <c r="BN40" s="86"/>
      <c r="BO40" s="86"/>
      <c r="BP40" s="86"/>
      <c r="BQ40" s="86"/>
      <c r="BR40" s="86"/>
      <c r="BS40" s="86"/>
      <c r="BT40" s="86"/>
      <c r="BU40" s="86"/>
      <c r="BV40" s="86"/>
      <c r="BW40" s="86"/>
      <c r="BX40" s="100"/>
      <c r="BY40" s="11"/>
      <c r="CE40" s="87"/>
      <c r="CF40" s="87"/>
      <c r="CG40" s="87"/>
      <c r="CH40" s="87"/>
      <c r="CI40" s="87"/>
      <c r="CJ40" s="87"/>
      <c r="CK40" s="87"/>
      <c r="CL40" s="87"/>
      <c r="CM40" s="87"/>
      <c r="CN40" s="87"/>
      <c r="CO40" s="87"/>
      <c r="CP40" s="87"/>
      <c r="CQ40" s="87"/>
      <c r="CR40" s="87"/>
      <c r="CS40" s="87"/>
      <c r="CT40" s="87"/>
      <c r="CU40" s="87"/>
      <c r="CV40" s="87"/>
      <c r="CW40" s="87"/>
      <c r="CX40" s="87"/>
      <c r="CY40" s="87"/>
      <c r="CZ40" s="87"/>
      <c r="DA40" s="87"/>
      <c r="DB40" s="87"/>
      <c r="DC40" s="87"/>
      <c r="DD40" s="87"/>
      <c r="DE40" s="87"/>
      <c r="DF40" s="87"/>
      <c r="DG40" s="87"/>
      <c r="DH40" s="87"/>
    </row>
    <row r="41">
      <c r="B41" s="33" t="s">
        <v>64</v>
      </c>
      <c r="C41" s="64">
        <v>90.0</v>
      </c>
      <c r="E41" s="88" t="s">
        <v>65</v>
      </c>
      <c r="F41" s="101">
        <f>if(C30="Yes",0,C35/C36*C44)</f>
        <v>0</v>
      </c>
      <c r="R41" s="10"/>
      <c r="U41" s="102" t="s">
        <v>66</v>
      </c>
      <c r="V41" s="103">
        <v>1.0E7</v>
      </c>
      <c r="W41" s="288">
        <v>0.046433959412298755</v>
      </c>
      <c r="X41" s="249">
        <v>0.05368926557047042</v>
      </c>
      <c r="Y41" s="249">
        <v>0.06094457172864211</v>
      </c>
      <c r="Z41" s="249">
        <v>0.06819987788681378</v>
      </c>
      <c r="AA41" s="249">
        <v>0.07545518404498547</v>
      </c>
      <c r="AB41" s="249">
        <v>0.08271049020315714</v>
      </c>
      <c r="AC41" s="250">
        <v>0.08996579636132883</v>
      </c>
      <c r="AD41" s="51"/>
      <c r="AE41" s="102" t="s">
        <v>66</v>
      </c>
      <c r="AF41" s="103">
        <v>1.0E7</v>
      </c>
      <c r="AG41" s="107">
        <v>0.03804705551758499</v>
      </c>
      <c r="AH41" s="107">
        <v>0.04019835082895508</v>
      </c>
      <c r="AI41" s="107">
        <v>0.04230780524379</v>
      </c>
      <c r="AJ41" s="107">
        <v>0.04438361076920085</v>
      </c>
      <c r="AK41" s="108">
        <v>0.046433959412298755</v>
      </c>
      <c r="AL41" s="107">
        <v>0.04724880595208316</v>
      </c>
      <c r="AM41" s="107">
        <v>0.048061414400290374</v>
      </c>
      <c r="AN41" s="107">
        <v>0.04887230904537552</v>
      </c>
      <c r="AO41" s="107">
        <v>0.04968201417579368</v>
      </c>
      <c r="AP41" s="109">
        <v>0.05049105408000001</v>
      </c>
      <c r="AR41" s="85" t="s">
        <v>67</v>
      </c>
      <c r="AS41" s="86"/>
      <c r="AT41" s="86"/>
      <c r="AU41" s="86"/>
      <c r="AV41" s="86"/>
      <c r="AW41" s="86"/>
      <c r="AX41" s="86"/>
      <c r="AY41" s="86"/>
      <c r="AZ41" s="86"/>
      <c r="BA41" s="86"/>
      <c r="BB41" s="86"/>
      <c r="BC41" s="86"/>
      <c r="BD41" s="86"/>
      <c r="BE41" s="86"/>
      <c r="BF41" s="86"/>
      <c r="BG41" s="100"/>
      <c r="BI41" s="85" t="s">
        <v>68</v>
      </c>
      <c r="BJ41" s="86"/>
      <c r="BK41" s="86"/>
      <c r="BL41" s="86"/>
      <c r="BM41" s="86"/>
      <c r="BN41" s="86"/>
      <c r="BO41" s="86"/>
      <c r="BP41" s="86"/>
      <c r="BQ41" s="86"/>
      <c r="BR41" s="86"/>
      <c r="BS41" s="86"/>
      <c r="BT41" s="86"/>
      <c r="BU41" s="86"/>
      <c r="BV41" s="86"/>
      <c r="BW41" s="86"/>
      <c r="BX41" s="100"/>
      <c r="BY41" s="11"/>
      <c r="CE41" s="87"/>
      <c r="CF41" s="87"/>
      <c r="CG41" s="87"/>
      <c r="CH41" s="87"/>
      <c r="CI41" s="87"/>
      <c r="CJ41" s="87"/>
      <c r="CK41" s="87"/>
      <c r="CL41" s="87"/>
      <c r="CM41" s="87"/>
      <c r="CN41" s="87"/>
      <c r="CO41" s="87"/>
      <c r="CP41" s="87"/>
      <c r="CQ41" s="87"/>
      <c r="CR41" s="87"/>
      <c r="CS41" s="87"/>
      <c r="CT41" s="87"/>
      <c r="CU41" s="87"/>
      <c r="CV41" s="87"/>
      <c r="CW41" s="87"/>
      <c r="CX41" s="87"/>
      <c r="CY41" s="87"/>
      <c r="CZ41" s="87"/>
      <c r="DA41" s="87"/>
      <c r="DB41" s="87"/>
      <c r="DC41" s="87"/>
      <c r="DD41" s="87"/>
      <c r="DE41" s="87"/>
      <c r="DF41" s="87"/>
      <c r="DG41" s="87"/>
      <c r="DH41" s="87"/>
    </row>
    <row r="42">
      <c r="B42" s="33" t="s">
        <v>69</v>
      </c>
      <c r="C42" s="64">
        <v>20.0</v>
      </c>
      <c r="E42" s="88" t="s">
        <v>70</v>
      </c>
      <c r="F42" s="89">
        <f>IF(C28="Yes",0,C40*12)</f>
        <v>0</v>
      </c>
      <c r="R42" s="10"/>
      <c r="U42" s="110"/>
      <c r="V42" s="103">
        <f t="shared" ref="V42:V61" si="6">V41+1000000</f>
        <v>11000000</v>
      </c>
      <c r="W42" s="288">
        <v>0.044273043170175115</v>
      </c>
      <c r="X42" s="249">
        <v>0.05119070616551498</v>
      </c>
      <c r="Y42" s="249">
        <v>0.05810836916085482</v>
      </c>
      <c r="Z42" s="249">
        <v>0.06502603215619468</v>
      </c>
      <c r="AA42" s="249">
        <v>0.07194369515153455</v>
      </c>
      <c r="AB42" s="249">
        <v>0.07886135814687441</v>
      </c>
      <c r="AC42" s="250">
        <v>0.08577902114221428</v>
      </c>
      <c r="AD42" s="51"/>
      <c r="AE42" s="110"/>
      <c r="AF42" s="103">
        <f t="shared" ref="AF42:AF61" si="7">AF41+1000000</f>
        <v>11000000</v>
      </c>
      <c r="AG42" s="111">
        <v>0.03627644406696739</v>
      </c>
      <c r="AH42" s="111">
        <v>0.03832762366477821</v>
      </c>
      <c r="AI42" s="111">
        <v>0.040338909533042255</v>
      </c>
      <c r="AJ42" s="111">
        <v>0.0423181124440708</v>
      </c>
      <c r="AK42" s="112">
        <v>0.044273043170175115</v>
      </c>
      <c r="AL42" s="111">
        <v>0.04504996886183577</v>
      </c>
      <c r="AM42" s="111">
        <v>0.04582476061690626</v>
      </c>
      <c r="AN42" s="111">
        <v>0.04659791832481452</v>
      </c>
      <c r="AO42" s="111">
        <v>0.04736994187498848</v>
      </c>
      <c r="AP42" s="113">
        <v>0.048141331156856024</v>
      </c>
      <c r="AR42" s="90"/>
      <c r="AS42" s="91">
        <f>$F$39</f>
        <v>0.04072527647</v>
      </c>
      <c r="AT42" s="103">
        <v>1.0</v>
      </c>
      <c r="AU42" s="93">
        <f t="shared" ref="AU42:AX42" si="4">AT42+1</f>
        <v>2</v>
      </c>
      <c r="AV42" s="93">
        <f t="shared" si="4"/>
        <v>3</v>
      </c>
      <c r="AW42" s="93">
        <f t="shared" si="4"/>
        <v>4</v>
      </c>
      <c r="AX42" s="93">
        <f t="shared" si="4"/>
        <v>5</v>
      </c>
      <c r="AY42" s="103">
        <v>10.0</v>
      </c>
      <c r="AZ42" s="103">
        <v>15.0</v>
      </c>
      <c r="BA42" s="103">
        <v>20.0</v>
      </c>
      <c r="BB42" s="103">
        <v>25.0</v>
      </c>
      <c r="BC42" s="103">
        <v>30.0</v>
      </c>
      <c r="BD42" s="103">
        <v>35.0</v>
      </c>
      <c r="BE42" s="103">
        <v>40.0</v>
      </c>
      <c r="BF42" s="103">
        <v>45.0</v>
      </c>
      <c r="BG42" s="114">
        <v>50.0</v>
      </c>
      <c r="BI42" s="90"/>
      <c r="BJ42" s="91">
        <f>$F$39</f>
        <v>0.04072527647</v>
      </c>
      <c r="BK42" s="103">
        <v>1.0</v>
      </c>
      <c r="BL42" s="93">
        <f t="shared" ref="BL42:BO42" si="5">BK42+1</f>
        <v>2</v>
      </c>
      <c r="BM42" s="93">
        <f t="shared" si="5"/>
        <v>3</v>
      </c>
      <c r="BN42" s="93">
        <f t="shared" si="5"/>
        <v>4</v>
      </c>
      <c r="BO42" s="93">
        <f t="shared" si="5"/>
        <v>5</v>
      </c>
      <c r="BP42" s="103">
        <v>10.0</v>
      </c>
      <c r="BQ42" s="103">
        <v>15.0</v>
      </c>
      <c r="BR42" s="103">
        <v>20.0</v>
      </c>
      <c r="BS42" s="103">
        <v>25.0</v>
      </c>
      <c r="BT42" s="103">
        <v>30.0</v>
      </c>
      <c r="BU42" s="103">
        <v>35.0</v>
      </c>
      <c r="BV42" s="103">
        <v>40.0</v>
      </c>
      <c r="BW42" s="103">
        <v>45.0</v>
      </c>
      <c r="BX42" s="114">
        <v>50.0</v>
      </c>
      <c r="BY42" s="11"/>
      <c r="CE42" s="115"/>
      <c r="CF42" s="115"/>
      <c r="CG42" s="115"/>
      <c r="CH42" s="115"/>
      <c r="CI42" s="115"/>
      <c r="CJ42" s="115"/>
      <c r="CK42" s="115"/>
      <c r="CL42" s="115"/>
      <c r="CM42" s="115"/>
      <c r="CN42" s="115"/>
      <c r="CO42" s="115"/>
      <c r="CP42" s="115"/>
      <c r="CQ42" s="115"/>
      <c r="CR42" s="115"/>
      <c r="CS42" s="115"/>
      <c r="CT42" s="115"/>
      <c r="CU42" s="115"/>
      <c r="CV42" s="115"/>
      <c r="CW42" s="115"/>
      <c r="CX42" s="115"/>
      <c r="CY42" s="115"/>
      <c r="CZ42" s="115"/>
      <c r="DA42" s="115"/>
      <c r="DB42" s="115"/>
      <c r="DC42" s="115"/>
      <c r="DD42" s="115"/>
      <c r="DE42" s="115"/>
      <c r="DF42" s="115"/>
      <c r="DG42" s="115"/>
      <c r="DH42" s="115"/>
    </row>
    <row r="43">
      <c r="B43" s="33" t="s">
        <v>71</v>
      </c>
      <c r="C43" s="64">
        <v>25.0</v>
      </c>
      <c r="E43" s="116" t="s">
        <v>72</v>
      </c>
      <c r="F43" s="117">
        <f>if(C29="yes",0,C41)</f>
        <v>0</v>
      </c>
      <c r="R43" s="10"/>
      <c r="U43" s="110"/>
      <c r="V43" s="103">
        <f t="shared" si="6"/>
        <v>12000000</v>
      </c>
      <c r="W43" s="288">
        <v>0.042388211673992246</v>
      </c>
      <c r="X43" s="249">
        <v>0.049011369748053535</v>
      </c>
      <c r="Y43" s="249">
        <v>0.055634527822114824</v>
      </c>
      <c r="Z43" s="249">
        <v>0.062257685896176106</v>
      </c>
      <c r="AA43" s="249">
        <v>0.06888084397023743</v>
      </c>
      <c r="AB43" s="249">
        <v>0.07550400204429869</v>
      </c>
      <c r="AC43" s="250">
        <v>0.08212716011836</v>
      </c>
      <c r="AD43" s="51"/>
      <c r="AE43" s="110"/>
      <c r="AF43" s="103">
        <f t="shared" si="7"/>
        <v>12000000</v>
      </c>
      <c r="AG43" s="107">
        <v>0.03473205092272115</v>
      </c>
      <c r="AH43" s="107">
        <v>0.03669590587254198</v>
      </c>
      <c r="AI43" s="107">
        <v>0.03862156548426522</v>
      </c>
      <c r="AJ43" s="107">
        <v>0.040516508003034205</v>
      </c>
      <c r="AK43" s="108">
        <v>0.042388211673992246</v>
      </c>
      <c r="AL43" s="107">
        <v>0.04313206139190051</v>
      </c>
      <c r="AM43" s="107">
        <v>0.043873868021071113</v>
      </c>
      <c r="AN43" s="107">
        <v>0.04461411016919323</v>
      </c>
      <c r="AO43" s="107">
        <v>0.045353266443956056</v>
      </c>
      <c r="AP43" s="109">
        <v>0.04609181545304876</v>
      </c>
      <c r="AR43" s="118" t="s">
        <v>73</v>
      </c>
      <c r="AS43" s="119">
        <f>AG40</f>
        <v>0.7</v>
      </c>
      <c r="AT43" s="14">
        <v>0.1203153536984451</v>
      </c>
      <c r="AU43" s="14">
        <v>0.1203153536984451</v>
      </c>
      <c r="AV43" s="14">
        <v>0.12031535369844511</v>
      </c>
      <c r="AW43" s="14">
        <v>0.1203153536984451</v>
      </c>
      <c r="AX43" s="14">
        <v>0.12031535369844511</v>
      </c>
      <c r="AY43" s="14">
        <v>0.12031535369844511</v>
      </c>
      <c r="AZ43" s="14">
        <v>0.12031535369844511</v>
      </c>
      <c r="BA43" s="14">
        <v>0.12031535369844511</v>
      </c>
      <c r="BB43" s="14">
        <v>0.1203153536984451</v>
      </c>
      <c r="BC43" s="14">
        <v>0.12031535369844511</v>
      </c>
      <c r="BD43" s="14">
        <v>0.12031535369844511</v>
      </c>
      <c r="BE43" s="14">
        <v>0.12031535369844511</v>
      </c>
      <c r="BF43" s="14">
        <v>0.12031535369844512</v>
      </c>
      <c r="BG43" s="120">
        <v>0.1203153536984451</v>
      </c>
      <c r="BI43" s="102" t="s">
        <v>66</v>
      </c>
      <c r="BJ43" s="103">
        <v>1.0E7</v>
      </c>
      <c r="BK43" s="14">
        <v>0.20259885081353673</v>
      </c>
      <c r="BL43" s="14">
        <v>0.20259885081353673</v>
      </c>
      <c r="BM43" s="14">
        <v>0.20259885081353673</v>
      </c>
      <c r="BN43" s="14">
        <v>0.20259885081353673</v>
      </c>
      <c r="BO43" s="14">
        <v>0.20259885081353673</v>
      </c>
      <c r="BP43" s="14">
        <v>0.20259885081353673</v>
      </c>
      <c r="BQ43" s="14">
        <v>0.20259885081353673</v>
      </c>
      <c r="BR43" s="14">
        <v>0.20259885081353673</v>
      </c>
      <c r="BS43" s="14">
        <v>0.20259885081353673</v>
      </c>
      <c r="BT43" s="14">
        <v>0.20259885081353673</v>
      </c>
      <c r="BU43" s="14">
        <v>0.20259885081353673</v>
      </c>
      <c r="BV43" s="14">
        <v>0.20259885081353673</v>
      </c>
      <c r="BW43" s="14">
        <v>0.20259885081353673</v>
      </c>
      <c r="BX43" s="120">
        <v>0.20259885081353673</v>
      </c>
      <c r="BY43" s="11"/>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row>
    <row r="44">
      <c r="B44" s="121" t="s">
        <v>74</v>
      </c>
      <c r="C44" s="122">
        <f>CEILING(1024*(1-(1023/1024)^C34)/16,1)</f>
        <v>1</v>
      </c>
      <c r="E44" s="116" t="s">
        <v>75</v>
      </c>
      <c r="F44" s="117">
        <f>if(C30="Yes",12*C42*C44,0)</f>
        <v>240</v>
      </c>
      <c r="R44" s="10"/>
      <c r="U44" s="110"/>
      <c r="V44" s="103">
        <f t="shared" si="6"/>
        <v>13000000</v>
      </c>
      <c r="W44" s="288">
        <v>0.04072527647073373</v>
      </c>
      <c r="X44" s="249">
        <v>0.04708860091928587</v>
      </c>
      <c r="Y44" s="249">
        <v>0.05345192536783801</v>
      </c>
      <c r="Z44" s="249">
        <v>0.059815249816390165</v>
      </c>
      <c r="AA44" s="249">
        <v>0.06617857426494231</v>
      </c>
      <c r="AB44" s="249">
        <v>0.07254189871349444</v>
      </c>
      <c r="AC44" s="250">
        <v>0.07890522316204658</v>
      </c>
      <c r="AD44" s="51"/>
      <c r="AE44" s="110"/>
      <c r="AF44" s="103">
        <f t="shared" si="7"/>
        <v>13000000</v>
      </c>
      <c r="AG44" s="107">
        <v>0.03336947515271767</v>
      </c>
      <c r="AH44" s="107">
        <v>0.03525628595745241</v>
      </c>
      <c r="AI44" s="107">
        <v>0.03710639986834599</v>
      </c>
      <c r="AJ44" s="107">
        <v>0.03892700175092943</v>
      </c>
      <c r="AK44" s="108">
        <v>0.04072527647073373</v>
      </c>
      <c r="AL44" s="107">
        <v>0.04143994416295622</v>
      </c>
      <c r="AM44" s="107">
        <v>0.042152648919013</v>
      </c>
      <c r="AN44" s="107">
        <v>0.04286385057029806</v>
      </c>
      <c r="AO44" s="107">
        <v>0.043574008948205366</v>
      </c>
      <c r="AP44" s="109">
        <v>0.04428358388412889</v>
      </c>
      <c r="AR44" s="110"/>
      <c r="AS44" s="119">
        <v>0.75</v>
      </c>
      <c r="AT44" s="123">
        <v>0.12711834680201567</v>
      </c>
      <c r="AU44" s="123">
        <v>0.12711834680201567</v>
      </c>
      <c r="AV44" s="123">
        <v>0.12711834680201567</v>
      </c>
      <c r="AW44" s="123">
        <v>0.12711834680201567</v>
      </c>
      <c r="AX44" s="123">
        <v>0.12711834680201567</v>
      </c>
      <c r="AY44" s="123">
        <v>0.12711834680201567</v>
      </c>
      <c r="AZ44" s="123">
        <v>0.12711834680201567</v>
      </c>
      <c r="BA44" s="123">
        <v>0.12711834680201567</v>
      </c>
      <c r="BB44" s="123">
        <v>0.12711834680201567</v>
      </c>
      <c r="BC44" s="123">
        <v>0.12711834680201567</v>
      </c>
      <c r="BD44" s="123">
        <v>0.12711834680201567</v>
      </c>
      <c r="BE44" s="123">
        <v>0.12711834680201567</v>
      </c>
      <c r="BF44" s="123">
        <v>0.12711834680201567</v>
      </c>
      <c r="BG44" s="124">
        <v>0.12711834680201567</v>
      </c>
      <c r="BI44" s="110"/>
      <c r="BJ44" s="103">
        <f t="shared" ref="BJ44:BJ63" si="8">BJ43+1000000</f>
        <v>11000000</v>
      </c>
      <c r="BK44" s="123">
        <v>0.14683707252267758</v>
      </c>
      <c r="BL44" s="123">
        <v>0.14683707252267758</v>
      </c>
      <c r="BM44" s="123">
        <v>0.14683707252267758</v>
      </c>
      <c r="BN44" s="123">
        <v>0.14683707252267758</v>
      </c>
      <c r="BO44" s="123">
        <v>0.14683707252267758</v>
      </c>
      <c r="BP44" s="123">
        <v>0.14683707252267758</v>
      </c>
      <c r="BQ44" s="123">
        <v>0.14683707252267758</v>
      </c>
      <c r="BR44" s="123">
        <v>0.14683707252267758</v>
      </c>
      <c r="BS44" s="123">
        <v>0.14683707252267758</v>
      </c>
      <c r="BT44" s="123">
        <v>0.14683707252267758</v>
      </c>
      <c r="BU44" s="123">
        <v>0.14683707252267758</v>
      </c>
      <c r="BV44" s="123">
        <v>0.14683707252267758</v>
      </c>
      <c r="BW44" s="123">
        <v>0.14683707252267758</v>
      </c>
      <c r="BX44" s="124">
        <v>0.14683707252267758</v>
      </c>
      <c r="BY44" s="11"/>
      <c r="CE44" s="123"/>
      <c r="CF44" s="123"/>
      <c r="CG44" s="123"/>
      <c r="CH44" s="123"/>
      <c r="CI44" s="123"/>
      <c r="CJ44" s="123"/>
      <c r="CK44" s="123"/>
      <c r="CL44" s="123"/>
      <c r="CM44" s="123"/>
      <c r="CN44" s="123"/>
      <c r="CO44" s="123"/>
      <c r="CP44" s="123"/>
      <c r="CQ44" s="123"/>
      <c r="CR44" s="123"/>
      <c r="CS44" s="123"/>
      <c r="CT44" s="123"/>
      <c r="CU44" s="123"/>
      <c r="CV44" s="123"/>
      <c r="CW44" s="123"/>
      <c r="CX44" s="123"/>
      <c r="CY44" s="123"/>
      <c r="CZ44" s="123"/>
      <c r="DA44" s="123"/>
      <c r="DB44" s="123"/>
      <c r="DC44" s="123"/>
      <c r="DD44" s="123"/>
      <c r="DE44" s="123"/>
      <c r="DF44" s="123"/>
      <c r="DG44" s="123"/>
      <c r="DH44" s="123"/>
    </row>
    <row r="45" ht="19.5" customHeight="1">
      <c r="B45" s="33" t="s">
        <v>76</v>
      </c>
      <c r="C45" s="125">
        <f>C44*C39+1024*(1-(1023/1024)^C34)*C38</f>
        <v>50</v>
      </c>
      <c r="E45" s="116" t="s">
        <v>77</v>
      </c>
      <c r="F45" s="117">
        <f>C43*C44</f>
        <v>25</v>
      </c>
      <c r="R45" s="10"/>
      <c r="U45" s="110"/>
      <c r="V45" s="103">
        <f t="shared" si="6"/>
        <v>14000000</v>
      </c>
      <c r="W45" s="288">
        <v>0.039243858361195524</v>
      </c>
      <c r="X45" s="249">
        <v>0.04537571123013234</v>
      </c>
      <c r="Y45" s="249">
        <v>0.05150756409906915</v>
      </c>
      <c r="Z45" s="249">
        <v>0.057639416968005924</v>
      </c>
      <c r="AA45" s="249">
        <v>0.06377126983694273</v>
      </c>
      <c r="AB45" s="249">
        <v>0.06990312270587955</v>
      </c>
      <c r="AC45" s="250">
        <v>0.07603497557481637</v>
      </c>
      <c r="AD45" s="51"/>
      <c r="AE45" s="110"/>
      <c r="AF45" s="103">
        <f t="shared" si="7"/>
        <v>14000000</v>
      </c>
      <c r="AG45" s="107">
        <v>0.032155630850579035</v>
      </c>
      <c r="AH45" s="107">
        <v>0.03397380723616096</v>
      </c>
      <c r="AI45" s="107">
        <v>0.03575662161001455</v>
      </c>
      <c r="AJ45" s="107">
        <v>0.0375109974818045</v>
      </c>
      <c r="AK45" s="108">
        <v>0.039243858361195524</v>
      </c>
      <c r="AL45" s="107">
        <v>0.039932529381245134</v>
      </c>
      <c r="AM45" s="107">
        <v>0.040619308868675805</v>
      </c>
      <c r="AN45" s="107">
        <v>0.04130463992810608</v>
      </c>
      <c r="AO45" s="107">
        <v>0.041988965664154505</v>
      </c>
      <c r="AP45" s="109">
        <v>0.04267272918143962</v>
      </c>
      <c r="AR45" s="110"/>
      <c r="AS45" s="119">
        <v>0.8</v>
      </c>
      <c r="AT45" s="14">
        <v>0.13378902737319173</v>
      </c>
      <c r="AU45" s="14">
        <v>0.13378902737319173</v>
      </c>
      <c r="AV45" s="14">
        <v>0.13378902737319173</v>
      </c>
      <c r="AW45" s="14">
        <v>0.13378902737319173</v>
      </c>
      <c r="AX45" s="14">
        <v>0.13378902737319173</v>
      </c>
      <c r="AY45" s="14">
        <v>0.13378902737319173</v>
      </c>
      <c r="AZ45" s="14">
        <v>0.13378902737319173</v>
      </c>
      <c r="BA45" s="14">
        <v>0.13378902737319173</v>
      </c>
      <c r="BB45" s="14">
        <v>0.13378902737319173</v>
      </c>
      <c r="BC45" s="14">
        <v>0.13378902737319173</v>
      </c>
      <c r="BD45" s="14">
        <v>0.13378902737319173</v>
      </c>
      <c r="BE45" s="14">
        <v>0.13378902737319173</v>
      </c>
      <c r="BF45" s="14">
        <v>0.13378902737319173</v>
      </c>
      <c r="BG45" s="120">
        <v>0.13378902737319173</v>
      </c>
      <c r="BI45" s="110"/>
      <c r="BJ45" s="103">
        <f t="shared" si="8"/>
        <v>12000000</v>
      </c>
      <c r="BK45" s="14">
        <v>0.1198919676682028</v>
      </c>
      <c r="BL45" s="14">
        <v>0.1198919676682028</v>
      </c>
      <c r="BM45" s="14">
        <v>0.1198919676682028</v>
      </c>
      <c r="BN45" s="14">
        <v>0.1198919676682028</v>
      </c>
      <c r="BO45" s="14">
        <v>0.11989196766820279</v>
      </c>
      <c r="BP45" s="14">
        <v>0.11989196766820279</v>
      </c>
      <c r="BQ45" s="14">
        <v>0.1198919676682028</v>
      </c>
      <c r="BR45" s="14">
        <v>0.11989196766820279</v>
      </c>
      <c r="BS45" s="14">
        <v>0.1198919676682028</v>
      </c>
      <c r="BT45" s="14">
        <v>0.1198919676682028</v>
      </c>
      <c r="BU45" s="14">
        <v>0.11989196766820281</v>
      </c>
      <c r="BV45" s="14">
        <v>0.11989196766820279</v>
      </c>
      <c r="BW45" s="14">
        <v>0.1198919676682028</v>
      </c>
      <c r="BX45" s="120">
        <v>0.1198919676682028</v>
      </c>
      <c r="BY45" s="11"/>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row>
    <row r="46">
      <c r="B46" s="126" t="s">
        <v>78</v>
      </c>
      <c r="C46" s="127">
        <f>F33*C12</f>
        <v>104037.44</v>
      </c>
      <c r="E46" s="128" t="s">
        <v>79</v>
      </c>
      <c r="F46" s="129">
        <f>sum(F40:F45)</f>
        <v>265</v>
      </c>
      <c r="R46" s="10"/>
      <c r="U46" s="110"/>
      <c r="V46" s="103">
        <f t="shared" si="6"/>
        <v>15000000</v>
      </c>
      <c r="W46" s="288">
        <v>0.03791316909907873</v>
      </c>
      <c r="X46" s="249">
        <v>0.04383710177080979</v>
      </c>
      <c r="Y46" s="249">
        <v>0.04976103444254084</v>
      </c>
      <c r="Z46" s="249">
        <v>0.055684967114271886</v>
      </c>
      <c r="AA46" s="249">
        <v>0.06160889978600293</v>
      </c>
      <c r="AB46" s="249">
        <v>0.06753283245773398</v>
      </c>
      <c r="AC46" s="250">
        <v>0.07345676512946504</v>
      </c>
      <c r="AD46" s="51"/>
      <c r="AE46" s="110"/>
      <c r="AF46" s="103">
        <f t="shared" si="7"/>
        <v>15000000</v>
      </c>
      <c r="AG46" s="107">
        <v>0.031065290744475522</v>
      </c>
      <c r="AH46" s="107">
        <v>0.03282181601077504</v>
      </c>
      <c r="AI46" s="107">
        <v>0.03454417832811065</v>
      </c>
      <c r="AJ46" s="107">
        <v>0.0362390664422795</v>
      </c>
      <c r="AK46" s="108">
        <v>0.03791316909907873</v>
      </c>
      <c r="AL46" s="107">
        <v>0.038578488512793496</v>
      </c>
      <c r="AM46" s="107">
        <v>0.039241980532387664</v>
      </c>
      <c r="AN46" s="107">
        <v>0.039904073237592284</v>
      </c>
      <c r="AO46" s="107">
        <v>0.040565194708138366</v>
      </c>
      <c r="AP46" s="109">
        <v>0.041225773023756906</v>
      </c>
      <c r="AR46" s="110"/>
      <c r="AS46" s="119">
        <v>0.85</v>
      </c>
      <c r="AT46" s="14">
        <v>0.14035330081305256</v>
      </c>
      <c r="AU46" s="14">
        <v>0.14035330081305256</v>
      </c>
      <c r="AV46" s="14">
        <v>0.14035330081305256</v>
      </c>
      <c r="AW46" s="14">
        <v>0.14035330081305256</v>
      </c>
      <c r="AX46" s="14">
        <v>0.14035330081305256</v>
      </c>
      <c r="AY46" s="14">
        <v>0.14035330081305256</v>
      </c>
      <c r="AZ46" s="14">
        <v>0.14035330081305256</v>
      </c>
      <c r="BA46" s="14">
        <v>0.14035330081305256</v>
      </c>
      <c r="BB46" s="14">
        <v>0.14035330081305256</v>
      </c>
      <c r="BC46" s="14">
        <v>0.14035330081305256</v>
      </c>
      <c r="BD46" s="14">
        <v>0.14035330081305256</v>
      </c>
      <c r="BE46" s="14">
        <v>0.14035330081305256</v>
      </c>
      <c r="BF46" s="14">
        <v>0.14035330081305256</v>
      </c>
      <c r="BG46" s="120">
        <v>0.14035330081305256</v>
      </c>
      <c r="BI46" s="110"/>
      <c r="BJ46" s="103">
        <f t="shared" si="8"/>
        <v>13000000</v>
      </c>
      <c r="BK46" s="14">
        <v>0.10382948971036621</v>
      </c>
      <c r="BL46" s="14">
        <v>0.10382948971036621</v>
      </c>
      <c r="BM46" s="14">
        <v>0.10382948971036621</v>
      </c>
      <c r="BN46" s="14">
        <v>0.10382948971036621</v>
      </c>
      <c r="BO46" s="14">
        <v>0.10382948971036621</v>
      </c>
      <c r="BP46" s="14">
        <v>0.10382948971036621</v>
      </c>
      <c r="BQ46" s="14">
        <v>0.10382948971036621</v>
      </c>
      <c r="BR46" s="14">
        <v>0.10382948971036621</v>
      </c>
      <c r="BS46" s="14">
        <v>0.1038294897103662</v>
      </c>
      <c r="BT46" s="14">
        <v>0.10382948971036621</v>
      </c>
      <c r="BU46" s="14">
        <v>0.10382948971036621</v>
      </c>
      <c r="BV46" s="14">
        <v>0.10382948971036621</v>
      </c>
      <c r="BW46" s="14">
        <v>0.10382948971036621</v>
      </c>
      <c r="BX46" s="120">
        <v>0.1038294897103662</v>
      </c>
      <c r="BY46" s="11"/>
      <c r="CE46" s="14"/>
      <c r="CF46" s="14"/>
      <c r="CG46" s="14"/>
      <c r="CH46" s="14"/>
      <c r="CI46" s="14"/>
      <c r="CJ46" s="14"/>
      <c r="CK46" s="14"/>
      <c r="CL46" s="14"/>
      <c r="CM46" s="14"/>
      <c r="CN46" s="14"/>
      <c r="CO46" s="14"/>
      <c r="CP46" s="14"/>
      <c r="CQ46" s="14"/>
      <c r="CR46" s="14"/>
      <c r="CS46" s="14"/>
      <c r="CT46" s="14"/>
      <c r="CU46" s="14"/>
      <c r="CV46" s="14"/>
      <c r="CW46" s="14"/>
      <c r="CX46" s="14"/>
      <c r="CY46" s="14"/>
      <c r="CZ46" s="14"/>
      <c r="DA46" s="14"/>
      <c r="DB46" s="14"/>
      <c r="DC46" s="14"/>
      <c r="DD46" s="14"/>
      <c r="DE46" s="14"/>
      <c r="DF46" s="14"/>
      <c r="DG46" s="14"/>
      <c r="DH46" s="14"/>
    </row>
    <row r="47" ht="18.0" customHeight="1">
      <c r="B47" s="130" t="s">
        <v>80</v>
      </c>
      <c r="C47" s="131">
        <f>(C35*C44)+C41+(F33*C12)+(C43*C34)</f>
        <v>104377.44</v>
      </c>
      <c r="E47" s="132" t="s">
        <v>81</v>
      </c>
      <c r="F47" s="133">
        <f>F38-F46</f>
        <v>3971.953507</v>
      </c>
      <c r="R47" s="10"/>
      <c r="U47" s="110"/>
      <c r="V47" s="103">
        <f t="shared" si="6"/>
        <v>16000000</v>
      </c>
      <c r="W47" s="288">
        <v>0.036709268130669395</v>
      </c>
      <c r="X47" s="249">
        <v>0.042445091276086484</v>
      </c>
      <c r="Y47" s="249">
        <v>0.04818091442150357</v>
      </c>
      <c r="Z47" s="249">
        <v>0.053916737566920676</v>
      </c>
      <c r="AA47" s="249">
        <v>0.05965256071233776</v>
      </c>
      <c r="AB47" s="249">
        <v>0.06538838385775485</v>
      </c>
      <c r="AC47" s="250">
        <v>0.07112420700317194</v>
      </c>
      <c r="AD47" s="51"/>
      <c r="AE47" s="110"/>
      <c r="AF47" s="103">
        <f t="shared" si="7"/>
        <v>16000000</v>
      </c>
      <c r="AG47" s="107">
        <v>0.030078838424611277</v>
      </c>
      <c r="AH47" s="107">
        <v>0.03177958670050392</v>
      </c>
      <c r="AI47" s="107">
        <v>0.033447256843297926</v>
      </c>
      <c r="AJ47" s="107">
        <v>0.03508832520326314</v>
      </c>
      <c r="AK47" s="108">
        <v>0.036709268130669395</v>
      </c>
      <c r="AL47" s="107">
        <v>0.03735346088297583</v>
      </c>
      <c r="AM47" s="107">
        <v>0.03799588426853328</v>
      </c>
      <c r="AN47" s="107">
        <v>0.03863695277375901</v>
      </c>
      <c r="AO47" s="107">
        <v>0.03927708088507028</v>
      </c>
      <c r="AP47" s="109">
        <v>0.039916683088884373</v>
      </c>
      <c r="AR47" s="110"/>
      <c r="AS47" s="134">
        <v>0.9</v>
      </c>
      <c r="AT47" s="135">
        <v>0.14683707252267758</v>
      </c>
      <c r="AU47" s="135">
        <v>0.14683707252267758</v>
      </c>
      <c r="AV47" s="135">
        <v>0.14683707252267758</v>
      </c>
      <c r="AW47" s="135">
        <v>0.14683707252267758</v>
      </c>
      <c r="AX47" s="135">
        <v>0.14683707252267758</v>
      </c>
      <c r="AY47" s="135">
        <v>0.14683707252267758</v>
      </c>
      <c r="AZ47" s="135">
        <v>0.14683707252267758</v>
      </c>
      <c r="BA47" s="135">
        <v>0.14683707252267758</v>
      </c>
      <c r="BB47" s="135">
        <v>0.14683707252267758</v>
      </c>
      <c r="BC47" s="135">
        <v>0.14683707252267758</v>
      </c>
      <c r="BD47" s="135">
        <v>0.14683707252267758</v>
      </c>
      <c r="BE47" s="135">
        <v>0.14683707252267758</v>
      </c>
      <c r="BF47" s="135">
        <v>0.14683707252267758</v>
      </c>
      <c r="BG47" s="136">
        <v>0.14683707252267758</v>
      </c>
      <c r="BI47" s="110"/>
      <c r="BJ47" s="103">
        <f t="shared" si="8"/>
        <v>14000000</v>
      </c>
      <c r="BK47" s="14">
        <v>0.09286791882459751</v>
      </c>
      <c r="BL47" s="14">
        <v>0.09286791882459751</v>
      </c>
      <c r="BM47" s="14">
        <v>0.09286791882459751</v>
      </c>
      <c r="BN47" s="14">
        <v>0.09286791882459751</v>
      </c>
      <c r="BO47" s="14">
        <v>0.09286791882459751</v>
      </c>
      <c r="BP47" s="14">
        <v>0.09286791882459751</v>
      </c>
      <c r="BQ47" s="14">
        <v>0.09286791882459751</v>
      </c>
      <c r="BR47" s="14">
        <v>0.09286791882459751</v>
      </c>
      <c r="BS47" s="14">
        <v>0.09286791882459751</v>
      </c>
      <c r="BT47" s="14">
        <v>0.09286791882459751</v>
      </c>
      <c r="BU47" s="14">
        <v>0.09286791882459751</v>
      </c>
      <c r="BV47" s="14">
        <v>0.09286791882459751</v>
      </c>
      <c r="BW47" s="14">
        <v>0.09286791882459751</v>
      </c>
      <c r="BX47" s="120">
        <v>0.09286791882459751</v>
      </c>
      <c r="BY47" s="11"/>
      <c r="CE47" s="14"/>
      <c r="CF47" s="14"/>
      <c r="CG47" s="14"/>
      <c r="CH47" s="14"/>
      <c r="CI47" s="14"/>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row>
    <row r="48">
      <c r="E48" s="137" t="s">
        <v>82</v>
      </c>
      <c r="F48" s="138">
        <f>F47/(F33*C12)</f>
        <v>0.03817811653</v>
      </c>
      <c r="R48" s="10"/>
      <c r="U48" s="110"/>
      <c r="V48" s="103">
        <f t="shared" si="6"/>
        <v>17000000</v>
      </c>
      <c r="W48" s="288">
        <v>0.03561322116279296</v>
      </c>
      <c r="X48" s="249">
        <v>0.04117778696947936</v>
      </c>
      <c r="Y48" s="249">
        <v>0.046742352776165765</v>
      </c>
      <c r="Z48" s="249">
        <v>0.052306918582852156</v>
      </c>
      <c r="AA48" s="249">
        <v>0.05787148438953855</v>
      </c>
      <c r="AB48" s="249">
        <v>0.06343605019622496</v>
      </c>
      <c r="AC48" s="250">
        <v>0.06900061600291135</v>
      </c>
      <c r="AD48" s="51"/>
      <c r="AE48" s="110"/>
      <c r="AF48" s="103">
        <f t="shared" si="7"/>
        <v>17000000</v>
      </c>
      <c r="AG48" s="107">
        <v>0.029180759510719856</v>
      </c>
      <c r="AH48" s="107">
        <v>0.030830727695212203</v>
      </c>
      <c r="AI48" s="107">
        <v>0.032448605376960114</v>
      </c>
      <c r="AJ48" s="107">
        <v>0.03404067553860616</v>
      </c>
      <c r="AK48" s="108">
        <v>0.03561322116279296</v>
      </c>
      <c r="AL48" s="107">
        <v>0.036238179930091034</v>
      </c>
      <c r="AM48" s="107">
        <v>0.03686142215950756</v>
      </c>
      <c r="AN48" s="107">
        <v>0.03748334996193167</v>
      </c>
      <c r="AO48" s="107">
        <v>0.038104365448252506</v>
      </c>
      <c r="AP48" s="109">
        <v>0.03872487072935917</v>
      </c>
      <c r="AR48" s="110"/>
      <c r="AS48" s="119">
        <v>0.92</v>
      </c>
      <c r="AT48" s="14">
        <v>0.14941384353190332</v>
      </c>
      <c r="AU48" s="14">
        <v>0.14941384353190332</v>
      </c>
      <c r="AV48" s="14">
        <v>0.14941384353190332</v>
      </c>
      <c r="AW48" s="14">
        <v>0.14941384353190332</v>
      </c>
      <c r="AX48" s="14">
        <v>0.14941384353190332</v>
      </c>
      <c r="AY48" s="14">
        <v>0.14941384353190332</v>
      </c>
      <c r="AZ48" s="14">
        <v>0.14941384353190332</v>
      </c>
      <c r="BA48" s="14">
        <v>0.14941384353190332</v>
      </c>
      <c r="BB48" s="14">
        <v>0.14941384353190332</v>
      </c>
      <c r="BC48" s="14">
        <v>0.14941384353190332</v>
      </c>
      <c r="BD48" s="14">
        <v>0.14941384353190332</v>
      </c>
      <c r="BE48" s="14">
        <v>0.14941384353190332</v>
      </c>
      <c r="BF48" s="14">
        <v>0.14941384353190332</v>
      </c>
      <c r="BG48" s="120">
        <v>0.14941384353190332</v>
      </c>
      <c r="BI48" s="110"/>
      <c r="BJ48" s="103">
        <f t="shared" si="8"/>
        <v>15000000</v>
      </c>
      <c r="BK48" s="14">
        <v>0.08477642334798449</v>
      </c>
      <c r="BL48" s="14">
        <v>0.08477642334798449</v>
      </c>
      <c r="BM48" s="14">
        <v>0.08477642334798449</v>
      </c>
      <c r="BN48" s="14">
        <v>0.08477642334798449</v>
      </c>
      <c r="BO48" s="14">
        <v>0.08477642334798449</v>
      </c>
      <c r="BP48" s="14">
        <v>0.08477642334798449</v>
      </c>
      <c r="BQ48" s="14">
        <v>0.08477642334798449</v>
      </c>
      <c r="BR48" s="14">
        <v>0.08477642334798449</v>
      </c>
      <c r="BS48" s="14">
        <v>0.08477642334798449</v>
      </c>
      <c r="BT48" s="14">
        <v>0.08477642334798449</v>
      </c>
      <c r="BU48" s="14">
        <v>0.08477642334798449</v>
      </c>
      <c r="BV48" s="14">
        <v>0.08477642334798449</v>
      </c>
      <c r="BW48" s="14">
        <v>0.08477642334798449</v>
      </c>
      <c r="BX48" s="120">
        <v>0.08477642334798449</v>
      </c>
      <c r="BY48" s="11"/>
      <c r="CE48" s="14"/>
      <c r="CF48" s="14"/>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row>
    <row r="49">
      <c r="B49" s="139"/>
      <c r="C49" s="140"/>
      <c r="R49" s="10"/>
      <c r="U49" s="110"/>
      <c r="V49" s="103">
        <f t="shared" si="6"/>
        <v>18000000</v>
      </c>
      <c r="W49" s="288">
        <v>0.03460982990345539</v>
      </c>
      <c r="X49" s="249">
        <v>0.040017615825870295</v>
      </c>
      <c r="Y49" s="249">
        <v>0.0454254017482852</v>
      </c>
      <c r="Z49" s="249">
        <v>0.05083318767070011</v>
      </c>
      <c r="AA49" s="249">
        <v>0.05624097359311501</v>
      </c>
      <c r="AB49" s="249">
        <v>0.061648759515529915</v>
      </c>
      <c r="AC49" s="250">
        <v>0.06705654543794483</v>
      </c>
      <c r="AD49" s="51"/>
      <c r="AE49" s="110"/>
      <c r="AF49" s="103">
        <f t="shared" si="7"/>
        <v>18000000</v>
      </c>
      <c r="AG49" s="111">
        <v>0.028358600827009497</v>
      </c>
      <c r="AH49" s="111">
        <v>0.02996208167897619</v>
      </c>
      <c r="AI49" s="111">
        <v>0.031534376167978835</v>
      </c>
      <c r="AJ49" s="111">
        <v>0.03308159025560828</v>
      </c>
      <c r="AK49" s="112">
        <v>0.03460982990345539</v>
      </c>
      <c r="AL49" s="111">
        <v>0.03521718065485154</v>
      </c>
      <c r="AM49" s="111">
        <v>0.03582286323127886</v>
      </c>
      <c r="AN49" s="111">
        <v>0.03642726841427917</v>
      </c>
      <c r="AO49" s="111">
        <v>0.03703078698539429</v>
      </c>
      <c r="AP49" s="113">
        <v>0.03763380972616603</v>
      </c>
      <c r="AR49" s="110"/>
      <c r="AS49" s="119">
        <v>0.94</v>
      </c>
      <c r="AT49" s="14">
        <v>0.15198353707413312</v>
      </c>
      <c r="AU49" s="14">
        <v>0.15198353707413312</v>
      </c>
      <c r="AV49" s="14">
        <v>0.15198353707413312</v>
      </c>
      <c r="AW49" s="14">
        <v>0.15198353707413312</v>
      </c>
      <c r="AX49" s="14">
        <v>0.15198353707413312</v>
      </c>
      <c r="AY49" s="14">
        <v>0.15198353707413312</v>
      </c>
      <c r="AZ49" s="14">
        <v>0.15198353707413312</v>
      </c>
      <c r="BA49" s="14">
        <v>0.15198353707413312</v>
      </c>
      <c r="BB49" s="14">
        <v>0.15198353707413312</v>
      </c>
      <c r="BC49" s="14">
        <v>0.15198353707413312</v>
      </c>
      <c r="BD49" s="14">
        <v>0.15198353707413312</v>
      </c>
      <c r="BE49" s="14">
        <v>0.15198353707413312</v>
      </c>
      <c r="BF49" s="14">
        <v>0.15198353707413312</v>
      </c>
      <c r="BG49" s="120">
        <v>0.15198353707413312</v>
      </c>
      <c r="BI49" s="110"/>
      <c r="BJ49" s="103">
        <f t="shared" si="8"/>
        <v>16000000</v>
      </c>
      <c r="BK49" s="14">
        <v>0.07848771672239105</v>
      </c>
      <c r="BL49" s="14">
        <v>0.07848771672239105</v>
      </c>
      <c r="BM49" s="14">
        <v>0.07848771672239105</v>
      </c>
      <c r="BN49" s="14">
        <v>0.07848771672239105</v>
      </c>
      <c r="BO49" s="14">
        <v>0.07848771672239105</v>
      </c>
      <c r="BP49" s="14">
        <v>0.07848771672239105</v>
      </c>
      <c r="BQ49" s="14">
        <v>0.07848771672239105</v>
      </c>
      <c r="BR49" s="14">
        <v>0.07848771672239105</v>
      </c>
      <c r="BS49" s="14">
        <v>0.07848771672239105</v>
      </c>
      <c r="BT49" s="14">
        <v>0.07848771672239105</v>
      </c>
      <c r="BU49" s="14">
        <v>0.07848771672239105</v>
      </c>
      <c r="BV49" s="14">
        <v>0.07848771672239105</v>
      </c>
      <c r="BW49" s="14">
        <v>0.07848771672239105</v>
      </c>
      <c r="BX49" s="120">
        <v>0.07848771672239105</v>
      </c>
      <c r="BY49" s="11"/>
      <c r="CE49" s="14"/>
      <c r="CF49" s="14"/>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row>
    <row r="50">
      <c r="B50" s="141"/>
      <c r="C50" s="142"/>
      <c r="R50" s="10"/>
      <c r="U50" s="110"/>
      <c r="V50" s="103">
        <f t="shared" si="6"/>
        <v>19000000</v>
      </c>
      <c r="W50" s="288">
        <v>0.03368673475219497</v>
      </c>
      <c r="X50" s="249">
        <v>0.03895028705722545</v>
      </c>
      <c r="Y50" s="249">
        <v>0.04421383936225591</v>
      </c>
      <c r="Z50" s="249">
        <v>0.049477391667286374</v>
      </c>
      <c r="AA50" s="249">
        <v>0.05474094397231684</v>
      </c>
      <c r="AB50" s="249">
        <v>0.0600044962773473</v>
      </c>
      <c r="AC50" s="250">
        <v>0.06526804858237777</v>
      </c>
      <c r="AD50" s="51"/>
      <c r="AE50" s="110"/>
      <c r="AF50" s="103">
        <f t="shared" si="7"/>
        <v>19000000</v>
      </c>
      <c r="AG50" s="107">
        <v>0.027602235164624987</v>
      </c>
      <c r="AH50" s="107">
        <v>0.029162948819997002</v>
      </c>
      <c r="AI50" s="107">
        <v>0.03069330789864945</v>
      </c>
      <c r="AJ50" s="107">
        <v>0.03219925550718217</v>
      </c>
      <c r="AK50" s="108">
        <v>0.03368673475219497</v>
      </c>
      <c r="AL50" s="107">
        <v>0.034277886564292884</v>
      </c>
      <c r="AM50" s="107">
        <v>0.03486741469410597</v>
      </c>
      <c r="AN50" s="107">
        <v>0.03545569950045664</v>
      </c>
      <c r="AO50" s="107">
        <v>0.03604312134216724</v>
      </c>
      <c r="AP50" s="109">
        <v>0.0366300605780602</v>
      </c>
      <c r="AR50" s="110"/>
      <c r="AS50" s="119">
        <v>0.96</v>
      </c>
      <c r="AT50" s="14">
        <v>0.154547811095036</v>
      </c>
      <c r="AU50" s="14">
        <v>0.154547811095036</v>
      </c>
      <c r="AV50" s="14">
        <v>0.154547811095036</v>
      </c>
      <c r="AW50" s="14">
        <v>0.154547811095036</v>
      </c>
      <c r="AX50" s="14">
        <v>0.154547811095036</v>
      </c>
      <c r="AY50" s="14">
        <v>0.154547811095036</v>
      </c>
      <c r="AZ50" s="14">
        <v>0.154547811095036</v>
      </c>
      <c r="BA50" s="14">
        <v>0.154547811095036</v>
      </c>
      <c r="BB50" s="14">
        <v>0.154547811095036</v>
      </c>
      <c r="BC50" s="14">
        <v>0.154547811095036</v>
      </c>
      <c r="BD50" s="14">
        <v>0.15454781109503596</v>
      </c>
      <c r="BE50" s="14">
        <v>0.154547811095036</v>
      </c>
      <c r="BF50" s="14">
        <v>0.154547811095036</v>
      </c>
      <c r="BG50" s="120">
        <v>0.154547811095036</v>
      </c>
      <c r="BI50" s="110"/>
      <c r="BJ50" s="103">
        <f t="shared" si="8"/>
        <v>17000000</v>
      </c>
      <c r="BK50" s="14">
        <v>0.07341853626133879</v>
      </c>
      <c r="BL50" s="14">
        <v>0.07341853626133879</v>
      </c>
      <c r="BM50" s="14">
        <v>0.07341853626133879</v>
      </c>
      <c r="BN50" s="14">
        <v>0.07341853626133879</v>
      </c>
      <c r="BO50" s="14">
        <v>0.07341853626133879</v>
      </c>
      <c r="BP50" s="14">
        <v>0.07341853626133879</v>
      </c>
      <c r="BQ50" s="14">
        <v>0.07341853626133879</v>
      </c>
      <c r="BR50" s="14">
        <v>0.07341853626133879</v>
      </c>
      <c r="BS50" s="14">
        <v>0.07341853626133879</v>
      </c>
      <c r="BT50" s="14">
        <v>0.07341853626133879</v>
      </c>
      <c r="BU50" s="14">
        <v>0.07341853626133879</v>
      </c>
      <c r="BV50" s="14">
        <v>0.07341853626133879</v>
      </c>
      <c r="BW50" s="14">
        <v>0.07341853626133879</v>
      </c>
      <c r="BX50" s="120">
        <v>0.07341853626133879</v>
      </c>
      <c r="BY50" s="11"/>
      <c r="CE50" s="14"/>
      <c r="CF50" s="14"/>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row>
    <row r="51">
      <c r="B51" s="143"/>
      <c r="C51" s="143"/>
      <c r="R51" s="10"/>
      <c r="U51" s="110"/>
      <c r="V51" s="103">
        <f t="shared" si="6"/>
        <v>20000000</v>
      </c>
      <c r="W51" s="288">
        <v>0.03283376757777736</v>
      </c>
      <c r="X51" s="249">
        <v>0.037964043761805066</v>
      </c>
      <c r="Y51" s="249">
        <v>0.043094319945832786</v>
      </c>
      <c r="Z51" s="249">
        <v>0.0482245961298605</v>
      </c>
      <c r="AA51" s="249">
        <v>0.05335487231388819</v>
      </c>
      <c r="AB51" s="249">
        <v>0.05848514849791592</v>
      </c>
      <c r="AC51" s="250">
        <v>0.06361542468194363</v>
      </c>
      <c r="AD51" s="51"/>
      <c r="AE51" s="110"/>
      <c r="AF51" s="103">
        <f t="shared" si="7"/>
        <v>20000000</v>
      </c>
      <c r="AG51" s="107">
        <v>0.026903330960665394</v>
      </c>
      <c r="AH51" s="107">
        <v>0.028424526463670004</v>
      </c>
      <c r="AI51" s="107">
        <v>0.029916135985003676</v>
      </c>
      <c r="AJ51" s="107">
        <v>0.0313839521484462</v>
      </c>
      <c r="AK51" s="108">
        <v>0.03283376757777736</v>
      </c>
      <c r="AL51" s="107">
        <v>0.033409951091685305</v>
      </c>
      <c r="AM51" s="107">
        <v>0.03398455203586212</v>
      </c>
      <c r="AN51" s="107">
        <v>0.034557941138229666</v>
      </c>
      <c r="AO51" s="107">
        <v>0.0351304891267099</v>
      </c>
      <c r="AP51" s="109">
        <v>0.0357025667292247</v>
      </c>
      <c r="AR51" s="110"/>
      <c r="AS51" s="119">
        <v>0.98</v>
      </c>
      <c r="AT51" s="144">
        <v>0.15710832354028112</v>
      </c>
      <c r="AU51" s="144">
        <v>0.15710832354028112</v>
      </c>
      <c r="AV51" s="144">
        <v>0.15710832354028112</v>
      </c>
      <c r="AW51" s="144">
        <v>0.15710832354028112</v>
      </c>
      <c r="AX51" s="144">
        <v>0.15710832354028112</v>
      </c>
      <c r="AY51" s="144">
        <v>0.15710832354028112</v>
      </c>
      <c r="AZ51" s="144">
        <v>0.15710832354028112</v>
      </c>
      <c r="BA51" s="144">
        <v>0.15710832354028112</v>
      </c>
      <c r="BB51" s="144">
        <v>0.15710832354028112</v>
      </c>
      <c r="BC51" s="144">
        <v>0.15710832354028112</v>
      </c>
      <c r="BD51" s="144">
        <v>0.15710832354028115</v>
      </c>
      <c r="BE51" s="144">
        <v>0.15710832354028112</v>
      </c>
      <c r="BF51" s="144">
        <v>0.15710832354028112</v>
      </c>
      <c r="BG51" s="145">
        <v>0.15710832354028112</v>
      </c>
      <c r="BI51" s="110"/>
      <c r="BJ51" s="103">
        <f t="shared" si="8"/>
        <v>18000000</v>
      </c>
      <c r="BK51" s="144">
        <v>0.06921965980691078</v>
      </c>
      <c r="BL51" s="144">
        <v>0.06921965980691078</v>
      </c>
      <c r="BM51" s="144">
        <v>0.06921965980691078</v>
      </c>
      <c r="BN51" s="144">
        <v>0.06921965980691078</v>
      </c>
      <c r="BO51" s="144">
        <v>0.06921965980691078</v>
      </c>
      <c r="BP51" s="144">
        <v>0.06921965980691078</v>
      </c>
      <c r="BQ51" s="144">
        <v>0.06921965980691078</v>
      </c>
      <c r="BR51" s="144">
        <v>0.06921965980691078</v>
      </c>
      <c r="BS51" s="144">
        <v>0.06921965980691078</v>
      </c>
      <c r="BT51" s="144">
        <v>0.06921965980691078</v>
      </c>
      <c r="BU51" s="144">
        <v>0.06921965980691078</v>
      </c>
      <c r="BV51" s="144">
        <v>0.06921965980691078</v>
      </c>
      <c r="BW51" s="144">
        <v>0.06921965980691078</v>
      </c>
      <c r="BX51" s="145">
        <v>0.06921965980691078</v>
      </c>
      <c r="BY51" s="11"/>
      <c r="CE51" s="144"/>
      <c r="CF51" s="144"/>
      <c r="CG51" s="144"/>
      <c r="CH51" s="144"/>
      <c r="CI51" s="144"/>
      <c r="CJ51" s="144"/>
      <c r="CK51" s="144"/>
      <c r="CL51" s="144"/>
      <c r="CM51" s="144"/>
      <c r="CN51" s="144"/>
      <c r="CO51" s="144"/>
      <c r="CP51" s="144"/>
      <c r="CQ51" s="144"/>
      <c r="CR51" s="144"/>
      <c r="CS51" s="144"/>
      <c r="CT51" s="144"/>
      <c r="CU51" s="144"/>
      <c r="CV51" s="144"/>
      <c r="CW51" s="144"/>
      <c r="CX51" s="144"/>
      <c r="CY51" s="144"/>
      <c r="CZ51" s="144"/>
      <c r="DA51" s="144"/>
      <c r="DB51" s="144"/>
      <c r="DC51" s="144"/>
      <c r="DD51" s="144"/>
      <c r="DE51" s="144"/>
      <c r="DF51" s="144"/>
      <c r="DG51" s="144"/>
      <c r="DH51" s="144"/>
    </row>
    <row r="52">
      <c r="R52" s="10"/>
      <c r="U52" s="110"/>
      <c r="V52" s="103">
        <f t="shared" si="6"/>
        <v>21000000</v>
      </c>
      <c r="W52" s="288">
        <v>0.0320424761743281</v>
      </c>
      <c r="X52" s="249">
        <v>0.03704911307656687</v>
      </c>
      <c r="Y52" s="249">
        <v>0.04205574997880563</v>
      </c>
      <c r="Z52" s="249">
        <v>0.04706238688104441</v>
      </c>
      <c r="AA52" s="249">
        <v>0.05206902378328318</v>
      </c>
      <c r="AB52" s="249">
        <v>0.05707566068552193</v>
      </c>
      <c r="AC52" s="250">
        <v>0.0620822975877607</v>
      </c>
      <c r="AD52" s="51"/>
      <c r="AE52" s="110"/>
      <c r="AF52" s="103">
        <f t="shared" si="7"/>
        <v>21000000</v>
      </c>
      <c r="AG52" s="107">
        <v>0.026254962647071885</v>
      </c>
      <c r="AH52" s="107">
        <v>0.027739497449423063</v>
      </c>
      <c r="AI52" s="107">
        <v>0.02919515929010333</v>
      </c>
      <c r="AJ52" s="107">
        <v>0.03062760119108192</v>
      </c>
      <c r="AK52" s="108">
        <v>0.0320424761743281</v>
      </c>
      <c r="AL52" s="107">
        <v>0.032604773707582614</v>
      </c>
      <c r="AM52" s="107">
        <v>0.03316552681092105</v>
      </c>
      <c r="AN52" s="107">
        <v>0.03372509727774945</v>
      </c>
      <c r="AO52" s="107">
        <v>0.03428384690147384</v>
      </c>
      <c r="AP52" s="109">
        <v>0.03484213747550025</v>
      </c>
      <c r="AR52" s="146"/>
      <c r="AS52" s="147">
        <v>1.0</v>
      </c>
      <c r="AT52" s="148">
        <v>0.1596667323555375</v>
      </c>
      <c r="AU52" s="148">
        <v>0.1596667323555375</v>
      </c>
      <c r="AV52" s="148">
        <v>0.1596667323555375</v>
      </c>
      <c r="AW52" s="148">
        <v>0.1596667323555375</v>
      </c>
      <c r="AX52" s="148">
        <v>0.15966673235553747</v>
      </c>
      <c r="AY52" s="148">
        <v>0.15966673235553747</v>
      </c>
      <c r="AZ52" s="148">
        <v>0.1596667323555375</v>
      </c>
      <c r="BA52" s="148">
        <v>0.15966673235553747</v>
      </c>
      <c r="BB52" s="148">
        <v>0.1596667323555375</v>
      </c>
      <c r="BC52" s="148">
        <v>0.1596667323555375</v>
      </c>
      <c r="BD52" s="148">
        <v>0.1596667323555375</v>
      </c>
      <c r="BE52" s="148">
        <v>0.15966673235553747</v>
      </c>
      <c r="BF52" s="148">
        <v>0.1596667323555375</v>
      </c>
      <c r="BG52" s="149">
        <v>0.1596667323555375</v>
      </c>
      <c r="BI52" s="110"/>
      <c r="BJ52" s="103">
        <f t="shared" si="8"/>
        <v>19000000</v>
      </c>
      <c r="BK52" s="51">
        <v>0.06566753515555472</v>
      </c>
      <c r="BL52" s="51">
        <v>0.06566753515555472</v>
      </c>
      <c r="BM52" s="51">
        <v>0.06566753515555472</v>
      </c>
      <c r="BN52" s="51">
        <v>0.06566753515555472</v>
      </c>
      <c r="BO52" s="51">
        <v>0.06566753515555472</v>
      </c>
      <c r="BP52" s="51">
        <v>0.06566753515555472</v>
      </c>
      <c r="BQ52" s="51">
        <v>0.06566753515555472</v>
      </c>
      <c r="BR52" s="51">
        <v>0.06566753515555472</v>
      </c>
      <c r="BS52" s="51">
        <v>0.06566753515555472</v>
      </c>
      <c r="BT52" s="51">
        <v>0.06566753515555472</v>
      </c>
      <c r="BU52" s="51">
        <v>0.06566753515555472</v>
      </c>
      <c r="BV52" s="51">
        <v>0.06566753515555472</v>
      </c>
      <c r="BW52" s="51">
        <v>0.06566753515555472</v>
      </c>
      <c r="BX52" s="150">
        <v>0.06566753515555472</v>
      </c>
      <c r="BY52" s="1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row>
    <row r="53">
      <c r="B53" s="151"/>
      <c r="C53" s="23"/>
      <c r="R53" s="10"/>
      <c r="U53" s="110"/>
      <c r="V53" s="103">
        <f t="shared" si="6"/>
        <v>22000000</v>
      </c>
      <c r="W53" s="288">
        <v>0.03130576904939558</v>
      </c>
      <c r="X53" s="249">
        <v>0.03619729546336364</v>
      </c>
      <c r="Y53" s="249">
        <v>0.0410888218773317</v>
      </c>
      <c r="Z53" s="249">
        <v>0.04598034829129975</v>
      </c>
      <c r="AA53" s="249">
        <v>0.05087187470526781</v>
      </c>
      <c r="AB53" s="249">
        <v>0.05576340111923588</v>
      </c>
      <c r="AC53" s="250">
        <v>0.06065492753320395</v>
      </c>
      <c r="AD53" s="51"/>
      <c r="AE53" s="110"/>
      <c r="AF53" s="103">
        <f t="shared" si="7"/>
        <v>22000000</v>
      </c>
      <c r="AG53" s="107">
        <v>0.02565131959708714</v>
      </c>
      <c r="AH53" s="107">
        <v>0.02710172260013066</v>
      </c>
      <c r="AI53" s="107">
        <v>0.028523916476484848</v>
      </c>
      <c r="AJ53" s="107">
        <v>0.029923424276217282</v>
      </c>
      <c r="AK53" s="108">
        <v>0.03130576904939558</v>
      </c>
      <c r="AL53" s="107">
        <v>0.03185513847444688</v>
      </c>
      <c r="AM53" s="107">
        <v>0.03240299897846466</v>
      </c>
      <c r="AN53" s="107">
        <v>0.03294970403665323</v>
      </c>
      <c r="AO53" s="107">
        <v>0.033495607124216946</v>
      </c>
      <c r="AP53" s="109">
        <v>0.034041061716360115</v>
      </c>
      <c r="BI53" s="110"/>
      <c r="BJ53" s="103">
        <f t="shared" si="8"/>
        <v>20000000</v>
      </c>
      <c r="BK53" s="51">
        <v>0.06261153809879116</v>
      </c>
      <c r="BL53" s="51">
        <v>0.06261153809879116</v>
      </c>
      <c r="BM53" s="51">
        <v>0.06261153809879116</v>
      </c>
      <c r="BN53" s="51">
        <v>0.06261153809879116</v>
      </c>
      <c r="BO53" s="51">
        <v>0.06261153809879116</v>
      </c>
      <c r="BP53" s="51">
        <v>0.06261153809879116</v>
      </c>
      <c r="BQ53" s="51">
        <v>0.06261153809879116</v>
      </c>
      <c r="BR53" s="51">
        <v>0.06261153809879116</v>
      </c>
      <c r="BS53" s="51">
        <v>0.06261153809879116</v>
      </c>
      <c r="BT53" s="51">
        <v>0.06261153809879116</v>
      </c>
      <c r="BU53" s="51">
        <v>0.06261153809879116</v>
      </c>
      <c r="BV53" s="51">
        <v>0.06261153809879116</v>
      </c>
      <c r="BW53" s="51">
        <v>0.06261153809879116</v>
      </c>
      <c r="BX53" s="150">
        <v>0.06261153809879116</v>
      </c>
      <c r="BY53" s="1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row>
    <row r="54">
      <c r="B54" s="152"/>
      <c r="C54" s="153"/>
      <c r="R54" s="10"/>
      <c r="U54" s="110"/>
      <c r="V54" s="103">
        <f t="shared" si="6"/>
        <v>23000000</v>
      </c>
      <c r="W54" s="288">
        <v>0.030617646138922306</v>
      </c>
      <c r="X54" s="249">
        <v>0.03540165334812892</v>
      </c>
      <c r="Y54" s="249">
        <v>0.04018566055733553</v>
      </c>
      <c r="Z54" s="249">
        <v>0.04496966776654213</v>
      </c>
      <c r="AA54" s="249">
        <v>0.04975367497574875</v>
      </c>
      <c r="AB54" s="249">
        <v>0.05453768218495536</v>
      </c>
      <c r="AC54" s="250">
        <v>0.05932168939416198</v>
      </c>
      <c r="AD54" s="51"/>
      <c r="AE54" s="110"/>
      <c r="AF54" s="103">
        <f t="shared" si="7"/>
        <v>23000000</v>
      </c>
      <c r="AG54" s="107">
        <v>0.025087485478500978</v>
      </c>
      <c r="AH54" s="107">
        <v>0.026506007599326316</v>
      </c>
      <c r="AI54" s="107">
        <v>0.027896940649987004</v>
      </c>
      <c r="AJ54" s="107">
        <v>0.029265686280010014</v>
      </c>
      <c r="AK54" s="108">
        <v>0.030617646138922306</v>
      </c>
      <c r="AL54" s="107">
        <v>0.031154940036070267</v>
      </c>
      <c r="AM54" s="107">
        <v>0.03169075817933456</v>
      </c>
      <c r="AN54" s="107">
        <v>0.03222544627428491</v>
      </c>
      <c r="AO54" s="107">
        <v>0.03275935002649104</v>
      </c>
      <c r="AP54" s="109">
        <v>0.03329281514152268</v>
      </c>
      <c r="BI54" s="110"/>
      <c r="BJ54" s="103">
        <f t="shared" si="8"/>
        <v>21000000</v>
      </c>
      <c r="BK54" s="51">
        <v>0.0599459838341014</v>
      </c>
      <c r="BL54" s="51">
        <v>0.0599459838341014</v>
      </c>
      <c r="BM54" s="51">
        <v>0.0599459838341014</v>
      </c>
      <c r="BN54" s="51">
        <v>0.0599459838341014</v>
      </c>
      <c r="BO54" s="51">
        <v>0.05994598383410139</v>
      </c>
      <c r="BP54" s="51">
        <v>0.05994598383410139</v>
      </c>
      <c r="BQ54" s="51">
        <v>0.0599459838341014</v>
      </c>
      <c r="BR54" s="51">
        <v>0.05994598383410139</v>
      </c>
      <c r="BS54" s="51">
        <v>0.0599459838341014</v>
      </c>
      <c r="BT54" s="51">
        <v>0.0599459838341014</v>
      </c>
      <c r="BU54" s="51">
        <v>0.05994598383410141</v>
      </c>
      <c r="BV54" s="51">
        <v>0.05994598383410139</v>
      </c>
      <c r="BW54" s="51">
        <v>0.0599459838341014</v>
      </c>
      <c r="BX54" s="150">
        <v>0.0599459838341014</v>
      </c>
      <c r="BY54" s="1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row>
    <row r="55">
      <c r="B55" s="152"/>
      <c r="C55" s="153"/>
      <c r="R55" s="10"/>
      <c r="U55" s="110"/>
      <c r="V55" s="103">
        <f t="shared" si="6"/>
        <v>24000000</v>
      </c>
      <c r="W55" s="288">
        <v>0.029972991917050697</v>
      </c>
      <c r="X55" s="249">
        <v>0.03465627190408987</v>
      </c>
      <c r="Y55" s="249">
        <v>0.03933955189112904</v>
      </c>
      <c r="Z55" s="249">
        <v>0.04402283187816822</v>
      </c>
      <c r="AA55" s="249">
        <v>0.04870611186520739</v>
      </c>
      <c r="AB55" s="249">
        <v>0.05338939185224656</v>
      </c>
      <c r="AC55" s="250">
        <v>0.05807267183928573</v>
      </c>
      <c r="AD55" s="51"/>
      <c r="AE55" s="110"/>
      <c r="AF55" s="103">
        <f t="shared" si="7"/>
        <v>24000000</v>
      </c>
      <c r="AG55" s="107">
        <v>0.024559268731972613</v>
      </c>
      <c r="AH55" s="107">
        <v>0.025947923884257682</v>
      </c>
      <c r="AI55" s="107">
        <v>0.027309570853964252</v>
      </c>
      <c r="AJ55" s="107">
        <v>0.028649497558944508</v>
      </c>
      <c r="AK55" s="108">
        <v>0.029972991917050697</v>
      </c>
      <c r="AL55" s="107">
        <v>0.03049897309676733</v>
      </c>
      <c r="AM55" s="107">
        <v>0.031023509594582995</v>
      </c>
      <c r="AN55" s="107">
        <v>0.031546939837240245</v>
      </c>
      <c r="AO55" s="107">
        <v>0.03206960225148162</v>
      </c>
      <c r="AP55" s="109">
        <v>0.03259183526404968</v>
      </c>
      <c r="BI55" s="110"/>
      <c r="BJ55" s="103">
        <f t="shared" si="8"/>
        <v>22000000</v>
      </c>
      <c r="BK55" s="51">
        <v>0.05759423831630552</v>
      </c>
      <c r="BL55" s="51">
        <v>0.05759423831630552</v>
      </c>
      <c r="BM55" s="51">
        <v>0.05759423831630552</v>
      </c>
      <c r="BN55" s="51">
        <v>0.05759423831630552</v>
      </c>
      <c r="BO55" s="51">
        <v>0.057594238316305515</v>
      </c>
      <c r="BP55" s="51">
        <v>0.057594238316305515</v>
      </c>
      <c r="BQ55" s="51">
        <v>0.05759423831630552</v>
      </c>
      <c r="BR55" s="51">
        <v>0.057594238316305515</v>
      </c>
      <c r="BS55" s="51">
        <v>0.05759423831630552</v>
      </c>
      <c r="BT55" s="51">
        <v>0.05759423831630552</v>
      </c>
      <c r="BU55" s="51">
        <v>0.05759423831630553</v>
      </c>
      <c r="BV55" s="51">
        <v>0.057594238316305515</v>
      </c>
      <c r="BW55" s="51">
        <v>0.057594238316305515</v>
      </c>
      <c r="BX55" s="150">
        <v>0.05759423831630552</v>
      </c>
      <c r="BY55" s="1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row>
    <row r="56">
      <c r="B56" s="23"/>
      <c r="C56" s="23"/>
      <c r="R56" s="10"/>
      <c r="U56" s="110"/>
      <c r="V56" s="103">
        <f t="shared" si="6"/>
        <v>25000000</v>
      </c>
      <c r="W56" s="288">
        <v>0.02936741450453552</v>
      </c>
      <c r="X56" s="249">
        <v>0.033956073020869185</v>
      </c>
      <c r="Y56" s="249">
        <v>0.038544731537202864</v>
      </c>
      <c r="Z56" s="249">
        <v>0.04313339005353654</v>
      </c>
      <c r="AA56" s="249">
        <v>0.04772204856987022</v>
      </c>
      <c r="AB56" s="249">
        <v>0.052310707086203875</v>
      </c>
      <c r="AC56" s="250">
        <v>0.056899365602537576</v>
      </c>
      <c r="AD56" s="51"/>
      <c r="AE56" s="110"/>
      <c r="AF56" s="103">
        <f t="shared" si="7"/>
        <v>25000000</v>
      </c>
      <c r="AG56" s="107">
        <v>0.02406307073968901</v>
      </c>
      <c r="AH56" s="107">
        <v>0.025423669360403134</v>
      </c>
      <c r="AI56" s="107">
        <v>0.026757805474638345</v>
      </c>
      <c r="AJ56" s="107">
        <v>0.028070660162610513</v>
      </c>
      <c r="AK56" s="108">
        <v>0.02936741450453552</v>
      </c>
      <c r="AL56" s="107">
        <v>0.029882768706380666</v>
      </c>
      <c r="AM56" s="107">
        <v>0.030396707414826623</v>
      </c>
      <c r="AN56" s="107">
        <v>0.030909562219007206</v>
      </c>
      <c r="AO56" s="107">
        <v>0.03142166470805622</v>
      </c>
      <c r="AP56" s="109">
        <v>0.031933346471107495</v>
      </c>
      <c r="BI56" s="110"/>
      <c r="BJ56" s="103">
        <f t="shared" si="8"/>
        <v>23000000</v>
      </c>
      <c r="BK56" s="51">
        <v>0.05549919673425152</v>
      </c>
      <c r="BL56" s="51">
        <v>0.05549919673425152</v>
      </c>
      <c r="BM56" s="51">
        <v>0.05549919673425152</v>
      </c>
      <c r="BN56" s="51">
        <v>0.05549919673425152</v>
      </c>
      <c r="BO56" s="51">
        <v>0.055499196734251514</v>
      </c>
      <c r="BP56" s="51">
        <v>0.055499196734251514</v>
      </c>
      <c r="BQ56" s="51">
        <v>0.05549919673425152</v>
      </c>
      <c r="BR56" s="51">
        <v>0.055499196734251514</v>
      </c>
      <c r="BS56" s="51">
        <v>0.05549919673425152</v>
      </c>
      <c r="BT56" s="51">
        <v>0.05549919673425152</v>
      </c>
      <c r="BU56" s="51">
        <v>0.055499196734251514</v>
      </c>
      <c r="BV56" s="51">
        <v>0.055499196734251514</v>
      </c>
      <c r="BW56" s="51">
        <v>0.05549919673425152</v>
      </c>
      <c r="BX56" s="150">
        <v>0.05549919673425152</v>
      </c>
      <c r="BY56" s="1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row>
    <row r="57">
      <c r="B57" s="151"/>
      <c r="C57" s="23"/>
      <c r="R57" s="10"/>
      <c r="U57" s="110"/>
      <c r="V57" s="103">
        <f t="shared" si="6"/>
        <v>26000000</v>
      </c>
      <c r="W57" s="288">
        <v>0.02879711915815276</v>
      </c>
      <c r="X57" s="249">
        <v>0.03329666902661413</v>
      </c>
      <c r="Y57" s="249">
        <v>0.037796218895075506</v>
      </c>
      <c r="Z57" s="249">
        <v>0.04229576876353687</v>
      </c>
      <c r="AA57" s="249">
        <v>0.04679531863199824</v>
      </c>
      <c r="AB57" s="249">
        <v>0.051294868500459605</v>
      </c>
      <c r="AC57" s="250">
        <v>0.05579441836892099</v>
      </c>
      <c r="AD57" s="51"/>
      <c r="AE57" s="110"/>
      <c r="AF57" s="103">
        <f t="shared" si="7"/>
        <v>26000000</v>
      </c>
      <c r="AG57" s="111">
        <v>0.023595782165122668</v>
      </c>
      <c r="AH57" s="111">
        <v>0.02492995887996665</v>
      </c>
      <c r="AI57" s="111">
        <v>0.026238186972327073</v>
      </c>
      <c r="AJ57" s="111">
        <v>0.02752554690934281</v>
      </c>
      <c r="AK57" s="112">
        <v>0.02879711915815276</v>
      </c>
      <c r="AL57" s="111">
        <v>0.02930246552961824</v>
      </c>
      <c r="AM57" s="111">
        <v>0.029806423895609894</v>
      </c>
      <c r="AN57" s="111">
        <v>0.030309319406024614</v>
      </c>
      <c r="AO57" s="111">
        <v>0.030811477210759313</v>
      </c>
      <c r="AP57" s="113">
        <v>0.03131322245971085</v>
      </c>
      <c r="BI57" s="110"/>
      <c r="BJ57" s="103">
        <f t="shared" si="8"/>
        <v>24000000</v>
      </c>
      <c r="BK57" s="51">
        <v>0.05361731793246166</v>
      </c>
      <c r="BL57" s="51">
        <v>0.05361731793246166</v>
      </c>
      <c r="BM57" s="51">
        <v>0.05361731793246166</v>
      </c>
      <c r="BN57" s="51">
        <v>0.05361731793246166</v>
      </c>
      <c r="BO57" s="51">
        <v>0.05361731793246166</v>
      </c>
      <c r="BP57" s="51">
        <v>0.05361731793246166</v>
      </c>
      <c r="BQ57" s="51">
        <v>0.05361731793246166</v>
      </c>
      <c r="BR57" s="51">
        <v>0.05361731793246166</v>
      </c>
      <c r="BS57" s="51">
        <v>0.05361731793246167</v>
      </c>
      <c r="BT57" s="51">
        <v>0.05361731793246166</v>
      </c>
      <c r="BU57" s="51">
        <v>0.05361731793246166</v>
      </c>
      <c r="BV57" s="51">
        <v>0.05361731793246166</v>
      </c>
      <c r="BW57" s="51">
        <v>0.05361731793246166</v>
      </c>
      <c r="BX57" s="150">
        <v>0.05361731793246167</v>
      </c>
      <c r="BY57" s="1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row>
    <row r="58">
      <c r="B58" s="152"/>
      <c r="C58" s="23"/>
      <c r="R58" s="10"/>
      <c r="U58" s="154"/>
      <c r="V58" s="103">
        <f t="shared" si="6"/>
        <v>27000000</v>
      </c>
      <c r="W58" s="288">
        <v>0.028258807782661502</v>
      </c>
      <c r="X58" s="249">
        <v>0.03267424649870236</v>
      </c>
      <c r="Y58" s="249">
        <v>0.03708968521474322</v>
      </c>
      <c r="Z58" s="249">
        <v>0.04150512393078408</v>
      </c>
      <c r="AA58" s="249">
        <v>0.04592056264682493</v>
      </c>
      <c r="AB58" s="249">
        <v>0.0503360013628658</v>
      </c>
      <c r="AC58" s="250">
        <v>0.05475144007890665</v>
      </c>
      <c r="AD58" s="51"/>
      <c r="AE58" s="154"/>
      <c r="AF58" s="103">
        <f t="shared" si="7"/>
        <v>27000000</v>
      </c>
      <c r="AG58" s="107">
        <v>0.023154700615147433</v>
      </c>
      <c r="AH58" s="107">
        <v>0.02446393724836132</v>
      </c>
      <c r="AI58" s="107">
        <v>0.02574771032284348</v>
      </c>
      <c r="AJ58" s="107">
        <v>0.02701100533535614</v>
      </c>
      <c r="AK58" s="108">
        <v>0.028258807782661502</v>
      </c>
      <c r="AL58" s="107">
        <v>0.02875470759460034</v>
      </c>
      <c r="AM58" s="107">
        <v>0.029249245347380746</v>
      </c>
      <c r="AN58" s="107">
        <v>0.0297427401127955</v>
      </c>
      <c r="AO58" s="107">
        <v>0.030235510962637373</v>
      </c>
      <c r="AP58" s="109">
        <v>0.03072787696869916</v>
      </c>
      <c r="BI58" s="110"/>
      <c r="BJ58" s="103">
        <f t="shared" si="8"/>
        <v>25000000</v>
      </c>
      <c r="BK58" s="51">
        <v>0.051914744855183104</v>
      </c>
      <c r="BL58" s="51">
        <v>0.051914744855183104</v>
      </c>
      <c r="BM58" s="51">
        <v>0.051914744855183104</v>
      </c>
      <c r="BN58" s="51">
        <v>0.051914744855183104</v>
      </c>
      <c r="BO58" s="51">
        <v>0.051914744855183104</v>
      </c>
      <c r="BP58" s="51">
        <v>0.051914744855183104</v>
      </c>
      <c r="BQ58" s="51">
        <v>0.051914744855183104</v>
      </c>
      <c r="BR58" s="51">
        <v>0.051914744855183104</v>
      </c>
      <c r="BS58" s="51">
        <v>0.0519147448551831</v>
      </c>
      <c r="BT58" s="51">
        <v>0.051914744855183104</v>
      </c>
      <c r="BU58" s="51">
        <v>0.051914744855183104</v>
      </c>
      <c r="BV58" s="51">
        <v>0.051914744855183104</v>
      </c>
      <c r="BW58" s="51">
        <v>0.051914744855183104</v>
      </c>
      <c r="BX58" s="150">
        <v>0.0519147448551831</v>
      </c>
      <c r="BY58" s="1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row>
    <row r="59">
      <c r="B59" s="152"/>
      <c r="C59" s="23"/>
      <c r="R59" s="10"/>
      <c r="U59" s="154"/>
      <c r="V59" s="103">
        <f t="shared" si="6"/>
        <v>28000000</v>
      </c>
      <c r="W59" s="288">
        <v>0.02774959836712576</v>
      </c>
      <c r="X59" s="249">
        <v>0.03208547311198915</v>
      </c>
      <c r="Y59" s="249">
        <v>0.036421347856852554</v>
      </c>
      <c r="Z59" s="249">
        <v>0.040757222601715944</v>
      </c>
      <c r="AA59" s="249">
        <v>0.04509309734657935</v>
      </c>
      <c r="AB59" s="249">
        <v>0.04942897209144275</v>
      </c>
      <c r="AC59" s="250">
        <v>0.05376484683630614</v>
      </c>
      <c r="AD59" s="51"/>
      <c r="AE59" s="154"/>
      <c r="AF59" s="103">
        <f t="shared" si="7"/>
        <v>28000000</v>
      </c>
      <c r="AG59" s="111">
        <v>0.022737464627775796</v>
      </c>
      <c r="AH59" s="111">
        <v>0.024023109479414023</v>
      </c>
      <c r="AI59" s="111">
        <v>0.02528374961276274</v>
      </c>
      <c r="AJ59" s="111">
        <v>0.026524280688455477</v>
      </c>
      <c r="AK59" s="112">
        <v>0.02774959836712576</v>
      </c>
      <c r="AL59" s="111">
        <v>0.02823656231540949</v>
      </c>
      <c r="AM59" s="111">
        <v>0.028722188748151533</v>
      </c>
      <c r="AN59" s="111">
        <v>0.029206790987632444</v>
      </c>
      <c r="AO59" s="111">
        <v>0.029690682356132765</v>
      </c>
      <c r="AP59" s="113">
        <v>0.030174176175933033</v>
      </c>
      <c r="BI59" s="110"/>
      <c r="BJ59" s="103">
        <f t="shared" si="8"/>
        <v>26000000</v>
      </c>
      <c r="BK59" s="144">
        <v>0.05036470036821433</v>
      </c>
      <c r="BL59" s="144">
        <v>0.05036470036821433</v>
      </c>
      <c r="BM59" s="144">
        <v>0.05036470036821433</v>
      </c>
      <c r="BN59" s="144">
        <v>0.05036470036821433</v>
      </c>
      <c r="BO59" s="144">
        <v>0.05036470036821433</v>
      </c>
      <c r="BP59" s="144">
        <v>0.05036470036821433</v>
      </c>
      <c r="BQ59" s="144">
        <v>0.05036470036821433</v>
      </c>
      <c r="BR59" s="144">
        <v>0.05036470036821433</v>
      </c>
      <c r="BS59" s="144">
        <v>0.05036470036821434</v>
      </c>
      <c r="BT59" s="144">
        <v>0.05036470036821433</v>
      </c>
      <c r="BU59" s="144">
        <v>0.05036470036821433</v>
      </c>
      <c r="BV59" s="144">
        <v>0.05036470036821433</v>
      </c>
      <c r="BW59" s="144">
        <v>0.05036470036821433</v>
      </c>
      <c r="BX59" s="145">
        <v>0.05036470036821434</v>
      </c>
      <c r="BY59" s="11"/>
      <c r="CE59" s="144"/>
      <c r="CF59" s="144"/>
      <c r="CG59" s="144"/>
      <c r="CH59" s="144"/>
      <c r="CI59" s="144"/>
      <c r="CJ59" s="144"/>
      <c r="CK59" s="144"/>
      <c r="CL59" s="144"/>
      <c r="CM59" s="144"/>
      <c r="CN59" s="144"/>
      <c r="CO59" s="144"/>
      <c r="CP59" s="144"/>
      <c r="CQ59" s="144"/>
      <c r="CR59" s="144"/>
      <c r="CS59" s="144"/>
      <c r="CT59" s="144"/>
      <c r="CU59" s="144"/>
      <c r="CV59" s="144"/>
      <c r="CW59" s="144"/>
      <c r="CX59" s="144"/>
      <c r="CY59" s="144"/>
      <c r="CZ59" s="144"/>
      <c r="DA59" s="144"/>
      <c r="DB59" s="144"/>
      <c r="DC59" s="144"/>
      <c r="DD59" s="144"/>
      <c r="DE59" s="144"/>
      <c r="DF59" s="144"/>
      <c r="DG59" s="144"/>
      <c r="DH59" s="144"/>
    </row>
    <row r="60">
      <c r="B60" s="152"/>
      <c r="C60" s="23"/>
      <c r="R60" s="10"/>
      <c r="U60" s="154"/>
      <c r="V60" s="103">
        <f t="shared" si="6"/>
        <v>29000000</v>
      </c>
      <c r="W60" s="288">
        <v>0.027266959839026907</v>
      </c>
      <c r="X60" s="249">
        <v>0.031527422313874856</v>
      </c>
      <c r="Y60" s="249">
        <v>0.035787884788722815</v>
      </c>
      <c r="Z60" s="249">
        <v>0.04004834726357077</v>
      </c>
      <c r="AA60" s="249">
        <v>0.04430880973841873</v>
      </c>
      <c r="AB60" s="249">
        <v>0.04856927221326668</v>
      </c>
      <c r="AC60" s="250">
        <v>0.05282973468811463</v>
      </c>
      <c r="AE60" s="155"/>
      <c r="AF60" s="103">
        <f t="shared" si="7"/>
        <v>29000000</v>
      </c>
      <c r="AG60" s="289">
        <v>0.02234200029292437</v>
      </c>
      <c r="AH60" s="289">
        <v>0.023605284397908058</v>
      </c>
      <c r="AI60" s="289">
        <v>0.024843998682443687</v>
      </c>
      <c r="AJ60" s="289">
        <v>0.026062953658745284</v>
      </c>
      <c r="AK60" s="290">
        <v>0.027266959839026907</v>
      </c>
      <c r="AL60" s="289">
        <v>0.027745454202989902</v>
      </c>
      <c r="AM60" s="289">
        <v>0.02822263431432565</v>
      </c>
      <c r="AN60" s="289">
        <v>0.02869880804581584</v>
      </c>
      <c r="AO60" s="289">
        <v>0.02917428327024218</v>
      </c>
      <c r="AP60" s="291">
        <v>0.029649367860386366</v>
      </c>
      <c r="BI60" s="163"/>
      <c r="BJ60" s="103">
        <f t="shared" si="8"/>
        <v>27000000</v>
      </c>
      <c r="BK60" s="51">
        <v>0.04894569084089253</v>
      </c>
      <c r="BL60" s="51">
        <v>0.04894569084089253</v>
      </c>
      <c r="BM60" s="51">
        <v>0.04894569084089253</v>
      </c>
      <c r="BN60" s="51">
        <v>0.04894569084089253</v>
      </c>
      <c r="BO60" s="51">
        <v>0.04894569084089253</v>
      </c>
      <c r="BP60" s="51">
        <v>0.04894569084089253</v>
      </c>
      <c r="BQ60" s="51">
        <v>0.04894569084089253</v>
      </c>
      <c r="BR60" s="51">
        <v>0.04894569084089253</v>
      </c>
      <c r="BS60" s="51">
        <v>0.04894569084089253</v>
      </c>
      <c r="BT60" s="51">
        <v>0.04894569084089253</v>
      </c>
      <c r="BU60" s="51">
        <v>0.04894569084089253</v>
      </c>
      <c r="BV60" s="51">
        <v>0.04894569084089253</v>
      </c>
      <c r="BW60" s="51">
        <v>0.04894569084089253</v>
      </c>
      <c r="BX60" s="150">
        <v>0.04894569084089253</v>
      </c>
      <c r="BY60" s="1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row>
    <row r="61">
      <c r="B61" s="152"/>
      <c r="C61" s="23"/>
      <c r="R61" s="10"/>
      <c r="U61" s="155"/>
      <c r="V61" s="279">
        <f t="shared" si="6"/>
        <v>30000000</v>
      </c>
      <c r="W61" s="292">
        <v>0.02680865896623083</v>
      </c>
      <c r="X61" s="293">
        <v>0.03099751192970441</v>
      </c>
      <c r="Y61" s="293">
        <v>0.035186364893177974</v>
      </c>
      <c r="Z61" s="293">
        <v>0.039375217856651545</v>
      </c>
      <c r="AA61" s="293">
        <v>0.04356407082012512</v>
      </c>
      <c r="AB61" s="293">
        <v>0.04775292378359868</v>
      </c>
      <c r="AC61" s="294">
        <v>0.051941776747072246</v>
      </c>
      <c r="AF61" s="103">
        <f t="shared" si="7"/>
        <v>30000000</v>
      </c>
      <c r="AG61" s="295">
        <v>0.021966477744950325</v>
      </c>
      <c r="AH61" s="295">
        <v>0.02320852867207622</v>
      </c>
      <c r="AI61" s="295">
        <v>0.02442642274632441</v>
      </c>
      <c r="AJ61" s="295">
        <v>0.025624889625205684</v>
      </c>
      <c r="AK61" s="295">
        <v>0.02680865896623083</v>
      </c>
      <c r="AL61" s="295">
        <v>0.027279110835323597</v>
      </c>
      <c r="AM61" s="295">
        <v>0.027748270541641803</v>
      </c>
      <c r="AN61" s="295">
        <v>0.02821644078326614</v>
      </c>
      <c r="AO61" s="295">
        <v>0.028683924258277288</v>
      </c>
      <c r="AP61" s="295">
        <v>0.029151023664755943</v>
      </c>
      <c r="BI61" s="163"/>
      <c r="BJ61" s="103">
        <f t="shared" si="8"/>
        <v>28000000</v>
      </c>
      <c r="BK61" s="144">
        <v>0.047640237158619196</v>
      </c>
      <c r="BL61" s="144">
        <v>0.047640237158619196</v>
      </c>
      <c r="BM61" s="144">
        <v>0.04764023715861919</v>
      </c>
      <c r="BN61" s="144">
        <v>0.047640237158619196</v>
      </c>
      <c r="BO61" s="144">
        <v>0.047640237158619196</v>
      </c>
      <c r="BP61" s="144">
        <v>0.047640237158619196</v>
      </c>
      <c r="BQ61" s="144">
        <v>0.047640237158619196</v>
      </c>
      <c r="BR61" s="144">
        <v>0.047640237158619196</v>
      </c>
      <c r="BS61" s="144">
        <v>0.047640237158619196</v>
      </c>
      <c r="BT61" s="144">
        <v>0.047640237158619196</v>
      </c>
      <c r="BU61" s="144">
        <v>0.047640237158619196</v>
      </c>
      <c r="BV61" s="144">
        <v>0.047640237158619196</v>
      </c>
      <c r="BW61" s="144">
        <v>0.047640237158619196</v>
      </c>
      <c r="BX61" s="145">
        <v>0.047640237158619196</v>
      </c>
      <c r="BY61" s="11"/>
      <c r="CE61" s="144"/>
      <c r="CF61" s="144"/>
      <c r="CG61" s="144"/>
      <c r="CH61" s="144"/>
      <c r="CI61" s="144"/>
      <c r="CJ61" s="144"/>
      <c r="CK61" s="144"/>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row>
    <row r="62">
      <c r="B62" s="23"/>
      <c r="C62" s="23"/>
      <c r="R62" s="10"/>
      <c r="BI62" s="155"/>
      <c r="BJ62" s="103">
        <f t="shared" si="8"/>
        <v>29000000</v>
      </c>
      <c r="BK62" s="296">
        <v>0.046433959412298755</v>
      </c>
      <c r="BL62" s="296">
        <v>0.046433959412298755</v>
      </c>
      <c r="BM62" s="296">
        <v>0.046433959412298755</v>
      </c>
      <c r="BN62" s="296">
        <v>0.046433959412298755</v>
      </c>
      <c r="BO62" s="296">
        <v>0.046433959412298755</v>
      </c>
      <c r="BP62" s="296">
        <v>0.046433959412298755</v>
      </c>
      <c r="BQ62" s="296">
        <v>0.046433959412298755</v>
      </c>
      <c r="BR62" s="296">
        <v>0.046433959412298755</v>
      </c>
      <c r="BS62" s="296">
        <v>0.046433959412298755</v>
      </c>
      <c r="BT62" s="296">
        <v>0.046433959412298755</v>
      </c>
      <c r="BU62" s="296">
        <v>0.046433959412298755</v>
      </c>
      <c r="BV62" s="296">
        <v>0.046433959412298755</v>
      </c>
      <c r="BW62" s="296">
        <v>0.046433959412298755</v>
      </c>
      <c r="BX62" s="297">
        <v>0.046433959412298755</v>
      </c>
      <c r="BY62" s="11"/>
    </row>
    <row r="63">
      <c r="B63" s="23"/>
      <c r="C63" s="23"/>
      <c r="R63" s="168"/>
      <c r="S63" s="169"/>
      <c r="T63" s="169"/>
      <c r="U63" s="169"/>
      <c r="V63" s="169"/>
      <c r="W63" s="169"/>
      <c r="X63" s="169"/>
      <c r="Y63" s="169"/>
      <c r="Z63" s="169"/>
      <c r="AA63" s="169"/>
      <c r="AB63" s="169"/>
      <c r="AC63" s="169"/>
      <c r="AD63" s="169"/>
      <c r="AE63" s="169"/>
      <c r="AF63" s="169"/>
      <c r="AG63" s="169"/>
      <c r="AH63" s="169"/>
      <c r="AI63" s="169"/>
      <c r="AJ63" s="169"/>
      <c r="AK63" s="169"/>
      <c r="AL63" s="169"/>
      <c r="AM63" s="169"/>
      <c r="AN63" s="169"/>
      <c r="AO63" s="169"/>
      <c r="AP63" s="169"/>
      <c r="AQ63" s="169"/>
      <c r="AR63" s="169"/>
      <c r="AS63" s="169"/>
      <c r="AT63" s="169"/>
      <c r="AU63" s="169"/>
      <c r="AV63" s="169"/>
      <c r="AW63" s="169"/>
      <c r="AX63" s="169"/>
      <c r="AY63" s="169"/>
      <c r="AZ63" s="169"/>
      <c r="BA63" s="169"/>
      <c r="BB63" s="169"/>
      <c r="BC63" s="169"/>
      <c r="BD63" s="169"/>
      <c r="BE63" s="169"/>
      <c r="BF63" s="169"/>
      <c r="BG63" s="169"/>
      <c r="BH63" s="169"/>
      <c r="BI63" s="169"/>
      <c r="BJ63" s="103">
        <f t="shared" si="8"/>
        <v>30000000</v>
      </c>
      <c r="BK63" s="169"/>
      <c r="BL63" s="169"/>
      <c r="BM63" s="169"/>
      <c r="BN63" s="169"/>
      <c r="BO63" s="169"/>
      <c r="BP63" s="169"/>
      <c r="BQ63" s="169"/>
      <c r="BR63" s="169"/>
      <c r="BS63" s="169"/>
      <c r="BT63" s="169"/>
      <c r="BU63" s="169"/>
      <c r="BV63" s="169"/>
      <c r="BW63" s="169"/>
      <c r="BX63" s="169"/>
      <c r="BY63" s="170"/>
    </row>
    <row r="64">
      <c r="B64" s="23"/>
      <c r="C64" s="298"/>
    </row>
    <row r="65">
      <c r="B65" s="23"/>
      <c r="C65" s="23"/>
    </row>
    <row r="66">
      <c r="B66" s="23"/>
      <c r="C66" s="23"/>
    </row>
    <row r="67">
      <c r="B67" s="151"/>
      <c r="C67" s="23"/>
      <c r="R67" s="5" t="s">
        <v>83</v>
      </c>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7"/>
    </row>
    <row r="68">
      <c r="B68" s="152"/>
      <c r="C68" s="153"/>
      <c r="R68" s="10"/>
      <c r="BY68" s="11"/>
    </row>
    <row r="69">
      <c r="B69" s="152"/>
      <c r="C69" s="153"/>
      <c r="R69" s="10"/>
      <c r="BY69" s="11"/>
    </row>
    <row r="70">
      <c r="B70" s="152"/>
      <c r="C70" s="153"/>
      <c r="R70" s="10"/>
      <c r="BY70" s="11"/>
    </row>
    <row r="71">
      <c r="B71" s="152"/>
      <c r="C71" s="153"/>
      <c r="R71" s="10"/>
      <c r="BY71" s="11"/>
    </row>
    <row r="72">
      <c r="B72" s="152"/>
      <c r="C72" s="153"/>
      <c r="R72" s="10"/>
      <c r="BY72" s="11"/>
    </row>
    <row r="73">
      <c r="B73" s="152"/>
      <c r="C73" s="153"/>
      <c r="R73" s="10"/>
      <c r="BY73" s="11"/>
    </row>
    <row r="74">
      <c r="B74" s="152"/>
      <c r="C74" s="153"/>
      <c r="R74" s="10"/>
      <c r="BM74" s="171"/>
      <c r="BY74" s="11"/>
    </row>
    <row r="75">
      <c r="B75" s="152"/>
      <c r="C75" s="153"/>
      <c r="R75" s="10"/>
      <c r="BM75" s="172"/>
      <c r="BY75" s="11"/>
    </row>
    <row r="76">
      <c r="B76" s="152"/>
      <c r="C76" s="153"/>
      <c r="R76" s="10"/>
      <c r="BM76" s="173"/>
      <c r="BY76" s="11"/>
    </row>
    <row r="77">
      <c r="B77" s="152"/>
      <c r="C77" s="153"/>
      <c r="R77" s="10"/>
      <c r="BM77" s="174"/>
      <c r="BY77" s="11"/>
    </row>
    <row r="78">
      <c r="B78" s="152"/>
      <c r="C78" s="153"/>
      <c r="R78" s="10"/>
      <c r="BM78" s="175"/>
      <c r="BY78" s="11"/>
    </row>
    <row r="79">
      <c r="B79" s="152"/>
      <c r="C79" s="153"/>
      <c r="R79" s="10"/>
      <c r="BM79" s="175"/>
      <c r="BY79" s="11"/>
    </row>
    <row r="80">
      <c r="B80" s="152"/>
      <c r="C80" s="153"/>
      <c r="R80" s="10"/>
      <c r="AW80" s="176"/>
      <c r="AX80" s="177"/>
      <c r="AY80" s="51"/>
      <c r="AZ80" s="51"/>
      <c r="BA80" s="51"/>
      <c r="BB80" s="51"/>
      <c r="BC80" s="51"/>
      <c r="BD80" s="51"/>
      <c r="BE80" s="51"/>
      <c r="BF80" s="51"/>
      <c r="BG80" s="51"/>
      <c r="BH80" s="51"/>
      <c r="BI80" s="51"/>
      <c r="BJ80" s="51"/>
      <c r="BK80" s="51"/>
      <c r="BL80" s="51"/>
      <c r="BM80" s="175"/>
      <c r="BY80" s="11"/>
    </row>
    <row r="81">
      <c r="B81" s="152"/>
      <c r="C81" s="153"/>
      <c r="R81" s="10"/>
      <c r="AW81" s="176"/>
      <c r="AX81" s="177"/>
      <c r="AY81" s="51"/>
      <c r="AZ81" s="51"/>
      <c r="BA81" s="51"/>
      <c r="BB81" s="51"/>
      <c r="BC81" s="51"/>
      <c r="BD81" s="51"/>
      <c r="BE81" s="51"/>
      <c r="BF81" s="51"/>
      <c r="BG81" s="51"/>
      <c r="BH81" s="51"/>
      <c r="BI81" s="51"/>
      <c r="BJ81" s="51"/>
      <c r="BK81" s="51"/>
      <c r="BL81" s="51"/>
      <c r="BM81" s="175"/>
      <c r="BY81" s="11"/>
    </row>
    <row r="82">
      <c r="B82" s="152"/>
      <c r="C82" s="153"/>
      <c r="R82" s="10"/>
      <c r="AW82" s="176"/>
      <c r="AX82" s="177"/>
      <c r="AY82" s="51"/>
      <c r="AZ82" s="51"/>
      <c r="BA82" s="51"/>
      <c r="BB82" s="51"/>
      <c r="BC82" s="51"/>
      <c r="BD82" s="51"/>
      <c r="BE82" s="51"/>
      <c r="BF82" s="51"/>
      <c r="BG82" s="51"/>
      <c r="BH82" s="51"/>
      <c r="BI82" s="51"/>
      <c r="BJ82" s="51"/>
      <c r="BK82" s="51"/>
      <c r="BL82" s="51"/>
      <c r="BM82" s="175"/>
      <c r="BY82" s="11"/>
    </row>
    <row r="83">
      <c r="B83" s="152"/>
      <c r="C83" s="153"/>
      <c r="R83" s="10"/>
      <c r="AW83" s="176"/>
      <c r="AX83" s="177"/>
      <c r="AY83" s="51"/>
      <c r="AZ83" s="51"/>
      <c r="BA83" s="51"/>
      <c r="BB83" s="51"/>
      <c r="BC83" s="51"/>
      <c r="BD83" s="51"/>
      <c r="BE83" s="51"/>
      <c r="BF83" s="51"/>
      <c r="BG83" s="51"/>
      <c r="BH83" s="51"/>
      <c r="BI83" s="51"/>
      <c r="BJ83" s="51"/>
      <c r="BK83" s="51"/>
      <c r="BL83" s="51"/>
      <c r="BM83" s="175"/>
      <c r="BY83" s="11"/>
    </row>
    <row r="84">
      <c r="B84" s="152"/>
      <c r="C84" s="153"/>
      <c r="R84" s="10"/>
      <c r="AW84" s="176"/>
      <c r="AX84" s="177"/>
      <c r="AY84" s="51"/>
      <c r="AZ84" s="51"/>
      <c r="BA84" s="51"/>
      <c r="BB84" s="51"/>
      <c r="BC84" s="51"/>
      <c r="BD84" s="51"/>
      <c r="BE84" s="51"/>
      <c r="BF84" s="51"/>
      <c r="BG84" s="51"/>
      <c r="BH84" s="51"/>
      <c r="BI84" s="51"/>
      <c r="BJ84" s="51"/>
      <c r="BK84" s="51"/>
      <c r="BL84" s="51"/>
      <c r="BM84" s="175"/>
      <c r="BY84" s="11"/>
    </row>
    <row r="85">
      <c r="B85" s="152"/>
      <c r="C85" s="153"/>
      <c r="R85" s="10"/>
      <c r="AW85" s="176"/>
      <c r="AX85" s="177"/>
      <c r="AY85" s="51"/>
      <c r="AZ85" s="51"/>
      <c r="BA85" s="51"/>
      <c r="BB85" s="51"/>
      <c r="BC85" s="51"/>
      <c r="BD85" s="51"/>
      <c r="BE85" s="51"/>
      <c r="BF85" s="51"/>
      <c r="BG85" s="51"/>
      <c r="BH85" s="51"/>
      <c r="BI85" s="51"/>
      <c r="BJ85" s="51"/>
      <c r="BK85" s="51"/>
      <c r="BL85" s="51"/>
      <c r="BM85" s="175"/>
      <c r="BN85" s="178"/>
      <c r="BO85" s="178"/>
      <c r="BY85" s="11"/>
    </row>
    <row r="86">
      <c r="B86" s="152"/>
      <c r="C86" s="153"/>
      <c r="R86" s="10"/>
      <c r="AW86" s="176"/>
      <c r="AX86" s="177"/>
      <c r="AY86" s="144"/>
      <c r="AZ86" s="144"/>
      <c r="BA86" s="144"/>
      <c r="BB86" s="144"/>
      <c r="BC86" s="144"/>
      <c r="BD86" s="144"/>
      <c r="BE86" s="144"/>
      <c r="BF86" s="144"/>
      <c r="BG86" s="144"/>
      <c r="BH86" s="144"/>
      <c r="BI86" s="144"/>
      <c r="BJ86" s="144"/>
      <c r="BK86" s="144"/>
      <c r="BL86" s="144"/>
      <c r="BM86" s="175"/>
      <c r="BN86" s="178"/>
      <c r="BO86" s="178"/>
      <c r="BY86" s="11"/>
    </row>
    <row r="87">
      <c r="B87" s="152"/>
      <c r="C87" s="153"/>
      <c r="R87" s="10"/>
      <c r="AW87" s="178"/>
      <c r="AX87" s="177"/>
      <c r="AY87" s="51"/>
      <c r="AZ87" s="51"/>
      <c r="BA87" s="51"/>
      <c r="BB87" s="51"/>
      <c r="BC87" s="51"/>
      <c r="BD87" s="51"/>
      <c r="BE87" s="51"/>
      <c r="BF87" s="51"/>
      <c r="BG87" s="51"/>
      <c r="BH87" s="51"/>
      <c r="BI87" s="51"/>
      <c r="BJ87" s="51"/>
      <c r="BK87" s="51"/>
      <c r="BL87" s="51"/>
      <c r="BM87" s="175"/>
      <c r="BY87" s="11"/>
    </row>
    <row r="88">
      <c r="B88" s="152"/>
      <c r="C88" s="153"/>
      <c r="R88" s="10"/>
      <c r="AW88" s="178"/>
      <c r="AX88" s="177"/>
      <c r="AY88" s="144"/>
      <c r="AZ88" s="144"/>
      <c r="BA88" s="144"/>
      <c r="BB88" s="144"/>
      <c r="BC88" s="144"/>
      <c r="BD88" s="144"/>
      <c r="BE88" s="144"/>
      <c r="BF88" s="144"/>
      <c r="BG88" s="144"/>
      <c r="BH88" s="144"/>
      <c r="BI88" s="144"/>
      <c r="BJ88" s="144"/>
      <c r="BK88" s="144"/>
      <c r="BL88" s="144"/>
      <c r="BM88" s="175"/>
      <c r="BY88" s="11"/>
    </row>
    <row r="89">
      <c r="B89" s="152"/>
      <c r="C89" s="153"/>
      <c r="R89" s="10"/>
      <c r="BM89" s="175"/>
      <c r="BY89" s="11"/>
    </row>
    <row r="90">
      <c r="B90" s="152"/>
      <c r="C90" s="153"/>
      <c r="R90" s="10"/>
      <c r="BM90" s="175"/>
      <c r="BY90" s="11"/>
    </row>
    <row r="91">
      <c r="R91" s="10"/>
      <c r="BM91" s="175"/>
      <c r="BN91" s="23"/>
      <c r="BO91" s="23"/>
      <c r="BY91" s="11"/>
    </row>
    <row r="92" ht="24.0" customHeight="1">
      <c r="R92" s="10"/>
      <c r="BM92" s="175"/>
      <c r="BN92" s="23"/>
      <c r="BO92" s="23"/>
      <c r="BY92" s="11"/>
    </row>
    <row r="93">
      <c r="R93" s="10"/>
      <c r="BM93" s="175"/>
      <c r="BN93" s="23"/>
      <c r="BO93" s="23"/>
      <c r="BT93" s="179"/>
      <c r="BU93" s="179"/>
      <c r="BV93" s="179"/>
      <c r="BW93" s="179"/>
      <c r="BX93" s="179"/>
      <c r="BY93" s="180"/>
      <c r="BZ93" s="179"/>
      <c r="CA93" s="179"/>
      <c r="CB93" s="179"/>
      <c r="CC93" s="179"/>
      <c r="CD93" s="179"/>
      <c r="CE93" s="179"/>
      <c r="CF93" s="179"/>
      <c r="CG93" s="179"/>
      <c r="CH93" s="179"/>
      <c r="CI93" s="179"/>
      <c r="CJ93" s="179"/>
      <c r="CK93" s="179"/>
      <c r="CL93" s="179"/>
      <c r="CM93" s="179"/>
      <c r="CN93" s="179"/>
      <c r="CO93" s="179"/>
      <c r="CP93" s="179"/>
      <c r="CQ93" s="179"/>
      <c r="CR93" s="179"/>
      <c r="CS93" s="179"/>
      <c r="CT93" s="179"/>
      <c r="CU93" s="179"/>
      <c r="CV93" s="179"/>
      <c r="CW93" s="179"/>
      <c r="CX93" s="179"/>
      <c r="CY93" s="179"/>
      <c r="CZ93" s="179"/>
      <c r="DA93" s="179"/>
      <c r="DB93" s="179"/>
      <c r="DC93" s="179"/>
      <c r="DD93" s="179"/>
      <c r="DE93" s="179"/>
      <c r="DF93" s="179"/>
      <c r="DG93" s="179"/>
      <c r="DH93" s="179"/>
    </row>
    <row r="94">
      <c r="R94" s="10"/>
      <c r="BM94" s="175"/>
      <c r="BN94" s="23"/>
      <c r="BO94" s="23"/>
      <c r="BY94" s="11"/>
    </row>
    <row r="95">
      <c r="R95" s="10"/>
      <c r="BN95" s="23"/>
      <c r="BO95" s="23"/>
      <c r="BY95" s="11"/>
    </row>
    <row r="96">
      <c r="R96" s="10"/>
      <c r="BN96" s="23"/>
      <c r="BO96" s="23"/>
      <c r="BY96" s="11"/>
    </row>
    <row r="97">
      <c r="R97" s="10"/>
      <c r="BN97" s="181"/>
      <c r="BO97" s="23"/>
      <c r="BY97" s="11"/>
    </row>
    <row r="98">
      <c r="R98" s="10"/>
      <c r="U98" s="70" t="s">
        <v>84</v>
      </c>
      <c r="V98" s="71"/>
      <c r="W98" s="71"/>
      <c r="X98" s="71"/>
      <c r="Y98" s="71"/>
      <c r="Z98" s="71"/>
      <c r="AA98" s="71"/>
      <c r="AB98" s="71"/>
      <c r="AC98" s="18"/>
      <c r="AE98" s="70" t="s">
        <v>84</v>
      </c>
      <c r="AF98" s="71"/>
      <c r="AG98" s="71"/>
      <c r="AH98" s="71"/>
      <c r="AI98" s="71"/>
      <c r="AJ98" s="71"/>
      <c r="AK98" s="71"/>
      <c r="AL98" s="71"/>
      <c r="AM98" s="71"/>
      <c r="AN98" s="71"/>
      <c r="AO98" s="71"/>
      <c r="AP98" s="18"/>
      <c r="AR98" s="70" t="s">
        <v>84</v>
      </c>
      <c r="AS98" s="71"/>
      <c r="AT98" s="71"/>
      <c r="AU98" s="71"/>
      <c r="AV98" s="71"/>
      <c r="AW98" s="71"/>
      <c r="AX98" s="71"/>
      <c r="AY98" s="71"/>
      <c r="AZ98" s="71"/>
      <c r="BA98" s="71"/>
      <c r="BB98" s="71"/>
      <c r="BC98" s="71"/>
      <c r="BD98" s="71"/>
      <c r="BE98" s="71"/>
      <c r="BF98" s="71"/>
      <c r="BG98" s="18"/>
      <c r="BI98" s="70" t="s">
        <v>84</v>
      </c>
      <c r="BJ98" s="71"/>
      <c r="BK98" s="71"/>
      <c r="BL98" s="71"/>
      <c r="BM98" s="71"/>
      <c r="BN98" s="71"/>
      <c r="BO98" s="71"/>
      <c r="BP98" s="71"/>
      <c r="BQ98" s="71"/>
      <c r="BR98" s="71"/>
      <c r="BS98" s="71"/>
      <c r="BT98" s="71"/>
      <c r="BU98" s="71"/>
      <c r="BV98" s="71"/>
      <c r="BW98" s="71"/>
      <c r="BX98" s="18"/>
      <c r="BY98" s="11"/>
    </row>
    <row r="99">
      <c r="R99" s="10"/>
      <c r="U99" s="77" t="s">
        <v>57</v>
      </c>
      <c r="AC99" s="78"/>
      <c r="AE99" s="85" t="s">
        <v>58</v>
      </c>
      <c r="AF99" s="182"/>
      <c r="AG99" s="182"/>
      <c r="AH99" s="182"/>
      <c r="AI99" s="183" t="s">
        <v>59</v>
      </c>
      <c r="AJ99" s="183"/>
      <c r="AK99" s="183"/>
      <c r="AL99" s="183"/>
      <c r="AM99" s="183"/>
      <c r="AN99" s="183"/>
      <c r="AO99" s="183"/>
      <c r="AP99" s="184"/>
      <c r="AR99" s="85" t="s">
        <v>58</v>
      </c>
      <c r="AS99" s="86"/>
      <c r="AT99" s="86" t="s">
        <v>44</v>
      </c>
      <c r="BG99" s="78"/>
      <c r="BI99" s="85" t="s">
        <v>58</v>
      </c>
      <c r="BJ99" s="86"/>
      <c r="BK99" s="86" t="s">
        <v>44</v>
      </c>
      <c r="BX99" s="78"/>
      <c r="BY99" s="11"/>
    </row>
    <row r="100">
      <c r="R100" s="10"/>
      <c r="U100" s="90"/>
      <c r="V100" s="299">
        <f>$F$48</f>
        <v>0.03817811653</v>
      </c>
      <c r="W100" s="300">
        <v>64.0</v>
      </c>
      <c r="X100" s="301">
        <f t="shared" ref="X100:AC100" si="9">W100+10</f>
        <v>74</v>
      </c>
      <c r="Y100" s="301">
        <f t="shared" si="9"/>
        <v>84</v>
      </c>
      <c r="Z100" s="301">
        <f t="shared" si="9"/>
        <v>94</v>
      </c>
      <c r="AA100" s="301">
        <f t="shared" si="9"/>
        <v>104</v>
      </c>
      <c r="AB100" s="301">
        <f t="shared" si="9"/>
        <v>114</v>
      </c>
      <c r="AC100" s="302">
        <f t="shared" si="9"/>
        <v>124</v>
      </c>
      <c r="AE100" s="90"/>
      <c r="AF100" s="96">
        <f>$F$48</f>
        <v>0.03817811653</v>
      </c>
      <c r="AG100" s="97">
        <f t="shared" ref="AG100:AI100" si="10">AH100-0.05</f>
        <v>0.7</v>
      </c>
      <c r="AH100" s="97">
        <f t="shared" si="10"/>
        <v>0.75</v>
      </c>
      <c r="AI100" s="97">
        <f t="shared" si="10"/>
        <v>0.8</v>
      </c>
      <c r="AJ100" s="97">
        <v>0.85</v>
      </c>
      <c r="AK100" s="98">
        <v>0.9</v>
      </c>
      <c r="AL100" s="97">
        <f t="shared" ref="AL100:AP100" si="11">AK100+0.02</f>
        <v>0.92</v>
      </c>
      <c r="AM100" s="97">
        <f t="shared" si="11"/>
        <v>0.94</v>
      </c>
      <c r="AN100" s="97">
        <f t="shared" si="11"/>
        <v>0.96</v>
      </c>
      <c r="AO100" s="97">
        <f t="shared" si="11"/>
        <v>0.98</v>
      </c>
      <c r="AP100" s="99">
        <f t="shared" si="11"/>
        <v>1</v>
      </c>
      <c r="AR100" s="85" t="s">
        <v>63</v>
      </c>
      <c r="AS100" s="86"/>
      <c r="AT100" s="86"/>
      <c r="AU100" s="86"/>
      <c r="AV100" s="86"/>
      <c r="AW100" s="86"/>
      <c r="AX100" s="86"/>
      <c r="AY100" s="86"/>
      <c r="AZ100" s="86"/>
      <c r="BA100" s="86"/>
      <c r="BB100" s="86"/>
      <c r="BC100" s="86"/>
      <c r="BD100" s="86"/>
      <c r="BE100" s="86"/>
      <c r="BF100" s="86"/>
      <c r="BG100" s="100"/>
      <c r="BI100" s="85" t="s">
        <v>63</v>
      </c>
      <c r="BJ100" s="86"/>
      <c r="BK100" s="86"/>
      <c r="BL100" s="86"/>
      <c r="BM100" s="86"/>
      <c r="BN100" s="86"/>
      <c r="BO100" s="86"/>
      <c r="BP100" s="86"/>
      <c r="BQ100" s="86"/>
      <c r="BR100" s="86"/>
      <c r="BS100" s="86"/>
      <c r="BT100" s="86"/>
      <c r="BU100" s="86"/>
      <c r="BV100" s="86"/>
      <c r="BW100" s="86"/>
      <c r="BX100" s="100"/>
      <c r="BY100" s="11"/>
    </row>
    <row r="101">
      <c r="R101" s="10"/>
      <c r="U101" s="102" t="s">
        <v>66</v>
      </c>
      <c r="V101" s="103">
        <v>525288.0</v>
      </c>
      <c r="W101" s="303">
        <v>0.43089475859667176</v>
      </c>
      <c r="X101" s="304">
        <v>0.5034478201783884</v>
      </c>
      <c r="Y101" s="304">
        <v>0.5760008817601052</v>
      </c>
      <c r="Z101" s="304">
        <v>0.648553943341822</v>
      </c>
      <c r="AA101" s="304">
        <v>0.7211070049235387</v>
      </c>
      <c r="AB101" s="304">
        <v>0.7936600665052554</v>
      </c>
      <c r="AC101" s="305">
        <v>0.8662131280869723</v>
      </c>
      <c r="AE101" s="102" t="s">
        <v>66</v>
      </c>
      <c r="AF101" s="103">
        <v>525288.0</v>
      </c>
      <c r="AG101" s="185">
        <v>0.34702571964953416</v>
      </c>
      <c r="AH101" s="185">
        <v>0.368538672763235</v>
      </c>
      <c r="AI101" s="185">
        <v>0.38963321691158415</v>
      </c>
      <c r="AJ101" s="185">
        <v>0.41039127216569277</v>
      </c>
      <c r="AK101" s="186">
        <v>0.43089475859667176</v>
      </c>
      <c r="AL101" s="185">
        <v>0.4390432239945158</v>
      </c>
      <c r="AM101" s="185">
        <v>0.44716930847658803</v>
      </c>
      <c r="AN101" s="185">
        <v>0.45527825492743934</v>
      </c>
      <c r="AO101" s="185">
        <v>0.46337530623162104</v>
      </c>
      <c r="AP101" s="187">
        <v>0.4714657052736842</v>
      </c>
      <c r="AR101" s="85" t="s">
        <v>67</v>
      </c>
      <c r="AS101" s="86"/>
      <c r="AT101" s="86"/>
      <c r="AU101" s="86"/>
      <c r="AV101" s="86"/>
      <c r="AW101" s="86"/>
      <c r="AX101" s="86"/>
      <c r="AY101" s="86"/>
      <c r="AZ101" s="86"/>
      <c r="BA101" s="86"/>
      <c r="BB101" s="86"/>
      <c r="BC101" s="86"/>
      <c r="BD101" s="86"/>
      <c r="BE101" s="86"/>
      <c r="BF101" s="86"/>
      <c r="BG101" s="100"/>
      <c r="BI101" s="85" t="s">
        <v>68</v>
      </c>
      <c r="BJ101" s="86"/>
      <c r="BK101" s="86"/>
      <c r="BL101" s="86"/>
      <c r="BM101" s="86"/>
      <c r="BN101" s="86"/>
      <c r="BO101" s="86"/>
      <c r="BP101" s="86"/>
      <c r="BQ101" s="86"/>
      <c r="BR101" s="86"/>
      <c r="BS101" s="86"/>
      <c r="BT101" s="86"/>
      <c r="BU101" s="86"/>
      <c r="BV101" s="86"/>
      <c r="BW101" s="86"/>
      <c r="BX101" s="100"/>
      <c r="BY101" s="11"/>
    </row>
    <row r="102">
      <c r="R102" s="10"/>
      <c r="U102" s="110"/>
      <c r="V102" s="103">
        <v>1000000.0</v>
      </c>
      <c r="W102" s="306">
        <v>0.3456868554644717</v>
      </c>
      <c r="X102" s="307">
        <v>0.404926182181782</v>
      </c>
      <c r="Y102" s="307">
        <v>0.4641655088990926</v>
      </c>
      <c r="Z102" s="307">
        <v>0.523404835616403</v>
      </c>
      <c r="AA102" s="307">
        <v>0.5826441623337136</v>
      </c>
      <c r="AB102" s="307">
        <v>0.6418834890510243</v>
      </c>
      <c r="AC102" s="308">
        <v>0.7011228157683346</v>
      </c>
      <c r="AE102" s="110"/>
      <c r="AF102" s="103">
        <v>1000000.0</v>
      </c>
      <c r="AG102" s="188">
        <v>0.27720807191843944</v>
      </c>
      <c r="AH102" s="188">
        <v>0.2947733245814346</v>
      </c>
      <c r="AI102" s="188">
        <v>0.3119969477547908</v>
      </c>
      <c r="AJ102" s="188">
        <v>0.3289458288964793</v>
      </c>
      <c r="AK102" s="189">
        <v>0.3456868554644717</v>
      </c>
      <c r="AL102" s="188">
        <v>0.3523400496016191</v>
      </c>
      <c r="AM102" s="188">
        <v>0.35897496979756094</v>
      </c>
      <c r="AN102" s="188">
        <v>0.36559589684960714</v>
      </c>
      <c r="AO102" s="188">
        <v>0.37220711155506786</v>
      </c>
      <c r="AP102" s="190">
        <v>0.3788128947112534</v>
      </c>
      <c r="AR102" s="90"/>
      <c r="AS102" s="91">
        <f>$F$48</f>
        <v>0.03817811653</v>
      </c>
      <c r="AT102" s="103">
        <v>1.0</v>
      </c>
      <c r="AU102" s="93">
        <f t="shared" ref="AU102:AX102" si="12">AT102+1</f>
        <v>2</v>
      </c>
      <c r="AV102" s="93">
        <f t="shared" si="12"/>
        <v>3</v>
      </c>
      <c r="AW102" s="93">
        <f t="shared" si="12"/>
        <v>4</v>
      </c>
      <c r="AX102" s="93">
        <f t="shared" si="12"/>
        <v>5</v>
      </c>
      <c r="AY102" s="103">
        <v>10.0</v>
      </c>
      <c r="AZ102" s="103">
        <v>15.0</v>
      </c>
      <c r="BA102" s="103">
        <v>20.0</v>
      </c>
      <c r="BB102" s="103">
        <v>25.0</v>
      </c>
      <c r="BC102" s="103">
        <v>30.0</v>
      </c>
      <c r="BD102" s="103">
        <v>35.0</v>
      </c>
      <c r="BE102" s="103">
        <v>40.0</v>
      </c>
      <c r="BF102" s="103">
        <v>45.0</v>
      </c>
      <c r="BG102" s="114">
        <v>50.0</v>
      </c>
      <c r="BI102" s="90"/>
      <c r="BJ102" s="91">
        <f>$F$48</f>
        <v>0.03817811653</v>
      </c>
      <c r="BK102" s="103">
        <v>1.0</v>
      </c>
      <c r="BL102" s="93">
        <f t="shared" ref="BL102:BO102" si="13">BK102+1</f>
        <v>2</v>
      </c>
      <c r="BM102" s="93">
        <f t="shared" si="13"/>
        <v>3</v>
      </c>
      <c r="BN102" s="93">
        <f t="shared" si="13"/>
        <v>4</v>
      </c>
      <c r="BO102" s="93">
        <f t="shared" si="13"/>
        <v>5</v>
      </c>
      <c r="BP102" s="103">
        <v>10.0</v>
      </c>
      <c r="BQ102" s="103">
        <v>15.0</v>
      </c>
      <c r="BR102" s="103">
        <v>20.0</v>
      </c>
      <c r="BS102" s="103">
        <v>25.0</v>
      </c>
      <c r="BT102" s="103">
        <v>30.0</v>
      </c>
      <c r="BU102" s="103">
        <v>35.0</v>
      </c>
      <c r="BV102" s="103">
        <v>40.0</v>
      </c>
      <c r="BW102" s="103">
        <v>45.0</v>
      </c>
      <c r="BX102" s="114">
        <v>50.0</v>
      </c>
      <c r="BY102" s="11"/>
    </row>
    <row r="103">
      <c r="F103" s="191"/>
      <c r="R103" s="10"/>
      <c r="U103" s="110"/>
      <c r="V103" s="93">
        <f t="shared" ref="V103:V120" si="14">V102+500000</f>
        <v>1500000</v>
      </c>
      <c r="W103" s="309">
        <v>0.29489284025145784</v>
      </c>
      <c r="X103" s="310">
        <v>0.34619560209173494</v>
      </c>
      <c r="Y103" s="310">
        <v>0.3974983639320121</v>
      </c>
      <c r="Z103" s="310">
        <v>0.44880112577228926</v>
      </c>
      <c r="AA103" s="310">
        <v>0.5001038876125664</v>
      </c>
      <c r="AB103" s="310">
        <v>0.5514066494528437</v>
      </c>
      <c r="AC103" s="311">
        <v>0.6027094112931205</v>
      </c>
      <c r="AE103" s="110"/>
      <c r="AF103" s="93">
        <f t="shared" ref="AF103:AF120" si="15">AF102+500000</f>
        <v>1500000</v>
      </c>
      <c r="AG103" s="185">
        <v>0.23558847408033823</v>
      </c>
      <c r="AH103" s="185">
        <v>0.25080042911038425</v>
      </c>
      <c r="AI103" s="185">
        <v>0.265716524323721</v>
      </c>
      <c r="AJ103" s="185">
        <v>0.28039468595814626</v>
      </c>
      <c r="AK103" s="186">
        <v>0.29489284025145784</v>
      </c>
      <c r="AL103" s="185">
        <v>0.3006546753905373</v>
      </c>
      <c r="AM103" s="185">
        <v>0.30640068483230537</v>
      </c>
      <c r="AN103" s="185">
        <v>0.3121345758559811</v>
      </c>
      <c r="AO103" s="185">
        <v>0.3178600557407834</v>
      </c>
      <c r="AP103" s="187">
        <v>0.3235808317659312</v>
      </c>
      <c r="AR103" s="118" t="s">
        <v>73</v>
      </c>
      <c r="AS103" s="119">
        <f>AG100</f>
        <v>0.7</v>
      </c>
      <c r="AT103" s="105">
        <v>0.0868705181721293</v>
      </c>
      <c r="AU103" s="105">
        <v>0.10214131873172531</v>
      </c>
      <c r="AV103" s="105">
        <v>0.10723253064820756</v>
      </c>
      <c r="AW103" s="105">
        <v>0.10977884471172634</v>
      </c>
      <c r="AX103" s="105">
        <v>0.11130719908085249</v>
      </c>
      <c r="AY103" s="105">
        <v>0.1143681426394832</v>
      </c>
      <c r="AZ103" s="105">
        <v>0.11539314569379489</v>
      </c>
      <c r="BA103" s="105">
        <v>0.11438220832770726</v>
      </c>
      <c r="BB103" s="105">
        <v>0.11499998220376016</v>
      </c>
      <c r="BC103" s="105">
        <v>0.11541414161574651</v>
      </c>
      <c r="BD103" s="105">
        <v>0.11483940416540545</v>
      </c>
      <c r="BE103" s="105">
        <v>0.11517353593159647</v>
      </c>
      <c r="BF103" s="105">
        <v>0.11543493389511283</v>
      </c>
      <c r="BG103" s="106">
        <v>0.1150346362770287</v>
      </c>
      <c r="BI103" s="102" t="s">
        <v>66</v>
      </c>
      <c r="BJ103" s="103">
        <v>525288.0</v>
      </c>
      <c r="BK103" s="105">
        <v>0.43089475859667176</v>
      </c>
      <c r="BL103" s="105">
        <v>0.4461655591562677</v>
      </c>
      <c r="BM103" s="105">
        <v>0.45125677107275</v>
      </c>
      <c r="BN103" s="105">
        <v>0.45380308513626877</v>
      </c>
      <c r="BO103" s="105">
        <v>0.4553314395053949</v>
      </c>
      <c r="BP103" s="105">
        <v>0.4583923830640256</v>
      </c>
      <c r="BQ103" s="105">
        <v>0.4594173861183373</v>
      </c>
      <c r="BR103" s="105">
        <v>0.4584064487522497</v>
      </c>
      <c r="BS103" s="105">
        <v>0.4590242226283026</v>
      </c>
      <c r="BT103" s="105">
        <v>0.4594383820402889</v>
      </c>
      <c r="BU103" s="105">
        <v>0.4588636445899479</v>
      </c>
      <c r="BV103" s="105">
        <v>0.45919777635613884</v>
      </c>
      <c r="BW103" s="105">
        <v>0.4594591743196552</v>
      </c>
      <c r="BX103" s="106">
        <v>0.4590588767015711</v>
      </c>
      <c r="BY103" s="11"/>
    </row>
    <row r="104">
      <c r="R104" s="10"/>
      <c r="U104" s="110"/>
      <c r="V104" s="93">
        <f t="shared" si="14"/>
        <v>2000000</v>
      </c>
      <c r="W104" s="312">
        <v>0.2602293095190394</v>
      </c>
      <c r="X104" s="313">
        <v>0.3061158946823761</v>
      </c>
      <c r="Y104" s="313">
        <v>0.3520024798457128</v>
      </c>
      <c r="Z104" s="313">
        <v>0.3978890650090497</v>
      </c>
      <c r="AA104" s="313">
        <v>0.4437756501723862</v>
      </c>
      <c r="AB104" s="313">
        <v>0.48966223533572306</v>
      </c>
      <c r="AC104" s="314">
        <v>0.5355488204990598</v>
      </c>
      <c r="AE104" s="110"/>
      <c r="AF104" s="93">
        <f t="shared" si="15"/>
        <v>2000000</v>
      </c>
      <c r="AG104" s="185">
        <v>0.20718587187057438</v>
      </c>
      <c r="AH104" s="185">
        <v>0.22079185807771556</v>
      </c>
      <c r="AI104" s="185">
        <v>0.23413321922006763</v>
      </c>
      <c r="AJ104" s="185">
        <v>0.24726176609978934</v>
      </c>
      <c r="AK104" s="186">
        <v>0.2602293095190394</v>
      </c>
      <c r="AL104" s="185">
        <v>0.26538285153749086</v>
      </c>
      <c r="AM104" s="185">
        <v>0.2705222386219504</v>
      </c>
      <c r="AN104" s="185">
        <v>0.27565078666375625</v>
      </c>
      <c r="AO104" s="185">
        <v>0.2807718115542464</v>
      </c>
      <c r="AP104" s="187">
        <v>0.2858886291847592</v>
      </c>
      <c r="AR104" s="110"/>
      <c r="AS104" s="119">
        <v>0.75</v>
      </c>
      <c r="AT104" s="192">
        <v>0.09367351127569988</v>
      </c>
      <c r="AU104" s="192">
        <v>0.1089443118352959</v>
      </c>
      <c r="AV104" s="192">
        <v>0.11403552375177815</v>
      </c>
      <c r="AW104" s="192">
        <v>0.1165818378152969</v>
      </c>
      <c r="AX104" s="192">
        <v>0.11811019218442305</v>
      </c>
      <c r="AY104" s="192">
        <v>0.12117113574305374</v>
      </c>
      <c r="AZ104" s="192">
        <v>0.12219613879736545</v>
      </c>
      <c r="BA104" s="192">
        <v>0.12118520143127783</v>
      </c>
      <c r="BB104" s="192">
        <v>0.12180297530733074</v>
      </c>
      <c r="BC104" s="192">
        <v>0.12221713471931707</v>
      </c>
      <c r="BD104" s="192">
        <v>0.12164239726897601</v>
      </c>
      <c r="BE104" s="192">
        <v>0.12197652903516705</v>
      </c>
      <c r="BF104" s="192">
        <v>0.12223792699868338</v>
      </c>
      <c r="BG104" s="193">
        <v>0.12183762938059928</v>
      </c>
      <c r="BI104" s="110"/>
      <c r="BJ104" s="103">
        <v>1000000.0</v>
      </c>
      <c r="BK104" s="192">
        <v>0.3456868554644717</v>
      </c>
      <c r="BL104" s="192">
        <v>0.3609576560240677</v>
      </c>
      <c r="BM104" s="192">
        <v>0.36604886794054997</v>
      </c>
      <c r="BN104" s="192">
        <v>0.36859518200406877</v>
      </c>
      <c r="BO104" s="192">
        <v>0.37012353637319484</v>
      </c>
      <c r="BP104" s="192">
        <v>0.3731844799318256</v>
      </c>
      <c r="BQ104" s="192">
        <v>0.37420948298613727</v>
      </c>
      <c r="BR104" s="192">
        <v>0.37319854562004967</v>
      </c>
      <c r="BS104" s="192">
        <v>0.3738163194961025</v>
      </c>
      <c r="BT104" s="192">
        <v>0.37423047890808886</v>
      </c>
      <c r="BU104" s="192">
        <v>0.3736557414577478</v>
      </c>
      <c r="BV104" s="192">
        <v>0.3739898732239388</v>
      </c>
      <c r="BW104" s="192">
        <v>0.3742512711874552</v>
      </c>
      <c r="BX104" s="193">
        <v>0.3738509735693711</v>
      </c>
      <c r="BY104" s="11"/>
    </row>
    <row r="105">
      <c r="R105" s="10"/>
      <c r="U105" s="110"/>
      <c r="V105" s="93">
        <f t="shared" si="14"/>
        <v>2500000</v>
      </c>
      <c r="W105" s="315">
        <v>0.23464175413599273</v>
      </c>
      <c r="X105" s="316">
        <v>0.2765302837707283</v>
      </c>
      <c r="Y105" s="316">
        <v>0.318418813405464</v>
      </c>
      <c r="Z105" s="316">
        <v>0.3603073430401997</v>
      </c>
      <c r="AA105" s="316">
        <v>0.4021958726749354</v>
      </c>
      <c r="AB105" s="316">
        <v>0.44408440230967106</v>
      </c>
      <c r="AC105" s="317">
        <v>0.48597293194440677</v>
      </c>
      <c r="AE105" s="110"/>
      <c r="AF105" s="93">
        <f t="shared" si="15"/>
        <v>2500000</v>
      </c>
      <c r="AG105" s="185">
        <v>0.18621994192318755</v>
      </c>
      <c r="AH105" s="185">
        <v>0.1986404511944465</v>
      </c>
      <c r="AI105" s="185">
        <v>0.2108193919369283</v>
      </c>
      <c r="AJ105" s="185">
        <v>0.22280406072574108</v>
      </c>
      <c r="AK105" s="186">
        <v>0.23464175413599273</v>
      </c>
      <c r="AL105" s="185">
        <v>0.23934627282692028</v>
      </c>
      <c r="AM105" s="185">
        <v>0.24403786989010226</v>
      </c>
      <c r="AN105" s="185">
        <v>0.24871957230634567</v>
      </c>
      <c r="AO105" s="185">
        <v>0.2533944070564572</v>
      </c>
      <c r="AP105" s="187">
        <v>0.25806540112124376</v>
      </c>
      <c r="AR105" s="110"/>
      <c r="AS105" s="119">
        <v>0.8</v>
      </c>
      <c r="AT105" s="105">
        <v>0.10034419184687594</v>
      </c>
      <c r="AU105" s="105">
        <v>0.11561499240647197</v>
      </c>
      <c r="AV105" s="105">
        <v>0.12070620432295422</v>
      </c>
      <c r="AW105" s="105">
        <v>0.12325251838647297</v>
      </c>
      <c r="AX105" s="105">
        <v>0.1247808727555991</v>
      </c>
      <c r="AY105" s="105">
        <v>0.1278418163142298</v>
      </c>
      <c r="AZ105" s="105">
        <v>0.1288668193685415</v>
      </c>
      <c r="BA105" s="105">
        <v>0.12785588200245387</v>
      </c>
      <c r="BB105" s="105">
        <v>0.12847365587850682</v>
      </c>
      <c r="BC105" s="105">
        <v>0.12888781529049312</v>
      </c>
      <c r="BD105" s="105">
        <v>0.12831307784015208</v>
      </c>
      <c r="BE105" s="105">
        <v>0.1286472096063431</v>
      </c>
      <c r="BF105" s="105">
        <v>0.12890860756985947</v>
      </c>
      <c r="BG105" s="106">
        <v>0.12850830995177534</v>
      </c>
      <c r="BI105" s="110"/>
      <c r="BJ105" s="93">
        <f t="shared" ref="BJ105:BJ122" si="16">BJ104+500000</f>
        <v>1500000</v>
      </c>
      <c r="BK105" s="105">
        <v>0.29489284025145784</v>
      </c>
      <c r="BL105" s="105">
        <v>0.31016364081105385</v>
      </c>
      <c r="BM105" s="105">
        <v>0.31525485272753606</v>
      </c>
      <c r="BN105" s="105">
        <v>0.31780116679105486</v>
      </c>
      <c r="BO105" s="105">
        <v>0.319329521160181</v>
      </c>
      <c r="BP105" s="105">
        <v>0.3223904647188117</v>
      </c>
      <c r="BQ105" s="105">
        <v>0.32341546777312336</v>
      </c>
      <c r="BR105" s="105">
        <v>0.3224045304070358</v>
      </c>
      <c r="BS105" s="105">
        <v>0.3230223042830887</v>
      </c>
      <c r="BT105" s="105">
        <v>0.323436463695075</v>
      </c>
      <c r="BU105" s="105">
        <v>0.32286172624473397</v>
      </c>
      <c r="BV105" s="105">
        <v>0.323195858010925</v>
      </c>
      <c r="BW105" s="105">
        <v>0.32345725597444136</v>
      </c>
      <c r="BX105" s="106">
        <v>0.3230569583563572</v>
      </c>
      <c r="BY105" s="11"/>
    </row>
    <row r="106">
      <c r="R106" s="10"/>
      <c r="U106" s="110"/>
      <c r="V106" s="93">
        <f t="shared" si="14"/>
        <v>3000000</v>
      </c>
      <c r="W106" s="318">
        <v>0.21475511766252567</v>
      </c>
      <c r="X106" s="319">
        <v>0.25353636034828214</v>
      </c>
      <c r="Y106" s="319">
        <v>0.29231760303403853</v>
      </c>
      <c r="Z106" s="319">
        <v>0.3310988457197951</v>
      </c>
      <c r="AA106" s="319">
        <v>0.3698800884055516</v>
      </c>
      <c r="AB106" s="319">
        <v>0.408661331091308</v>
      </c>
      <c r="AC106" s="320">
        <v>0.44744257377706453</v>
      </c>
      <c r="AE106" s="110"/>
      <c r="AF106" s="93">
        <f t="shared" si="15"/>
        <v>3000000</v>
      </c>
      <c r="AG106" s="185">
        <v>0.16992523064849865</v>
      </c>
      <c r="AH106" s="185">
        <v>0.1814243877812415</v>
      </c>
      <c r="AI106" s="185">
        <v>0.19269989591457018</v>
      </c>
      <c r="AJ106" s="185">
        <v>0.20379554316836965</v>
      </c>
      <c r="AK106" s="186">
        <v>0.21475511766252567</v>
      </c>
      <c r="AL106" s="185">
        <v>0.21911065562634208</v>
      </c>
      <c r="AM106" s="185">
        <v>0.2234542304874699</v>
      </c>
      <c r="AN106" s="185">
        <v>0.2277886446855817</v>
      </c>
      <c r="AO106" s="185">
        <v>0.2321167006603502</v>
      </c>
      <c r="AP106" s="187">
        <v>0.23644120085144785</v>
      </c>
      <c r="AR106" s="110"/>
      <c r="AS106" s="119">
        <v>0.85</v>
      </c>
      <c r="AT106" s="105">
        <v>0.10690846528673677</v>
      </c>
      <c r="AU106" s="105">
        <v>0.12217926584633279</v>
      </c>
      <c r="AV106" s="105">
        <v>0.12727047776281503</v>
      </c>
      <c r="AW106" s="105">
        <v>0.1298167918263338</v>
      </c>
      <c r="AX106" s="105">
        <v>0.13134514619545995</v>
      </c>
      <c r="AY106" s="105">
        <v>0.13440608975409066</v>
      </c>
      <c r="AZ106" s="105">
        <v>0.13543109280840232</v>
      </c>
      <c r="BA106" s="105">
        <v>0.13442015544231473</v>
      </c>
      <c r="BB106" s="105">
        <v>0.1350379293183676</v>
      </c>
      <c r="BC106" s="105">
        <v>0.13545208873035394</v>
      </c>
      <c r="BD106" s="105">
        <v>0.1348773512800129</v>
      </c>
      <c r="BE106" s="105">
        <v>0.13521148304620392</v>
      </c>
      <c r="BF106" s="105">
        <v>0.13547288100972027</v>
      </c>
      <c r="BG106" s="106">
        <v>0.13507258339163616</v>
      </c>
      <c r="BI106" s="110"/>
      <c r="BJ106" s="93">
        <f t="shared" si="16"/>
        <v>2000000</v>
      </c>
      <c r="BK106" s="105">
        <v>0.2602293095190394</v>
      </c>
      <c r="BL106" s="105">
        <v>0.2755001100786354</v>
      </c>
      <c r="BM106" s="105">
        <v>0.28059132199511766</v>
      </c>
      <c r="BN106" s="105">
        <v>0.2831376360586364</v>
      </c>
      <c r="BO106" s="105">
        <v>0.2846659904277625</v>
      </c>
      <c r="BP106" s="105">
        <v>0.2877269339863932</v>
      </c>
      <c r="BQ106" s="105">
        <v>0.28875193704070495</v>
      </c>
      <c r="BR106" s="105">
        <v>0.2877409996746173</v>
      </c>
      <c r="BS106" s="105">
        <v>0.2883587735506702</v>
      </c>
      <c r="BT106" s="105">
        <v>0.2887729329626566</v>
      </c>
      <c r="BU106" s="105">
        <v>0.2881981955123155</v>
      </c>
      <c r="BV106" s="105">
        <v>0.2885323272785065</v>
      </c>
      <c r="BW106" s="105">
        <v>0.28879372524202285</v>
      </c>
      <c r="BX106" s="106">
        <v>0.28839342762393877</v>
      </c>
      <c r="BY106" s="11"/>
    </row>
    <row r="107">
      <c r="R107" s="10"/>
      <c r="U107" s="110"/>
      <c r="V107" s="93">
        <f t="shared" si="14"/>
        <v>3500000</v>
      </c>
      <c r="W107" s="321">
        <v>0.198724961535178</v>
      </c>
      <c r="X107" s="322">
        <v>0.23500149232603634</v>
      </c>
      <c r="Y107" s="322">
        <v>0.2712780231168947</v>
      </c>
      <c r="Z107" s="322">
        <v>0.30755455390775316</v>
      </c>
      <c r="AA107" s="322">
        <v>0.3438310846986115</v>
      </c>
      <c r="AB107" s="322">
        <v>0.38010761548946986</v>
      </c>
      <c r="AC107" s="323">
        <v>0.4163841462803283</v>
      </c>
      <c r="AE107" s="110"/>
      <c r="AF107" s="93">
        <f t="shared" si="15"/>
        <v>3500000</v>
      </c>
      <c r="AG107" s="185">
        <v>0.15679044206160916</v>
      </c>
      <c r="AH107" s="185">
        <v>0.16754691861845958</v>
      </c>
      <c r="AI107" s="185">
        <v>0.17809419069263419</v>
      </c>
      <c r="AJ107" s="185">
        <v>0.18847321831968847</v>
      </c>
      <c r="AK107" s="186">
        <v>0.198724961535178</v>
      </c>
      <c r="AL107" s="185">
        <v>0.20279919423409998</v>
      </c>
      <c r="AM107" s="185">
        <v>0.20686223647513613</v>
      </c>
      <c r="AN107" s="185">
        <v>0.21091670970056176</v>
      </c>
      <c r="AO107" s="185">
        <v>0.21496523535265263</v>
      </c>
      <c r="AP107" s="187">
        <v>0.2190104348736842</v>
      </c>
      <c r="AR107" s="110"/>
      <c r="AS107" s="134">
        <v>0.9</v>
      </c>
      <c r="AT107" s="194">
        <v>0.11339223699636179</v>
      </c>
      <c r="AU107" s="194">
        <v>0.12866303755595782</v>
      </c>
      <c r="AV107" s="194">
        <v>0.13375424947244005</v>
      </c>
      <c r="AW107" s="194">
        <v>0.13630056353595882</v>
      </c>
      <c r="AX107" s="194">
        <v>0.13782891790508492</v>
      </c>
      <c r="AY107" s="194">
        <v>0.14088986146371565</v>
      </c>
      <c r="AZ107" s="194">
        <v>0.14191486451802737</v>
      </c>
      <c r="BA107" s="194">
        <v>0.14090392715193972</v>
      </c>
      <c r="BB107" s="194">
        <v>0.14152170102799264</v>
      </c>
      <c r="BC107" s="194">
        <v>0.141935860439979</v>
      </c>
      <c r="BD107" s="194">
        <v>0.14136112298963793</v>
      </c>
      <c r="BE107" s="194">
        <v>0.14169525475582895</v>
      </c>
      <c r="BF107" s="194">
        <v>0.1419566527193453</v>
      </c>
      <c r="BG107" s="195">
        <v>0.1415563551012612</v>
      </c>
      <c r="BI107" s="110"/>
      <c r="BJ107" s="93">
        <f t="shared" si="16"/>
        <v>2500000</v>
      </c>
      <c r="BK107" s="105">
        <v>0.23464175413599273</v>
      </c>
      <c r="BL107" s="105">
        <v>0.24991255469558873</v>
      </c>
      <c r="BM107" s="105">
        <v>0.25500376661207097</v>
      </c>
      <c r="BN107" s="105">
        <v>0.2575500806755897</v>
      </c>
      <c r="BO107" s="105">
        <v>0.25907843504471584</v>
      </c>
      <c r="BP107" s="105">
        <v>0.2621393786033465</v>
      </c>
      <c r="BQ107" s="105">
        <v>0.2631643816576582</v>
      </c>
      <c r="BR107" s="105">
        <v>0.2621534442915706</v>
      </c>
      <c r="BS107" s="105">
        <v>0.2627712181676235</v>
      </c>
      <c r="BT107" s="105">
        <v>0.26318537757960986</v>
      </c>
      <c r="BU107" s="105">
        <v>0.2626106401292688</v>
      </c>
      <c r="BV107" s="105">
        <v>0.26294477189545984</v>
      </c>
      <c r="BW107" s="105">
        <v>0.26320616985897616</v>
      </c>
      <c r="BX107" s="106">
        <v>0.2628058722408921</v>
      </c>
      <c r="BY107" s="11"/>
    </row>
    <row r="108">
      <c r="R108" s="10"/>
      <c r="U108" s="110"/>
      <c r="V108" s="93">
        <f t="shared" si="14"/>
        <v>4000000</v>
      </c>
      <c r="W108" s="324">
        <v>0.18544694832553327</v>
      </c>
      <c r="X108" s="325">
        <v>0.21964878955238476</v>
      </c>
      <c r="Y108" s="325">
        <v>0.25385063077923603</v>
      </c>
      <c r="Z108" s="325">
        <v>0.2880524720060875</v>
      </c>
      <c r="AA108" s="325">
        <v>0.3222543132329389</v>
      </c>
      <c r="AB108" s="325">
        <v>0.3564561544597904</v>
      </c>
      <c r="AC108" s="326">
        <v>0.3906579956866418</v>
      </c>
      <c r="AE108" s="110"/>
      <c r="AF108" s="93">
        <f t="shared" si="15"/>
        <v>4000000</v>
      </c>
      <c r="AG108" s="185">
        <v>0.1459107042114535</v>
      </c>
      <c r="AH108" s="185">
        <v>0.15605200756481755</v>
      </c>
      <c r="AI108" s="185">
        <v>0.16599607104037542</v>
      </c>
      <c r="AJ108" s="185">
        <v>0.1757815121299922</v>
      </c>
      <c r="AK108" s="186">
        <v>0.18544694832553327</v>
      </c>
      <c r="AL108" s="185">
        <v>0.18928817175158627</v>
      </c>
      <c r="AM108" s="185">
        <v>0.19311884471276497</v>
      </c>
      <c r="AN108" s="185">
        <v>0.1969414387285487</v>
      </c>
      <c r="AO108" s="185">
        <v>0.2007584253184168</v>
      </c>
      <c r="AP108" s="187">
        <v>0.20457227600184885</v>
      </c>
      <c r="AR108" s="110"/>
      <c r="AS108" s="119">
        <v>0.92</v>
      </c>
      <c r="AT108" s="105">
        <v>0.11596900800558751</v>
      </c>
      <c r="AU108" s="105">
        <v>0.13123980856518355</v>
      </c>
      <c r="AV108" s="105">
        <v>0.1363310204816658</v>
      </c>
      <c r="AW108" s="105">
        <v>0.13887733454518453</v>
      </c>
      <c r="AX108" s="105">
        <v>0.14040568891431068</v>
      </c>
      <c r="AY108" s="105">
        <v>0.1434666324729414</v>
      </c>
      <c r="AZ108" s="105">
        <v>0.14449163552725308</v>
      </c>
      <c r="BA108" s="105">
        <v>0.14348069816116546</v>
      </c>
      <c r="BB108" s="105">
        <v>0.14409847203721837</v>
      </c>
      <c r="BC108" s="105">
        <v>0.1445126314492047</v>
      </c>
      <c r="BD108" s="105">
        <v>0.14393789399886367</v>
      </c>
      <c r="BE108" s="105">
        <v>0.14427202576505468</v>
      </c>
      <c r="BF108" s="105">
        <v>0.14453342372857103</v>
      </c>
      <c r="BG108" s="106">
        <v>0.1441331261104869</v>
      </c>
      <c r="BI108" s="110"/>
      <c r="BJ108" s="93">
        <f t="shared" si="16"/>
        <v>3000000</v>
      </c>
      <c r="BK108" s="105">
        <v>0.21475511766252567</v>
      </c>
      <c r="BL108" s="105">
        <v>0.23002591822212168</v>
      </c>
      <c r="BM108" s="105">
        <v>0.23511713013860394</v>
      </c>
      <c r="BN108" s="105">
        <v>0.23766344420212265</v>
      </c>
      <c r="BO108" s="105">
        <v>0.2391917985712488</v>
      </c>
      <c r="BP108" s="105">
        <v>0.24225274212987954</v>
      </c>
      <c r="BQ108" s="105">
        <v>0.24327774518419118</v>
      </c>
      <c r="BR108" s="105">
        <v>0.2422668078181036</v>
      </c>
      <c r="BS108" s="105">
        <v>0.24288458169415647</v>
      </c>
      <c r="BT108" s="105">
        <v>0.24329874110614283</v>
      </c>
      <c r="BU108" s="105">
        <v>0.2427240036558018</v>
      </c>
      <c r="BV108" s="105">
        <v>0.2430581354219928</v>
      </c>
      <c r="BW108" s="105">
        <v>0.24331953338550916</v>
      </c>
      <c r="BX108" s="106">
        <v>0.24291923576742502</v>
      </c>
      <c r="BY108" s="11"/>
    </row>
    <row r="109">
      <c r="R109" s="10"/>
      <c r="U109" s="110"/>
      <c r="V109" s="93">
        <f t="shared" si="14"/>
        <v>4500000</v>
      </c>
      <c r="W109" s="327">
        <v>0.1742141438944166</v>
      </c>
      <c r="X109" s="328">
        <v>0.20666085942890608</v>
      </c>
      <c r="Y109" s="328">
        <v>0.2391075749633954</v>
      </c>
      <c r="Z109" s="328">
        <v>0.2715542904978848</v>
      </c>
      <c r="AA109" s="328">
        <v>0.3040010060323743</v>
      </c>
      <c r="AB109" s="328">
        <v>0.33644772156686376</v>
      </c>
      <c r="AC109" s="329">
        <v>0.3688944371013531</v>
      </c>
      <c r="AE109" s="110"/>
      <c r="AF109" s="93">
        <f t="shared" si="15"/>
        <v>4500000</v>
      </c>
      <c r="AG109" s="188">
        <v>0.13670676943574117</v>
      </c>
      <c r="AH109" s="188">
        <v>0.14632765454754132</v>
      </c>
      <c r="AI109" s="188">
        <v>0.1557614214815572</v>
      </c>
      <c r="AJ109" s="188">
        <v>0.1650447060073339</v>
      </c>
      <c r="AK109" s="189">
        <v>0.1742141438944166</v>
      </c>
      <c r="AL109" s="188">
        <v>0.17785824840279346</v>
      </c>
      <c r="AM109" s="188">
        <v>0.18149234386135737</v>
      </c>
      <c r="AN109" s="188">
        <v>0.18511877495935927</v>
      </c>
      <c r="AO109" s="188">
        <v>0.18873988638604994</v>
      </c>
      <c r="AP109" s="190">
        <v>0.1923580228306804</v>
      </c>
      <c r="AR109" s="110"/>
      <c r="AS109" s="119">
        <v>0.94</v>
      </c>
      <c r="AT109" s="105">
        <v>0.11853870154781733</v>
      </c>
      <c r="AU109" s="105">
        <v>0.13380950210741333</v>
      </c>
      <c r="AV109" s="105">
        <v>0.1389007140238956</v>
      </c>
      <c r="AW109" s="105">
        <v>0.14144702808741436</v>
      </c>
      <c r="AX109" s="105">
        <v>0.14297538245654048</v>
      </c>
      <c r="AY109" s="105">
        <v>0.1460363260151712</v>
      </c>
      <c r="AZ109" s="105">
        <v>0.14706132906948288</v>
      </c>
      <c r="BA109" s="105">
        <v>0.14605039170339526</v>
      </c>
      <c r="BB109" s="105">
        <v>0.1466681655794482</v>
      </c>
      <c r="BC109" s="105">
        <v>0.1470823249914345</v>
      </c>
      <c r="BD109" s="105">
        <v>0.14650758754109347</v>
      </c>
      <c r="BE109" s="105">
        <v>0.14684171930728449</v>
      </c>
      <c r="BF109" s="105">
        <v>0.14710311727080083</v>
      </c>
      <c r="BG109" s="106">
        <v>0.14670281965271673</v>
      </c>
      <c r="BI109" s="110"/>
      <c r="BJ109" s="93">
        <f t="shared" si="16"/>
        <v>3500000</v>
      </c>
      <c r="BK109" s="105">
        <v>0.198724961535178</v>
      </c>
      <c r="BL109" s="105">
        <v>0.21399576209477397</v>
      </c>
      <c r="BM109" s="105">
        <v>0.21908697401125624</v>
      </c>
      <c r="BN109" s="105">
        <v>0.22163328807477498</v>
      </c>
      <c r="BO109" s="105">
        <v>0.2231616424439011</v>
      </c>
      <c r="BP109" s="105">
        <v>0.22622258600253184</v>
      </c>
      <c r="BQ109" s="105">
        <v>0.2272475890568435</v>
      </c>
      <c r="BR109" s="105">
        <v>0.2262366516907559</v>
      </c>
      <c r="BS109" s="105">
        <v>0.2268544255668088</v>
      </c>
      <c r="BT109" s="105">
        <v>0.22726858497879515</v>
      </c>
      <c r="BU109" s="105">
        <v>0.2266938475284541</v>
      </c>
      <c r="BV109" s="105">
        <v>0.22702797929464513</v>
      </c>
      <c r="BW109" s="105">
        <v>0.22728937725816148</v>
      </c>
      <c r="BX109" s="106">
        <v>0.22688907964007735</v>
      </c>
      <c r="BY109" s="11"/>
    </row>
    <row r="110">
      <c r="R110" s="10"/>
      <c r="U110" s="110"/>
      <c r="V110" s="93">
        <f t="shared" si="14"/>
        <v>5000000</v>
      </c>
      <c r="W110" s="330">
        <v>0.1645502326722729</v>
      </c>
      <c r="X110" s="331">
        <v>0.1954869620783023</v>
      </c>
      <c r="Y110" s="331">
        <v>0.22642369148433186</v>
      </c>
      <c r="Z110" s="331">
        <v>0.2573604208903613</v>
      </c>
      <c r="AA110" s="331">
        <v>0.2882971502963908</v>
      </c>
      <c r="AB110" s="331">
        <v>0.3192338797024203</v>
      </c>
      <c r="AC110" s="332">
        <v>0.3501706091084497</v>
      </c>
      <c r="AE110" s="110"/>
      <c r="AF110" s="93">
        <f t="shared" si="15"/>
        <v>5000000</v>
      </c>
      <c r="AG110" s="185">
        <v>0.12878835430510022</v>
      </c>
      <c r="AH110" s="185">
        <v>0.13796150833463158</v>
      </c>
      <c r="AI110" s="185">
        <v>0.1469562521818778</v>
      </c>
      <c r="AJ110" s="185">
        <v>0.15580751668252835</v>
      </c>
      <c r="AK110" s="186">
        <v>0.1645502326722729</v>
      </c>
      <c r="AL110" s="185">
        <v>0.1680247499923114</v>
      </c>
      <c r="AM110" s="185">
        <v>0.17148972405779941</v>
      </c>
      <c r="AN110" s="185">
        <v>0.17494739044222096</v>
      </c>
      <c r="AO110" s="185">
        <v>0.17839998471906038</v>
      </c>
      <c r="AP110" s="187">
        <v>0.18184974246180155</v>
      </c>
      <c r="AR110" s="110"/>
      <c r="AS110" s="119">
        <v>0.96</v>
      </c>
      <c r="AT110" s="105">
        <v>0.12110297556872018</v>
      </c>
      <c r="AU110" s="105">
        <v>0.13637377612831622</v>
      </c>
      <c r="AV110" s="105">
        <v>0.14146498804479846</v>
      </c>
      <c r="AW110" s="105">
        <v>0.1440113021083172</v>
      </c>
      <c r="AX110" s="105">
        <v>0.14553965647744332</v>
      </c>
      <c r="AY110" s="105">
        <v>0.14860060003607406</v>
      </c>
      <c r="AZ110" s="105">
        <v>0.14962560309038575</v>
      </c>
      <c r="BA110" s="105">
        <v>0.14861466572429813</v>
      </c>
      <c r="BB110" s="105">
        <v>0.14923243960035104</v>
      </c>
      <c r="BC110" s="105">
        <v>0.1496465990123374</v>
      </c>
      <c r="BD110" s="105">
        <v>0.1490718615619963</v>
      </c>
      <c r="BE110" s="105">
        <v>0.14940599332818735</v>
      </c>
      <c r="BF110" s="105">
        <v>0.1496673912917037</v>
      </c>
      <c r="BG110" s="106">
        <v>0.14926709367361957</v>
      </c>
      <c r="BI110" s="110"/>
      <c r="BJ110" s="93">
        <f t="shared" si="16"/>
        <v>4000000</v>
      </c>
      <c r="BK110" s="105">
        <v>0.18544694832553327</v>
      </c>
      <c r="BL110" s="105">
        <v>0.20071774888512928</v>
      </c>
      <c r="BM110" s="105">
        <v>0.2058089608016115</v>
      </c>
      <c r="BN110" s="105">
        <v>0.20835527486513028</v>
      </c>
      <c r="BO110" s="105">
        <v>0.2098836292342564</v>
      </c>
      <c r="BP110" s="105">
        <v>0.21294457279288712</v>
      </c>
      <c r="BQ110" s="105">
        <v>0.2139695758471988</v>
      </c>
      <c r="BR110" s="105">
        <v>0.21295863848111118</v>
      </c>
      <c r="BS110" s="105">
        <v>0.2135764123571641</v>
      </c>
      <c r="BT110" s="105">
        <v>0.21399057176915046</v>
      </c>
      <c r="BU110" s="105">
        <v>0.2134158343188094</v>
      </c>
      <c r="BV110" s="105">
        <v>0.2137499660850004</v>
      </c>
      <c r="BW110" s="105">
        <v>0.21401136404851676</v>
      </c>
      <c r="BX110" s="106">
        <v>0.21361106643043265</v>
      </c>
      <c r="BY110" s="11"/>
    </row>
    <row r="111">
      <c r="R111" s="10"/>
      <c r="U111" s="110"/>
      <c r="V111" s="93">
        <f t="shared" si="14"/>
        <v>5500000</v>
      </c>
      <c r="W111" s="333">
        <v>0.15612100996907796</v>
      </c>
      <c r="X111" s="334">
        <v>0.1857406733277331</v>
      </c>
      <c r="Y111" s="334">
        <v>0.2153603366863884</v>
      </c>
      <c r="Z111" s="334">
        <v>0.2449800000450436</v>
      </c>
      <c r="AA111" s="334">
        <v>0.2745996634036989</v>
      </c>
      <c r="AB111" s="334">
        <v>0.30421932676235425</v>
      </c>
      <c r="AC111" s="335">
        <v>0.3338389901210094</v>
      </c>
      <c r="AE111" s="110"/>
      <c r="AF111" s="93">
        <f t="shared" si="15"/>
        <v>5500000</v>
      </c>
      <c r="AG111" s="185">
        <v>0.1218816181960618</v>
      </c>
      <c r="AH111" s="185">
        <v>0.13066424452755943</v>
      </c>
      <c r="AI111" s="185">
        <v>0.1392760561142375</v>
      </c>
      <c r="AJ111" s="185">
        <v>0.14775049668508172</v>
      </c>
      <c r="AK111" s="186">
        <v>0.15612100996907796</v>
      </c>
      <c r="AL111" s="185">
        <v>0.15944760703765165</v>
      </c>
      <c r="AM111" s="185">
        <v>0.16276506713562255</v>
      </c>
      <c r="AN111" s="185">
        <v>0.16607553066164568</v>
      </c>
      <c r="AO111" s="185">
        <v>0.16938113801437604</v>
      </c>
      <c r="AP111" s="187">
        <v>0.17268402959246879</v>
      </c>
      <c r="AR111" s="110"/>
      <c r="AS111" s="119">
        <v>0.98</v>
      </c>
      <c r="AT111" s="196">
        <v>0.12366348801396533</v>
      </c>
      <c r="AU111" s="196">
        <v>0.13893428857356133</v>
      </c>
      <c r="AV111" s="196">
        <v>0.1440255004900436</v>
      </c>
      <c r="AW111" s="196">
        <v>0.14657181455356236</v>
      </c>
      <c r="AX111" s="196">
        <v>0.14810016892268849</v>
      </c>
      <c r="AY111" s="196">
        <v>0.15116111248131922</v>
      </c>
      <c r="AZ111" s="196">
        <v>0.1521861155356309</v>
      </c>
      <c r="BA111" s="196">
        <v>0.1511751781695433</v>
      </c>
      <c r="BB111" s="196">
        <v>0.15179295204559617</v>
      </c>
      <c r="BC111" s="196">
        <v>0.15220711145758253</v>
      </c>
      <c r="BD111" s="196">
        <v>0.15163237400724147</v>
      </c>
      <c r="BE111" s="196">
        <v>0.1519665057734325</v>
      </c>
      <c r="BF111" s="196">
        <v>0.15222790373694883</v>
      </c>
      <c r="BG111" s="197">
        <v>0.1518276061188647</v>
      </c>
      <c r="BI111" s="110"/>
      <c r="BJ111" s="93">
        <f t="shared" si="16"/>
        <v>4500000</v>
      </c>
      <c r="BK111" s="196">
        <v>0.1742141438944166</v>
      </c>
      <c r="BL111" s="196">
        <v>0.18948494445401265</v>
      </c>
      <c r="BM111" s="196">
        <v>0.19457615637049488</v>
      </c>
      <c r="BN111" s="196">
        <v>0.19712247043401365</v>
      </c>
      <c r="BO111" s="196">
        <v>0.19865082480313975</v>
      </c>
      <c r="BP111" s="196">
        <v>0.2017117683617705</v>
      </c>
      <c r="BQ111" s="196">
        <v>0.20273677141608215</v>
      </c>
      <c r="BR111" s="196">
        <v>0.20172583404999456</v>
      </c>
      <c r="BS111" s="196">
        <v>0.2023436079260475</v>
      </c>
      <c r="BT111" s="196">
        <v>0.2027577673380338</v>
      </c>
      <c r="BU111" s="196">
        <v>0.20218302988769274</v>
      </c>
      <c r="BV111" s="196">
        <v>0.20251716165388378</v>
      </c>
      <c r="BW111" s="196">
        <v>0.20277855961740013</v>
      </c>
      <c r="BX111" s="197">
        <v>0.20237826199931602</v>
      </c>
      <c r="BY111" s="11"/>
    </row>
    <row r="112">
      <c r="R112" s="10"/>
      <c r="U112" s="110"/>
      <c r="V112" s="93">
        <f t="shared" si="14"/>
        <v>6000000</v>
      </c>
      <c r="W112" s="336">
        <v>0.14868413765575084</v>
      </c>
      <c r="X112" s="337">
        <v>0.1771417897154489</v>
      </c>
      <c r="Y112" s="337">
        <v>0.20559944177514666</v>
      </c>
      <c r="Z112" s="337">
        <v>0.23405709383484463</v>
      </c>
      <c r="AA112" s="337">
        <v>0.2625147458945425</v>
      </c>
      <c r="AB112" s="337">
        <v>0.29097239795424046</v>
      </c>
      <c r="AC112" s="338">
        <v>0.31943005001393826</v>
      </c>
      <c r="AE112" s="110"/>
      <c r="AF112" s="93">
        <f t="shared" si="15"/>
        <v>6000000</v>
      </c>
      <c r="AG112" s="185">
        <v>0.115787994103618</v>
      </c>
      <c r="AH112" s="185">
        <v>0.12422606854375388</v>
      </c>
      <c r="AI112" s="185">
        <v>0.13250002948550602</v>
      </c>
      <c r="AJ112" s="185">
        <v>0.1406420086243473</v>
      </c>
      <c r="AK112" s="186">
        <v>0.14868413765575084</v>
      </c>
      <c r="AL112" s="185">
        <v>0.15188022873801568</v>
      </c>
      <c r="AM112" s="185">
        <v>0.15506754130287642</v>
      </c>
      <c r="AN112" s="185">
        <v>0.15824813177884334</v>
      </c>
      <c r="AO112" s="185">
        <v>0.1614240565944268</v>
      </c>
      <c r="AP112" s="187">
        <v>0.16459737217813689</v>
      </c>
      <c r="AR112" s="146"/>
      <c r="AS112" s="147">
        <v>1.0</v>
      </c>
      <c r="AT112" s="198">
        <v>0.12622189682922172</v>
      </c>
      <c r="AU112" s="198">
        <v>0.14149269738881773</v>
      </c>
      <c r="AV112" s="198">
        <v>0.14658390930529996</v>
      </c>
      <c r="AW112" s="198">
        <v>0.14913022336881873</v>
      </c>
      <c r="AX112" s="198">
        <v>0.15065857773794483</v>
      </c>
      <c r="AY112" s="198">
        <v>0.15371952129657557</v>
      </c>
      <c r="AZ112" s="198">
        <v>0.15474452435088726</v>
      </c>
      <c r="BA112" s="198">
        <v>0.15373358698479964</v>
      </c>
      <c r="BB112" s="198">
        <v>0.15435136086085255</v>
      </c>
      <c r="BC112" s="198">
        <v>0.15476552027283888</v>
      </c>
      <c r="BD112" s="198">
        <v>0.15419078282249785</v>
      </c>
      <c r="BE112" s="198">
        <v>0.15452491458868886</v>
      </c>
      <c r="BF112" s="198">
        <v>0.1547863125522052</v>
      </c>
      <c r="BG112" s="199">
        <v>0.15438601493412107</v>
      </c>
      <c r="BI112" s="110"/>
      <c r="BJ112" s="93">
        <f t="shared" si="16"/>
        <v>5000000</v>
      </c>
      <c r="BK112" s="200">
        <v>0.1645502326722729</v>
      </c>
      <c r="BL112" s="200">
        <v>0.1798210332318689</v>
      </c>
      <c r="BM112" s="200">
        <v>0.18491224514835114</v>
      </c>
      <c r="BN112" s="200">
        <v>0.1874585592118699</v>
      </c>
      <c r="BO112" s="200">
        <v>0.18898691358099604</v>
      </c>
      <c r="BP112" s="200">
        <v>0.19204785713962674</v>
      </c>
      <c r="BQ112" s="200">
        <v>0.19307286019393843</v>
      </c>
      <c r="BR112" s="200">
        <v>0.1920619228278508</v>
      </c>
      <c r="BS112" s="200">
        <v>0.19267969670390375</v>
      </c>
      <c r="BT112" s="200">
        <v>0.19309385611589006</v>
      </c>
      <c r="BU112" s="200">
        <v>0.19251911866554902</v>
      </c>
      <c r="BV112" s="200">
        <v>0.19285325043174004</v>
      </c>
      <c r="BW112" s="200">
        <v>0.19311464839525638</v>
      </c>
      <c r="BX112" s="201">
        <v>0.19271435077717228</v>
      </c>
      <c r="BY112" s="11"/>
    </row>
    <row r="113">
      <c r="R113" s="10"/>
      <c r="U113" s="110"/>
      <c r="V113" s="93">
        <f t="shared" si="14"/>
        <v>6500000</v>
      </c>
      <c r="W113" s="339">
        <v>0.1420590344636976</v>
      </c>
      <c r="X113" s="340">
        <v>0.16948151414963722</v>
      </c>
      <c r="Y113" s="340">
        <v>0.19690399383557686</v>
      </c>
      <c r="Z113" s="340">
        <v>0.2243264735215164</v>
      </c>
      <c r="AA113" s="340">
        <v>0.2517489532074561</v>
      </c>
      <c r="AB113" s="340">
        <v>0.2791714328933957</v>
      </c>
      <c r="AC113" s="341">
        <v>0.30659391257933516</v>
      </c>
      <c r="AE113" s="110"/>
      <c r="AF113" s="93">
        <f t="shared" si="15"/>
        <v>6500000</v>
      </c>
      <c r="AG113" s="185">
        <v>0.11035951735625245</v>
      </c>
      <c r="AH113" s="185">
        <v>0.11849064934274454</v>
      </c>
      <c r="AI113" s="185">
        <v>0.12646363760514526</v>
      </c>
      <c r="AJ113" s="185">
        <v>0.13430944501996084</v>
      </c>
      <c r="AK113" s="186">
        <v>0.1420590344636976</v>
      </c>
      <c r="AL113" s="185">
        <v>0.14513886489362765</v>
      </c>
      <c r="AM113" s="185">
        <v>0.14821023613252257</v>
      </c>
      <c r="AN113" s="185">
        <v>0.1512751298044787</v>
      </c>
      <c r="AO113" s="185">
        <v>0.15433552753359242</v>
      </c>
      <c r="AP113" s="187">
        <v>0.15739341094396012</v>
      </c>
      <c r="BI113" s="110"/>
      <c r="BJ113" s="93">
        <f t="shared" si="16"/>
        <v>5500000</v>
      </c>
      <c r="BK113" s="200">
        <v>0.15612100996907796</v>
      </c>
      <c r="BL113" s="200">
        <v>0.17139181052867397</v>
      </c>
      <c r="BM113" s="200">
        <v>0.1764830224451562</v>
      </c>
      <c r="BN113" s="200">
        <v>0.17902933650867497</v>
      </c>
      <c r="BO113" s="200">
        <v>0.1805576908778011</v>
      </c>
      <c r="BP113" s="200">
        <v>0.1836186344364318</v>
      </c>
      <c r="BQ113" s="200">
        <v>0.1846436374907435</v>
      </c>
      <c r="BR113" s="200">
        <v>0.18363270012465588</v>
      </c>
      <c r="BS113" s="200">
        <v>0.1842504740007088</v>
      </c>
      <c r="BT113" s="200">
        <v>0.18466463341269512</v>
      </c>
      <c r="BU113" s="200">
        <v>0.1840898959623541</v>
      </c>
      <c r="BV113" s="200">
        <v>0.1844240277285451</v>
      </c>
      <c r="BW113" s="200">
        <v>0.18468542569206145</v>
      </c>
      <c r="BX113" s="201">
        <v>0.18428512807397732</v>
      </c>
      <c r="BY113" s="11"/>
    </row>
    <row r="114">
      <c r="R114" s="10"/>
      <c r="U114" s="110"/>
      <c r="V114" s="93">
        <f t="shared" si="14"/>
        <v>7000000</v>
      </c>
      <c r="W114" s="342">
        <v>0.13610801116965318</v>
      </c>
      <c r="X114" s="343">
        <v>0.16260064346589834</v>
      </c>
      <c r="Y114" s="343">
        <v>0.1890932757621435</v>
      </c>
      <c r="Z114" s="343">
        <v>0.21558590805838865</v>
      </c>
      <c r="AA114" s="343">
        <v>0.24207854035463394</v>
      </c>
      <c r="AB114" s="343">
        <v>0.26857117265087893</v>
      </c>
      <c r="AC114" s="344">
        <v>0.2950638049471242</v>
      </c>
      <c r="AE114" s="110"/>
      <c r="AF114" s="93">
        <f t="shared" si="15"/>
        <v>7000000</v>
      </c>
      <c r="AG114" s="185">
        <v>0.10548336816456881</v>
      </c>
      <c r="AH114" s="185">
        <v>0.11333878796385212</v>
      </c>
      <c r="AI114" s="185">
        <v>0.1210414264107451</v>
      </c>
      <c r="AJ114" s="185">
        <v>0.12862119648582104</v>
      </c>
      <c r="AK114" s="186">
        <v>0.13610801116965318</v>
      </c>
      <c r="AL114" s="185">
        <v>0.13908341004128627</v>
      </c>
      <c r="AM114" s="185">
        <v>0.14205063655796865</v>
      </c>
      <c r="AN114" s="185">
        <v>0.14501160515045713</v>
      </c>
      <c r="AO114" s="185">
        <v>0.14796823024950845</v>
      </c>
      <c r="AP114" s="187">
        <v>0.15092242628587924</v>
      </c>
      <c r="BI114" s="110"/>
      <c r="BJ114" s="93">
        <f t="shared" si="16"/>
        <v>6000000</v>
      </c>
      <c r="BK114" s="200">
        <v>0.14868413765575084</v>
      </c>
      <c r="BL114" s="200">
        <v>0.16395493821534685</v>
      </c>
      <c r="BM114" s="200">
        <v>0.1690461501318291</v>
      </c>
      <c r="BN114" s="200">
        <v>0.17159246419534785</v>
      </c>
      <c r="BO114" s="200">
        <v>0.17312081856447398</v>
      </c>
      <c r="BP114" s="200">
        <v>0.1761817621231047</v>
      </c>
      <c r="BQ114" s="200">
        <v>0.1772067651774164</v>
      </c>
      <c r="BR114" s="200">
        <v>0.17619582781132878</v>
      </c>
      <c r="BS114" s="200">
        <v>0.17681360168738172</v>
      </c>
      <c r="BT114" s="200">
        <v>0.17722776109936803</v>
      </c>
      <c r="BU114" s="200">
        <v>0.17665302364902696</v>
      </c>
      <c r="BV114" s="200">
        <v>0.176987155415218</v>
      </c>
      <c r="BW114" s="200">
        <v>0.17724855337873435</v>
      </c>
      <c r="BX114" s="201">
        <v>0.17684825576065025</v>
      </c>
      <c r="BY114" s="11"/>
    </row>
    <row r="115">
      <c r="R115" s="10"/>
      <c r="U115" s="110"/>
      <c r="V115" s="93">
        <f t="shared" si="14"/>
        <v>7500000</v>
      </c>
      <c r="W115" s="342">
        <v>0.130724002362571</v>
      </c>
      <c r="X115" s="343">
        <v>0.15637538328270958</v>
      </c>
      <c r="Y115" s="343">
        <v>0.18202676420284816</v>
      </c>
      <c r="Z115" s="343">
        <v>0.20767814512298674</v>
      </c>
      <c r="AA115" s="343">
        <v>0.2333295260431253</v>
      </c>
      <c r="AB115" s="343">
        <v>0.2589809069632639</v>
      </c>
      <c r="AC115" s="344">
        <v>0.28463228788340234</v>
      </c>
      <c r="AE115" s="110"/>
      <c r="AF115" s="93">
        <f t="shared" si="15"/>
        <v>7500000</v>
      </c>
      <c r="AG115" s="185">
        <v>0.10107181927701121</v>
      </c>
      <c r="AH115" s="185">
        <v>0.10867779679203422</v>
      </c>
      <c r="AI115" s="185">
        <v>0.1161358443987026</v>
      </c>
      <c r="AJ115" s="185">
        <v>0.12347492521591523</v>
      </c>
      <c r="AK115" s="186">
        <v>0.130724002362571</v>
      </c>
      <c r="AL115" s="185">
        <v>0.13360491993211074</v>
      </c>
      <c r="AM115" s="185">
        <v>0.1364779246529948</v>
      </c>
      <c r="AN115" s="185">
        <v>0.13934487016483263</v>
      </c>
      <c r="AO115" s="185">
        <v>0.1422076101072338</v>
      </c>
      <c r="AP115" s="187">
        <v>0.1450679981198077</v>
      </c>
      <c r="BI115" s="110"/>
      <c r="BJ115" s="93">
        <f t="shared" si="16"/>
        <v>6500000</v>
      </c>
      <c r="BK115" s="200">
        <v>0.1420590344636976</v>
      </c>
      <c r="BL115" s="200">
        <v>0.15732983502329365</v>
      </c>
      <c r="BM115" s="200">
        <v>0.16242104693977588</v>
      </c>
      <c r="BN115" s="200">
        <v>0.16496736100329462</v>
      </c>
      <c r="BO115" s="200">
        <v>0.16649571537242078</v>
      </c>
      <c r="BP115" s="200">
        <v>0.1695566589310515</v>
      </c>
      <c r="BQ115" s="200">
        <v>0.1705816619853632</v>
      </c>
      <c r="BR115" s="200">
        <v>0.16957072461927558</v>
      </c>
      <c r="BS115" s="200">
        <v>0.1701884984953285</v>
      </c>
      <c r="BT115" s="200">
        <v>0.17060265790731483</v>
      </c>
      <c r="BU115" s="200">
        <v>0.17002792045697374</v>
      </c>
      <c r="BV115" s="200">
        <v>0.1703620522231648</v>
      </c>
      <c r="BW115" s="200">
        <v>0.17062345018668112</v>
      </c>
      <c r="BX115" s="201">
        <v>0.17022315256859702</v>
      </c>
      <c r="BY115" s="11"/>
    </row>
    <row r="116">
      <c r="R116" s="10"/>
      <c r="U116" s="110"/>
      <c r="V116" s="93">
        <f t="shared" si="14"/>
        <v>8000000</v>
      </c>
      <c r="W116" s="345">
        <v>0.12582233130916257</v>
      </c>
      <c r="X116" s="346">
        <v>0.15070782612720607</v>
      </c>
      <c r="Y116" s="346">
        <v>0.17559332094524954</v>
      </c>
      <c r="Z116" s="346">
        <v>0.20047881576329296</v>
      </c>
      <c r="AA116" s="346">
        <v>0.2253643105813365</v>
      </c>
      <c r="AB116" s="346">
        <v>0.25024980539937997</v>
      </c>
      <c r="AC116" s="347">
        <v>0.2751353002174236</v>
      </c>
      <c r="AE116" s="110"/>
      <c r="AF116" s="93">
        <f t="shared" si="15"/>
        <v>8000000</v>
      </c>
      <c r="AG116" s="185">
        <v>0.09705548827577039</v>
      </c>
      <c r="AH116" s="185">
        <v>0.10443437031824405</v>
      </c>
      <c r="AI116" s="185">
        <v>0.11166973926958022</v>
      </c>
      <c r="AJ116" s="185">
        <v>0.11878969348235952</v>
      </c>
      <c r="AK116" s="186">
        <v>0.12582233130916257</v>
      </c>
      <c r="AL116" s="185">
        <v>0.12861723188278848</v>
      </c>
      <c r="AM116" s="185">
        <v>0.13140445586563623</v>
      </c>
      <c r="AN116" s="185">
        <v>0.13418580155227094</v>
      </c>
      <c r="AO116" s="185">
        <v>0.13696306723725796</v>
      </c>
      <c r="AP116" s="187">
        <v>0.13973805121516217</v>
      </c>
      <c r="BI116" s="110"/>
      <c r="BJ116" s="93">
        <f t="shared" si="16"/>
        <v>7000000</v>
      </c>
      <c r="BK116" s="200">
        <v>0.13610801116965318</v>
      </c>
      <c r="BL116" s="200">
        <v>0.15137881172924922</v>
      </c>
      <c r="BM116" s="200">
        <v>0.15647002364573145</v>
      </c>
      <c r="BN116" s="200">
        <v>0.1590163377092502</v>
      </c>
      <c r="BO116" s="200">
        <v>0.16054469207837635</v>
      </c>
      <c r="BP116" s="200">
        <v>0.16360563563700706</v>
      </c>
      <c r="BQ116" s="200">
        <v>0.16463063869131878</v>
      </c>
      <c r="BR116" s="200">
        <v>0.16361970132523113</v>
      </c>
      <c r="BS116" s="200">
        <v>0.16423747520128407</v>
      </c>
      <c r="BT116" s="200">
        <v>0.1646516346132704</v>
      </c>
      <c r="BU116" s="200">
        <v>0.16407689716292934</v>
      </c>
      <c r="BV116" s="200">
        <v>0.16441102892912035</v>
      </c>
      <c r="BW116" s="200">
        <v>0.1646724268926367</v>
      </c>
      <c r="BX116" s="201">
        <v>0.1642721292745526</v>
      </c>
      <c r="BY116" s="11"/>
    </row>
    <row r="117">
      <c r="R117" s="10"/>
      <c r="U117" s="110"/>
      <c r="V117" s="93">
        <f t="shared" si="14"/>
        <v>8500000</v>
      </c>
      <c r="W117" s="348">
        <v>0.12133502918134667</v>
      </c>
      <c r="X117" s="349">
        <v>0.14551938304191894</v>
      </c>
      <c r="Y117" s="349">
        <v>0.1697037369024912</v>
      </c>
      <c r="Z117" s="349">
        <v>0.19388809076306351</v>
      </c>
      <c r="AA117" s="349">
        <v>0.21807244462363579</v>
      </c>
      <c r="AB117" s="349">
        <v>0.24225679848420797</v>
      </c>
      <c r="AC117" s="350">
        <v>0.2664411523447803</v>
      </c>
      <c r="AE117" s="110"/>
      <c r="AF117" s="93">
        <f t="shared" si="15"/>
        <v>8500000</v>
      </c>
      <c r="AG117" s="188">
        <v>0.09337868286563417</v>
      </c>
      <c r="AH117" s="188">
        <v>0.10054966723686776</v>
      </c>
      <c r="AI117" s="188">
        <v>0.1075811819529842</v>
      </c>
      <c r="AJ117" s="188">
        <v>0.11450053370435374</v>
      </c>
      <c r="AK117" s="189">
        <v>0.12133502918134667</v>
      </c>
      <c r="AL117" s="188">
        <v>0.12405118431396138</v>
      </c>
      <c r="AM117" s="188">
        <v>0.1267598791413188</v>
      </c>
      <c r="AN117" s="188">
        <v>0.12946286129160262</v>
      </c>
      <c r="AO117" s="188">
        <v>0.13216187839299653</v>
      </c>
      <c r="AP117" s="190">
        <v>0.13485867807368423</v>
      </c>
      <c r="BI117" s="110"/>
      <c r="BJ117" s="93">
        <f t="shared" si="16"/>
        <v>7500000</v>
      </c>
      <c r="BK117" s="200">
        <v>0.130724002362571</v>
      </c>
      <c r="BL117" s="200">
        <v>0.14599480292216704</v>
      </c>
      <c r="BM117" s="200">
        <v>0.15108601483864928</v>
      </c>
      <c r="BN117" s="200">
        <v>0.15363232890216802</v>
      </c>
      <c r="BO117" s="200">
        <v>0.15516068327129418</v>
      </c>
      <c r="BP117" s="200">
        <v>0.1582216268299249</v>
      </c>
      <c r="BQ117" s="200">
        <v>0.15924662988423657</v>
      </c>
      <c r="BR117" s="200">
        <v>0.15823569251814898</v>
      </c>
      <c r="BS117" s="200">
        <v>0.1588534663942019</v>
      </c>
      <c r="BT117" s="200">
        <v>0.1592676258061882</v>
      </c>
      <c r="BU117" s="200">
        <v>0.15869288835584716</v>
      </c>
      <c r="BV117" s="200">
        <v>0.15902702012203818</v>
      </c>
      <c r="BW117" s="200">
        <v>0.15928841808555452</v>
      </c>
      <c r="BX117" s="201">
        <v>0.15888812046747042</v>
      </c>
      <c r="BY117" s="11"/>
    </row>
    <row r="118">
      <c r="R118" s="10"/>
      <c r="U118" s="154"/>
      <c r="V118" s="93">
        <f t="shared" si="14"/>
        <v>9000000</v>
      </c>
      <c r="W118" s="348">
        <v>0.11720682216550919</v>
      </c>
      <c r="X118" s="349">
        <v>0.14074614367985686</v>
      </c>
      <c r="Y118" s="349">
        <v>0.16428546519420448</v>
      </c>
      <c r="Z118" s="349">
        <v>0.1878247867085522</v>
      </c>
      <c r="AA118" s="349">
        <v>0.21136410822289983</v>
      </c>
      <c r="AB118" s="349">
        <v>0.23490342973724754</v>
      </c>
      <c r="AC118" s="350">
        <v>0.2584427512515951</v>
      </c>
      <c r="AE118" s="202"/>
      <c r="AF118" s="93">
        <f t="shared" si="15"/>
        <v>9000000</v>
      </c>
      <c r="AG118" s="185">
        <v>0.08999611279175734</v>
      </c>
      <c r="AH118" s="185">
        <v>0.09697583644540533</v>
      </c>
      <c r="AI118" s="185">
        <v>0.10381981030510702</v>
      </c>
      <c r="AJ118" s="185">
        <v>0.11055461275157179</v>
      </c>
      <c r="AK118" s="186">
        <v>0.11720682216550919</v>
      </c>
      <c r="AL118" s="185">
        <v>0.11985053343925539</v>
      </c>
      <c r="AM118" s="185">
        <v>0.12248698338507616</v>
      </c>
      <c r="AN118" s="185">
        <v>0.12511787301933697</v>
      </c>
      <c r="AO118" s="185">
        <v>0.12774490335840302</v>
      </c>
      <c r="AP118" s="187">
        <v>0.13036977541863987</v>
      </c>
      <c r="BI118" s="110"/>
      <c r="BJ118" s="93">
        <f t="shared" si="16"/>
        <v>8000000</v>
      </c>
      <c r="BK118" s="200">
        <v>0.12582233130916257</v>
      </c>
      <c r="BL118" s="200">
        <v>0.14109313186875858</v>
      </c>
      <c r="BM118" s="200">
        <v>0.1461843437852408</v>
      </c>
      <c r="BN118" s="200">
        <v>0.14873065784875958</v>
      </c>
      <c r="BO118" s="200">
        <v>0.1502590122178857</v>
      </c>
      <c r="BP118" s="200">
        <v>0.15331995577651641</v>
      </c>
      <c r="BQ118" s="200">
        <v>0.1543449588308281</v>
      </c>
      <c r="BR118" s="200">
        <v>0.15333402146474048</v>
      </c>
      <c r="BS118" s="200">
        <v>0.1539517953407934</v>
      </c>
      <c r="BT118" s="200">
        <v>0.15436595475277975</v>
      </c>
      <c r="BU118" s="200">
        <v>0.1537912173024387</v>
      </c>
      <c r="BV118" s="200">
        <v>0.1541253490686297</v>
      </c>
      <c r="BW118" s="200">
        <v>0.15438674703214608</v>
      </c>
      <c r="BX118" s="201">
        <v>0.15398644941406195</v>
      </c>
      <c r="BY118" s="11"/>
    </row>
    <row r="119">
      <c r="R119" s="10"/>
      <c r="U119" s="155"/>
      <c r="V119" s="93">
        <f t="shared" si="14"/>
        <v>9500000</v>
      </c>
      <c r="W119" s="348">
        <v>0.11339223699636179</v>
      </c>
      <c r="X119" s="349">
        <v>0.13633552957803013</v>
      </c>
      <c r="Y119" s="349">
        <v>0.15927882215969852</v>
      </c>
      <c r="Z119" s="349">
        <v>0.1822221147413669</v>
      </c>
      <c r="AA119" s="349">
        <v>0.20516540732303518</v>
      </c>
      <c r="AB119" s="349">
        <v>0.2281086999047036</v>
      </c>
      <c r="AC119" s="350">
        <v>0.251051992486372</v>
      </c>
      <c r="AE119" s="155"/>
      <c r="AF119" s="93">
        <f t="shared" si="15"/>
        <v>9500000</v>
      </c>
      <c r="AG119" s="203">
        <v>0.0868705181721293</v>
      </c>
      <c r="AH119" s="203">
        <v>0.09367351127569988</v>
      </c>
      <c r="AI119" s="203">
        <v>0.10034419184687592</v>
      </c>
      <c r="AJ119" s="203">
        <v>0.10690846528673677</v>
      </c>
      <c r="AK119" s="204">
        <v>0.11339223699636179</v>
      </c>
      <c r="AL119" s="203">
        <v>0.11596900800558751</v>
      </c>
      <c r="AM119" s="203">
        <v>0.11853870154781733</v>
      </c>
      <c r="AN119" s="203">
        <v>0.12110297556872024</v>
      </c>
      <c r="AO119" s="203">
        <v>0.12366348801396533</v>
      </c>
      <c r="AP119" s="205">
        <v>0.12622189682922172</v>
      </c>
      <c r="BI119" s="110"/>
      <c r="BJ119" s="93">
        <f t="shared" si="16"/>
        <v>8500000</v>
      </c>
      <c r="BK119" s="196">
        <v>0.12133502918134667</v>
      </c>
      <c r="BL119" s="196">
        <v>0.1366058297409427</v>
      </c>
      <c r="BM119" s="196">
        <v>0.14169704165742494</v>
      </c>
      <c r="BN119" s="196">
        <v>0.14424335572094368</v>
      </c>
      <c r="BO119" s="196">
        <v>0.14577171009006984</v>
      </c>
      <c r="BP119" s="196">
        <v>0.14883265364870055</v>
      </c>
      <c r="BQ119" s="196">
        <v>0.14985765670301227</v>
      </c>
      <c r="BR119" s="196">
        <v>0.14884671933692462</v>
      </c>
      <c r="BS119" s="196">
        <v>0.14946449321297756</v>
      </c>
      <c r="BT119" s="196">
        <v>0.1498786526249639</v>
      </c>
      <c r="BU119" s="196">
        <v>0.14930391517462283</v>
      </c>
      <c r="BV119" s="196">
        <v>0.14963804694081384</v>
      </c>
      <c r="BW119" s="196">
        <v>0.1498994449043302</v>
      </c>
      <c r="BX119" s="197">
        <v>0.14949914728624608</v>
      </c>
      <c r="BY119" s="11"/>
    </row>
    <row r="120">
      <c r="R120" s="10"/>
      <c r="V120" s="156">
        <f t="shared" si="14"/>
        <v>10000000</v>
      </c>
      <c r="W120" s="351"/>
      <c r="X120" s="352"/>
      <c r="Y120" s="352"/>
      <c r="Z120" s="352"/>
      <c r="AA120" s="352"/>
      <c r="AB120" s="352"/>
      <c r="AC120" s="353"/>
      <c r="AF120" s="156">
        <f t="shared" si="15"/>
        <v>10000000</v>
      </c>
      <c r="BI120" s="163"/>
      <c r="BJ120" s="93">
        <f t="shared" si="16"/>
        <v>9000000</v>
      </c>
      <c r="BK120" s="200">
        <v>0.11720682216550919</v>
      </c>
      <c r="BL120" s="200">
        <v>0.13247762272510522</v>
      </c>
      <c r="BM120" s="200">
        <v>0.13756883464158745</v>
      </c>
      <c r="BN120" s="200">
        <v>0.14011514870510622</v>
      </c>
      <c r="BO120" s="200">
        <v>0.14164350307423235</v>
      </c>
      <c r="BP120" s="200">
        <v>0.14470444663286308</v>
      </c>
      <c r="BQ120" s="200">
        <v>0.14572944968717474</v>
      </c>
      <c r="BR120" s="200">
        <v>0.14471851232108715</v>
      </c>
      <c r="BS120" s="200">
        <v>0.14533628619714004</v>
      </c>
      <c r="BT120" s="200">
        <v>0.14575044560912637</v>
      </c>
      <c r="BU120" s="200">
        <v>0.14517570815878533</v>
      </c>
      <c r="BV120" s="200">
        <v>0.14550983992497638</v>
      </c>
      <c r="BW120" s="200">
        <v>0.1457712378884927</v>
      </c>
      <c r="BX120" s="201">
        <v>0.1453709402704086</v>
      </c>
      <c r="BY120" s="11"/>
    </row>
    <row r="121">
      <c r="R121" s="10"/>
      <c r="BI121" s="164"/>
      <c r="BJ121" s="93">
        <f t="shared" si="16"/>
        <v>9500000</v>
      </c>
      <c r="BK121" s="206">
        <v>0.11339223699636179</v>
      </c>
      <c r="BL121" s="206">
        <v>0.12866303755595782</v>
      </c>
      <c r="BM121" s="206">
        <v>0.13375424947244005</v>
      </c>
      <c r="BN121" s="206">
        <v>0.13630056353595882</v>
      </c>
      <c r="BO121" s="206">
        <v>0.13782891790508492</v>
      </c>
      <c r="BP121" s="206">
        <v>0.14088986146371565</v>
      </c>
      <c r="BQ121" s="206">
        <v>0.14191486451802737</v>
      </c>
      <c r="BR121" s="206">
        <v>0.14090392715193972</v>
      </c>
      <c r="BS121" s="206">
        <v>0.14152170102799264</v>
      </c>
      <c r="BT121" s="206">
        <v>0.141935860439979</v>
      </c>
      <c r="BU121" s="206">
        <v>0.14136112298963793</v>
      </c>
      <c r="BV121" s="206">
        <v>0.14169525475582895</v>
      </c>
      <c r="BW121" s="206">
        <v>0.1419566527193453</v>
      </c>
      <c r="BX121" s="207">
        <v>0.1415563551012612</v>
      </c>
      <c r="BY121" s="11"/>
    </row>
    <row r="122">
      <c r="R122" s="10"/>
      <c r="BJ122" s="156">
        <f t="shared" si="16"/>
        <v>10000000</v>
      </c>
      <c r="BN122" s="171"/>
      <c r="BO122" s="23"/>
      <c r="BY122" s="11"/>
    </row>
    <row r="123">
      <c r="R123" s="168"/>
      <c r="S123" s="169"/>
      <c r="T123" s="169"/>
      <c r="U123" s="169"/>
      <c r="V123" s="169"/>
      <c r="W123" s="169"/>
      <c r="X123" s="169"/>
      <c r="Y123" s="169"/>
      <c r="Z123" s="169"/>
      <c r="AA123" s="169"/>
      <c r="AB123" s="169"/>
      <c r="AC123" s="169"/>
      <c r="AD123" s="169"/>
      <c r="AE123" s="169"/>
      <c r="AF123" s="169"/>
      <c r="AG123" s="169"/>
      <c r="AH123" s="169"/>
      <c r="AI123" s="169"/>
      <c r="AJ123" s="169"/>
      <c r="AK123" s="169"/>
      <c r="AL123" s="169"/>
      <c r="AM123" s="169"/>
      <c r="AN123" s="169"/>
      <c r="AO123" s="169"/>
      <c r="AP123" s="169"/>
      <c r="AQ123" s="169"/>
      <c r="AR123" s="169"/>
      <c r="AS123" s="169"/>
      <c r="AT123" s="169"/>
      <c r="AU123" s="169"/>
      <c r="AV123" s="169"/>
      <c r="AW123" s="169"/>
      <c r="AX123" s="169"/>
      <c r="AY123" s="169"/>
      <c r="AZ123" s="169"/>
      <c r="BA123" s="169"/>
      <c r="BB123" s="169"/>
      <c r="BC123" s="169"/>
      <c r="BD123" s="169"/>
      <c r="BE123" s="169"/>
      <c r="BF123" s="169"/>
      <c r="BG123" s="169"/>
      <c r="BH123" s="169"/>
      <c r="BI123" s="169"/>
      <c r="BJ123" s="169"/>
      <c r="BK123" s="169"/>
      <c r="BL123" s="169"/>
      <c r="BM123" s="169"/>
      <c r="BN123" s="208"/>
      <c r="BO123" s="209"/>
      <c r="BP123" s="169"/>
      <c r="BQ123" s="169"/>
      <c r="BR123" s="169"/>
      <c r="BS123" s="169"/>
      <c r="BT123" s="169"/>
      <c r="BU123" s="169"/>
      <c r="BV123" s="169"/>
      <c r="BW123" s="169"/>
      <c r="BX123" s="169"/>
      <c r="BY123" s="170"/>
    </row>
    <row r="124" ht="37.5" customHeight="1">
      <c r="BN124" s="171"/>
      <c r="BO124" s="23"/>
    </row>
    <row r="125">
      <c r="R125" s="5" t="s">
        <v>85</v>
      </c>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210"/>
      <c r="BO125" s="211"/>
      <c r="BP125" s="6"/>
      <c r="BQ125" s="6"/>
      <c r="BR125" s="6"/>
      <c r="BS125" s="6"/>
      <c r="BT125" s="6"/>
      <c r="BU125" s="6"/>
      <c r="BV125" s="6"/>
      <c r="BW125" s="6"/>
      <c r="BX125" s="6"/>
      <c r="BY125" s="7"/>
    </row>
    <row r="126">
      <c r="R126" s="10"/>
      <c r="BN126" s="171"/>
      <c r="BO126" s="23"/>
      <c r="BY126" s="11"/>
    </row>
    <row r="127">
      <c r="R127" s="10"/>
      <c r="BH127" s="171"/>
      <c r="BI127" s="171"/>
      <c r="BJ127" s="171"/>
      <c r="BK127" s="171"/>
      <c r="BL127" s="171"/>
      <c r="BN127" s="171"/>
      <c r="BO127" s="23"/>
      <c r="BY127" s="11"/>
    </row>
    <row r="128">
      <c r="R128" s="10"/>
      <c r="BH128" s="172"/>
      <c r="BI128" s="172"/>
      <c r="BJ128" s="172"/>
      <c r="BK128" s="172"/>
      <c r="BL128" s="172"/>
      <c r="BN128" s="171"/>
      <c r="BO128" s="23"/>
      <c r="BY128" s="11"/>
    </row>
    <row r="129">
      <c r="R129" s="10"/>
      <c r="BH129" s="173"/>
      <c r="BI129" s="173"/>
      <c r="BJ129" s="173"/>
      <c r="BK129" s="173"/>
      <c r="BL129" s="173"/>
      <c r="BN129" s="171"/>
      <c r="BO129" s="23"/>
      <c r="BY129" s="11"/>
    </row>
    <row r="130">
      <c r="R130" s="10"/>
      <c r="BH130" s="174"/>
      <c r="BI130" s="174"/>
      <c r="BJ130" s="174"/>
      <c r="BK130" s="174"/>
      <c r="BL130" s="174"/>
      <c r="BN130" s="171"/>
      <c r="BO130" s="23"/>
      <c r="BY130" s="11"/>
    </row>
    <row r="131">
      <c r="R131" s="10"/>
      <c r="BH131" s="175"/>
      <c r="BI131" s="175"/>
      <c r="BJ131" s="175"/>
      <c r="BK131" s="175"/>
      <c r="BL131" s="175"/>
      <c r="BN131" s="171"/>
      <c r="BO131" s="23"/>
      <c r="BY131" s="11"/>
    </row>
    <row r="132">
      <c r="R132" s="10"/>
      <c r="BH132" s="175"/>
      <c r="BI132" s="175"/>
      <c r="BJ132" s="175"/>
      <c r="BK132" s="175"/>
      <c r="BL132" s="175"/>
      <c r="BN132" s="171"/>
      <c r="BO132" s="23"/>
      <c r="BY132" s="11"/>
    </row>
    <row r="133">
      <c r="R133" s="10"/>
      <c r="BH133" s="175"/>
      <c r="BI133" s="175"/>
      <c r="BJ133" s="175"/>
      <c r="BK133" s="175"/>
      <c r="BL133" s="175"/>
      <c r="BN133" s="171"/>
      <c r="BO133" s="23"/>
      <c r="BY133" s="11"/>
    </row>
    <row r="134">
      <c r="R134" s="10"/>
      <c r="BH134" s="175"/>
      <c r="BI134" s="175"/>
      <c r="BJ134" s="175"/>
      <c r="BK134" s="175"/>
      <c r="BL134" s="175"/>
      <c r="BN134" s="171"/>
      <c r="BO134" s="23"/>
      <c r="BY134" s="11"/>
    </row>
    <row r="135">
      <c r="R135" s="10"/>
      <c r="BH135" s="175"/>
      <c r="BI135" s="175"/>
      <c r="BJ135" s="175"/>
      <c r="BK135" s="175"/>
      <c r="BL135" s="175"/>
      <c r="BN135" s="171"/>
      <c r="BO135" s="23"/>
      <c r="BY135" s="11"/>
    </row>
    <row r="136">
      <c r="R136" s="10"/>
      <c r="BH136" s="175"/>
      <c r="BI136" s="175"/>
      <c r="BJ136" s="175"/>
      <c r="BK136" s="175"/>
      <c r="BL136" s="175"/>
      <c r="BY136" s="11"/>
    </row>
    <row r="137">
      <c r="R137" s="10"/>
      <c r="BH137" s="175"/>
      <c r="BI137" s="175"/>
      <c r="BJ137" s="175"/>
      <c r="BK137" s="175"/>
      <c r="BL137" s="175"/>
      <c r="BY137" s="11"/>
    </row>
    <row r="138">
      <c r="R138" s="10"/>
      <c r="BH138" s="175"/>
      <c r="BI138" s="175"/>
      <c r="BJ138" s="175"/>
      <c r="BK138" s="175"/>
      <c r="BL138" s="175"/>
      <c r="BY138" s="11"/>
    </row>
    <row r="139">
      <c r="R139" s="10"/>
      <c r="BH139" s="175"/>
      <c r="BI139" s="175"/>
      <c r="BJ139" s="175"/>
      <c r="BK139" s="175"/>
      <c r="BL139" s="175"/>
      <c r="BY139" s="11"/>
    </row>
    <row r="140">
      <c r="R140" s="10"/>
      <c r="BH140" s="175"/>
      <c r="BI140" s="175"/>
      <c r="BJ140" s="175"/>
      <c r="BK140" s="175"/>
      <c r="BL140" s="175"/>
      <c r="BY140" s="11"/>
    </row>
    <row r="141">
      <c r="R141" s="10"/>
      <c r="BH141" s="175"/>
      <c r="BI141" s="175"/>
      <c r="BJ141" s="175"/>
      <c r="BK141" s="175"/>
      <c r="BL141" s="175"/>
      <c r="BY141" s="11"/>
    </row>
    <row r="142">
      <c r="R142" s="10"/>
      <c r="BH142" s="175"/>
      <c r="BI142" s="175"/>
      <c r="BJ142" s="175"/>
      <c r="BK142" s="175"/>
      <c r="BL142" s="175"/>
      <c r="BY142" s="11"/>
    </row>
    <row r="143">
      <c r="R143" s="10"/>
      <c r="BH143" s="175"/>
      <c r="BI143" s="175"/>
      <c r="BJ143" s="175"/>
      <c r="BK143" s="175"/>
      <c r="BL143" s="175"/>
      <c r="BY143" s="11"/>
    </row>
    <row r="144">
      <c r="R144" s="10"/>
      <c r="BH144" s="175"/>
      <c r="BI144" s="175"/>
      <c r="BJ144" s="175"/>
      <c r="BK144" s="175"/>
      <c r="BL144" s="175"/>
      <c r="BY144" s="11"/>
    </row>
    <row r="145">
      <c r="R145" s="10"/>
      <c r="BH145" s="175"/>
      <c r="BI145" s="175"/>
      <c r="BJ145" s="175"/>
      <c r="BK145" s="175"/>
      <c r="BL145" s="175"/>
      <c r="BY145" s="11"/>
    </row>
    <row r="146">
      <c r="R146" s="10"/>
      <c r="BH146" s="175"/>
      <c r="BI146" s="175"/>
      <c r="BJ146" s="175"/>
      <c r="BK146" s="175"/>
      <c r="BL146" s="175"/>
      <c r="BY146" s="11"/>
    </row>
    <row r="147">
      <c r="R147" s="10"/>
      <c r="BH147" s="175"/>
      <c r="BI147" s="175"/>
      <c r="BJ147" s="175"/>
      <c r="BK147" s="175"/>
      <c r="BL147" s="175"/>
      <c r="BY147" s="11"/>
    </row>
    <row r="148">
      <c r="R148" s="10"/>
      <c r="BY148" s="11"/>
    </row>
    <row r="149">
      <c r="R149" s="10"/>
      <c r="BY149" s="11"/>
    </row>
    <row r="150">
      <c r="R150" s="10"/>
      <c r="BY150" s="11"/>
    </row>
    <row r="151">
      <c r="R151" s="10"/>
      <c r="BY151" s="11"/>
    </row>
    <row r="152">
      <c r="R152" s="10"/>
      <c r="BY152" s="11"/>
    </row>
    <row r="153">
      <c r="R153" s="10"/>
      <c r="BY153" s="11"/>
    </row>
    <row r="154">
      <c r="R154" s="10"/>
      <c r="BY154" s="11"/>
    </row>
    <row r="155">
      <c r="R155" s="10"/>
      <c r="BY155" s="11"/>
    </row>
    <row r="156">
      <c r="R156" s="10"/>
      <c r="BY156" s="11"/>
    </row>
    <row r="157">
      <c r="R157" s="10"/>
      <c r="U157" s="70" t="s">
        <v>86</v>
      </c>
      <c r="V157" s="71"/>
      <c r="W157" s="71"/>
      <c r="X157" s="71"/>
      <c r="Y157" s="71"/>
      <c r="Z157" s="71"/>
      <c r="AA157" s="71"/>
      <c r="AB157" s="71"/>
      <c r="AC157" s="18"/>
      <c r="AE157" s="70" t="s">
        <v>86</v>
      </c>
      <c r="AF157" s="71"/>
      <c r="AG157" s="71"/>
      <c r="AH157" s="71"/>
      <c r="AI157" s="71"/>
      <c r="AJ157" s="71"/>
      <c r="AK157" s="71"/>
      <c r="AL157" s="71"/>
      <c r="AM157" s="71"/>
      <c r="AN157" s="71"/>
      <c r="AO157" s="71"/>
      <c r="AP157" s="18"/>
      <c r="AR157" s="70" t="s">
        <v>87</v>
      </c>
      <c r="AS157" s="71"/>
      <c r="AT157" s="71"/>
      <c r="AU157" s="71"/>
      <c r="AV157" s="71"/>
      <c r="AW157" s="71"/>
      <c r="AX157" s="71"/>
      <c r="AY157" s="71"/>
      <c r="AZ157" s="71"/>
      <c r="BA157" s="71"/>
      <c r="BB157" s="71"/>
      <c r="BC157" s="71"/>
      <c r="BD157" s="71"/>
      <c r="BE157" s="71"/>
      <c r="BF157" s="71"/>
      <c r="BG157" s="18"/>
      <c r="BI157" s="70" t="s">
        <v>86</v>
      </c>
      <c r="BJ157" s="71"/>
      <c r="BK157" s="71"/>
      <c r="BL157" s="71"/>
      <c r="BM157" s="71"/>
      <c r="BN157" s="71"/>
      <c r="BO157" s="71"/>
      <c r="BP157" s="71"/>
      <c r="BQ157" s="71"/>
      <c r="BR157" s="71"/>
      <c r="BS157" s="71"/>
      <c r="BT157" s="71"/>
      <c r="BU157" s="71"/>
      <c r="BV157" s="71"/>
      <c r="BW157" s="71"/>
      <c r="BX157" s="18"/>
      <c r="BY157" s="11"/>
    </row>
    <row r="158">
      <c r="R158" s="10"/>
      <c r="U158" s="77" t="s">
        <v>57</v>
      </c>
      <c r="AC158" s="78"/>
      <c r="AD158" s="23"/>
      <c r="AE158" s="85" t="s">
        <v>58</v>
      </c>
      <c r="AF158" s="182"/>
      <c r="AG158" s="182"/>
      <c r="AH158" s="182"/>
      <c r="AI158" s="183" t="s">
        <v>59</v>
      </c>
      <c r="AJ158" s="183"/>
      <c r="AK158" s="183"/>
      <c r="AL158" s="183"/>
      <c r="AM158" s="183"/>
      <c r="AN158" s="183"/>
      <c r="AO158" s="183"/>
      <c r="AP158" s="184"/>
      <c r="AR158" s="85" t="s">
        <v>58</v>
      </c>
      <c r="AS158" s="86"/>
      <c r="AT158" s="86" t="s">
        <v>44</v>
      </c>
      <c r="BG158" s="78"/>
      <c r="BI158" s="85" t="s">
        <v>58</v>
      </c>
      <c r="BJ158" s="86"/>
      <c r="BK158" s="86" t="s">
        <v>44</v>
      </c>
      <c r="BX158" s="78"/>
      <c r="BY158" s="11"/>
    </row>
    <row r="159">
      <c r="R159" s="10"/>
      <c r="U159" s="90"/>
      <c r="V159" s="91">
        <f>$F$48</f>
        <v>0.03817811653</v>
      </c>
      <c r="W159" s="92">
        <v>64.0</v>
      </c>
      <c r="X159" s="93">
        <f t="shared" ref="X159:AC159" si="17">W159+10</f>
        <v>74</v>
      </c>
      <c r="Y159" s="93">
        <f t="shared" si="17"/>
        <v>84</v>
      </c>
      <c r="Z159" s="93">
        <f t="shared" si="17"/>
        <v>94</v>
      </c>
      <c r="AA159" s="93">
        <f t="shared" si="17"/>
        <v>104</v>
      </c>
      <c r="AB159" s="93">
        <f t="shared" si="17"/>
        <v>114</v>
      </c>
      <c r="AC159" s="94">
        <f t="shared" si="17"/>
        <v>124</v>
      </c>
      <c r="AD159" s="212"/>
      <c r="AE159" s="90"/>
      <c r="AF159" s="96">
        <f>$F$48</f>
        <v>0.03817811653</v>
      </c>
      <c r="AG159" s="97">
        <f t="shared" ref="AG159:AI159" si="18">AH159-0.05</f>
        <v>0.7</v>
      </c>
      <c r="AH159" s="97">
        <f t="shared" si="18"/>
        <v>0.75</v>
      </c>
      <c r="AI159" s="97">
        <f t="shared" si="18"/>
        <v>0.8</v>
      </c>
      <c r="AJ159" s="97">
        <v>0.85</v>
      </c>
      <c r="AK159" s="98">
        <v>0.9</v>
      </c>
      <c r="AL159" s="97">
        <f t="shared" ref="AL159:AP159" si="19">AK159+0.02</f>
        <v>0.92</v>
      </c>
      <c r="AM159" s="97">
        <f t="shared" si="19"/>
        <v>0.94</v>
      </c>
      <c r="AN159" s="97">
        <f t="shared" si="19"/>
        <v>0.96</v>
      </c>
      <c r="AO159" s="97">
        <f t="shared" si="19"/>
        <v>0.98</v>
      </c>
      <c r="AP159" s="99">
        <f t="shared" si="19"/>
        <v>1</v>
      </c>
      <c r="AR159" s="85" t="s">
        <v>63</v>
      </c>
      <c r="AS159" s="86"/>
      <c r="AT159" s="86"/>
      <c r="AU159" s="86"/>
      <c r="AV159" s="86"/>
      <c r="AW159" s="86"/>
      <c r="AX159" s="86"/>
      <c r="AY159" s="86"/>
      <c r="AZ159" s="86"/>
      <c r="BA159" s="86"/>
      <c r="BB159" s="86"/>
      <c r="BC159" s="86"/>
      <c r="BD159" s="86"/>
      <c r="BE159" s="86"/>
      <c r="BF159" s="86"/>
      <c r="BG159" s="100"/>
      <c r="BI159" s="85" t="s">
        <v>63</v>
      </c>
      <c r="BJ159" s="86"/>
      <c r="BK159" s="86"/>
      <c r="BL159" s="86"/>
      <c r="BM159" s="86"/>
      <c r="BN159" s="86"/>
      <c r="BO159" s="86"/>
      <c r="BP159" s="86"/>
      <c r="BQ159" s="86"/>
      <c r="BR159" s="86"/>
      <c r="BS159" s="86"/>
      <c r="BT159" s="86"/>
      <c r="BU159" s="86"/>
      <c r="BV159" s="86"/>
      <c r="BW159" s="86"/>
      <c r="BX159" s="100"/>
      <c r="BY159" s="11"/>
    </row>
    <row r="160">
      <c r="R160" s="10"/>
      <c r="U160" s="102" t="s">
        <v>66</v>
      </c>
      <c r="V160" s="103">
        <v>100000.0</v>
      </c>
      <c r="W160" s="104">
        <v>0.42075406780719804</v>
      </c>
      <c r="X160" s="105">
        <v>0.49330712938891474</v>
      </c>
      <c r="Y160" s="105">
        <v>0.5658601909706316</v>
      </c>
      <c r="Z160" s="105">
        <v>0.6384132525523484</v>
      </c>
      <c r="AA160" s="105">
        <v>0.7109663141340651</v>
      </c>
      <c r="AB160" s="105">
        <v>0.7835193757157818</v>
      </c>
      <c r="AC160" s="106">
        <v>0.8560724372974987</v>
      </c>
      <c r="AD160" s="177"/>
      <c r="AE160" s="102" t="s">
        <v>66</v>
      </c>
      <c r="AF160" s="103">
        <v>100000.0</v>
      </c>
      <c r="AG160" s="185">
        <v>0.33688502886006044</v>
      </c>
      <c r="AH160" s="185">
        <v>0.35839798197376127</v>
      </c>
      <c r="AI160" s="185">
        <v>0.37949252612211043</v>
      </c>
      <c r="AJ160" s="185">
        <v>0.4002505813762191</v>
      </c>
      <c r="AK160" s="186">
        <v>0.42075406780719804</v>
      </c>
      <c r="AL160" s="185">
        <v>0.4289025332050421</v>
      </c>
      <c r="AM160" s="185">
        <v>0.4370286176871143</v>
      </c>
      <c r="AN160" s="185">
        <v>0.4451375641379656</v>
      </c>
      <c r="AO160" s="185">
        <v>0.4532346154421474</v>
      </c>
      <c r="AP160" s="187">
        <v>0.4613250144842105</v>
      </c>
      <c r="AR160" s="85" t="s">
        <v>67</v>
      </c>
      <c r="AS160" s="86"/>
      <c r="AT160" s="86"/>
      <c r="AU160" s="86"/>
      <c r="AV160" s="86"/>
      <c r="AW160" s="86"/>
      <c r="AX160" s="86"/>
      <c r="AY160" s="86"/>
      <c r="AZ160" s="86"/>
      <c r="BA160" s="86"/>
      <c r="BB160" s="86"/>
      <c r="BC160" s="86"/>
      <c r="BD160" s="86"/>
      <c r="BE160" s="86"/>
      <c r="BF160" s="86"/>
      <c r="BG160" s="100"/>
      <c r="BI160" s="85" t="s">
        <v>68</v>
      </c>
      <c r="BJ160" s="86"/>
      <c r="BK160" s="86"/>
      <c r="BL160" s="86"/>
      <c r="BM160" s="86"/>
      <c r="BN160" s="86"/>
      <c r="BO160" s="86"/>
      <c r="BP160" s="86"/>
      <c r="BQ160" s="86"/>
      <c r="BR160" s="86"/>
      <c r="BS160" s="86"/>
      <c r="BT160" s="86"/>
      <c r="BU160" s="86"/>
      <c r="BV160" s="86"/>
      <c r="BW160" s="86"/>
      <c r="BX160" s="100"/>
      <c r="BY160" s="11"/>
    </row>
    <row r="161">
      <c r="R161" s="10"/>
      <c r="U161" s="110"/>
      <c r="V161" s="93">
        <f t="shared" ref="V161:V178" si="22">V160+50000</f>
        <v>150000</v>
      </c>
      <c r="W161" s="104">
        <v>0.33554616467499804</v>
      </c>
      <c r="X161" s="105">
        <v>0.3947854913923083</v>
      </c>
      <c r="Y161" s="105">
        <v>0.45402481810961887</v>
      </c>
      <c r="Z161" s="105">
        <v>0.5132641448269293</v>
      </c>
      <c r="AA161" s="105">
        <v>0.57250347154424</v>
      </c>
      <c r="AB161" s="105">
        <v>0.6317427982615507</v>
      </c>
      <c r="AC161" s="106">
        <v>0.6909821249788609</v>
      </c>
      <c r="AD161" s="51"/>
      <c r="AE161" s="110"/>
      <c r="AF161" s="93">
        <f t="shared" ref="AF161:AF178" si="23">AF160+50000</f>
        <v>150000</v>
      </c>
      <c r="AG161" s="188">
        <v>0.2670673811289657</v>
      </c>
      <c r="AH161" s="188">
        <v>0.28463263379196097</v>
      </c>
      <c r="AI161" s="188">
        <v>0.3018562569653171</v>
      </c>
      <c r="AJ161" s="188">
        <v>0.31880513810700556</v>
      </c>
      <c r="AK161" s="189">
        <v>0.33554616467499804</v>
      </c>
      <c r="AL161" s="188">
        <v>0.3421993588121454</v>
      </c>
      <c r="AM161" s="188">
        <v>0.3488342790080872</v>
      </c>
      <c r="AN161" s="188">
        <v>0.3554552060601335</v>
      </c>
      <c r="AO161" s="188">
        <v>0.36206642076559414</v>
      </c>
      <c r="AP161" s="190">
        <v>0.3686722039217797</v>
      </c>
      <c r="AR161" s="90"/>
      <c r="AS161" s="91">
        <f>$F$48</f>
        <v>0.03817811653</v>
      </c>
      <c r="AT161" s="103">
        <v>1.0</v>
      </c>
      <c r="AU161" s="93">
        <f t="shared" ref="AU161:AX161" si="20">AT161+1</f>
        <v>2</v>
      </c>
      <c r="AV161" s="93">
        <f t="shared" si="20"/>
        <v>3</v>
      </c>
      <c r="AW161" s="93">
        <f t="shared" si="20"/>
        <v>4</v>
      </c>
      <c r="AX161" s="93">
        <f t="shared" si="20"/>
        <v>5</v>
      </c>
      <c r="AY161" s="103">
        <v>10.0</v>
      </c>
      <c r="AZ161" s="103">
        <v>15.0</v>
      </c>
      <c r="BA161" s="103">
        <v>20.0</v>
      </c>
      <c r="BB161" s="103">
        <v>25.0</v>
      </c>
      <c r="BC161" s="103">
        <v>30.0</v>
      </c>
      <c r="BD161" s="103">
        <v>35.0</v>
      </c>
      <c r="BE161" s="103">
        <v>40.0</v>
      </c>
      <c r="BF161" s="103">
        <v>45.0</v>
      </c>
      <c r="BG161" s="114">
        <v>50.0</v>
      </c>
      <c r="BI161" s="90"/>
      <c r="BJ161" s="91">
        <f>$F$48</f>
        <v>0.03817811653</v>
      </c>
      <c r="BK161" s="103">
        <v>1.0</v>
      </c>
      <c r="BL161" s="93">
        <f t="shared" ref="BL161:BO161" si="21">BK161+1</f>
        <v>2</v>
      </c>
      <c r="BM161" s="93">
        <f t="shared" si="21"/>
        <v>3</v>
      </c>
      <c r="BN161" s="93">
        <f t="shared" si="21"/>
        <v>4</v>
      </c>
      <c r="BO161" s="93">
        <f t="shared" si="21"/>
        <v>5</v>
      </c>
      <c r="BP161" s="103">
        <v>10.0</v>
      </c>
      <c r="BQ161" s="103">
        <v>15.0</v>
      </c>
      <c r="BR161" s="103">
        <v>20.0</v>
      </c>
      <c r="BS161" s="103">
        <v>25.0</v>
      </c>
      <c r="BT161" s="103">
        <v>30.0</v>
      </c>
      <c r="BU161" s="103">
        <v>35.0</v>
      </c>
      <c r="BV161" s="103">
        <v>40.0</v>
      </c>
      <c r="BW161" s="103">
        <v>45.0</v>
      </c>
      <c r="BX161" s="114">
        <v>50.0</v>
      </c>
      <c r="BY161" s="11"/>
    </row>
    <row r="162">
      <c r="R162" s="10"/>
      <c r="U162" s="110"/>
      <c r="V162" s="93">
        <f t="shared" si="22"/>
        <v>200000</v>
      </c>
      <c r="W162" s="104">
        <v>0.2847521494619841</v>
      </c>
      <c r="X162" s="105">
        <v>0.3360549113022613</v>
      </c>
      <c r="Y162" s="105">
        <v>0.3873576731425384</v>
      </c>
      <c r="Z162" s="105">
        <v>0.43866043498281554</v>
      </c>
      <c r="AA162" s="105">
        <v>0.48996319682309264</v>
      </c>
      <c r="AB162" s="105">
        <v>0.5412659586633699</v>
      </c>
      <c r="AC162" s="106">
        <v>0.5925687205036468</v>
      </c>
      <c r="AD162" s="144"/>
      <c r="AE162" s="110"/>
      <c r="AF162" s="93">
        <f t="shared" si="23"/>
        <v>200000</v>
      </c>
      <c r="AG162" s="185">
        <v>0.22544778329086454</v>
      </c>
      <c r="AH162" s="185">
        <v>0.24065973832091053</v>
      </c>
      <c r="AI162" s="185">
        <v>0.25557583353424734</v>
      </c>
      <c r="AJ162" s="185">
        <v>0.2702539951686726</v>
      </c>
      <c r="AK162" s="186">
        <v>0.2847521494619841</v>
      </c>
      <c r="AL162" s="185">
        <v>0.2905139846010636</v>
      </c>
      <c r="AM162" s="185">
        <v>0.2962599940428317</v>
      </c>
      <c r="AN162" s="185">
        <v>0.3019938850665074</v>
      </c>
      <c r="AO162" s="185">
        <v>0.3077193649513097</v>
      </c>
      <c r="AP162" s="187">
        <v>0.3134401409764575</v>
      </c>
      <c r="AR162" s="118" t="s">
        <v>73</v>
      </c>
      <c r="AS162" s="119">
        <f>AG159</f>
        <v>0.7</v>
      </c>
      <c r="AT162" s="105">
        <v>0.07672982738265563</v>
      </c>
      <c r="AU162" s="105">
        <v>0.09852259054055036</v>
      </c>
      <c r="AV162" s="105">
        <v>0.10578684492651529</v>
      </c>
      <c r="AW162" s="105">
        <v>0.10941897211949773</v>
      </c>
      <c r="AX162" s="105">
        <v>0.11159824843528722</v>
      </c>
      <c r="AY162" s="105">
        <v>0.11595680106686616</v>
      </c>
      <c r="AZ162" s="105">
        <v>0.11740965194405914</v>
      </c>
      <c r="BA162" s="105">
        <v>0.11595680106686616</v>
      </c>
      <c r="BB162" s="105">
        <v>0.11682851159318194</v>
      </c>
      <c r="BC162" s="105">
        <v>0.11740965194405914</v>
      </c>
      <c r="BD162" s="105">
        <v>0.116579451442806</v>
      </c>
      <c r="BE162" s="105">
        <v>0.1170464392247609</v>
      </c>
      <c r="BF162" s="105">
        <v>0.11740965194405915</v>
      </c>
      <c r="BG162" s="106">
        <v>0.11682851159318194</v>
      </c>
      <c r="BI162" s="102" t="s">
        <v>66</v>
      </c>
      <c r="BJ162" s="103">
        <v>100000.0</v>
      </c>
      <c r="BK162" s="105">
        <v>0.42075406780719804</v>
      </c>
      <c r="BL162" s="105">
        <v>0.4425468309650928</v>
      </c>
      <c r="BM162" s="105">
        <v>0.4498110853510577</v>
      </c>
      <c r="BN162" s="105">
        <v>0.45344321254404013</v>
      </c>
      <c r="BO162" s="105">
        <v>0.4556224888598296</v>
      </c>
      <c r="BP162" s="105">
        <v>0.45998104149140856</v>
      </c>
      <c r="BQ162" s="105">
        <v>0.46143389236860155</v>
      </c>
      <c r="BR162" s="105">
        <v>0.45998104149140856</v>
      </c>
      <c r="BS162" s="105">
        <v>0.46085275201772435</v>
      </c>
      <c r="BT162" s="105">
        <v>0.46143389236860155</v>
      </c>
      <c r="BU162" s="105">
        <v>0.4606036918673484</v>
      </c>
      <c r="BV162" s="105">
        <v>0.4610706796493033</v>
      </c>
      <c r="BW162" s="105">
        <v>0.46143389236860155</v>
      </c>
      <c r="BX162" s="106">
        <v>0.46085275201772435</v>
      </c>
      <c r="BY162" s="11"/>
    </row>
    <row r="163">
      <c r="D163" s="213"/>
      <c r="G163" s="214"/>
      <c r="H163" s="214"/>
      <c r="I163" s="214"/>
      <c r="J163" s="214"/>
      <c r="K163" s="214"/>
      <c r="L163" s="214"/>
      <c r="M163" s="214"/>
      <c r="N163" s="214"/>
      <c r="O163" s="214"/>
      <c r="P163" s="214"/>
      <c r="Q163" s="214"/>
      <c r="R163" s="215"/>
      <c r="S163" s="214"/>
      <c r="T163" s="214"/>
      <c r="U163" s="110"/>
      <c r="V163" s="93">
        <f t="shared" si="22"/>
        <v>250000</v>
      </c>
      <c r="W163" s="104">
        <v>0.25008861872956567</v>
      </c>
      <c r="X163" s="105">
        <v>0.2959752038929024</v>
      </c>
      <c r="Y163" s="105">
        <v>0.34186178905623915</v>
      </c>
      <c r="Z163" s="105">
        <v>0.387748374219576</v>
      </c>
      <c r="AA163" s="105">
        <v>0.4336349593829125</v>
      </c>
      <c r="AB163" s="105">
        <v>0.47952154454624935</v>
      </c>
      <c r="AC163" s="106">
        <v>0.5254081297095861</v>
      </c>
      <c r="AD163" s="51"/>
      <c r="AE163" s="110"/>
      <c r="AF163" s="93">
        <f t="shared" si="23"/>
        <v>250000</v>
      </c>
      <c r="AG163" s="185">
        <v>0.19704518108110072</v>
      </c>
      <c r="AH163" s="185">
        <v>0.21065116728824188</v>
      </c>
      <c r="AI163" s="185">
        <v>0.22399252843059395</v>
      </c>
      <c r="AJ163" s="185">
        <v>0.23712107531031562</v>
      </c>
      <c r="AK163" s="186">
        <v>0.25008861872956567</v>
      </c>
      <c r="AL163" s="185">
        <v>0.25524216074801714</v>
      </c>
      <c r="AM163" s="185">
        <v>0.26038154783247675</v>
      </c>
      <c r="AN163" s="185">
        <v>0.2655100958742826</v>
      </c>
      <c r="AO163" s="185">
        <v>0.27063112076477275</v>
      </c>
      <c r="AP163" s="187">
        <v>0.27574793839528555</v>
      </c>
      <c r="AR163" s="110"/>
      <c r="AS163" s="119">
        <v>0.75</v>
      </c>
      <c r="AT163" s="192">
        <v>0.08353282048622619</v>
      </c>
      <c r="AU163" s="192">
        <v>0.10532558364412094</v>
      </c>
      <c r="AV163" s="192">
        <v>0.11258983803008586</v>
      </c>
      <c r="AW163" s="192">
        <v>0.1162219652230683</v>
      </c>
      <c r="AX163" s="192">
        <v>0.11840124153885778</v>
      </c>
      <c r="AY163" s="192">
        <v>0.12275979417043673</v>
      </c>
      <c r="AZ163" s="192">
        <v>0.1242126450476297</v>
      </c>
      <c r="BA163" s="192">
        <v>0.12275979417043673</v>
      </c>
      <c r="BB163" s="192">
        <v>0.12363150469675252</v>
      </c>
      <c r="BC163" s="192">
        <v>0.1242126450476297</v>
      </c>
      <c r="BD163" s="192">
        <v>0.12338244454637656</v>
      </c>
      <c r="BE163" s="192">
        <v>0.12384943232833147</v>
      </c>
      <c r="BF163" s="192">
        <v>0.1242126450476297</v>
      </c>
      <c r="BG163" s="193">
        <v>0.12363150469675252</v>
      </c>
      <c r="BI163" s="110"/>
      <c r="BJ163" s="93">
        <f t="shared" ref="BJ163:BJ180" si="24">BJ162+50000</f>
        <v>150000</v>
      </c>
      <c r="BK163" s="192">
        <v>0.33554616467499804</v>
      </c>
      <c r="BL163" s="192">
        <v>0.3573389278328928</v>
      </c>
      <c r="BM163" s="192">
        <v>0.3646031822188577</v>
      </c>
      <c r="BN163" s="192">
        <v>0.36823530941184013</v>
      </c>
      <c r="BO163" s="192">
        <v>0.3704145857276296</v>
      </c>
      <c r="BP163" s="192">
        <v>0.3747731383592085</v>
      </c>
      <c r="BQ163" s="192">
        <v>0.3762259892364015</v>
      </c>
      <c r="BR163" s="192">
        <v>0.3747731383592085</v>
      </c>
      <c r="BS163" s="192">
        <v>0.3756448488855243</v>
      </c>
      <c r="BT163" s="192">
        <v>0.3762259892364015</v>
      </c>
      <c r="BU163" s="192">
        <v>0.3753957887351484</v>
      </c>
      <c r="BV163" s="192">
        <v>0.37586277651710326</v>
      </c>
      <c r="BW163" s="192">
        <v>0.37622598923640155</v>
      </c>
      <c r="BX163" s="193">
        <v>0.3756448488855243</v>
      </c>
      <c r="BY163" s="11"/>
    </row>
    <row r="164">
      <c r="D164" s="173"/>
      <c r="E164" s="216"/>
      <c r="F164" s="214"/>
      <c r="G164" s="214"/>
      <c r="H164" s="214"/>
      <c r="I164" s="214"/>
      <c r="J164" s="214"/>
      <c r="K164" s="214"/>
      <c r="L164" s="214"/>
      <c r="M164" s="214"/>
      <c r="N164" s="214"/>
      <c r="O164" s="214"/>
      <c r="P164" s="214"/>
      <c r="Q164" s="214"/>
      <c r="R164" s="215"/>
      <c r="S164" s="214"/>
      <c r="T164" s="214"/>
      <c r="U164" s="110"/>
      <c r="V164" s="93">
        <f t="shared" si="22"/>
        <v>300000</v>
      </c>
      <c r="W164" s="104">
        <v>0.224501063346519</v>
      </c>
      <c r="X164" s="105">
        <v>0.2663895929812546</v>
      </c>
      <c r="Y164" s="105">
        <v>0.3082781226159903</v>
      </c>
      <c r="Z164" s="105">
        <v>0.35016665225072596</v>
      </c>
      <c r="AA164" s="105">
        <v>0.39205518188546173</v>
      </c>
      <c r="AB164" s="105">
        <v>0.43394371152019734</v>
      </c>
      <c r="AC164" s="106">
        <v>0.4758322411549331</v>
      </c>
      <c r="AD164" s="51"/>
      <c r="AE164" s="110"/>
      <c r="AF164" s="93">
        <f t="shared" si="23"/>
        <v>300000</v>
      </c>
      <c r="AG164" s="185">
        <v>0.17607925113371387</v>
      </c>
      <c r="AH164" s="185">
        <v>0.18849976040497282</v>
      </c>
      <c r="AI164" s="185">
        <v>0.20067870114745465</v>
      </c>
      <c r="AJ164" s="185">
        <v>0.2126633699362674</v>
      </c>
      <c r="AK164" s="186">
        <v>0.224501063346519</v>
      </c>
      <c r="AL164" s="185">
        <v>0.2292055820374466</v>
      </c>
      <c r="AM164" s="185">
        <v>0.2338971791006286</v>
      </c>
      <c r="AN164" s="185">
        <v>0.23857888151687198</v>
      </c>
      <c r="AO164" s="185">
        <v>0.2432537162669835</v>
      </c>
      <c r="AP164" s="187">
        <v>0.24792471033177008</v>
      </c>
      <c r="AR164" s="110"/>
      <c r="AS164" s="119">
        <v>0.8</v>
      </c>
      <c r="AT164" s="105">
        <v>0.09020350105740227</v>
      </c>
      <c r="AU164" s="105">
        <v>0.111996264215297</v>
      </c>
      <c r="AV164" s="105">
        <v>0.11926051860126191</v>
      </c>
      <c r="AW164" s="105">
        <v>0.12289264579424437</v>
      </c>
      <c r="AX164" s="105">
        <v>0.12507192211003382</v>
      </c>
      <c r="AY164" s="105">
        <v>0.1294304747416128</v>
      </c>
      <c r="AZ164" s="105">
        <v>0.13088332561880575</v>
      </c>
      <c r="BA164" s="105">
        <v>0.1294304747416128</v>
      </c>
      <c r="BB164" s="105">
        <v>0.13030218526792858</v>
      </c>
      <c r="BC164" s="105">
        <v>0.13088332561880575</v>
      </c>
      <c r="BD164" s="105">
        <v>0.13005312511755263</v>
      </c>
      <c r="BE164" s="105">
        <v>0.13052011289950752</v>
      </c>
      <c r="BF164" s="105">
        <v>0.13088332561880578</v>
      </c>
      <c r="BG164" s="106">
        <v>0.13030218526792858</v>
      </c>
      <c r="BI164" s="110"/>
      <c r="BJ164" s="93">
        <f t="shared" si="24"/>
        <v>200000</v>
      </c>
      <c r="BK164" s="105">
        <v>0.2847521494619841</v>
      </c>
      <c r="BL164" s="105">
        <v>0.3065449126198789</v>
      </c>
      <c r="BM164" s="105">
        <v>0.31380916700584377</v>
      </c>
      <c r="BN164" s="105">
        <v>0.3174412941988262</v>
      </c>
      <c r="BO164" s="105">
        <v>0.31962057051461573</v>
      </c>
      <c r="BP164" s="105">
        <v>0.3239791231461947</v>
      </c>
      <c r="BQ164" s="105">
        <v>0.32543197402338764</v>
      </c>
      <c r="BR164" s="105">
        <v>0.3239791231461947</v>
      </c>
      <c r="BS164" s="105">
        <v>0.3248508336725105</v>
      </c>
      <c r="BT164" s="105">
        <v>0.32543197402338764</v>
      </c>
      <c r="BU164" s="105">
        <v>0.32460177352213454</v>
      </c>
      <c r="BV164" s="105">
        <v>0.3250687613040894</v>
      </c>
      <c r="BW164" s="105">
        <v>0.3254319740233877</v>
      </c>
      <c r="BX164" s="106">
        <v>0.3248508336725105</v>
      </c>
      <c r="BY164" s="11"/>
    </row>
    <row r="165">
      <c r="D165" s="173"/>
      <c r="E165" s="216"/>
      <c r="F165" s="214"/>
      <c r="G165" s="174"/>
      <c r="H165" s="174"/>
      <c r="I165" s="174"/>
      <c r="J165" s="174"/>
      <c r="K165" s="174"/>
      <c r="L165" s="174"/>
      <c r="M165" s="174"/>
      <c r="N165" s="174"/>
      <c r="O165" s="174"/>
      <c r="P165" s="174"/>
      <c r="Q165" s="174"/>
      <c r="R165" s="217"/>
      <c r="S165" s="174"/>
      <c r="T165" s="174"/>
      <c r="U165" s="110"/>
      <c r="V165" s="93">
        <f t="shared" si="22"/>
        <v>350000</v>
      </c>
      <c r="W165" s="104">
        <v>0.20461442687305195</v>
      </c>
      <c r="X165" s="105">
        <v>0.24339566955880843</v>
      </c>
      <c r="Y165" s="105">
        <v>0.2821769122445648</v>
      </c>
      <c r="Z165" s="105">
        <v>0.32095815493032137</v>
      </c>
      <c r="AA165" s="105">
        <v>0.3597393976160779</v>
      </c>
      <c r="AB165" s="105">
        <v>0.3985206403018343</v>
      </c>
      <c r="AC165" s="106">
        <v>0.4373018829875908</v>
      </c>
      <c r="AD165" s="51"/>
      <c r="AE165" s="110"/>
      <c r="AF165" s="93">
        <f t="shared" si="23"/>
        <v>350000</v>
      </c>
      <c r="AG165" s="185">
        <v>0.159784539859025</v>
      </c>
      <c r="AH165" s="185">
        <v>0.17128369699176785</v>
      </c>
      <c r="AI165" s="185">
        <v>0.18255920512509646</v>
      </c>
      <c r="AJ165" s="185">
        <v>0.193654852378896</v>
      </c>
      <c r="AK165" s="186">
        <v>0.20461442687305195</v>
      </c>
      <c r="AL165" s="185">
        <v>0.20896996483686836</v>
      </c>
      <c r="AM165" s="185">
        <v>0.21331353969799624</v>
      </c>
      <c r="AN165" s="185">
        <v>0.217647953896108</v>
      </c>
      <c r="AO165" s="185">
        <v>0.22197600987087648</v>
      </c>
      <c r="AP165" s="187">
        <v>0.22630051006197419</v>
      </c>
      <c r="AR165" s="110"/>
      <c r="AS165" s="119">
        <v>0.85</v>
      </c>
      <c r="AT165" s="105">
        <v>0.09676777449726308</v>
      </c>
      <c r="AU165" s="105">
        <v>0.11856053765515781</v>
      </c>
      <c r="AV165" s="105">
        <v>0.12582479204112273</v>
      </c>
      <c r="AW165" s="105">
        <v>0.12945691923410518</v>
      </c>
      <c r="AX165" s="105">
        <v>0.13163619554989467</v>
      </c>
      <c r="AY165" s="105">
        <v>0.1359947481814736</v>
      </c>
      <c r="AZ165" s="105">
        <v>0.13744759905866658</v>
      </c>
      <c r="BA165" s="105">
        <v>0.1359947481814736</v>
      </c>
      <c r="BB165" s="105">
        <v>0.1368664587077894</v>
      </c>
      <c r="BC165" s="105">
        <v>0.13744759905866658</v>
      </c>
      <c r="BD165" s="105">
        <v>0.13661739855741345</v>
      </c>
      <c r="BE165" s="105">
        <v>0.13708438633936837</v>
      </c>
      <c r="BF165" s="105">
        <v>0.1374475990586666</v>
      </c>
      <c r="BG165" s="106">
        <v>0.1368664587077894</v>
      </c>
      <c r="BI165" s="110"/>
      <c r="BJ165" s="93">
        <f t="shared" si="24"/>
        <v>250000</v>
      </c>
      <c r="BK165" s="105">
        <v>0.25008861872956567</v>
      </c>
      <c r="BL165" s="105">
        <v>0.2718813818874604</v>
      </c>
      <c r="BM165" s="105">
        <v>0.27914563627342537</v>
      </c>
      <c r="BN165" s="105">
        <v>0.2827777634664078</v>
      </c>
      <c r="BO165" s="105">
        <v>0.2849570397821972</v>
      </c>
      <c r="BP165" s="105">
        <v>0.2893155924137762</v>
      </c>
      <c r="BQ165" s="105">
        <v>0.29076844329096924</v>
      </c>
      <c r="BR165" s="105">
        <v>0.2893155924137762</v>
      </c>
      <c r="BS165" s="105">
        <v>0.290187302940092</v>
      </c>
      <c r="BT165" s="105">
        <v>0.29076844329096924</v>
      </c>
      <c r="BU165" s="105">
        <v>0.2899382427897161</v>
      </c>
      <c r="BV165" s="105">
        <v>0.29040523057167095</v>
      </c>
      <c r="BW165" s="105">
        <v>0.2907684432909692</v>
      </c>
      <c r="BX165" s="106">
        <v>0.290187302940092</v>
      </c>
      <c r="BY165" s="11"/>
    </row>
    <row r="166">
      <c r="D166" s="218"/>
      <c r="E166" s="219"/>
      <c r="F166" s="174"/>
      <c r="G166" s="220"/>
      <c r="H166" s="220"/>
      <c r="I166" s="220"/>
      <c r="J166" s="220"/>
      <c r="K166" s="220"/>
      <c r="L166" s="220"/>
      <c r="M166" s="220"/>
      <c r="N166" s="220"/>
      <c r="O166" s="220"/>
      <c r="P166" s="220"/>
      <c r="Q166" s="220"/>
      <c r="R166" s="221"/>
      <c r="S166" s="220"/>
      <c r="T166" s="220"/>
      <c r="U166" s="110"/>
      <c r="V166" s="93">
        <f t="shared" si="22"/>
        <v>400000</v>
      </c>
      <c r="W166" s="104">
        <v>0.18858427074570427</v>
      </c>
      <c r="X166" s="105">
        <v>0.22486080153656265</v>
      </c>
      <c r="Y166" s="105">
        <v>0.26113733232742103</v>
      </c>
      <c r="Z166" s="105">
        <v>0.29741386311827944</v>
      </c>
      <c r="AA166" s="105">
        <v>0.3336903939091378</v>
      </c>
      <c r="AB166" s="105">
        <v>0.36996692469999615</v>
      </c>
      <c r="AC166" s="106">
        <v>0.4062434554908546</v>
      </c>
      <c r="AD166" s="51"/>
      <c r="AE166" s="110"/>
      <c r="AF166" s="93">
        <f t="shared" si="23"/>
        <v>400000</v>
      </c>
      <c r="AG166" s="185">
        <v>0.14664975127213548</v>
      </c>
      <c r="AH166" s="185">
        <v>0.15740622782898592</v>
      </c>
      <c r="AI166" s="185">
        <v>0.1679534999031605</v>
      </c>
      <c r="AJ166" s="185">
        <v>0.1783325275302148</v>
      </c>
      <c r="AK166" s="186">
        <v>0.18858427074570427</v>
      </c>
      <c r="AL166" s="185">
        <v>0.19265850344462632</v>
      </c>
      <c r="AM166" s="185">
        <v>0.19672154568566244</v>
      </c>
      <c r="AN166" s="185">
        <v>0.2007760189110881</v>
      </c>
      <c r="AO166" s="185">
        <v>0.20482454456317895</v>
      </c>
      <c r="AP166" s="187">
        <v>0.2088697440842105</v>
      </c>
      <c r="AR166" s="110"/>
      <c r="AS166" s="134">
        <v>0.9</v>
      </c>
      <c r="AT166" s="194">
        <v>0.1032515462068881</v>
      </c>
      <c r="AU166" s="194">
        <v>0.12504430936478284</v>
      </c>
      <c r="AV166" s="194">
        <v>0.13230856375074776</v>
      </c>
      <c r="AW166" s="194">
        <v>0.1359406909437302</v>
      </c>
      <c r="AX166" s="194">
        <v>0.13811996725951967</v>
      </c>
      <c r="AY166" s="194">
        <v>0.1424785198910986</v>
      </c>
      <c r="AZ166" s="194">
        <v>0.14393137076829163</v>
      </c>
      <c r="BA166" s="194">
        <v>0.1424785198910986</v>
      </c>
      <c r="BB166" s="194">
        <v>0.14335023041741443</v>
      </c>
      <c r="BC166" s="194">
        <v>0.14393137076829163</v>
      </c>
      <c r="BD166" s="194">
        <v>0.14310117026703847</v>
      </c>
      <c r="BE166" s="194">
        <v>0.14356815804899337</v>
      </c>
      <c r="BF166" s="194">
        <v>0.1439313707682916</v>
      </c>
      <c r="BG166" s="195">
        <v>0.14335023041741443</v>
      </c>
      <c r="BI166" s="110"/>
      <c r="BJ166" s="93">
        <f t="shared" si="24"/>
        <v>300000</v>
      </c>
      <c r="BK166" s="105">
        <v>0.224501063346519</v>
      </c>
      <c r="BL166" s="105">
        <v>0.24629382650441375</v>
      </c>
      <c r="BM166" s="105">
        <v>0.2535580808903787</v>
      </c>
      <c r="BN166" s="105">
        <v>0.2571902080833611</v>
      </c>
      <c r="BO166" s="105">
        <v>0.2593694843991506</v>
      </c>
      <c r="BP166" s="105">
        <v>0.2637280370307295</v>
      </c>
      <c r="BQ166" s="105">
        <v>0.2651808879079225</v>
      </c>
      <c r="BR166" s="105">
        <v>0.2637280370307295</v>
      </c>
      <c r="BS166" s="105">
        <v>0.2645997475570453</v>
      </c>
      <c r="BT166" s="105">
        <v>0.2651808879079225</v>
      </c>
      <c r="BU166" s="105">
        <v>0.2643506874066694</v>
      </c>
      <c r="BV166" s="105">
        <v>0.26481767518862426</v>
      </c>
      <c r="BW166" s="105">
        <v>0.2651808879079225</v>
      </c>
      <c r="BX166" s="106">
        <v>0.2645997475570453</v>
      </c>
      <c r="BY166" s="11"/>
    </row>
    <row r="167">
      <c r="E167" s="174"/>
      <c r="F167" s="220"/>
      <c r="G167" s="175"/>
      <c r="H167" s="175"/>
      <c r="I167" s="175"/>
      <c r="J167" s="175"/>
      <c r="K167" s="175"/>
      <c r="L167" s="175"/>
      <c r="M167" s="175"/>
      <c r="N167" s="175"/>
      <c r="O167" s="175"/>
      <c r="P167" s="175"/>
      <c r="Q167" s="175"/>
      <c r="R167" s="222"/>
      <c r="S167" s="175"/>
      <c r="T167" s="175"/>
      <c r="U167" s="110"/>
      <c r="V167" s="93">
        <f t="shared" si="22"/>
        <v>450000</v>
      </c>
      <c r="W167" s="104">
        <v>0.17530625753605958</v>
      </c>
      <c r="X167" s="105">
        <v>0.20950809876291107</v>
      </c>
      <c r="Y167" s="105">
        <v>0.24370993998976237</v>
      </c>
      <c r="Z167" s="105">
        <v>0.27791178121661386</v>
      </c>
      <c r="AA167" s="105">
        <v>0.3121136224434652</v>
      </c>
      <c r="AB167" s="105">
        <v>0.3463154636703167</v>
      </c>
      <c r="AC167" s="106">
        <v>0.3805173048971681</v>
      </c>
      <c r="AD167" s="51"/>
      <c r="AE167" s="110"/>
      <c r="AF167" s="93">
        <f t="shared" si="23"/>
        <v>450000</v>
      </c>
      <c r="AG167" s="185">
        <v>0.1357700134219798</v>
      </c>
      <c r="AH167" s="185">
        <v>0.14591131677534386</v>
      </c>
      <c r="AI167" s="185">
        <v>0.15585538025090173</v>
      </c>
      <c r="AJ167" s="185">
        <v>0.16564082134051855</v>
      </c>
      <c r="AK167" s="186">
        <v>0.17530625753605958</v>
      </c>
      <c r="AL167" s="185">
        <v>0.1791474809621126</v>
      </c>
      <c r="AM167" s="185">
        <v>0.1829781539232913</v>
      </c>
      <c r="AN167" s="185">
        <v>0.18680074793907503</v>
      </c>
      <c r="AO167" s="185">
        <v>0.19061773452894315</v>
      </c>
      <c r="AP167" s="187">
        <v>0.19443158521237514</v>
      </c>
      <c r="AR167" s="110"/>
      <c r="AS167" s="119">
        <v>0.92</v>
      </c>
      <c r="AT167" s="105">
        <v>0.10582831721611384</v>
      </c>
      <c r="AU167" s="105">
        <v>0.12762108037400857</v>
      </c>
      <c r="AV167" s="105">
        <v>0.1348853347599735</v>
      </c>
      <c r="AW167" s="105">
        <v>0.13851746195295594</v>
      </c>
      <c r="AX167" s="105">
        <v>0.14069673826874543</v>
      </c>
      <c r="AY167" s="105">
        <v>0.14505529090032437</v>
      </c>
      <c r="AZ167" s="105">
        <v>0.14650814177751734</v>
      </c>
      <c r="BA167" s="105">
        <v>0.14505529090032437</v>
      </c>
      <c r="BB167" s="105">
        <v>0.14592700142664014</v>
      </c>
      <c r="BC167" s="105">
        <v>0.14650814177751734</v>
      </c>
      <c r="BD167" s="105">
        <v>0.1456779412762642</v>
      </c>
      <c r="BE167" s="105">
        <v>0.1461449290582191</v>
      </c>
      <c r="BF167" s="105">
        <v>0.14650814177751734</v>
      </c>
      <c r="BG167" s="106">
        <v>0.14592700142664014</v>
      </c>
      <c r="BI167" s="110"/>
      <c r="BJ167" s="93">
        <f t="shared" si="24"/>
        <v>350000</v>
      </c>
      <c r="BK167" s="105">
        <v>0.20461442687305195</v>
      </c>
      <c r="BL167" s="105">
        <v>0.2264071900309467</v>
      </c>
      <c r="BM167" s="105">
        <v>0.23367144441691165</v>
      </c>
      <c r="BN167" s="105">
        <v>0.23730357160989407</v>
      </c>
      <c r="BO167" s="105">
        <v>0.23948284792568356</v>
      </c>
      <c r="BP167" s="105">
        <v>0.2438414005572625</v>
      </c>
      <c r="BQ167" s="105">
        <v>0.24529425143445546</v>
      </c>
      <c r="BR167" s="105">
        <v>0.2438414005572625</v>
      </c>
      <c r="BS167" s="105">
        <v>0.2447131110835783</v>
      </c>
      <c r="BT167" s="105">
        <v>0.24529425143445546</v>
      </c>
      <c r="BU167" s="105">
        <v>0.24446405093320236</v>
      </c>
      <c r="BV167" s="105">
        <v>0.24493103871515723</v>
      </c>
      <c r="BW167" s="105">
        <v>0.2452942514344555</v>
      </c>
      <c r="BX167" s="106">
        <v>0.2447131110835783</v>
      </c>
      <c r="BY167" s="11"/>
    </row>
    <row r="168">
      <c r="E168" s="174"/>
      <c r="F168" s="175"/>
      <c r="G168" s="220"/>
      <c r="H168" s="220"/>
      <c r="I168" s="220"/>
      <c r="J168" s="220"/>
      <c r="K168" s="220"/>
      <c r="L168" s="220"/>
      <c r="M168" s="220"/>
      <c r="N168" s="220"/>
      <c r="O168" s="220"/>
      <c r="P168" s="220"/>
      <c r="Q168" s="220"/>
      <c r="R168" s="221"/>
      <c r="S168" s="220"/>
      <c r="T168" s="220"/>
      <c r="U168" s="110"/>
      <c r="V168" s="93">
        <f t="shared" si="22"/>
        <v>500000</v>
      </c>
      <c r="W168" s="104">
        <v>0.16407345310494295</v>
      </c>
      <c r="X168" s="105">
        <v>0.1965201686394324</v>
      </c>
      <c r="Y168" s="105">
        <v>0.22896688417392175</v>
      </c>
      <c r="Z168" s="105">
        <v>0.2614135997084111</v>
      </c>
      <c r="AA168" s="105">
        <v>0.29386031524290057</v>
      </c>
      <c r="AB168" s="105">
        <v>0.32630703077739004</v>
      </c>
      <c r="AC168" s="106">
        <v>0.3587537463118794</v>
      </c>
      <c r="AD168" s="51"/>
      <c r="AE168" s="110"/>
      <c r="AF168" s="93">
        <f t="shared" si="23"/>
        <v>500000</v>
      </c>
      <c r="AG168" s="188">
        <v>0.1265660786462675</v>
      </c>
      <c r="AH168" s="188">
        <v>0.13618696375806763</v>
      </c>
      <c r="AI168" s="188">
        <v>0.1456207306920835</v>
      </c>
      <c r="AJ168" s="188">
        <v>0.1549040152178602</v>
      </c>
      <c r="AK168" s="189">
        <v>0.16407345310494295</v>
      </c>
      <c r="AL168" s="188">
        <v>0.16771755761331975</v>
      </c>
      <c r="AM168" s="188">
        <v>0.17135165307188366</v>
      </c>
      <c r="AN168" s="188">
        <v>0.17497808416988558</v>
      </c>
      <c r="AO168" s="188">
        <v>0.17859919559657628</v>
      </c>
      <c r="AP168" s="190">
        <v>0.1822173320412067</v>
      </c>
      <c r="AR168" s="110"/>
      <c r="AS168" s="119">
        <v>0.94</v>
      </c>
      <c r="AT168" s="105">
        <v>0.10839801075834364</v>
      </c>
      <c r="AU168" s="105">
        <v>0.13019077391623837</v>
      </c>
      <c r="AV168" s="105">
        <v>0.1374550283022033</v>
      </c>
      <c r="AW168" s="105">
        <v>0.14108715549518575</v>
      </c>
      <c r="AX168" s="105">
        <v>0.14326643181097523</v>
      </c>
      <c r="AY168" s="105">
        <v>0.14762498444255417</v>
      </c>
      <c r="AZ168" s="105">
        <v>0.14907783531974714</v>
      </c>
      <c r="BA168" s="105">
        <v>0.14762498444255417</v>
      </c>
      <c r="BB168" s="105">
        <v>0.14849669496886997</v>
      </c>
      <c r="BC168" s="105">
        <v>0.14907783531974714</v>
      </c>
      <c r="BD168" s="105">
        <v>0.148247634818494</v>
      </c>
      <c r="BE168" s="105">
        <v>0.1487146226004489</v>
      </c>
      <c r="BF168" s="105">
        <v>0.14907783531974717</v>
      </c>
      <c r="BG168" s="106">
        <v>0.14849669496886997</v>
      </c>
      <c r="BI168" s="110"/>
      <c r="BJ168" s="93">
        <f t="shared" si="24"/>
        <v>400000</v>
      </c>
      <c r="BK168" s="105">
        <v>0.18858427074570427</v>
      </c>
      <c r="BL168" s="105">
        <v>0.21037703390359902</v>
      </c>
      <c r="BM168" s="105">
        <v>0.21764128828956392</v>
      </c>
      <c r="BN168" s="105">
        <v>0.2212734154825464</v>
      </c>
      <c r="BO168" s="105">
        <v>0.22345269179833585</v>
      </c>
      <c r="BP168" s="105">
        <v>0.2278112444299148</v>
      </c>
      <c r="BQ168" s="105">
        <v>0.22926409530710778</v>
      </c>
      <c r="BR168" s="105">
        <v>0.2278112444299148</v>
      </c>
      <c r="BS168" s="105">
        <v>0.2286829549562306</v>
      </c>
      <c r="BT168" s="105">
        <v>0.22926409530710778</v>
      </c>
      <c r="BU168" s="105">
        <v>0.22843389480585466</v>
      </c>
      <c r="BV168" s="105">
        <v>0.22890088258780955</v>
      </c>
      <c r="BW168" s="105">
        <v>0.22926409530710778</v>
      </c>
      <c r="BX168" s="106">
        <v>0.2286829549562306</v>
      </c>
      <c r="BY168" s="11"/>
    </row>
    <row r="169">
      <c r="E169" s="174"/>
      <c r="F169" s="220"/>
      <c r="G169" s="220"/>
      <c r="H169" s="220"/>
      <c r="I169" s="220"/>
      <c r="J169" s="220"/>
      <c r="K169" s="220"/>
      <c r="L169" s="220"/>
      <c r="M169" s="220"/>
      <c r="N169" s="220"/>
      <c r="O169" s="220"/>
      <c r="P169" s="220"/>
      <c r="Q169" s="220"/>
      <c r="R169" s="221"/>
      <c r="S169" s="220"/>
      <c r="T169" s="220"/>
      <c r="U169" s="110"/>
      <c r="V169" s="93">
        <f t="shared" si="22"/>
        <v>550000</v>
      </c>
      <c r="W169" s="104">
        <v>0.1544095418827992</v>
      </c>
      <c r="X169" s="105">
        <v>0.18534627128882863</v>
      </c>
      <c r="Y169" s="105">
        <v>0.21628300069485817</v>
      </c>
      <c r="Z169" s="105">
        <v>0.2472197301008876</v>
      </c>
      <c r="AA169" s="105">
        <v>0.2781564595069171</v>
      </c>
      <c r="AB169" s="105">
        <v>0.3090931889129466</v>
      </c>
      <c r="AC169" s="106">
        <v>0.34002991831897605</v>
      </c>
      <c r="AD169" s="144"/>
      <c r="AE169" s="110"/>
      <c r="AF169" s="93">
        <f t="shared" si="23"/>
        <v>550000</v>
      </c>
      <c r="AG169" s="185">
        <v>0.11864766351562654</v>
      </c>
      <c r="AH169" s="185">
        <v>0.1278208175451579</v>
      </c>
      <c r="AI169" s="185">
        <v>0.1368155613924041</v>
      </c>
      <c r="AJ169" s="185">
        <v>0.14566682589305469</v>
      </c>
      <c r="AK169" s="186">
        <v>0.1544095418827992</v>
      </c>
      <c r="AL169" s="185">
        <v>0.1578840592028377</v>
      </c>
      <c r="AM169" s="185">
        <v>0.16134903326832575</v>
      </c>
      <c r="AN169" s="185">
        <v>0.1648066996527473</v>
      </c>
      <c r="AO169" s="185">
        <v>0.16825929392958666</v>
      </c>
      <c r="AP169" s="187">
        <v>0.17170905167232783</v>
      </c>
      <c r="AR169" s="110"/>
      <c r="AS169" s="119">
        <v>0.96</v>
      </c>
      <c r="AT169" s="105">
        <v>0.11096228477924651</v>
      </c>
      <c r="AU169" s="105">
        <v>0.13275504793714124</v>
      </c>
      <c r="AV169" s="105">
        <v>0.14001930232310617</v>
      </c>
      <c r="AW169" s="105">
        <v>0.1436514295160886</v>
      </c>
      <c r="AX169" s="105">
        <v>0.14583070583187807</v>
      </c>
      <c r="AY169" s="105">
        <v>0.15018925846345701</v>
      </c>
      <c r="AZ169" s="105">
        <v>0.15164210934065</v>
      </c>
      <c r="BA169" s="105">
        <v>0.15018925846345701</v>
      </c>
      <c r="BB169" s="105">
        <v>0.1510609689897728</v>
      </c>
      <c r="BC169" s="105">
        <v>0.15164210934065</v>
      </c>
      <c r="BD169" s="105">
        <v>0.15081190883939688</v>
      </c>
      <c r="BE169" s="105">
        <v>0.15127889662135177</v>
      </c>
      <c r="BF169" s="105">
        <v>0.15164210934065</v>
      </c>
      <c r="BG169" s="106">
        <v>0.1510609689897728</v>
      </c>
      <c r="BI169" s="110"/>
      <c r="BJ169" s="93">
        <f t="shared" si="24"/>
        <v>450000</v>
      </c>
      <c r="BK169" s="105">
        <v>0.17530625753605958</v>
      </c>
      <c r="BL169" s="105">
        <v>0.19709902069395432</v>
      </c>
      <c r="BM169" s="105">
        <v>0.20436327507991922</v>
      </c>
      <c r="BN169" s="105">
        <v>0.20799540227290167</v>
      </c>
      <c r="BO169" s="105">
        <v>0.21017467858869113</v>
      </c>
      <c r="BP169" s="105">
        <v>0.2145332312202701</v>
      </c>
      <c r="BQ169" s="105">
        <v>0.2159860820974631</v>
      </c>
      <c r="BR169" s="105">
        <v>0.2145332312202701</v>
      </c>
      <c r="BS169" s="105">
        <v>0.2154049417465859</v>
      </c>
      <c r="BT169" s="105">
        <v>0.2159860820974631</v>
      </c>
      <c r="BU169" s="105">
        <v>0.21515588159620996</v>
      </c>
      <c r="BV169" s="105">
        <v>0.21562286937816483</v>
      </c>
      <c r="BW169" s="105">
        <v>0.21598608209746306</v>
      </c>
      <c r="BX169" s="106">
        <v>0.2154049417465859</v>
      </c>
      <c r="BY169" s="11"/>
    </row>
    <row r="170">
      <c r="E170" s="174"/>
      <c r="F170" s="220"/>
      <c r="G170" s="220"/>
      <c r="H170" s="220"/>
      <c r="I170" s="220"/>
      <c r="J170" s="220"/>
      <c r="K170" s="220"/>
      <c r="L170" s="220"/>
      <c r="M170" s="220"/>
      <c r="N170" s="220"/>
      <c r="O170" s="220"/>
      <c r="P170" s="220"/>
      <c r="Q170" s="220"/>
      <c r="R170" s="221"/>
      <c r="S170" s="220"/>
      <c r="T170" s="220"/>
      <c r="U170" s="110"/>
      <c r="V170" s="93">
        <f t="shared" si="22"/>
        <v>600000</v>
      </c>
      <c r="W170" s="104">
        <v>0.14598031917960427</v>
      </c>
      <c r="X170" s="105">
        <v>0.17559998253825942</v>
      </c>
      <c r="Y170" s="105">
        <v>0.20521964589691472</v>
      </c>
      <c r="Z170" s="105">
        <v>0.23483930925556992</v>
      </c>
      <c r="AA170" s="105">
        <v>0.26445897261422524</v>
      </c>
      <c r="AB170" s="105">
        <v>0.2940786359728806</v>
      </c>
      <c r="AC170" s="106">
        <v>0.3236982993315357</v>
      </c>
      <c r="AD170" s="51"/>
      <c r="AE170" s="110"/>
      <c r="AF170" s="93">
        <f t="shared" si="23"/>
        <v>600000</v>
      </c>
      <c r="AG170" s="185">
        <v>0.11174092740658813</v>
      </c>
      <c r="AH170" s="185">
        <v>0.12052355373808574</v>
      </c>
      <c r="AI170" s="185">
        <v>0.1291353653247638</v>
      </c>
      <c r="AJ170" s="185">
        <v>0.13760980589560806</v>
      </c>
      <c r="AK170" s="186">
        <v>0.14598031917960427</v>
      </c>
      <c r="AL170" s="185">
        <v>0.14930691624817796</v>
      </c>
      <c r="AM170" s="185">
        <v>0.1526243763461489</v>
      </c>
      <c r="AN170" s="185">
        <v>0.155934839872172</v>
      </c>
      <c r="AO170" s="185">
        <v>0.15924044722490233</v>
      </c>
      <c r="AP170" s="187">
        <v>0.1625433388029951</v>
      </c>
      <c r="AR170" s="110"/>
      <c r="AS170" s="119">
        <v>0.98</v>
      </c>
      <c r="AT170" s="196">
        <v>0.11352279722449164</v>
      </c>
      <c r="AU170" s="196">
        <v>0.13531556038238637</v>
      </c>
      <c r="AV170" s="196">
        <v>0.1425798147683513</v>
      </c>
      <c r="AW170" s="196">
        <v>0.14621194196133375</v>
      </c>
      <c r="AX170" s="196">
        <v>0.14839121827712323</v>
      </c>
      <c r="AY170" s="196">
        <v>0.15274977090870218</v>
      </c>
      <c r="AZ170" s="196">
        <v>0.15420262178589517</v>
      </c>
      <c r="BA170" s="196">
        <v>0.15274977090870218</v>
      </c>
      <c r="BB170" s="196">
        <v>0.15362148143501797</v>
      </c>
      <c r="BC170" s="196">
        <v>0.15420262178589517</v>
      </c>
      <c r="BD170" s="196">
        <v>0.15337242128464204</v>
      </c>
      <c r="BE170" s="196">
        <v>0.1538394090665969</v>
      </c>
      <c r="BF170" s="196">
        <v>0.15420262178589517</v>
      </c>
      <c r="BG170" s="197">
        <v>0.15362148143501797</v>
      </c>
      <c r="BI170" s="110"/>
      <c r="BJ170" s="93">
        <f t="shared" si="24"/>
        <v>500000</v>
      </c>
      <c r="BK170" s="196">
        <v>0.16407345310494295</v>
      </c>
      <c r="BL170" s="196">
        <v>0.1858662162628377</v>
      </c>
      <c r="BM170" s="196">
        <v>0.1931304706488026</v>
      </c>
      <c r="BN170" s="196">
        <v>0.19676259784178504</v>
      </c>
      <c r="BO170" s="196">
        <v>0.1989418741575745</v>
      </c>
      <c r="BP170" s="196">
        <v>0.20330042678915344</v>
      </c>
      <c r="BQ170" s="196">
        <v>0.20475327766634643</v>
      </c>
      <c r="BR170" s="196">
        <v>0.20330042678915344</v>
      </c>
      <c r="BS170" s="196">
        <v>0.20417213731546927</v>
      </c>
      <c r="BT170" s="196">
        <v>0.20475327766634643</v>
      </c>
      <c r="BU170" s="196">
        <v>0.2039230771650933</v>
      </c>
      <c r="BV170" s="196">
        <v>0.2043900649470482</v>
      </c>
      <c r="BW170" s="196">
        <v>0.20475327766634643</v>
      </c>
      <c r="BX170" s="197">
        <v>0.20417213731546927</v>
      </c>
      <c r="BY170" s="11"/>
    </row>
    <row r="171">
      <c r="E171" s="174"/>
      <c r="F171" s="220"/>
      <c r="G171" s="220"/>
      <c r="H171" s="220"/>
      <c r="I171" s="220"/>
      <c r="J171" s="220"/>
      <c r="K171" s="220"/>
      <c r="L171" s="220"/>
      <c r="M171" s="220"/>
      <c r="N171" s="220"/>
      <c r="O171" s="220"/>
      <c r="P171" s="220"/>
      <c r="Q171" s="220"/>
      <c r="R171" s="221"/>
      <c r="S171" s="220"/>
      <c r="T171" s="220"/>
      <c r="U171" s="110"/>
      <c r="V171" s="93">
        <f t="shared" si="22"/>
        <v>650000</v>
      </c>
      <c r="W171" s="104">
        <v>0.13854344686627715</v>
      </c>
      <c r="X171" s="105">
        <v>0.16700109892597517</v>
      </c>
      <c r="Y171" s="105">
        <v>0.195458750985673</v>
      </c>
      <c r="Z171" s="105">
        <v>0.22391640304537092</v>
      </c>
      <c r="AA171" s="105">
        <v>0.25237405510506883</v>
      </c>
      <c r="AB171" s="105">
        <v>0.28083170716476674</v>
      </c>
      <c r="AC171" s="106">
        <v>0.30928935922446454</v>
      </c>
      <c r="AD171" s="51"/>
      <c r="AE171" s="110"/>
      <c r="AF171" s="93">
        <f t="shared" si="23"/>
        <v>650000</v>
      </c>
      <c r="AG171" s="185">
        <v>0.1056473033141443</v>
      </c>
      <c r="AH171" s="185">
        <v>0.1140853777542802</v>
      </c>
      <c r="AI171" s="185">
        <v>0.12235933869603234</v>
      </c>
      <c r="AJ171" s="185">
        <v>0.13050131783487362</v>
      </c>
      <c r="AK171" s="186">
        <v>0.13854344686627715</v>
      </c>
      <c r="AL171" s="185">
        <v>0.141739537948542</v>
      </c>
      <c r="AM171" s="185">
        <v>0.14492685051340273</v>
      </c>
      <c r="AN171" s="185">
        <v>0.14810744098936968</v>
      </c>
      <c r="AO171" s="185">
        <v>0.1512833658049531</v>
      </c>
      <c r="AP171" s="187">
        <v>0.1544566813886632</v>
      </c>
      <c r="AR171" s="146"/>
      <c r="AS171" s="147">
        <v>1.0</v>
      </c>
      <c r="AT171" s="198">
        <v>0.11608120603974803</v>
      </c>
      <c r="AU171" s="198">
        <v>0.13787396919764278</v>
      </c>
      <c r="AV171" s="198">
        <v>0.14513822358360767</v>
      </c>
      <c r="AW171" s="198">
        <v>0.14877035077659012</v>
      </c>
      <c r="AX171" s="198">
        <v>0.15094962709237958</v>
      </c>
      <c r="AY171" s="198">
        <v>0.15530817972395852</v>
      </c>
      <c r="AZ171" s="198">
        <v>0.1567610306011515</v>
      </c>
      <c r="BA171" s="198">
        <v>0.15530817972395852</v>
      </c>
      <c r="BB171" s="198">
        <v>0.15617989025027432</v>
      </c>
      <c r="BC171" s="198">
        <v>0.1567610306011515</v>
      </c>
      <c r="BD171" s="198">
        <v>0.1559308300998984</v>
      </c>
      <c r="BE171" s="198">
        <v>0.15639781788185328</v>
      </c>
      <c r="BF171" s="198">
        <v>0.15676103060115154</v>
      </c>
      <c r="BG171" s="199">
        <v>0.15617989025027432</v>
      </c>
      <c r="BI171" s="110"/>
      <c r="BJ171" s="93">
        <f t="shared" si="24"/>
        <v>550000</v>
      </c>
      <c r="BK171" s="200">
        <v>0.1544095418827992</v>
      </c>
      <c r="BL171" s="200">
        <v>0.17620230504069395</v>
      </c>
      <c r="BM171" s="200">
        <v>0.18346655942665885</v>
      </c>
      <c r="BN171" s="200">
        <v>0.1870986866196413</v>
      </c>
      <c r="BO171" s="200">
        <v>0.18927796293543078</v>
      </c>
      <c r="BP171" s="200">
        <v>0.19363651556700973</v>
      </c>
      <c r="BQ171" s="200">
        <v>0.1950893664442027</v>
      </c>
      <c r="BR171" s="200">
        <v>0.19363651556700973</v>
      </c>
      <c r="BS171" s="200">
        <v>0.19450822609332552</v>
      </c>
      <c r="BT171" s="200">
        <v>0.1950893664442027</v>
      </c>
      <c r="BU171" s="200">
        <v>0.1942591659429496</v>
      </c>
      <c r="BV171" s="200">
        <v>0.19472615372490445</v>
      </c>
      <c r="BW171" s="200">
        <v>0.1950893664442027</v>
      </c>
      <c r="BX171" s="201">
        <v>0.19450822609332552</v>
      </c>
      <c r="BY171" s="11"/>
    </row>
    <row r="172">
      <c r="E172" s="174"/>
      <c r="F172" s="220"/>
      <c r="G172" s="220"/>
      <c r="H172" s="220"/>
      <c r="I172" s="220"/>
      <c r="J172" s="220"/>
      <c r="K172" s="220"/>
      <c r="L172" s="220"/>
      <c r="M172" s="220"/>
      <c r="N172" s="220"/>
      <c r="O172" s="220"/>
      <c r="P172" s="220"/>
      <c r="Q172" s="220"/>
      <c r="R172" s="221"/>
      <c r="S172" s="220"/>
      <c r="T172" s="220"/>
      <c r="U172" s="110"/>
      <c r="V172" s="93">
        <f t="shared" si="22"/>
        <v>700000</v>
      </c>
      <c r="W172" s="104">
        <v>0.13191834367422392</v>
      </c>
      <c r="X172" s="105">
        <v>0.15934082336016353</v>
      </c>
      <c r="Y172" s="105">
        <v>0.18676330304610314</v>
      </c>
      <c r="Z172" s="105">
        <v>0.2141857827320427</v>
      </c>
      <c r="AA172" s="105">
        <v>0.24160826241798242</v>
      </c>
      <c r="AB172" s="105">
        <v>0.269030742103922</v>
      </c>
      <c r="AC172" s="106">
        <v>0.29645322178986144</v>
      </c>
      <c r="AD172" s="51"/>
      <c r="AE172" s="110"/>
      <c r="AF172" s="93">
        <f t="shared" si="23"/>
        <v>700000</v>
      </c>
      <c r="AG172" s="185">
        <v>0.10021882656677877</v>
      </c>
      <c r="AH172" s="185">
        <v>0.10834995855327086</v>
      </c>
      <c r="AI172" s="185">
        <v>0.11632294681567158</v>
      </c>
      <c r="AJ172" s="185">
        <v>0.12416875423048716</v>
      </c>
      <c r="AK172" s="186">
        <v>0.13191834367422392</v>
      </c>
      <c r="AL172" s="185">
        <v>0.13499817410415396</v>
      </c>
      <c r="AM172" s="185">
        <v>0.13806954534304888</v>
      </c>
      <c r="AN172" s="185">
        <v>0.141134439015005</v>
      </c>
      <c r="AO172" s="185">
        <v>0.14419483674411873</v>
      </c>
      <c r="AP172" s="187">
        <v>0.14725272015448643</v>
      </c>
      <c r="BI172" s="110"/>
      <c r="BJ172" s="93">
        <f t="shared" si="24"/>
        <v>600000</v>
      </c>
      <c r="BK172" s="200">
        <v>0.14598031917960427</v>
      </c>
      <c r="BL172" s="200">
        <v>0.16777308233749902</v>
      </c>
      <c r="BM172" s="200">
        <v>0.17503733672346392</v>
      </c>
      <c r="BN172" s="200">
        <v>0.1786694639164464</v>
      </c>
      <c r="BO172" s="200">
        <v>0.18084874023223585</v>
      </c>
      <c r="BP172" s="200">
        <v>0.1852072928638148</v>
      </c>
      <c r="BQ172" s="200">
        <v>0.18666014374100776</v>
      </c>
      <c r="BR172" s="200">
        <v>0.1852072928638148</v>
      </c>
      <c r="BS172" s="200">
        <v>0.1860790033901306</v>
      </c>
      <c r="BT172" s="200">
        <v>0.18666014374100776</v>
      </c>
      <c r="BU172" s="200">
        <v>0.18582994323975466</v>
      </c>
      <c r="BV172" s="200">
        <v>0.18629693102170952</v>
      </c>
      <c r="BW172" s="200">
        <v>0.18666014374100778</v>
      </c>
      <c r="BX172" s="201">
        <v>0.1860790033901306</v>
      </c>
      <c r="BY172" s="11"/>
    </row>
    <row r="173">
      <c r="E173" s="174"/>
      <c r="F173" s="220"/>
      <c r="G173" s="220"/>
      <c r="H173" s="220"/>
      <c r="I173" s="220"/>
      <c r="J173" s="220"/>
      <c r="K173" s="220"/>
      <c r="L173" s="220"/>
      <c r="M173" s="220"/>
      <c r="N173" s="220"/>
      <c r="O173" s="220"/>
      <c r="P173" s="220"/>
      <c r="Q173" s="220"/>
      <c r="R173" s="221"/>
      <c r="S173" s="220"/>
      <c r="T173" s="220"/>
      <c r="U173" s="110"/>
      <c r="V173" s="93">
        <f t="shared" si="22"/>
        <v>750000</v>
      </c>
      <c r="W173" s="104">
        <v>0.1259673203801795</v>
      </c>
      <c r="X173" s="105">
        <v>0.15245995267642465</v>
      </c>
      <c r="Y173" s="105">
        <v>0.17895258497266983</v>
      </c>
      <c r="Z173" s="105">
        <v>0.205445217268915</v>
      </c>
      <c r="AA173" s="105">
        <v>0.23193784956516025</v>
      </c>
      <c r="AB173" s="105">
        <v>0.25843048186140527</v>
      </c>
      <c r="AC173" s="106">
        <v>0.2849231141576505</v>
      </c>
      <c r="AD173" s="51"/>
      <c r="AE173" s="110"/>
      <c r="AF173" s="93">
        <f t="shared" si="23"/>
        <v>750000</v>
      </c>
      <c r="AG173" s="185">
        <v>0.09534267737509512</v>
      </c>
      <c r="AH173" s="185">
        <v>0.10319809717437843</v>
      </c>
      <c r="AI173" s="185">
        <v>0.11090073562127141</v>
      </c>
      <c r="AJ173" s="185">
        <v>0.11848050569634735</v>
      </c>
      <c r="AK173" s="186">
        <v>0.1259673203801795</v>
      </c>
      <c r="AL173" s="185">
        <v>0.12894271925181258</v>
      </c>
      <c r="AM173" s="185">
        <v>0.131909945768495</v>
      </c>
      <c r="AN173" s="185">
        <v>0.13487091436098345</v>
      </c>
      <c r="AO173" s="185">
        <v>0.13782753946003476</v>
      </c>
      <c r="AP173" s="187">
        <v>0.14078173549640555</v>
      </c>
      <c r="BI173" s="110"/>
      <c r="BJ173" s="93">
        <f t="shared" si="24"/>
        <v>650000</v>
      </c>
      <c r="BK173" s="200">
        <v>0.13854344686627715</v>
      </c>
      <c r="BL173" s="200">
        <v>0.1603362100241719</v>
      </c>
      <c r="BM173" s="200">
        <v>0.16760046441013682</v>
      </c>
      <c r="BN173" s="200">
        <v>0.17123259160311927</v>
      </c>
      <c r="BO173" s="200">
        <v>0.17341186791890872</v>
      </c>
      <c r="BP173" s="200">
        <v>0.17777042055048767</v>
      </c>
      <c r="BQ173" s="200">
        <v>0.17922327142768066</v>
      </c>
      <c r="BR173" s="200">
        <v>0.17777042055048767</v>
      </c>
      <c r="BS173" s="200">
        <v>0.1786421310768035</v>
      </c>
      <c r="BT173" s="200">
        <v>0.17922327142768066</v>
      </c>
      <c r="BU173" s="200">
        <v>0.17839307092642753</v>
      </c>
      <c r="BV173" s="200">
        <v>0.17886005870838242</v>
      </c>
      <c r="BW173" s="200">
        <v>0.17922327142768066</v>
      </c>
      <c r="BX173" s="201">
        <v>0.1786421310768035</v>
      </c>
      <c r="BY173" s="11"/>
    </row>
    <row r="174">
      <c r="E174" s="174"/>
      <c r="F174" s="220"/>
      <c r="G174" s="175"/>
      <c r="H174" s="175"/>
      <c r="I174" s="175"/>
      <c r="J174" s="175"/>
      <c r="K174" s="175"/>
      <c r="L174" s="175"/>
      <c r="M174" s="175"/>
      <c r="N174" s="175"/>
      <c r="O174" s="175"/>
      <c r="P174" s="175"/>
      <c r="Q174" s="175"/>
      <c r="R174" s="222"/>
      <c r="S174" s="175"/>
      <c r="T174" s="175"/>
      <c r="U174" s="110"/>
      <c r="V174" s="93">
        <f t="shared" si="22"/>
        <v>800000</v>
      </c>
      <c r="W174" s="104">
        <v>0.12058331157309733</v>
      </c>
      <c r="X174" s="105">
        <v>0.1462346924932359</v>
      </c>
      <c r="Y174" s="105">
        <v>0.17188607341337447</v>
      </c>
      <c r="Z174" s="105">
        <v>0.19753745433351302</v>
      </c>
      <c r="AA174" s="105">
        <v>0.2231888352536516</v>
      </c>
      <c r="AB174" s="105">
        <v>0.24884021617379024</v>
      </c>
      <c r="AC174" s="106">
        <v>0.2744915970939287</v>
      </c>
      <c r="AD174" s="51"/>
      <c r="AE174" s="110"/>
      <c r="AF174" s="93">
        <f t="shared" si="23"/>
        <v>800000</v>
      </c>
      <c r="AG174" s="185">
        <v>0.09093112848753752</v>
      </c>
      <c r="AH174" s="185">
        <v>0.09853710600256053</v>
      </c>
      <c r="AI174" s="185">
        <v>0.10599515360922893</v>
      </c>
      <c r="AJ174" s="185">
        <v>0.11333423442644155</v>
      </c>
      <c r="AK174" s="186">
        <v>0.12058331157309733</v>
      </c>
      <c r="AL174" s="185">
        <v>0.12346422914263706</v>
      </c>
      <c r="AM174" s="185">
        <v>0.1263372338635211</v>
      </c>
      <c r="AN174" s="185">
        <v>0.12920417937535894</v>
      </c>
      <c r="AO174" s="185">
        <v>0.1320669193177601</v>
      </c>
      <c r="AP174" s="187">
        <v>0.13492730733033403</v>
      </c>
      <c r="BI174" s="110"/>
      <c r="BJ174" s="93">
        <f t="shared" si="24"/>
        <v>700000</v>
      </c>
      <c r="BK174" s="200">
        <v>0.13191834367422392</v>
      </c>
      <c r="BL174" s="200">
        <v>0.15371110683211867</v>
      </c>
      <c r="BM174" s="200">
        <v>0.1609753612180836</v>
      </c>
      <c r="BN174" s="200">
        <v>0.16460748841106604</v>
      </c>
      <c r="BO174" s="200">
        <v>0.16678676472685552</v>
      </c>
      <c r="BP174" s="200">
        <v>0.17114531735843447</v>
      </c>
      <c r="BQ174" s="200">
        <v>0.17259816823562746</v>
      </c>
      <c r="BR174" s="200">
        <v>0.17114531735843447</v>
      </c>
      <c r="BS174" s="200">
        <v>0.17201702788475026</v>
      </c>
      <c r="BT174" s="200">
        <v>0.17259816823562746</v>
      </c>
      <c r="BU174" s="200">
        <v>0.1717679677343743</v>
      </c>
      <c r="BV174" s="200">
        <v>0.17223495551632922</v>
      </c>
      <c r="BW174" s="200">
        <v>0.17259816823562746</v>
      </c>
      <c r="BX174" s="201">
        <v>0.17201702788475026</v>
      </c>
      <c r="BY174" s="11"/>
    </row>
    <row r="175">
      <c r="E175" s="174"/>
      <c r="F175" s="175"/>
      <c r="G175" s="220"/>
      <c r="H175" s="220"/>
      <c r="I175" s="220"/>
      <c r="J175" s="220"/>
      <c r="K175" s="220"/>
      <c r="L175" s="220"/>
      <c r="M175" s="220"/>
      <c r="N175" s="220"/>
      <c r="O175" s="220"/>
      <c r="P175" s="220"/>
      <c r="Q175" s="220"/>
      <c r="R175" s="221"/>
      <c r="S175" s="220"/>
      <c r="T175" s="220"/>
      <c r="U175" s="110"/>
      <c r="V175" s="93">
        <f t="shared" si="22"/>
        <v>850000</v>
      </c>
      <c r="W175" s="104">
        <v>0.11568164051968888</v>
      </c>
      <c r="X175" s="105">
        <v>0.14056713533773238</v>
      </c>
      <c r="Y175" s="105">
        <v>0.16545263015577585</v>
      </c>
      <c r="Z175" s="105">
        <v>0.1903381249738193</v>
      </c>
      <c r="AA175" s="105">
        <v>0.21522361979186283</v>
      </c>
      <c r="AB175" s="105">
        <v>0.2401091146099063</v>
      </c>
      <c r="AC175" s="106">
        <v>0.2649946094279499</v>
      </c>
      <c r="AD175" s="51"/>
      <c r="AE175" s="110"/>
      <c r="AF175" s="93">
        <f t="shared" si="23"/>
        <v>850000</v>
      </c>
      <c r="AG175" s="185">
        <v>0.0869147974862967</v>
      </c>
      <c r="AH175" s="185">
        <v>0.09429367952877037</v>
      </c>
      <c r="AI175" s="185">
        <v>0.10152904848010653</v>
      </c>
      <c r="AJ175" s="185">
        <v>0.10864900269288584</v>
      </c>
      <c r="AK175" s="186">
        <v>0.11568164051968888</v>
      </c>
      <c r="AL175" s="185">
        <v>0.11847654109331479</v>
      </c>
      <c r="AM175" s="185">
        <v>0.12126376507616256</v>
      </c>
      <c r="AN175" s="185">
        <v>0.12404511076279727</v>
      </c>
      <c r="AO175" s="185">
        <v>0.12682237644778427</v>
      </c>
      <c r="AP175" s="187">
        <v>0.12959736042568848</v>
      </c>
      <c r="BI175" s="110"/>
      <c r="BJ175" s="93">
        <f t="shared" si="24"/>
        <v>750000</v>
      </c>
      <c r="BK175" s="200">
        <v>0.1259673203801795</v>
      </c>
      <c r="BL175" s="200">
        <v>0.14776008353807424</v>
      </c>
      <c r="BM175" s="200">
        <v>0.15502433792403916</v>
      </c>
      <c r="BN175" s="200">
        <v>0.1586564651170216</v>
      </c>
      <c r="BO175" s="200">
        <v>0.1608357414328111</v>
      </c>
      <c r="BP175" s="200">
        <v>0.16519429406439004</v>
      </c>
      <c r="BQ175" s="200">
        <v>0.16664714494158303</v>
      </c>
      <c r="BR175" s="200">
        <v>0.16519429406439004</v>
      </c>
      <c r="BS175" s="200">
        <v>0.16606600459070583</v>
      </c>
      <c r="BT175" s="200">
        <v>0.16664714494158303</v>
      </c>
      <c r="BU175" s="200">
        <v>0.16581694444032988</v>
      </c>
      <c r="BV175" s="200">
        <v>0.16628393222228477</v>
      </c>
      <c r="BW175" s="200">
        <v>0.16664714494158303</v>
      </c>
      <c r="BX175" s="201">
        <v>0.16606600459070583</v>
      </c>
      <c r="BY175" s="11"/>
    </row>
    <row r="176">
      <c r="E176" s="174"/>
      <c r="F176" s="220"/>
      <c r="G176" s="220"/>
      <c r="H176" s="220"/>
      <c r="I176" s="220"/>
      <c r="J176" s="220"/>
      <c r="K176" s="220"/>
      <c r="L176" s="220"/>
      <c r="M176" s="220"/>
      <c r="N176" s="220"/>
      <c r="O176" s="220"/>
      <c r="P176" s="220"/>
      <c r="Q176" s="220"/>
      <c r="R176" s="221"/>
      <c r="S176" s="220"/>
      <c r="T176" s="220"/>
      <c r="U176" s="110"/>
      <c r="V176" s="93">
        <f t="shared" si="22"/>
        <v>900000</v>
      </c>
      <c r="W176" s="104">
        <v>0.111194338391873</v>
      </c>
      <c r="X176" s="105">
        <v>0.13537869225244525</v>
      </c>
      <c r="Y176" s="105">
        <v>0.15956304611301753</v>
      </c>
      <c r="Z176" s="105">
        <v>0.18374739997358983</v>
      </c>
      <c r="AA176" s="105">
        <v>0.2079317538341621</v>
      </c>
      <c r="AB176" s="105">
        <v>0.2321161076947343</v>
      </c>
      <c r="AC176" s="106">
        <v>0.2563004615553066</v>
      </c>
      <c r="AD176" s="51"/>
      <c r="AE176" s="110"/>
      <c r="AF176" s="93">
        <f t="shared" si="23"/>
        <v>900000</v>
      </c>
      <c r="AG176" s="188">
        <v>0.08323799207616049</v>
      </c>
      <c r="AH176" s="188">
        <v>0.09040897644739408</v>
      </c>
      <c r="AI176" s="188">
        <v>0.09744049116351051</v>
      </c>
      <c r="AJ176" s="188">
        <v>0.10435984291488007</v>
      </c>
      <c r="AK176" s="189">
        <v>0.111194338391873</v>
      </c>
      <c r="AL176" s="188">
        <v>0.11391049352448769</v>
      </c>
      <c r="AM176" s="188">
        <v>0.11661918835184513</v>
      </c>
      <c r="AN176" s="188">
        <v>0.11932217050212893</v>
      </c>
      <c r="AO176" s="188">
        <v>0.12202118760352285</v>
      </c>
      <c r="AP176" s="190">
        <v>0.12471798728421056</v>
      </c>
      <c r="BI176" s="110"/>
      <c r="BJ176" s="93">
        <f t="shared" si="24"/>
        <v>800000</v>
      </c>
      <c r="BK176" s="200">
        <v>0.12058331157309733</v>
      </c>
      <c r="BL176" s="200">
        <v>0.14237607473099206</v>
      </c>
      <c r="BM176" s="200">
        <v>0.149640329116957</v>
      </c>
      <c r="BN176" s="200">
        <v>0.15327245630993944</v>
      </c>
      <c r="BO176" s="200">
        <v>0.15545173262572892</v>
      </c>
      <c r="BP176" s="200">
        <v>0.15981028525730787</v>
      </c>
      <c r="BQ176" s="200">
        <v>0.16126313613450083</v>
      </c>
      <c r="BR176" s="200">
        <v>0.15981028525730787</v>
      </c>
      <c r="BS176" s="200">
        <v>0.16068199578362366</v>
      </c>
      <c r="BT176" s="200">
        <v>0.16126313613450083</v>
      </c>
      <c r="BU176" s="200">
        <v>0.16043293563324773</v>
      </c>
      <c r="BV176" s="200">
        <v>0.16089992341520262</v>
      </c>
      <c r="BW176" s="200">
        <v>0.16126313613450086</v>
      </c>
      <c r="BX176" s="201">
        <v>0.16068199578362366</v>
      </c>
      <c r="BY176" s="11"/>
    </row>
    <row r="177">
      <c r="E177" s="174"/>
      <c r="F177" s="220"/>
      <c r="G177" s="220"/>
      <c r="H177" s="220"/>
      <c r="I177" s="220"/>
      <c r="J177" s="220"/>
      <c r="K177" s="220"/>
      <c r="L177" s="220"/>
      <c r="M177" s="220"/>
      <c r="N177" s="220"/>
      <c r="O177" s="220"/>
      <c r="P177" s="220"/>
      <c r="Q177" s="220"/>
      <c r="R177" s="221"/>
      <c r="S177" s="220"/>
      <c r="T177" s="220"/>
      <c r="U177" s="154"/>
      <c r="V177" s="93">
        <f t="shared" si="22"/>
        <v>950000</v>
      </c>
      <c r="W177" s="104">
        <v>0.10706613137603552</v>
      </c>
      <c r="X177" s="105">
        <v>0.13060545289038317</v>
      </c>
      <c r="Y177" s="105">
        <v>0.15414477440473082</v>
      </c>
      <c r="Z177" s="105">
        <v>0.1776840959190785</v>
      </c>
      <c r="AA177" s="105">
        <v>0.20122341743342614</v>
      </c>
      <c r="AB177" s="105">
        <v>0.22476273894777385</v>
      </c>
      <c r="AC177" s="106">
        <v>0.2483020604621214</v>
      </c>
      <c r="AD177" s="144"/>
      <c r="AE177" s="202"/>
      <c r="AF177" s="93">
        <f t="shared" si="23"/>
        <v>950000</v>
      </c>
      <c r="AG177" s="185">
        <v>0.07985542200228365</v>
      </c>
      <c r="AH177" s="185">
        <v>0.08683514565593166</v>
      </c>
      <c r="AI177" s="185">
        <v>0.09367911951563333</v>
      </c>
      <c r="AJ177" s="185">
        <v>0.10041392196209811</v>
      </c>
      <c r="AK177" s="186">
        <v>0.10706613137603552</v>
      </c>
      <c r="AL177" s="185">
        <v>0.10970984264978172</v>
      </c>
      <c r="AM177" s="185">
        <v>0.11234629259560248</v>
      </c>
      <c r="AN177" s="185">
        <v>0.11497718222986328</v>
      </c>
      <c r="AO177" s="185">
        <v>0.11760421256892933</v>
      </c>
      <c r="AP177" s="187">
        <v>0.12022908462916619</v>
      </c>
      <c r="BI177" s="110"/>
      <c r="BJ177" s="93">
        <f t="shared" si="24"/>
        <v>850000</v>
      </c>
      <c r="BK177" s="200">
        <v>0.11568164051968888</v>
      </c>
      <c r="BL177" s="200">
        <v>0.13747440367758362</v>
      </c>
      <c r="BM177" s="200">
        <v>0.14473865806354852</v>
      </c>
      <c r="BN177" s="200">
        <v>0.14837078525653097</v>
      </c>
      <c r="BO177" s="200">
        <v>0.15055006157232045</v>
      </c>
      <c r="BP177" s="200">
        <v>0.1549086142038994</v>
      </c>
      <c r="BQ177" s="200">
        <v>0.1563614650810924</v>
      </c>
      <c r="BR177" s="200">
        <v>0.1549086142038994</v>
      </c>
      <c r="BS177" s="200">
        <v>0.1557803247302152</v>
      </c>
      <c r="BT177" s="200">
        <v>0.1563614650810924</v>
      </c>
      <c r="BU177" s="200">
        <v>0.15553126457983926</v>
      </c>
      <c r="BV177" s="200">
        <v>0.15599825236179413</v>
      </c>
      <c r="BW177" s="200">
        <v>0.1563614650810924</v>
      </c>
      <c r="BX177" s="201">
        <v>0.1557803247302152</v>
      </c>
      <c r="BY177" s="11"/>
    </row>
    <row r="178">
      <c r="E178" s="174"/>
      <c r="F178" s="220"/>
      <c r="G178" s="220"/>
      <c r="H178" s="220"/>
      <c r="I178" s="220"/>
      <c r="J178" s="220"/>
      <c r="K178" s="220"/>
      <c r="L178" s="220"/>
      <c r="M178" s="220"/>
      <c r="N178" s="220"/>
      <c r="O178" s="220"/>
      <c r="P178" s="220"/>
      <c r="Q178" s="220"/>
      <c r="R178" s="221"/>
      <c r="S178" s="220"/>
      <c r="T178" s="220"/>
      <c r="U178" s="155"/>
      <c r="V178" s="156">
        <f t="shared" si="22"/>
        <v>1000000</v>
      </c>
      <c r="W178" s="157">
        <v>0.1032515462068881</v>
      </c>
      <c r="X178" s="158">
        <v>0.12619483878855645</v>
      </c>
      <c r="Y178" s="158">
        <v>0.14913813137022483</v>
      </c>
      <c r="Z178" s="158">
        <v>0.17208142395189324</v>
      </c>
      <c r="AA178" s="158">
        <v>0.19502471653356152</v>
      </c>
      <c r="AB178" s="158">
        <v>0.21796800911522993</v>
      </c>
      <c r="AC178" s="159">
        <v>0.2409113016968983</v>
      </c>
      <c r="AD178" s="51"/>
      <c r="AE178" s="155"/>
      <c r="AF178" s="156">
        <f t="shared" si="23"/>
        <v>1000000</v>
      </c>
      <c r="AG178" s="203">
        <v>0.07672982738265563</v>
      </c>
      <c r="AH178" s="203">
        <v>0.08353282048622619</v>
      </c>
      <c r="AI178" s="203">
        <v>0.09020350105740223</v>
      </c>
      <c r="AJ178" s="203">
        <v>0.09676777449726308</v>
      </c>
      <c r="AK178" s="204">
        <v>0.1032515462068881</v>
      </c>
      <c r="AL178" s="203">
        <v>0.10582831721611384</v>
      </c>
      <c r="AM178" s="203">
        <v>0.10839801075834364</v>
      </c>
      <c r="AN178" s="203">
        <v>0.11096228477924656</v>
      </c>
      <c r="AO178" s="203">
        <v>0.11352279722449164</v>
      </c>
      <c r="AP178" s="205">
        <v>0.11608120603974803</v>
      </c>
      <c r="BI178" s="110"/>
      <c r="BJ178" s="93">
        <f t="shared" si="24"/>
        <v>900000</v>
      </c>
      <c r="BK178" s="196">
        <v>0.111194338391873</v>
      </c>
      <c r="BL178" s="196">
        <v>0.13298710154976773</v>
      </c>
      <c r="BM178" s="196">
        <v>0.14025135593573265</v>
      </c>
      <c r="BN178" s="196">
        <v>0.1438834831287151</v>
      </c>
      <c r="BO178" s="196">
        <v>0.1460627594445046</v>
      </c>
      <c r="BP178" s="196">
        <v>0.15042131207608353</v>
      </c>
      <c r="BQ178" s="196">
        <v>0.15187416295327652</v>
      </c>
      <c r="BR178" s="196">
        <v>0.15042131207608353</v>
      </c>
      <c r="BS178" s="196">
        <v>0.15129302260239932</v>
      </c>
      <c r="BT178" s="196">
        <v>0.15187416295327652</v>
      </c>
      <c r="BU178" s="196">
        <v>0.15104396245202337</v>
      </c>
      <c r="BV178" s="196">
        <v>0.15151095023397826</v>
      </c>
      <c r="BW178" s="196">
        <v>0.15187416295327652</v>
      </c>
      <c r="BX178" s="197">
        <v>0.15129302260239932</v>
      </c>
      <c r="BY178" s="11"/>
    </row>
    <row r="179">
      <c r="E179" s="174"/>
      <c r="F179" s="220"/>
      <c r="G179" s="220"/>
      <c r="H179" s="220"/>
      <c r="I179" s="220"/>
      <c r="J179" s="220"/>
      <c r="K179" s="220"/>
      <c r="L179" s="220"/>
      <c r="M179" s="220"/>
      <c r="N179" s="220"/>
      <c r="O179" s="220"/>
      <c r="P179" s="220"/>
      <c r="Q179" s="220"/>
      <c r="R179" s="221"/>
      <c r="S179" s="220"/>
      <c r="T179" s="220"/>
      <c r="AD179" s="23"/>
      <c r="AE179" s="23"/>
      <c r="AF179" s="23"/>
      <c r="AG179" s="23"/>
      <c r="AH179" s="23"/>
      <c r="AI179" s="51"/>
      <c r="BI179" s="163"/>
      <c r="BJ179" s="93">
        <f t="shared" si="24"/>
        <v>950000</v>
      </c>
      <c r="BK179" s="200">
        <v>0.10706613137603552</v>
      </c>
      <c r="BL179" s="200">
        <v>0.12885889453393026</v>
      </c>
      <c r="BM179" s="200">
        <v>0.13612314891989516</v>
      </c>
      <c r="BN179" s="200">
        <v>0.1397552761128776</v>
      </c>
      <c r="BO179" s="200">
        <v>0.1419345524286671</v>
      </c>
      <c r="BP179" s="200">
        <v>0.14629310506024604</v>
      </c>
      <c r="BQ179" s="200">
        <v>0.147745955937439</v>
      </c>
      <c r="BR179" s="200">
        <v>0.14629310506024604</v>
      </c>
      <c r="BS179" s="200">
        <v>0.14716481558656183</v>
      </c>
      <c r="BT179" s="200">
        <v>0.147745955937439</v>
      </c>
      <c r="BU179" s="200">
        <v>0.14691575543618587</v>
      </c>
      <c r="BV179" s="200">
        <v>0.1473827432181408</v>
      </c>
      <c r="BW179" s="200">
        <v>0.147745955937439</v>
      </c>
      <c r="BX179" s="201">
        <v>0.14716481558656183</v>
      </c>
      <c r="BY179" s="11"/>
    </row>
    <row r="180">
      <c r="E180" s="174"/>
      <c r="F180" s="220"/>
      <c r="G180" s="220"/>
      <c r="H180" s="220"/>
      <c r="I180" s="220"/>
      <c r="J180" s="220"/>
      <c r="K180" s="220"/>
      <c r="L180" s="220"/>
      <c r="M180" s="220"/>
      <c r="N180" s="220"/>
      <c r="O180" s="220"/>
      <c r="P180" s="220"/>
      <c r="Q180" s="220"/>
      <c r="R180" s="221"/>
      <c r="S180" s="220"/>
      <c r="T180" s="220"/>
      <c r="BI180" s="164"/>
      <c r="BJ180" s="165">
        <f t="shared" si="24"/>
        <v>1000000</v>
      </c>
      <c r="BK180" s="206">
        <v>0.1032515462068881</v>
      </c>
      <c r="BL180" s="206">
        <v>0.12504430936478284</v>
      </c>
      <c r="BM180" s="206">
        <v>0.13230856375074776</v>
      </c>
      <c r="BN180" s="206">
        <v>0.1359406909437302</v>
      </c>
      <c r="BO180" s="206">
        <v>0.13811996725951967</v>
      </c>
      <c r="BP180" s="206">
        <v>0.1424785198910986</v>
      </c>
      <c r="BQ180" s="206">
        <v>0.14393137076829163</v>
      </c>
      <c r="BR180" s="206">
        <v>0.1424785198910986</v>
      </c>
      <c r="BS180" s="206">
        <v>0.14335023041741443</v>
      </c>
      <c r="BT180" s="206">
        <v>0.14393137076829163</v>
      </c>
      <c r="BU180" s="206">
        <v>0.14310117026703847</v>
      </c>
      <c r="BV180" s="206">
        <v>0.14356815804899337</v>
      </c>
      <c r="BW180" s="206">
        <v>0.1439313707682916</v>
      </c>
      <c r="BX180" s="207">
        <v>0.14335023041741443</v>
      </c>
      <c r="BY180" s="11"/>
    </row>
    <row r="181">
      <c r="E181" s="174"/>
      <c r="F181" s="220"/>
      <c r="G181" s="220"/>
      <c r="H181" s="220"/>
      <c r="I181" s="220"/>
      <c r="J181" s="220"/>
      <c r="K181" s="220"/>
      <c r="L181" s="220"/>
      <c r="M181" s="220"/>
      <c r="N181" s="220"/>
      <c r="O181" s="220"/>
      <c r="P181" s="220"/>
      <c r="Q181" s="220"/>
      <c r="R181" s="221"/>
      <c r="S181" s="220"/>
      <c r="T181" s="220"/>
      <c r="BY181" s="11"/>
    </row>
    <row r="182">
      <c r="E182" s="174"/>
      <c r="F182" s="220"/>
      <c r="G182" s="220"/>
      <c r="H182" s="220"/>
      <c r="I182" s="220"/>
      <c r="J182" s="220"/>
      <c r="K182" s="220"/>
      <c r="L182" s="220"/>
      <c r="M182" s="220"/>
      <c r="N182" s="220"/>
      <c r="O182" s="220"/>
      <c r="P182" s="220"/>
      <c r="Q182" s="220"/>
      <c r="R182" s="223"/>
      <c r="S182" s="224"/>
      <c r="T182" s="224"/>
      <c r="U182" s="169"/>
      <c r="V182" s="169"/>
      <c r="W182" s="169"/>
      <c r="X182" s="169"/>
      <c r="Y182" s="169"/>
      <c r="Z182" s="169"/>
      <c r="AA182" s="169"/>
      <c r="AB182" s="169"/>
      <c r="AC182" s="169"/>
      <c r="AD182" s="169"/>
      <c r="AE182" s="169"/>
      <c r="AF182" s="169"/>
      <c r="AG182" s="169"/>
      <c r="AH182" s="169"/>
      <c r="AI182" s="169"/>
      <c r="AJ182" s="169"/>
      <c r="AK182" s="169"/>
      <c r="AL182" s="169"/>
      <c r="AM182" s="169"/>
      <c r="AN182" s="169"/>
      <c r="AO182" s="169"/>
      <c r="AP182" s="169"/>
      <c r="AQ182" s="169"/>
      <c r="AR182" s="169"/>
      <c r="AS182" s="169"/>
      <c r="AT182" s="169"/>
      <c r="AU182" s="169"/>
      <c r="AV182" s="169"/>
      <c r="AW182" s="169"/>
      <c r="AX182" s="169"/>
      <c r="AY182" s="169"/>
      <c r="AZ182" s="169"/>
      <c r="BA182" s="169"/>
      <c r="BB182" s="169"/>
      <c r="BC182" s="169"/>
      <c r="BD182" s="169"/>
      <c r="BE182" s="169"/>
      <c r="BF182" s="169"/>
      <c r="BG182" s="169"/>
      <c r="BH182" s="169"/>
      <c r="BI182" s="169"/>
      <c r="BJ182" s="169"/>
      <c r="BK182" s="169"/>
      <c r="BL182" s="169"/>
      <c r="BM182" s="169"/>
      <c r="BN182" s="169"/>
      <c r="BO182" s="169"/>
      <c r="BP182" s="169"/>
      <c r="BQ182" s="169"/>
      <c r="BR182" s="169"/>
      <c r="BS182" s="169"/>
      <c r="BT182" s="169"/>
      <c r="BU182" s="169"/>
      <c r="BV182" s="169"/>
      <c r="BW182" s="169"/>
      <c r="BX182" s="169"/>
      <c r="BY182" s="170"/>
    </row>
    <row r="183">
      <c r="E183" s="174"/>
      <c r="F183" s="220"/>
      <c r="G183" s="220"/>
      <c r="H183" s="220"/>
      <c r="I183" s="220"/>
      <c r="J183" s="220"/>
      <c r="K183" s="220"/>
      <c r="L183" s="220"/>
      <c r="M183" s="220"/>
      <c r="N183" s="220"/>
      <c r="O183" s="220"/>
      <c r="P183" s="220"/>
      <c r="Q183" s="220"/>
      <c r="R183" s="220"/>
      <c r="S183" s="220"/>
      <c r="T183" s="220"/>
    </row>
    <row r="184">
      <c r="E184" s="174"/>
      <c r="F184" s="220"/>
      <c r="G184" s="220"/>
      <c r="H184" s="220"/>
      <c r="I184" s="220"/>
      <c r="J184" s="220"/>
      <c r="K184" s="220"/>
      <c r="L184" s="220"/>
      <c r="M184" s="220"/>
      <c r="N184" s="220"/>
      <c r="O184" s="220"/>
      <c r="P184" s="220"/>
      <c r="Q184" s="220"/>
      <c r="R184" s="220"/>
      <c r="S184" s="220"/>
      <c r="T184" s="220"/>
    </row>
    <row r="185">
      <c r="E185" s="174"/>
      <c r="F185" s="220"/>
      <c r="G185" s="220"/>
      <c r="H185" s="220"/>
      <c r="I185" s="220"/>
      <c r="J185" s="220"/>
      <c r="K185" s="220"/>
      <c r="L185" s="220"/>
      <c r="M185" s="220"/>
      <c r="N185" s="220"/>
      <c r="O185" s="220"/>
      <c r="P185" s="220"/>
      <c r="Q185" s="220"/>
      <c r="R185" s="220"/>
      <c r="S185" s="220"/>
      <c r="T185" s="220"/>
    </row>
    <row r="186">
      <c r="E186" s="174"/>
      <c r="F186" s="220"/>
      <c r="G186" s="220"/>
      <c r="H186" s="220"/>
      <c r="I186" s="220"/>
      <c r="J186" s="220"/>
      <c r="K186" s="220"/>
      <c r="L186" s="220"/>
      <c r="M186" s="220"/>
      <c r="N186" s="220"/>
      <c r="O186" s="220"/>
      <c r="P186" s="220"/>
      <c r="Q186" s="220"/>
      <c r="R186" s="220"/>
      <c r="S186" s="220"/>
      <c r="T186" s="220"/>
    </row>
    <row r="187">
      <c r="E187" s="174"/>
      <c r="F187" s="220"/>
      <c r="G187" s="220"/>
      <c r="H187" s="220"/>
      <c r="I187" s="220"/>
      <c r="J187" s="220"/>
      <c r="K187" s="220"/>
      <c r="L187" s="220"/>
      <c r="M187" s="220"/>
      <c r="N187" s="220"/>
      <c r="O187" s="220"/>
      <c r="P187" s="220"/>
      <c r="Q187" s="220"/>
      <c r="R187" s="220"/>
      <c r="S187" s="220"/>
      <c r="T187" s="220"/>
    </row>
    <row r="188">
      <c r="E188" s="174"/>
      <c r="F188" s="220"/>
      <c r="G188" s="220"/>
      <c r="H188" s="220"/>
      <c r="I188" s="220"/>
      <c r="J188" s="220"/>
      <c r="K188" s="220"/>
      <c r="L188" s="220"/>
      <c r="M188" s="220"/>
      <c r="N188" s="220"/>
      <c r="O188" s="220"/>
      <c r="P188" s="220"/>
      <c r="Q188" s="220"/>
      <c r="R188" s="220"/>
      <c r="S188" s="220"/>
      <c r="T188" s="220"/>
    </row>
    <row r="189">
      <c r="E189" s="174"/>
      <c r="F189" s="220"/>
      <c r="G189" s="220"/>
      <c r="H189" s="220"/>
      <c r="I189" s="220"/>
      <c r="J189" s="220"/>
      <c r="K189" s="220"/>
      <c r="L189" s="220"/>
      <c r="M189" s="220"/>
      <c r="N189" s="220"/>
      <c r="O189" s="220"/>
      <c r="P189" s="220"/>
      <c r="Q189" s="220"/>
      <c r="R189" s="220"/>
      <c r="S189" s="220"/>
      <c r="T189" s="220"/>
    </row>
    <row r="190">
      <c r="E190" s="174"/>
      <c r="F190" s="220"/>
      <c r="G190" s="220"/>
      <c r="H190" s="220"/>
      <c r="I190" s="220"/>
      <c r="J190" s="220"/>
      <c r="K190" s="220"/>
      <c r="L190" s="220"/>
      <c r="M190" s="220"/>
      <c r="N190" s="220"/>
      <c r="O190" s="220"/>
      <c r="P190" s="220"/>
      <c r="Q190" s="220"/>
      <c r="R190" s="220"/>
      <c r="S190" s="220"/>
      <c r="T190" s="220"/>
    </row>
    <row r="191">
      <c r="E191" s="174"/>
      <c r="F191" s="220"/>
      <c r="G191" s="220"/>
      <c r="H191" s="220"/>
      <c r="I191" s="220"/>
      <c r="J191" s="220"/>
      <c r="K191" s="220"/>
      <c r="L191" s="220"/>
      <c r="M191" s="220"/>
      <c r="N191" s="220"/>
      <c r="O191" s="220"/>
      <c r="P191" s="220"/>
      <c r="Q191" s="220"/>
      <c r="R191" s="220"/>
      <c r="S191" s="220"/>
      <c r="T191" s="220"/>
    </row>
    <row r="192">
      <c r="E192" s="174"/>
      <c r="F192" s="220"/>
      <c r="G192" s="220"/>
      <c r="H192" s="220"/>
      <c r="I192" s="220"/>
      <c r="J192" s="220"/>
      <c r="K192" s="220"/>
      <c r="L192" s="220"/>
      <c r="M192" s="220"/>
      <c r="N192" s="220"/>
      <c r="O192" s="220"/>
      <c r="P192" s="220"/>
      <c r="Q192" s="220"/>
      <c r="R192" s="220"/>
      <c r="S192" s="220"/>
      <c r="T192" s="220"/>
    </row>
    <row r="193">
      <c r="E193" s="174"/>
      <c r="F193" s="220"/>
      <c r="G193" s="220"/>
      <c r="H193" s="220"/>
      <c r="I193" s="220"/>
      <c r="J193" s="220"/>
      <c r="K193" s="220"/>
      <c r="L193" s="220"/>
      <c r="M193" s="220"/>
      <c r="N193" s="220"/>
      <c r="O193" s="220"/>
      <c r="P193" s="220"/>
      <c r="Q193" s="220"/>
      <c r="R193" s="220"/>
      <c r="S193" s="220"/>
      <c r="T193" s="220"/>
      <c r="AV193" s="225"/>
      <c r="AW193" s="225"/>
      <c r="AX193" s="225"/>
      <c r="AY193" s="225"/>
      <c r="AZ193" s="225"/>
      <c r="BA193" s="225"/>
      <c r="BB193" s="225"/>
      <c r="BC193" s="225"/>
    </row>
    <row r="194">
      <c r="E194" s="174"/>
      <c r="F194" s="220"/>
      <c r="G194" s="220"/>
      <c r="H194" s="220"/>
      <c r="I194" s="220"/>
      <c r="J194" s="220"/>
      <c r="K194" s="220"/>
      <c r="L194" s="220"/>
      <c r="M194" s="220"/>
      <c r="N194" s="220"/>
      <c r="O194" s="220"/>
      <c r="P194" s="220"/>
      <c r="Q194" s="220"/>
      <c r="R194" s="220"/>
      <c r="S194" s="220"/>
      <c r="T194" s="220"/>
      <c r="AV194" s="226"/>
      <c r="AW194" s="226"/>
      <c r="AX194" s="226"/>
      <c r="AY194" s="226"/>
      <c r="AZ194" s="226"/>
      <c r="BA194" s="226"/>
      <c r="BB194" s="23"/>
      <c r="BC194" s="225"/>
    </row>
    <row r="195">
      <c r="E195" s="174"/>
      <c r="F195" s="220"/>
      <c r="G195" s="220"/>
      <c r="H195" s="220"/>
      <c r="I195" s="220"/>
      <c r="J195" s="220"/>
      <c r="K195" s="220"/>
      <c r="L195" s="220"/>
      <c r="M195" s="220"/>
      <c r="N195" s="220"/>
      <c r="O195" s="220"/>
      <c r="P195" s="220"/>
      <c r="Q195" s="220"/>
      <c r="R195" s="220"/>
      <c r="S195" s="220"/>
      <c r="T195" s="220"/>
      <c r="AV195" s="115"/>
      <c r="AW195" s="115"/>
      <c r="AX195" s="115"/>
      <c r="AY195" s="177"/>
      <c r="AZ195" s="115"/>
      <c r="BA195" s="177"/>
      <c r="BB195" s="177"/>
      <c r="BC195" s="177"/>
    </row>
    <row r="196">
      <c r="E196" s="174"/>
      <c r="F196" s="220"/>
      <c r="G196" s="220"/>
      <c r="H196" s="220"/>
      <c r="I196" s="220"/>
      <c r="J196" s="220"/>
      <c r="K196" s="220"/>
      <c r="L196" s="220"/>
      <c r="M196" s="220"/>
      <c r="N196" s="220"/>
      <c r="O196" s="220"/>
      <c r="P196" s="220"/>
      <c r="Q196" s="220"/>
      <c r="R196" s="220"/>
      <c r="S196" s="220"/>
      <c r="T196" s="220"/>
      <c r="AV196" s="178"/>
      <c r="AW196" s="178"/>
      <c r="AX196" s="178"/>
      <c r="AY196" s="178"/>
      <c r="AZ196" s="178"/>
      <c r="BA196" s="178"/>
      <c r="BB196" s="178"/>
      <c r="BC196" s="178"/>
    </row>
    <row r="197">
      <c r="E197" s="174"/>
      <c r="F197" s="220"/>
      <c r="G197" s="220"/>
      <c r="H197" s="220"/>
      <c r="I197" s="220"/>
      <c r="J197" s="220"/>
      <c r="K197" s="220"/>
      <c r="L197" s="220"/>
      <c r="M197" s="220"/>
      <c r="N197" s="220"/>
      <c r="O197" s="220"/>
      <c r="P197" s="220"/>
      <c r="Q197" s="220"/>
      <c r="R197" s="220"/>
      <c r="S197" s="220"/>
      <c r="T197" s="220"/>
      <c r="AV197" s="178"/>
      <c r="AW197" s="178"/>
      <c r="AX197" s="178"/>
      <c r="AY197" s="178"/>
      <c r="AZ197" s="178"/>
      <c r="BA197" s="178"/>
      <c r="BB197" s="178"/>
      <c r="BC197" s="178"/>
    </row>
    <row r="198">
      <c r="E198" s="174"/>
      <c r="F198" s="220"/>
      <c r="G198" s="220"/>
      <c r="H198" s="220"/>
      <c r="I198" s="220"/>
      <c r="J198" s="220"/>
      <c r="K198" s="220"/>
      <c r="L198" s="220"/>
      <c r="M198" s="220"/>
      <c r="N198" s="220"/>
      <c r="O198" s="220"/>
      <c r="P198" s="220"/>
      <c r="Q198" s="220"/>
      <c r="R198" s="220"/>
      <c r="S198" s="220"/>
      <c r="T198" s="220"/>
      <c r="AV198" s="178"/>
      <c r="AW198" s="178"/>
      <c r="AX198" s="178"/>
      <c r="AY198" s="178"/>
      <c r="AZ198" s="178"/>
      <c r="BA198" s="178"/>
      <c r="BB198" s="178"/>
      <c r="BC198" s="178"/>
    </row>
    <row r="199">
      <c r="E199" s="174"/>
      <c r="F199" s="220"/>
      <c r="G199" s="220"/>
      <c r="H199" s="220"/>
      <c r="I199" s="220"/>
      <c r="J199" s="220"/>
      <c r="K199" s="220"/>
      <c r="L199" s="220"/>
      <c r="M199" s="220"/>
      <c r="N199" s="220"/>
      <c r="O199" s="220"/>
      <c r="P199" s="220"/>
      <c r="Q199" s="220"/>
      <c r="R199" s="220"/>
      <c r="S199" s="220"/>
      <c r="T199" s="220"/>
      <c r="AV199" s="178"/>
      <c r="AW199" s="178"/>
      <c r="AX199" s="178"/>
      <c r="AY199" s="178"/>
      <c r="AZ199" s="178"/>
      <c r="BA199" s="178"/>
      <c r="BB199" s="178"/>
      <c r="BC199" s="178"/>
    </row>
    <row r="200">
      <c r="E200" s="174"/>
      <c r="F200" s="220"/>
      <c r="G200" s="220"/>
      <c r="H200" s="220"/>
      <c r="I200" s="220"/>
      <c r="J200" s="220"/>
      <c r="K200" s="220"/>
      <c r="L200" s="220"/>
      <c r="M200" s="220"/>
      <c r="N200" s="220"/>
      <c r="O200" s="220"/>
      <c r="P200" s="220"/>
      <c r="Q200" s="220"/>
      <c r="R200" s="220"/>
      <c r="S200" s="220"/>
      <c r="T200" s="220"/>
      <c r="AG200" s="23"/>
      <c r="AH200" s="23"/>
      <c r="AI200" s="172"/>
      <c r="AJ200" s="178"/>
      <c r="AK200" s="178"/>
      <c r="AL200" s="178"/>
      <c r="AM200" s="178"/>
      <c r="AN200" s="23"/>
      <c r="AO200" s="191"/>
      <c r="AP200" s="115"/>
      <c r="AQ200" s="178"/>
      <c r="AR200" s="178"/>
      <c r="AS200" s="178"/>
      <c r="AT200" s="178"/>
      <c r="AU200" s="178"/>
      <c r="AV200" s="178"/>
      <c r="AW200" s="178"/>
      <c r="AX200" s="178"/>
      <c r="AY200" s="178"/>
      <c r="AZ200" s="178"/>
      <c r="BA200" s="178"/>
      <c r="BB200" s="178"/>
      <c r="BC200" s="178"/>
    </row>
    <row r="201">
      <c r="E201" s="174"/>
      <c r="F201" s="220"/>
      <c r="G201" s="220"/>
      <c r="H201" s="220"/>
      <c r="I201" s="220"/>
      <c r="J201" s="220"/>
      <c r="K201" s="220"/>
      <c r="L201" s="220"/>
      <c r="M201" s="220"/>
      <c r="N201" s="220"/>
      <c r="O201" s="220"/>
      <c r="P201" s="220"/>
      <c r="Q201" s="220"/>
      <c r="R201" s="220"/>
      <c r="S201" s="220"/>
      <c r="T201" s="220"/>
      <c r="AK201" s="23"/>
      <c r="AL201" s="23"/>
      <c r="BC201" s="178"/>
    </row>
    <row r="202">
      <c r="E202" s="174"/>
      <c r="F202" s="220"/>
      <c r="G202" s="220"/>
      <c r="H202" s="220"/>
      <c r="I202" s="220"/>
      <c r="J202" s="220"/>
      <c r="K202" s="220"/>
      <c r="L202" s="220"/>
      <c r="M202" s="220"/>
      <c r="N202" s="220"/>
      <c r="O202" s="220"/>
      <c r="P202" s="220"/>
      <c r="Q202" s="220"/>
      <c r="R202" s="220"/>
      <c r="S202" s="220"/>
      <c r="T202" s="220"/>
      <c r="AK202" s="87"/>
      <c r="AL202" s="87"/>
      <c r="AO202" s="70" t="s">
        <v>88</v>
      </c>
      <c r="AP202" s="71"/>
      <c r="AQ202" s="71"/>
      <c r="AR202" s="71"/>
      <c r="AS202" s="71"/>
      <c r="AT202" s="71"/>
      <c r="AU202" s="71"/>
      <c r="AV202" s="71"/>
      <c r="AW202" s="18"/>
      <c r="AX202" s="212"/>
      <c r="AY202" s="212"/>
      <c r="AZ202" s="212"/>
      <c r="BA202" s="212"/>
      <c r="BB202" s="225"/>
      <c r="BC202" s="227"/>
      <c r="BD202" s="228" t="s">
        <v>88</v>
      </c>
      <c r="BE202" s="229"/>
      <c r="BF202" s="230"/>
      <c r="BG202" s="230"/>
      <c r="BH202" s="231"/>
      <c r="BI202" s="232"/>
      <c r="BJ202" s="233"/>
      <c r="BK202" s="233"/>
      <c r="BL202" s="233"/>
      <c r="BM202" s="233"/>
      <c r="BN202" s="233"/>
      <c r="BO202" s="234"/>
    </row>
    <row r="203">
      <c r="E203" s="174"/>
      <c r="F203" s="220"/>
      <c r="G203" s="220"/>
      <c r="H203" s="220"/>
      <c r="I203" s="220"/>
      <c r="J203" s="220"/>
      <c r="K203" s="220"/>
      <c r="L203" s="220"/>
      <c r="M203" s="220"/>
      <c r="N203" s="220"/>
      <c r="O203" s="220"/>
      <c r="P203" s="220"/>
      <c r="Q203" s="220"/>
      <c r="R203" s="220"/>
      <c r="S203" s="220"/>
      <c r="T203" s="220"/>
      <c r="AK203" s="87"/>
      <c r="AL203" s="87"/>
      <c r="AO203" s="85"/>
      <c r="AP203" s="182"/>
      <c r="AQ203" s="182"/>
      <c r="AR203" s="182"/>
      <c r="AS203" s="183"/>
      <c r="AT203" s="183"/>
      <c r="AU203" s="183"/>
      <c r="AV203" s="183"/>
      <c r="AW203" s="184"/>
      <c r="AX203" s="177"/>
      <c r="AY203" s="177"/>
      <c r="AZ203" s="177"/>
      <c r="BA203" s="177"/>
      <c r="BB203" s="177"/>
      <c r="BC203" s="51"/>
      <c r="BD203" s="85" t="s">
        <v>58</v>
      </c>
      <c r="BE203" s="235"/>
      <c r="BF203" s="236"/>
      <c r="BG203" s="236"/>
      <c r="BH203" s="237" t="s">
        <v>59</v>
      </c>
      <c r="BI203" s="237"/>
      <c r="BJ203" s="237"/>
      <c r="BK203" s="237"/>
      <c r="BL203" s="237"/>
      <c r="BM203" s="237"/>
      <c r="BN203" s="237"/>
      <c r="BO203" s="238"/>
    </row>
    <row r="204">
      <c r="E204" s="174"/>
      <c r="F204" s="220"/>
      <c r="G204" s="175"/>
      <c r="H204" s="175"/>
      <c r="I204" s="175"/>
      <c r="J204" s="175"/>
      <c r="K204" s="175"/>
      <c r="L204" s="175"/>
      <c r="M204" s="175"/>
      <c r="N204" s="175"/>
      <c r="O204" s="175"/>
      <c r="P204" s="175"/>
      <c r="Q204" s="175"/>
      <c r="R204" s="175"/>
      <c r="S204" s="175"/>
      <c r="T204" s="175"/>
      <c r="AK204" s="87"/>
      <c r="AL204" s="87"/>
      <c r="AO204" s="90"/>
      <c r="AP204" s="239">
        <f>$F$17</f>
        <v>0.003975063564</v>
      </c>
      <c r="AQ204" s="240">
        <v>64.0</v>
      </c>
      <c r="AR204" s="241">
        <f t="shared" ref="AR204:AW204" si="25">AQ204+10</f>
        <v>74</v>
      </c>
      <c r="AS204" s="241">
        <f t="shared" si="25"/>
        <v>84</v>
      </c>
      <c r="AT204" s="241">
        <f t="shared" si="25"/>
        <v>94</v>
      </c>
      <c r="AU204" s="241">
        <f t="shared" si="25"/>
        <v>104</v>
      </c>
      <c r="AV204" s="241">
        <f t="shared" si="25"/>
        <v>114</v>
      </c>
      <c r="AW204" s="242">
        <f t="shared" si="25"/>
        <v>124</v>
      </c>
      <c r="AX204" s="178"/>
      <c r="AY204" s="178"/>
      <c r="AZ204" s="178"/>
      <c r="BA204" s="178"/>
      <c r="BB204" s="178"/>
      <c r="BC204" s="51"/>
      <c r="BD204" s="243"/>
      <c r="BE204" s="244">
        <f>$F$17</f>
        <v>0.003975063564</v>
      </c>
      <c r="BF204" s="245">
        <f t="shared" ref="BF204:BH204" si="26">BG204-0.05</f>
        <v>0.7</v>
      </c>
      <c r="BG204" s="245">
        <f t="shared" si="26"/>
        <v>0.75</v>
      </c>
      <c r="BH204" s="245">
        <f t="shared" si="26"/>
        <v>0.8</v>
      </c>
      <c r="BI204" s="245">
        <v>0.85</v>
      </c>
      <c r="BJ204" s="246">
        <v>0.9</v>
      </c>
      <c r="BK204" s="245">
        <f t="shared" ref="BK204:BO204" si="27">BJ204+0.02</f>
        <v>0.92</v>
      </c>
      <c r="BL204" s="245">
        <f t="shared" si="27"/>
        <v>0.94</v>
      </c>
      <c r="BM204" s="245">
        <f t="shared" si="27"/>
        <v>0.96</v>
      </c>
      <c r="BN204" s="245">
        <f t="shared" si="27"/>
        <v>0.98</v>
      </c>
      <c r="BO204" s="247">
        <f t="shared" si="27"/>
        <v>1</v>
      </c>
    </row>
    <row r="205">
      <c r="E205" s="174"/>
      <c r="F205" s="175"/>
      <c r="AK205" s="177"/>
      <c r="AL205" s="177"/>
      <c r="AO205" s="102" t="s">
        <v>66</v>
      </c>
      <c r="AP205" s="103">
        <v>2000000.0</v>
      </c>
      <c r="AQ205" s="248">
        <v>0.0015907843779627013</v>
      </c>
      <c r="AR205" s="249">
        <v>0.0018393444370193733</v>
      </c>
      <c r="AS205" s="249">
        <v>0.0020879044960760455</v>
      </c>
      <c r="AT205" s="249">
        <v>0.0023364645551327175</v>
      </c>
      <c r="AU205" s="249">
        <v>0.0025850246141893886</v>
      </c>
      <c r="AV205" s="249">
        <v>0.0028335846732460614</v>
      </c>
      <c r="AW205" s="250">
        <v>0.003082144732302734</v>
      </c>
      <c r="AX205" s="251"/>
      <c r="AY205" s="251"/>
      <c r="AZ205" s="251"/>
      <c r="BA205" s="251"/>
      <c r="BB205" s="251"/>
      <c r="BC205" s="51"/>
      <c r="BD205" s="102" t="s">
        <v>66</v>
      </c>
      <c r="BE205" s="103">
        <v>2000000.0</v>
      </c>
      <c r="BF205" s="252">
        <v>5.88719043143297E-4</v>
      </c>
      <c r="BG205" s="253">
        <v>8.269278155446847E-4</v>
      </c>
      <c r="BH205" s="254">
        <v>0.001073525805285321</v>
      </c>
      <c r="BI205" s="255">
        <v>0.0013282367476597963</v>
      </c>
      <c r="BJ205" s="256">
        <v>0.0015907843779627013</v>
      </c>
      <c r="BK205" s="257">
        <v>0.0016979358194098122</v>
      </c>
      <c r="BL205" s="258">
        <v>0.001806279247631459</v>
      </c>
      <c r="BM205" s="259">
        <v>0.0019157969816864973</v>
      </c>
      <c r="BN205" s="259">
        <v>0.002026471340633781</v>
      </c>
      <c r="BO205" s="260">
        <v>0.002138284643532161</v>
      </c>
    </row>
    <row r="206">
      <c r="AK206" s="51"/>
      <c r="AL206" s="51"/>
      <c r="AO206" s="110"/>
      <c r="AP206" s="93">
        <f t="shared" ref="AP206:AP209" si="28">AP205+500000</f>
        <v>2500000</v>
      </c>
      <c r="AQ206" s="261">
        <v>0.0017785510033346591</v>
      </c>
      <c r="AR206" s="262">
        <v>0.0020564495976056994</v>
      </c>
      <c r="AS206" s="262">
        <v>0.0023343481918767406</v>
      </c>
      <c r="AT206" s="262">
        <v>0.0026122467861477805</v>
      </c>
      <c r="AU206" s="262">
        <v>0.0028901453804188212</v>
      </c>
      <c r="AV206" s="262">
        <v>0.003168043974689862</v>
      </c>
      <c r="AW206" s="263">
        <v>0.003445942568960902</v>
      </c>
      <c r="AX206" s="178"/>
      <c r="AY206" s="178"/>
      <c r="AZ206" s="178"/>
      <c r="BA206" s="178"/>
      <c r="BB206" s="178"/>
      <c r="BC206" s="51"/>
      <c r="BD206" s="110"/>
      <c r="BE206" s="93">
        <f t="shared" ref="BE206:BE209" si="29">BE205+500000</f>
        <v>2500000</v>
      </c>
      <c r="BF206" s="264">
        <v>6.582079000585219E-4</v>
      </c>
      <c r="BG206" s="264">
        <v>9.245334040216612E-4</v>
      </c>
      <c r="BH206" s="264">
        <v>0.0012002383381090904</v>
      </c>
      <c r="BI206" s="264">
        <v>0.0014850138289902697</v>
      </c>
      <c r="BJ206" s="265">
        <v>0.0017785510033346591</v>
      </c>
      <c r="BK206" s="264">
        <v>0.0018983499568160727</v>
      </c>
      <c r="BL206" s="264">
        <v>0.0020194815920255593</v>
      </c>
      <c r="BM206" s="264">
        <v>0.0021419261410699636</v>
      </c>
      <c r="BN206" s="264">
        <v>0.0022656638360561325</v>
      </c>
      <c r="BO206" s="266">
        <v>0.002390674909090909</v>
      </c>
    </row>
    <row r="207">
      <c r="AK207" s="144"/>
      <c r="AL207" s="144"/>
      <c r="AO207" s="110"/>
      <c r="AP207" s="93">
        <f t="shared" si="28"/>
        <v>3000000</v>
      </c>
      <c r="AQ207" s="248">
        <v>0.0019483050083996772</v>
      </c>
      <c r="AR207" s="249">
        <v>0.0022527276659621265</v>
      </c>
      <c r="AS207" s="249">
        <v>0.0025571503235245776</v>
      </c>
      <c r="AT207" s="249">
        <v>0.0028615729810870256</v>
      </c>
      <c r="AU207" s="249">
        <v>0.0031659956386494766</v>
      </c>
      <c r="AV207" s="249">
        <v>0.0034704182962119255</v>
      </c>
      <c r="AW207" s="250">
        <v>0.003774840953774376</v>
      </c>
      <c r="AX207" s="178"/>
      <c r="AY207" s="178"/>
      <c r="AZ207" s="178"/>
      <c r="BA207" s="178"/>
      <c r="BB207" s="178"/>
      <c r="BC207" s="178"/>
      <c r="BD207" s="110"/>
      <c r="BE207" s="93">
        <f t="shared" si="29"/>
        <v>3000000</v>
      </c>
      <c r="BF207" s="267">
        <v>7.210306287803169E-4</v>
      </c>
      <c r="BG207" s="267">
        <v>0.0010127756010994025</v>
      </c>
      <c r="BH207" s="267">
        <v>0.0013147952243297229</v>
      </c>
      <c r="BI207" s="267">
        <v>0.00162675114469018</v>
      </c>
      <c r="BJ207" s="268">
        <v>0.0019483050083996772</v>
      </c>
      <c r="BK207" s="267">
        <v>0.0020795381867742425</v>
      </c>
      <c r="BL207" s="267">
        <v>0.0022122312448376873</v>
      </c>
      <c r="BM207" s="267">
        <v>0.002346362527948024</v>
      </c>
      <c r="BN207" s="267">
        <v>0.0024819103814632593</v>
      </c>
      <c r="BO207" s="269">
        <v>0.0026188531507414063</v>
      </c>
    </row>
    <row r="208">
      <c r="AK208" s="51"/>
      <c r="AL208" s="51"/>
      <c r="AO208" s="110"/>
      <c r="AP208" s="93">
        <f t="shared" si="28"/>
        <v>3500000</v>
      </c>
      <c r="AQ208" s="248">
        <v>0.0021044099268079427</v>
      </c>
      <c r="AR208" s="249">
        <v>0.002433223977871684</v>
      </c>
      <c r="AS208" s="249">
        <v>0.002762038028935426</v>
      </c>
      <c r="AT208" s="249">
        <v>0.003090852079999166</v>
      </c>
      <c r="AU208" s="249">
        <v>0.0034196661310629066</v>
      </c>
      <c r="AV208" s="249">
        <v>0.003748480182126648</v>
      </c>
      <c r="AW208" s="250">
        <v>0.004077294233190389</v>
      </c>
      <c r="AX208" s="178"/>
      <c r="AY208" s="178"/>
      <c r="AZ208" s="178"/>
      <c r="BA208" s="178"/>
      <c r="BB208" s="178"/>
      <c r="BC208" s="178"/>
      <c r="BD208" s="110"/>
      <c r="BE208" s="93">
        <f t="shared" si="29"/>
        <v>3500000</v>
      </c>
      <c r="BF208" s="267">
        <v>7.788020901225349E-4</v>
      </c>
      <c r="BG208" s="267">
        <v>0.0010939226760665638</v>
      </c>
      <c r="BH208" s="267">
        <v>0.001420141153397654</v>
      </c>
      <c r="BI208" s="267">
        <v>0.0017570920582625368</v>
      </c>
      <c r="BJ208" s="268">
        <v>0.0021044099268079427</v>
      </c>
      <c r="BK208" s="267">
        <v>0.0022461579601535196</v>
      </c>
      <c r="BL208" s="267">
        <v>0.002389482843784847</v>
      </c>
      <c r="BM208" s="267">
        <v>0.002534361188015318</v>
      </c>
      <c r="BN208" s="267">
        <v>0.002680769603158321</v>
      </c>
      <c r="BO208" s="269">
        <v>0.002828684699527248</v>
      </c>
    </row>
    <row r="209">
      <c r="AK209" s="51"/>
      <c r="AL209" s="51"/>
      <c r="AO209" s="110"/>
      <c r="AP209" s="93">
        <f t="shared" si="28"/>
        <v>4000000</v>
      </c>
      <c r="AQ209" s="248">
        <v>0.0022497088421260998</v>
      </c>
      <c r="AR209" s="249">
        <v>0.0026012258487083033</v>
      </c>
      <c r="AS209" s="249">
        <v>0.0029527428552905055</v>
      </c>
      <c r="AT209" s="249">
        <v>0.0033042598618727085</v>
      </c>
      <c r="AU209" s="249">
        <v>0.0036557768684549125</v>
      </c>
      <c r="AV209" s="249">
        <v>0.004007293875037116</v>
      </c>
      <c r="AW209" s="250">
        <v>0.004358810881619318</v>
      </c>
      <c r="AX209" s="178"/>
      <c r="AY209" s="178"/>
      <c r="AZ209" s="178"/>
      <c r="BA209" s="178"/>
      <c r="BB209" s="178"/>
      <c r="BC209" s="178"/>
      <c r="BD209" s="110"/>
      <c r="BE209" s="93">
        <f t="shared" si="29"/>
        <v>4000000</v>
      </c>
      <c r="BF209" s="267">
        <v>8.32574455240562E-4</v>
      </c>
      <c r="BG209" s="267">
        <v>0.0011694525318468505</v>
      </c>
      <c r="BH209" s="267">
        <v>0.0015181947533919994</v>
      </c>
      <c r="BI209" s="267">
        <v>0.0018784104225828145</v>
      </c>
      <c r="BJ209" s="268">
        <v>0.0022497088421260998</v>
      </c>
      <c r="BK209" s="267">
        <v>0.0024012438638484307</v>
      </c>
      <c r="BL209" s="267">
        <v>0.00255446460943348</v>
      </c>
      <c r="BM209" s="267">
        <v>0.0027093460742544854</v>
      </c>
      <c r="BN209" s="270">
        <v>0.0028658632536846806</v>
      </c>
      <c r="BO209" s="271">
        <v>0.003023991143097301</v>
      </c>
    </row>
    <row r="210">
      <c r="AK210" s="51"/>
      <c r="AL210" s="51"/>
      <c r="AO210" s="110"/>
      <c r="AP210" s="103">
        <v>4200000.0</v>
      </c>
      <c r="AQ210" s="248">
        <v>0.002386176566944052</v>
      </c>
      <c r="AR210" s="249">
        <v>0.00275901665552906</v>
      </c>
      <c r="AS210" s="249">
        <v>0.003131856744114068</v>
      </c>
      <c r="AT210" s="249">
        <v>0.003504696832699076</v>
      </c>
      <c r="AU210" s="249">
        <v>0.003877536921284084</v>
      </c>
      <c r="AV210" s="249">
        <v>0.004250377009869093</v>
      </c>
      <c r="AW210" s="250">
        <v>0.0046232170984541006</v>
      </c>
      <c r="AX210" s="178"/>
      <c r="AY210" s="178"/>
      <c r="AZ210" s="178"/>
      <c r="BA210" s="178"/>
      <c r="BB210" s="178"/>
      <c r="BD210" s="110"/>
      <c r="BE210" s="103">
        <v>4200000.0</v>
      </c>
      <c r="BF210" s="267">
        <v>8.830785647149458E-4</v>
      </c>
      <c r="BG210" s="267">
        <v>0.001240391723317027</v>
      </c>
      <c r="BH210" s="267">
        <v>0.0016102887079279822</v>
      </c>
      <c r="BI210" s="267">
        <v>0.0019923551214896945</v>
      </c>
      <c r="BJ210" s="268">
        <v>0.002386176566944052</v>
      </c>
      <c r="BK210" s="267">
        <v>0.0025469037291147175</v>
      </c>
      <c r="BL210" s="267">
        <v>0.002709418871447188</v>
      </c>
      <c r="BM210" s="270">
        <v>0.0028736954725297453</v>
      </c>
      <c r="BN210" s="270">
        <v>0.0030397070109506705</v>
      </c>
      <c r="BO210" s="271">
        <v>0.0032074269652982417</v>
      </c>
    </row>
    <row r="211">
      <c r="AK211" s="51"/>
      <c r="AL211" s="51"/>
      <c r="AO211" s="110"/>
      <c r="AP211" s="103">
        <v>5000000.0</v>
      </c>
      <c r="AQ211" s="248">
        <v>0.0025152509502881504</v>
      </c>
      <c r="AR211" s="249">
        <v>0.0029082589112706734</v>
      </c>
      <c r="AS211" s="249">
        <v>0.0033012668722531982</v>
      </c>
      <c r="AT211" s="249">
        <v>0.0036942748332357204</v>
      </c>
      <c r="AU211" s="249">
        <v>0.004087282794218244</v>
      </c>
      <c r="AV211" s="249">
        <v>0.004480290755200769</v>
      </c>
      <c r="AW211" s="250">
        <v>0.004873298716183292</v>
      </c>
      <c r="AX211" s="178"/>
      <c r="AY211" s="178"/>
      <c r="AZ211" s="178"/>
      <c r="BA211" s="178"/>
      <c r="BB211" s="178"/>
      <c r="BD211" s="110"/>
      <c r="BE211" s="103">
        <v>5000000.0</v>
      </c>
      <c r="BF211" s="267">
        <v>9.308465391238762E-4</v>
      </c>
      <c r="BG211" s="267">
        <v>0.0013074876788343973</v>
      </c>
      <c r="BH211" s="267">
        <v>0.0016973933358340198</v>
      </c>
      <c r="BI211" s="267">
        <v>0.002100126697269639</v>
      </c>
      <c r="BJ211" s="268">
        <v>0.0025152509502881504</v>
      </c>
      <c r="BK211" s="267">
        <v>0.002684672255059669</v>
      </c>
      <c r="BL211" s="270">
        <v>0.0028559782564053556</v>
      </c>
      <c r="BM211" s="270">
        <v>0.0030291409983026103</v>
      </c>
      <c r="BN211" s="270">
        <v>0.0032041325247288343</v>
      </c>
      <c r="BO211" s="271">
        <v>0.0033809248796614288</v>
      </c>
    </row>
    <row r="212">
      <c r="AK212" s="51"/>
      <c r="AL212" s="51"/>
      <c r="AO212" s="110"/>
      <c r="AP212" s="103">
        <v>5500000.0</v>
      </c>
      <c r="AQ212" s="248">
        <v>0.002638017452030595</v>
      </c>
      <c r="AR212" s="249">
        <v>0.003050207678910375</v>
      </c>
      <c r="AS212" s="249">
        <v>0.003462397905790155</v>
      </c>
      <c r="AT212" s="249">
        <v>0.0038745881326699367</v>
      </c>
      <c r="AU212" s="249">
        <v>0.004286778359549716</v>
      </c>
      <c r="AV212" s="249">
        <v>0.0046989685864294965</v>
      </c>
      <c r="AW212" s="250">
        <v>0.005111158813309277</v>
      </c>
      <c r="AX212" s="251"/>
      <c r="AY212" s="251"/>
      <c r="AZ212" s="251"/>
      <c r="BA212" s="251"/>
      <c r="BB212" s="251"/>
      <c r="BC212" s="178"/>
      <c r="BD212" s="110"/>
      <c r="BE212" s="103">
        <v>5500000.0</v>
      </c>
      <c r="BF212" s="267">
        <v>9.76280086521685E-4</v>
      </c>
      <c r="BG212" s="267">
        <v>0.0013713046464349698</v>
      </c>
      <c r="BH212" s="267">
        <v>0.0017802411494477702</v>
      </c>
      <c r="BI212" s="267">
        <v>0.0022026314623747557</v>
      </c>
      <c r="BJ212" s="268">
        <v>0.002638017452030595</v>
      </c>
      <c r="BK212" s="270">
        <v>0.002815708015543496</v>
      </c>
      <c r="BL212" s="270">
        <v>0.0029953752654994998</v>
      </c>
      <c r="BM212" s="270">
        <v>0.0031769898813747443</v>
      </c>
      <c r="BN212" s="270">
        <v>0.0033605225426453695</v>
      </c>
      <c r="BO212" s="271">
        <v>0.003545943928787512</v>
      </c>
    </row>
    <row r="213">
      <c r="AK213" s="51"/>
      <c r="AL213" s="51"/>
      <c r="AO213" s="110"/>
      <c r="AP213" s="93">
        <f t="shared" ref="AP213:AP220" si="30">AP212+500000</f>
        <v>6000000</v>
      </c>
      <c r="AQ213" s="272">
        <v>0.002755319366518252</v>
      </c>
      <c r="AR213" s="251">
        <v>0.003185838017536727</v>
      </c>
      <c r="AS213" s="251">
        <v>0.003616356668555203</v>
      </c>
      <c r="AT213" s="251">
        <v>0.004046875319573681</v>
      </c>
      <c r="AU213" s="251">
        <v>0.004477393970592158</v>
      </c>
      <c r="AV213" s="251">
        <v>0.004907912621610635</v>
      </c>
      <c r="AW213" s="273">
        <v>0.005338431272629112</v>
      </c>
      <c r="AX213" s="178"/>
      <c r="AY213" s="178"/>
      <c r="AZ213" s="178"/>
      <c r="BA213" s="178"/>
      <c r="BB213" s="178"/>
      <c r="BD213" s="110"/>
      <c r="BE213" s="93">
        <f t="shared" ref="BE213:BE220" si="31">BE212+500000</f>
        <v>6000000</v>
      </c>
      <c r="BF213" s="264">
        <v>0.0010196912941075244</v>
      </c>
      <c r="BG213" s="264">
        <v>0.0014322809907153392</v>
      </c>
      <c r="BH213" s="264">
        <v>0.0018594012379904697</v>
      </c>
      <c r="BI213" s="264">
        <v>0.00230057353142681</v>
      </c>
      <c r="BJ213" s="265">
        <v>0.002755319366518252</v>
      </c>
      <c r="BK213" s="274">
        <v>0.002940911107208889</v>
      </c>
      <c r="BL213" s="274">
        <v>0.0031285674295549733</v>
      </c>
      <c r="BM213" s="274">
        <v>0.003318257709268116</v>
      </c>
      <c r="BN213" s="274">
        <v>0.003509951322059925</v>
      </c>
      <c r="BO213" s="275">
        <v>0.0037036176436420092</v>
      </c>
    </row>
    <row r="214">
      <c r="AK214" s="144"/>
      <c r="AL214" s="144"/>
      <c r="AO214" s="110"/>
      <c r="AP214" s="93">
        <f t="shared" si="30"/>
        <v>6500000</v>
      </c>
      <c r="AQ214" s="248">
        <v>0.002867827321475803</v>
      </c>
      <c r="AR214" s="249">
        <v>0.0033159253404563974</v>
      </c>
      <c r="AS214" s="249">
        <v>0.003764023359436992</v>
      </c>
      <c r="AT214" s="249">
        <v>0.004212121378417586</v>
      </c>
      <c r="AU214" s="249">
        <v>0.00466021939739818</v>
      </c>
      <c r="AV214" s="249">
        <v>0.005108317416378775</v>
      </c>
      <c r="AW214" s="250">
        <v>0.005556415435359368</v>
      </c>
      <c r="AX214" s="178"/>
      <c r="AY214" s="178"/>
      <c r="AZ214" s="178"/>
      <c r="BA214" s="178"/>
      <c r="BB214" s="178"/>
      <c r="BC214" s="23"/>
      <c r="BD214" s="110"/>
      <c r="BE214" s="93">
        <f t="shared" si="31"/>
        <v>6500000</v>
      </c>
      <c r="BF214" s="267">
        <v>0.0010613283484476276</v>
      </c>
      <c r="BG214" s="267">
        <v>0.0014907653200268948</v>
      </c>
      <c r="BH214" s="267">
        <v>0.001935326168244998</v>
      </c>
      <c r="BI214" s="267">
        <v>0.00239451284982146</v>
      </c>
      <c r="BJ214" s="276">
        <v>0.002867827321475803</v>
      </c>
      <c r="BK214" s="270">
        <v>0.0030609973296645207</v>
      </c>
      <c r="BL214" s="270">
        <v>0.003256316222570872</v>
      </c>
      <c r="BM214" s="270">
        <v>0.003453752125424906</v>
      </c>
      <c r="BN214" s="270">
        <v>0.003653273163456674</v>
      </c>
      <c r="BO214" s="271">
        <v>0.003854847461896222</v>
      </c>
    </row>
    <row r="215">
      <c r="AK215" s="51"/>
      <c r="AL215" s="51"/>
      <c r="AO215" s="110"/>
      <c r="AP215" s="93">
        <f t="shared" si="30"/>
        <v>7000000</v>
      </c>
      <c r="AQ215" s="248">
        <v>0.002976085059284366</v>
      </c>
      <c r="AR215" s="249">
        <v>0.0034410983497975478</v>
      </c>
      <c r="AS215" s="249">
        <v>0.0039061116403107292</v>
      </c>
      <c r="AT215" s="249">
        <v>0.0043711249308239115</v>
      </c>
      <c r="AU215" s="249">
        <v>0.004836138221337093</v>
      </c>
      <c r="AV215" s="249">
        <v>0.005301151511850276</v>
      </c>
      <c r="AW215" s="250">
        <v>0.005766164802363458</v>
      </c>
      <c r="AX215" s="178"/>
      <c r="AY215" s="178"/>
      <c r="AZ215" s="178"/>
      <c r="BA215" s="178"/>
      <c r="BB215" s="178"/>
      <c r="BC215" s="225"/>
      <c r="BD215" s="110"/>
      <c r="BE215" s="93">
        <f t="shared" si="31"/>
        <v>7000000</v>
      </c>
      <c r="BF215" s="267">
        <v>0.0011013924782558022</v>
      </c>
      <c r="BG215" s="267">
        <v>0.0015470402846808047</v>
      </c>
      <c r="BH215" s="267">
        <v>0.0020083828796191323</v>
      </c>
      <c r="BI215" s="267">
        <v>0.002484903419132936</v>
      </c>
      <c r="BJ215" s="276">
        <v>0.002976085059284366</v>
      </c>
      <c r="BK215" s="270">
        <v>0.003176547050481393</v>
      </c>
      <c r="BL215" s="270">
        <v>0.0033792390447383623</v>
      </c>
      <c r="BM215" s="270">
        <v>0.0035841279640432522</v>
      </c>
      <c r="BN215" s="270">
        <v>0.003791180730384039</v>
      </c>
      <c r="BO215" s="271">
        <v>0.004000364265748697</v>
      </c>
    </row>
    <row r="216">
      <c r="AK216" s="51"/>
      <c r="AL216" s="51"/>
      <c r="AO216" s="110"/>
      <c r="AP216" s="93">
        <f t="shared" si="30"/>
        <v>7500000</v>
      </c>
      <c r="AQ216" s="248">
        <v>0.0030805407016282335</v>
      </c>
      <c r="AR216" s="249">
        <v>0.0035618751862576447</v>
      </c>
      <c r="AS216" s="249">
        <v>0.004043209670887056</v>
      </c>
      <c r="AT216" s="249">
        <v>0.004524544155516468</v>
      </c>
      <c r="AU216" s="249">
        <v>0.005005878640145879</v>
      </c>
      <c r="AV216" s="249">
        <v>0.005487213124775291</v>
      </c>
      <c r="AW216" s="250">
        <v>0.005968547609404701</v>
      </c>
      <c r="AX216" s="178"/>
      <c r="AY216" s="178"/>
      <c r="AZ216" s="178"/>
      <c r="BA216" s="178"/>
      <c r="BB216" s="178"/>
      <c r="BC216" s="226"/>
      <c r="BD216" s="110"/>
      <c r="BE216" s="93">
        <f t="shared" si="31"/>
        <v>7500000</v>
      </c>
      <c r="BF216" s="267">
        <v>0.001140049524844578</v>
      </c>
      <c r="BG216" s="267">
        <v>0.0016013388290601217</v>
      </c>
      <c r="BH216" s="267">
        <v>0.0020788737827969776</v>
      </c>
      <c r="BI216" s="270">
        <v>0.0025721194017535465</v>
      </c>
      <c r="BJ216" s="276">
        <v>0.0030805407016282335</v>
      </c>
      <c r="BK216" s="270">
        <v>0.0032880385757516227</v>
      </c>
      <c r="BL216" s="270">
        <v>0.0034978447223383514</v>
      </c>
      <c r="BM216" s="270">
        <v>0.0037099249023931193</v>
      </c>
      <c r="BN216" s="277">
        <v>0.003924244876920623</v>
      </c>
      <c r="BO216" s="278">
        <v>0.004140770406925561</v>
      </c>
    </row>
    <row r="217">
      <c r="AK217" s="51"/>
      <c r="AL217" s="51"/>
      <c r="AO217" s="110"/>
      <c r="AP217" s="93">
        <f t="shared" si="30"/>
        <v>8000000</v>
      </c>
      <c r="AQ217" s="248">
        <v>0.0031815687559254026</v>
      </c>
      <c r="AR217" s="249">
        <v>0.0036786888740387466</v>
      </c>
      <c r="AS217" s="249">
        <v>0.004175808992152091</v>
      </c>
      <c r="AT217" s="249">
        <v>0.004672929110265435</v>
      </c>
      <c r="AU217" s="249">
        <v>0.005170049228378777</v>
      </c>
      <c r="AV217" s="249">
        <v>0.005667169346492123</v>
      </c>
      <c r="AW217" s="250">
        <v>0.006164289464605468</v>
      </c>
      <c r="AX217" s="178"/>
      <c r="AY217" s="178"/>
      <c r="AZ217" s="178"/>
      <c r="BA217" s="178"/>
      <c r="BB217" s="178"/>
      <c r="BC217" s="177"/>
      <c r="BD217" s="110"/>
      <c r="BE217" s="93">
        <f t="shared" si="31"/>
        <v>8000000</v>
      </c>
      <c r="BF217" s="267">
        <v>0.001177438086286594</v>
      </c>
      <c r="BG217" s="267">
        <v>0.0016538556310893694</v>
      </c>
      <c r="BH217" s="267">
        <v>0.002147051610570642</v>
      </c>
      <c r="BI217" s="270">
        <v>0.0026564734953195925</v>
      </c>
      <c r="BJ217" s="276">
        <v>0.0031815687559254026</v>
      </c>
      <c r="BK217" s="270">
        <v>0.0033958716388196243</v>
      </c>
      <c r="BL217" s="270">
        <v>0.003612558495262918</v>
      </c>
      <c r="BM217" s="270">
        <v>0.0038315939633729946</v>
      </c>
      <c r="BN217" s="277">
        <v>0.004052942681267562</v>
      </c>
      <c r="BO217" s="278">
        <v>0.004276569287064322</v>
      </c>
    </row>
    <row r="218">
      <c r="AK218" s="51"/>
      <c r="AL218" s="51"/>
      <c r="AO218" s="110"/>
      <c r="AP218" s="93">
        <f t="shared" si="30"/>
        <v>8500000</v>
      </c>
      <c r="AQ218" s="248">
        <v>0.003279486008961351</v>
      </c>
      <c r="AR218" s="249">
        <v>0.0037919056978615636</v>
      </c>
      <c r="AS218" s="249">
        <v>0.004304325386761775</v>
      </c>
      <c r="AT218" s="249">
        <v>0.004816745075661985</v>
      </c>
      <c r="AU218" s="249">
        <v>0.0053291647645621965</v>
      </c>
      <c r="AV218" s="249">
        <v>0.0058415844534624095</v>
      </c>
      <c r="AW218" s="250">
        <v>0.006354004142362619</v>
      </c>
      <c r="AX218" s="178"/>
      <c r="AY218" s="178"/>
      <c r="AZ218" s="178"/>
      <c r="BA218" s="178"/>
      <c r="BB218" s="178"/>
      <c r="BC218" s="178"/>
      <c r="BD218" s="110"/>
      <c r="BE218" s="93">
        <f t="shared" si="31"/>
        <v>8500000</v>
      </c>
      <c r="BF218" s="267">
        <v>0.001213675399346187</v>
      </c>
      <c r="BG218" s="267">
        <v>0.0017047553641260061</v>
      </c>
      <c r="BH218" s="270">
        <v>0.0022131301435088188</v>
      </c>
      <c r="BI218" s="270">
        <v>0.0027382302032141056</v>
      </c>
      <c r="BJ218" s="276">
        <v>0.003279486008961351</v>
      </c>
      <c r="BK218" s="270">
        <v>0.003500384364473163</v>
      </c>
      <c r="BL218" s="270">
        <v>0.003723740063672853</v>
      </c>
      <c r="BM218" s="277">
        <v>0.003949516656366466</v>
      </c>
      <c r="BN218" s="277">
        <v>0.004177677692360051</v>
      </c>
      <c r="BO218" s="278">
        <v>0.004408186721459653</v>
      </c>
    </row>
    <row r="219">
      <c r="AK219" s="51"/>
      <c r="AL219" s="51"/>
      <c r="AO219" s="110"/>
      <c r="AP219" s="93">
        <f t="shared" si="30"/>
        <v>9000000</v>
      </c>
      <c r="AQ219" s="248">
        <v>0.0033745632631891503</v>
      </c>
      <c r="AR219" s="249">
        <v>0.0039018387730624547</v>
      </c>
      <c r="AS219" s="249">
        <v>0.004429114282935758</v>
      </c>
      <c r="AT219" s="249">
        <v>0.004956389792809063</v>
      </c>
      <c r="AU219" s="249">
        <v>0.005483665302682368</v>
      </c>
      <c r="AV219" s="249">
        <v>0.006010940812555673</v>
      </c>
      <c r="AW219" s="250">
        <v>0.006538216322428978</v>
      </c>
      <c r="AX219" s="178"/>
      <c r="AY219" s="178"/>
      <c r="AZ219" s="178"/>
      <c r="BA219" s="178"/>
      <c r="BB219" s="178"/>
      <c r="BC219" s="178"/>
      <c r="BD219" s="110"/>
      <c r="BE219" s="93">
        <f t="shared" si="31"/>
        <v>9000000</v>
      </c>
      <c r="BF219" s="267">
        <v>0.001248861682860843</v>
      </c>
      <c r="BG219" s="267">
        <v>0.0017541787977702762</v>
      </c>
      <c r="BH219" s="270">
        <v>0.002277292130088</v>
      </c>
      <c r="BI219" s="270">
        <v>0.002817615633874222</v>
      </c>
      <c r="BJ219" s="276">
        <v>0.0033745632631891503</v>
      </c>
      <c r="BK219" s="270">
        <v>0.003601865795772645</v>
      </c>
      <c r="BL219" s="270">
        <v>0.0038316969141502194</v>
      </c>
      <c r="BM219" s="277">
        <v>0.004064019111381728</v>
      </c>
      <c r="BN219" s="277">
        <v>0.004298794880527021</v>
      </c>
      <c r="BO219" s="278">
        <v>0.0045359867146459515</v>
      </c>
    </row>
    <row r="220">
      <c r="AK220" s="51"/>
      <c r="AL220" s="51"/>
      <c r="AO220" s="110"/>
      <c r="AP220" s="93">
        <f t="shared" si="30"/>
        <v>9500000</v>
      </c>
      <c r="AQ220" s="248">
        <v>0.0034670341722513125</v>
      </c>
      <c r="AR220" s="249">
        <v>0.004008758261665581</v>
      </c>
      <c r="AS220" s="249">
        <v>0.004550482351079848</v>
      </c>
      <c r="AT220" s="249">
        <v>0.0050922064404941144</v>
      </c>
      <c r="AU220" s="249">
        <v>0.005633930529908383</v>
      </c>
      <c r="AV220" s="249">
        <v>0.006175654619322651</v>
      </c>
      <c r="AW220" s="250">
        <v>0.0067173787087369185</v>
      </c>
      <c r="AX220" s="251"/>
      <c r="AY220" s="251"/>
      <c r="AZ220" s="251"/>
      <c r="BA220" s="251"/>
      <c r="BB220" s="251"/>
      <c r="BC220" s="178"/>
      <c r="BD220" s="110"/>
      <c r="BE220" s="93">
        <f t="shared" si="31"/>
        <v>9500000</v>
      </c>
      <c r="BF220" s="267">
        <v>0.0012830834075997972</v>
      </c>
      <c r="BG220" s="267">
        <v>0.0018022473907810617</v>
      </c>
      <c r="BH220" s="270">
        <v>0.002339695249260918</v>
      </c>
      <c r="BI220" s="270">
        <v>0.0028948248780730932</v>
      </c>
      <c r="BJ220" s="276">
        <v>0.0034670341722513125</v>
      </c>
      <c r="BK220" s="270">
        <v>0.0037005653247126477</v>
      </c>
      <c r="BL220" s="277">
        <v>0.003936694352120105</v>
      </c>
      <c r="BM220" s="277">
        <v>0.004175382719755842</v>
      </c>
      <c r="BN220" s="277">
        <v>0.004416591892902019</v>
      </c>
      <c r="BO220" s="278">
        <v>0.004660283336840791</v>
      </c>
    </row>
    <row r="221">
      <c r="AK221" s="51"/>
      <c r="AL221" s="51"/>
      <c r="AO221" s="146"/>
      <c r="AP221" s="279">
        <v>1.0E7</v>
      </c>
      <c r="AQ221" s="280">
        <v>0.0035571020066693182</v>
      </c>
      <c r="AR221" s="281">
        <v>0.004112899195211399</v>
      </c>
      <c r="AS221" s="281">
        <v>0.004668696383753481</v>
      </c>
      <c r="AT221" s="281">
        <v>0.005224493572295561</v>
      </c>
      <c r="AU221" s="281">
        <v>0.0057802907608376424</v>
      </c>
      <c r="AV221" s="281">
        <v>0.006336087949379724</v>
      </c>
      <c r="AW221" s="282">
        <v>0.006891885137921804</v>
      </c>
      <c r="AX221" s="23"/>
      <c r="AY221" s="23"/>
      <c r="AZ221" s="23"/>
      <c r="BA221" s="23"/>
      <c r="BB221" s="23"/>
      <c r="BC221" s="178"/>
      <c r="BD221" s="146"/>
      <c r="BE221" s="279">
        <v>1.0E7</v>
      </c>
      <c r="BF221" s="283">
        <v>0.0013164158001170438</v>
      </c>
      <c r="BG221" s="284">
        <v>0.0018490668080433225</v>
      </c>
      <c r="BH221" s="284">
        <v>0.0024004766762181808</v>
      </c>
      <c r="BI221" s="284">
        <v>0.0029700276579805395</v>
      </c>
      <c r="BJ221" s="285">
        <v>0.0035571020066693182</v>
      </c>
      <c r="BK221" s="284">
        <v>0.0037966999136321454</v>
      </c>
      <c r="BL221" s="286">
        <v>0.0040389631840511185</v>
      </c>
      <c r="BM221" s="286">
        <v>0.004283852282139927</v>
      </c>
      <c r="BN221" s="286">
        <v>0.004531327672112265</v>
      </c>
      <c r="BO221" s="287">
        <v>0.004781349818181818</v>
      </c>
    </row>
    <row r="222">
      <c r="AK222" s="144"/>
      <c r="AL222" s="144"/>
      <c r="BC222" s="178"/>
    </row>
    <row r="223">
      <c r="AK223" s="178"/>
      <c r="AL223" s="178"/>
      <c r="BC223" s="178"/>
    </row>
    <row r="224">
      <c r="AK224" s="178"/>
      <c r="AL224" s="178"/>
      <c r="BC224" s="178"/>
    </row>
    <row r="226">
      <c r="AK226" s="51"/>
      <c r="AL226" s="51"/>
      <c r="AM226" s="51"/>
      <c r="AN226" s="51"/>
      <c r="AO226" s="51"/>
      <c r="AP226" s="51"/>
    </row>
    <row r="227">
      <c r="AK227" s="51"/>
      <c r="AL227" s="51"/>
      <c r="AM227" s="51"/>
      <c r="AN227" s="51"/>
      <c r="AO227" s="51"/>
      <c r="AP227" s="51"/>
    </row>
    <row r="228">
      <c r="AK228" s="144"/>
      <c r="AL228" s="144"/>
      <c r="AM228" s="144"/>
      <c r="AN228" s="144"/>
      <c r="AO228" s="144"/>
      <c r="AP228" s="144"/>
    </row>
    <row r="229">
      <c r="AK229" s="51"/>
      <c r="AL229" s="51"/>
      <c r="AM229" s="51"/>
      <c r="AN229" s="51"/>
      <c r="AO229" s="51"/>
      <c r="AP229" s="51"/>
    </row>
    <row r="230">
      <c r="AK230" s="51"/>
      <c r="AL230" s="51"/>
      <c r="AM230" s="51"/>
      <c r="AN230" s="51"/>
      <c r="AO230" s="51"/>
      <c r="AP230" s="51"/>
    </row>
    <row r="231">
      <c r="AK231" s="51"/>
      <c r="AL231" s="51"/>
      <c r="AM231" s="51"/>
      <c r="AN231" s="51"/>
      <c r="AO231" s="51"/>
      <c r="AP231" s="51"/>
    </row>
    <row r="232">
      <c r="AK232" s="51"/>
      <c r="AL232" s="51"/>
      <c r="AM232" s="51"/>
      <c r="AN232" s="51"/>
      <c r="AO232" s="51"/>
      <c r="AP232" s="51"/>
    </row>
    <row r="233">
      <c r="AK233" s="51"/>
      <c r="AL233" s="51"/>
      <c r="AM233" s="51"/>
      <c r="AN233" s="51"/>
      <c r="AO233" s="51"/>
      <c r="AP233" s="51"/>
    </row>
    <row r="234">
      <c r="AK234" s="51"/>
      <c r="AL234" s="51"/>
      <c r="AM234" s="51"/>
      <c r="AN234" s="51"/>
      <c r="AO234" s="51"/>
      <c r="AP234" s="51"/>
    </row>
    <row r="235">
      <c r="AK235" s="51"/>
      <c r="AL235" s="51"/>
      <c r="AM235" s="51"/>
      <c r="AN235" s="51"/>
      <c r="AO235" s="51"/>
      <c r="AP235" s="51"/>
    </row>
    <row r="236">
      <c r="AK236" s="144"/>
      <c r="AL236" s="144"/>
      <c r="AM236" s="144"/>
      <c r="AN236" s="144"/>
      <c r="AO236" s="144"/>
      <c r="AP236" s="144"/>
    </row>
    <row r="239">
      <c r="AK239" s="23"/>
      <c r="AL239" s="23"/>
      <c r="AM239" s="23"/>
      <c r="AN239" s="23"/>
      <c r="AO239" s="23"/>
      <c r="AP239" s="23"/>
    </row>
    <row r="240">
      <c r="AK240" s="87"/>
      <c r="AL240" s="87"/>
      <c r="AM240" s="87"/>
      <c r="AN240" s="87"/>
      <c r="AO240" s="87"/>
      <c r="AP240" s="87"/>
    </row>
    <row r="241">
      <c r="AK241" s="51"/>
      <c r="AL241" s="51"/>
      <c r="AM241" s="51"/>
      <c r="AN241" s="51"/>
      <c r="AO241" s="51"/>
      <c r="AP241" s="51"/>
    </row>
    <row r="242">
      <c r="AK242" s="51"/>
      <c r="AL242" s="51"/>
      <c r="AM242" s="51"/>
      <c r="AN242" s="51"/>
      <c r="AO242" s="51"/>
      <c r="AP242" s="51"/>
    </row>
    <row r="243">
      <c r="AK243" s="51"/>
      <c r="AL243" s="51"/>
      <c r="AM243" s="51"/>
      <c r="AN243" s="51"/>
      <c r="AO243" s="51"/>
      <c r="AP243" s="51"/>
    </row>
    <row r="244">
      <c r="AK244" s="51"/>
      <c r="AL244" s="51"/>
      <c r="AM244" s="51"/>
      <c r="AN244" s="51"/>
      <c r="AO244" s="51"/>
      <c r="AP244" s="51"/>
    </row>
    <row r="245">
      <c r="AK245" s="51"/>
      <c r="AL245" s="51"/>
      <c r="AM245" s="51"/>
      <c r="AN245" s="51"/>
      <c r="AO245" s="51"/>
      <c r="AP245" s="51"/>
    </row>
    <row r="246">
      <c r="AK246" s="51"/>
      <c r="AL246" s="51"/>
      <c r="AM246" s="51"/>
      <c r="AN246" s="51"/>
      <c r="AO246" s="51"/>
      <c r="AP246" s="51"/>
    </row>
  </sheetData>
  <mergeCells count="25">
    <mergeCell ref="U39:AC39"/>
    <mergeCell ref="AT39:BG39"/>
    <mergeCell ref="BK39:BX39"/>
    <mergeCell ref="U41:U57"/>
    <mergeCell ref="AE41:AE57"/>
    <mergeCell ref="AR43:AR52"/>
    <mergeCell ref="BI43:BI59"/>
    <mergeCell ref="U99:AC99"/>
    <mergeCell ref="AT99:BG99"/>
    <mergeCell ref="BK99:BX99"/>
    <mergeCell ref="AE101:AE117"/>
    <mergeCell ref="F103:F125"/>
    <mergeCell ref="AR103:AR112"/>
    <mergeCell ref="BI103:BI119"/>
    <mergeCell ref="U160:U176"/>
    <mergeCell ref="D166:D204"/>
    <mergeCell ref="AO205:AO221"/>
    <mergeCell ref="BD205:BD221"/>
    <mergeCell ref="U101:U117"/>
    <mergeCell ref="U158:AC158"/>
    <mergeCell ref="AT158:BG158"/>
    <mergeCell ref="BK158:BX158"/>
    <mergeCell ref="AE160:AE176"/>
    <mergeCell ref="AR162:AR171"/>
    <mergeCell ref="BI162:BI178"/>
  </mergeCells>
  <conditionalFormatting sqref="AT43:BG52 BK43:BX61 CE43:DH61 AY80:BL88 AG101:AP119 AT103:BG112 BK103:BX121 AG160:AP178 AT162:BG171 BK162:BX180">
    <cfRule type="colorScale" priority="1">
      <colorScale>
        <cfvo type="min"/>
        <cfvo type="formula" val="0"/>
        <cfvo type="max"/>
        <color rgb="FFE67C73"/>
        <color rgb="FFFFFFFF"/>
        <color rgb="FF57BB8A"/>
      </colorScale>
    </cfRule>
  </conditionalFormatting>
  <conditionalFormatting sqref="X38:AC38 AR38:BG38 BI38:BX38 CE38:DH38 X98:AC98 AR98:BG98 BI98:BX98 X157:AC157 AR157:BG157 BI157:BX157 AK201:AL201">
    <cfRule type="colorScale" priority="2">
      <colorScale>
        <cfvo type="min"/>
        <cfvo type="percentile" val="50"/>
        <cfvo type="max"/>
        <color rgb="FFE67C73"/>
        <color rgb="FFFFFFFF"/>
        <color rgb="FF57BB8A"/>
      </colorScale>
    </cfRule>
  </conditionalFormatting>
  <conditionalFormatting sqref="AT38 AV38 BK38 BM38 W98 AG98 AT98 AV98 BK98 BM98 BK118 W157 AG157 AT157 AV157 BK157 BM157 BK177 AQ202">
    <cfRule type="colorScale" priority="3">
      <colorScale>
        <cfvo type="min"/>
        <cfvo type="percentile" val="50"/>
        <cfvo type="max"/>
        <color rgb="FF57BB8A"/>
        <color rgb="FFFFFFFF"/>
        <color rgb="FFE67C73"/>
      </colorScale>
    </cfRule>
  </conditionalFormatting>
  <conditionalFormatting sqref="F47:F48">
    <cfRule type="cellIs" dxfId="0" priority="4" operator="greaterThan">
      <formula>0</formula>
    </cfRule>
  </conditionalFormatting>
  <conditionalFormatting sqref="F47:F48">
    <cfRule type="cellIs" dxfId="1" priority="5" operator="lessThan">
      <formula>0</formula>
    </cfRule>
  </conditionalFormatting>
  <conditionalFormatting sqref="C28:C30">
    <cfRule type="cellIs" dxfId="0" priority="6" operator="equal">
      <formula>"Yes"</formula>
    </cfRule>
  </conditionalFormatting>
  <conditionalFormatting sqref="C28:C30">
    <cfRule type="cellIs" dxfId="1" priority="7" operator="equal">
      <formula>"No"</formula>
    </cfRule>
  </conditionalFormatting>
  <conditionalFormatting sqref="W101:AC119 W160:AC178">
    <cfRule type="colorScale" priority="8">
      <colorScale>
        <cfvo type="min"/>
        <cfvo type="max"/>
        <color rgb="FFFFFFFF"/>
        <color rgb="FF57BB8A"/>
      </colorScale>
    </cfRule>
  </conditionalFormatting>
  <conditionalFormatting sqref="AG101:AP119 AG160:AP178">
    <cfRule type="colorScale" priority="9">
      <colorScale>
        <cfvo type="min"/>
        <cfvo type="percentile" val="5"/>
        <cfvo type="max"/>
        <color rgb="FFE67C73"/>
        <color rgb="FFFFFFFF"/>
        <color rgb="FF57BB8A"/>
      </colorScale>
    </cfRule>
  </conditionalFormatting>
  <conditionalFormatting sqref="W101:AC117 W160:AC176">
    <cfRule type="colorScale" priority="10">
      <colorScale>
        <cfvo type="min"/>
        <cfvo type="max"/>
        <color rgb="FFFFFFFF"/>
        <color rgb="FF57BB8A"/>
      </colorScale>
    </cfRule>
  </conditionalFormatting>
  <conditionalFormatting sqref="AG41:AP60 AG101:AP119 AG160:AP178">
    <cfRule type="colorScale" priority="11">
      <colorScale>
        <cfvo type="min"/>
        <cfvo type="max"/>
        <color rgb="FFFFFFFF"/>
        <color rgb="FF57BB8A"/>
      </colorScale>
    </cfRule>
  </conditionalFormatting>
  <conditionalFormatting sqref="W41:W60 X41:AC59 W101:AC119 W160:AC178">
    <cfRule type="colorScale" priority="12">
      <colorScale>
        <cfvo type="min"/>
        <cfvo type="max"/>
        <color rgb="FFFFFFFF"/>
        <color rgb="FF57BB8A"/>
      </colorScale>
    </cfRule>
  </conditionalFormatting>
  <dataValidations>
    <dataValidation type="list" allowBlank="1" sqref="C28:C30">
      <formula1>"Yes,No"</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38"/>
    <col customWidth="1" min="2" max="2" width="36.63"/>
    <col customWidth="1" min="4" max="4" width="2.25"/>
    <col customWidth="1" min="5" max="5" width="35.25"/>
    <col customWidth="1" min="6" max="6" width="16.88"/>
    <col customWidth="1" min="7" max="8" width="2.38"/>
    <col customWidth="1" min="9" max="9" width="6.25"/>
    <col customWidth="1" min="10" max="20" width="2.38"/>
    <col customWidth="1" min="21" max="21" width="3.63"/>
    <col customWidth="1" min="22" max="22" width="27.88"/>
    <col customWidth="1" min="23" max="23" width="6.5"/>
    <col customWidth="1" min="24" max="24" width="8.13"/>
    <col customWidth="1" min="25" max="26" width="6.75"/>
    <col customWidth="1" min="27" max="27" width="7.5"/>
    <col customWidth="1" min="28" max="31" width="6.75"/>
    <col customWidth="1" min="32" max="32" width="9.38"/>
    <col customWidth="1" min="33" max="33" width="7.63"/>
    <col customWidth="1" min="34" max="34" width="6.75"/>
    <col customWidth="1" min="35" max="35" width="10.0"/>
    <col customWidth="1" min="36" max="36" width="6.75"/>
    <col customWidth="1" min="37" max="37" width="10.75"/>
    <col customWidth="1" min="38" max="38" width="7.63"/>
    <col customWidth="1" min="39" max="39" width="6.75"/>
    <col customWidth="1" min="40" max="40" width="9.13"/>
    <col customWidth="1" min="41" max="41" width="6.75"/>
    <col customWidth="1" min="42" max="43" width="9.0"/>
    <col customWidth="1" min="44" max="44" width="6.75"/>
    <col customWidth="1" min="45" max="45" width="8.13"/>
    <col customWidth="1" min="46" max="47" width="6.75"/>
    <col customWidth="1" min="48" max="48" width="10.0"/>
    <col customWidth="1" min="49" max="49" width="6.75"/>
    <col customWidth="1" min="50" max="50" width="8.5"/>
    <col customWidth="1" min="51" max="53" width="6.75"/>
    <col customWidth="1" min="54" max="54" width="10.0"/>
    <col customWidth="1" min="55" max="61" width="6.75"/>
    <col customWidth="1" min="62" max="62" width="8.63"/>
    <col customWidth="1" min="63" max="112" width="6.75"/>
  </cols>
  <sheetData>
    <row r="1">
      <c r="A1" s="1" t="s">
        <v>0</v>
      </c>
      <c r="B1" s="1"/>
      <c r="C1" s="1"/>
      <c r="D1" s="1"/>
      <c r="E1" s="1"/>
      <c r="F1" s="1"/>
    </row>
    <row r="2">
      <c r="D2" s="2"/>
      <c r="E2" s="2">
        <f>F11/210</f>
        <v>391.3307143</v>
      </c>
      <c r="F2" s="2"/>
    </row>
    <row r="3">
      <c r="D3" s="2"/>
      <c r="E3" s="2">
        <f>F5/12</f>
        <v>6843.75</v>
      </c>
      <c r="F3" s="9">
        <v>525600.0</v>
      </c>
    </row>
    <row r="4">
      <c r="D4" s="2"/>
      <c r="E4" s="2">
        <f>E3*32</f>
        <v>219000</v>
      </c>
      <c r="F4" s="2"/>
    </row>
    <row r="5">
      <c r="D5" s="2"/>
      <c r="E5" s="2">
        <f>(32*12)/60</f>
        <v>6.4</v>
      </c>
      <c r="F5" s="2">
        <f>F3/E5</f>
        <v>82125</v>
      </c>
    </row>
    <row r="6">
      <c r="D6" s="2"/>
      <c r="E6" s="2"/>
      <c r="R6" s="5" t="s">
        <v>1</v>
      </c>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7"/>
    </row>
    <row r="7">
      <c r="E7" s="8"/>
      <c r="F7" s="9"/>
      <c r="R7" s="10"/>
      <c r="BY7" s="11"/>
    </row>
    <row r="8">
      <c r="E8" s="12" t="s">
        <v>2</v>
      </c>
      <c r="F8" s="13"/>
      <c r="R8" s="10"/>
      <c r="BA8" s="14"/>
      <c r="BB8" s="14"/>
      <c r="BC8" s="14"/>
      <c r="BD8" s="14"/>
      <c r="BE8" s="14"/>
      <c r="BF8" s="14"/>
      <c r="BG8" s="14"/>
      <c r="BH8" s="14"/>
      <c r="BI8" s="14"/>
      <c r="BJ8" s="14"/>
      <c r="BK8" s="14"/>
      <c r="BL8" s="14"/>
      <c r="BM8" s="14"/>
      <c r="BY8" s="11"/>
    </row>
    <row r="9" ht="2.25" customHeight="1">
      <c r="E9" s="15" t="s">
        <v>3</v>
      </c>
      <c r="F9" s="16">
        <f>C14/C13</f>
        <v>18125</v>
      </c>
      <c r="R9" s="10"/>
      <c r="BA9" s="14"/>
      <c r="BB9" s="14"/>
      <c r="BC9" s="14"/>
      <c r="BD9" s="14"/>
      <c r="BE9" s="14"/>
      <c r="BF9" s="14"/>
      <c r="BG9" s="14"/>
      <c r="BH9" s="14"/>
      <c r="BI9" s="14"/>
      <c r="BJ9" s="14"/>
      <c r="BK9" s="14"/>
      <c r="BL9" s="14"/>
      <c r="BM9" s="14"/>
      <c r="BN9" s="11"/>
      <c r="BY9" s="11"/>
    </row>
    <row r="10">
      <c r="B10" s="17" t="s">
        <v>4</v>
      </c>
      <c r="C10" s="18"/>
      <c r="E10" s="19" t="s">
        <v>5</v>
      </c>
      <c r="F10" s="20">
        <f>C14/C13/C19</f>
        <v>283.203125</v>
      </c>
      <c r="R10" s="10"/>
      <c r="BA10" s="14"/>
      <c r="BB10" s="14"/>
      <c r="BC10" s="14"/>
      <c r="BD10" s="14"/>
      <c r="BE10" s="14"/>
      <c r="BF10" s="14"/>
      <c r="BG10" s="14"/>
      <c r="BH10" s="14"/>
      <c r="BI10" s="14"/>
      <c r="BJ10" s="14"/>
      <c r="BK10" s="14"/>
      <c r="BL10" s="14"/>
      <c r="BM10" s="14"/>
      <c r="BN10" s="11"/>
      <c r="BY10" s="11"/>
    </row>
    <row r="11">
      <c r="B11" s="21" t="s">
        <v>6</v>
      </c>
      <c r="C11" s="22"/>
      <c r="D11" s="23"/>
      <c r="E11" s="15" t="s">
        <v>7</v>
      </c>
      <c r="F11" s="16">
        <f>(60*60*24*365.242)/(C20*C21)</f>
        <v>82179.45</v>
      </c>
      <c r="R11" s="10"/>
      <c r="BA11" s="14"/>
      <c r="BB11" s="14"/>
      <c r="BC11" s="14"/>
      <c r="BD11" s="14"/>
      <c r="BE11" s="14"/>
      <c r="BF11" s="14"/>
      <c r="BG11" s="14"/>
      <c r="BH11" s="14"/>
      <c r="BI11" s="14"/>
      <c r="BJ11" s="14"/>
      <c r="BK11" s="14"/>
      <c r="BL11" s="14"/>
      <c r="BM11" s="14"/>
      <c r="BN11" s="11"/>
      <c r="BY11" s="11"/>
    </row>
    <row r="12">
      <c r="B12" s="15" t="s">
        <v>8</v>
      </c>
      <c r="C12" s="354">
        <f>'Coin Market Cap'!D3</f>
        <v>3251.17</v>
      </c>
      <c r="E12" s="15" t="s">
        <v>9</v>
      </c>
      <c r="F12" s="16">
        <f>32 * 10^9 * C22/ sqrt(C14 * 10^9) / F28</f>
        <v>21259.64284</v>
      </c>
      <c r="R12" s="10"/>
      <c r="BA12" s="14"/>
      <c r="BB12" s="14"/>
      <c r="BC12" s="14"/>
      <c r="BD12" s="14"/>
      <c r="BE12" s="14"/>
      <c r="BF12" s="14"/>
      <c r="BG12" s="14"/>
      <c r="BH12" s="14"/>
      <c r="BI12" s="14"/>
      <c r="BJ12" s="14"/>
      <c r="BK12" s="14"/>
      <c r="BL12" s="14"/>
      <c r="BM12" s="14"/>
      <c r="BN12" s="11"/>
      <c r="BY12" s="11"/>
    </row>
    <row r="13">
      <c r="B13" s="15" t="s">
        <v>10</v>
      </c>
      <c r="C13" s="48">
        <v>32.0</v>
      </c>
      <c r="E13" s="15" t="s">
        <v>11</v>
      </c>
      <c r="F13" s="16">
        <f>F12*F29*C15 + 1*(0.125*F12*C15 + 0.875*F12*(C15+C15*(1 - C15)*(1 - F30)+C15*(1 - C15)^2*(1 - 2*F30)))</f>
        <v>71537.36944</v>
      </c>
      <c r="R13" s="10"/>
      <c r="BA13" s="14"/>
      <c r="BB13" s="14"/>
      <c r="BC13" s="14"/>
      <c r="BD13" s="14"/>
      <c r="BE13" s="14"/>
      <c r="BF13" s="14"/>
      <c r="BG13" s="14"/>
      <c r="BH13" s="14"/>
      <c r="BI13" s="14"/>
      <c r="BJ13" s="14"/>
      <c r="BK13" s="14"/>
      <c r="BL13" s="14"/>
      <c r="BM13" s="14"/>
      <c r="BN13" s="11"/>
      <c r="BY13" s="11"/>
    </row>
    <row r="14">
      <c r="B14" s="15" t="s">
        <v>12</v>
      </c>
      <c r="C14" s="26">
        <v>580000.0</v>
      </c>
      <c r="E14" s="15" t="s">
        <v>13</v>
      </c>
      <c r="F14" s="16">
        <f>F12*4</f>
        <v>85038.57137</v>
      </c>
      <c r="R14" s="10"/>
      <c r="BA14" s="14"/>
      <c r="BB14" s="14"/>
      <c r="BC14" s="14"/>
      <c r="BD14" s="14"/>
      <c r="BE14" s="14"/>
      <c r="BF14" s="14"/>
      <c r="BG14" s="14"/>
      <c r="BH14" s="14"/>
      <c r="BI14" s="14"/>
      <c r="BJ14" s="14"/>
      <c r="BK14" s="14"/>
      <c r="BL14" s="14"/>
      <c r="BM14" s="14"/>
      <c r="BN14" s="11"/>
      <c r="BY14" s="11"/>
    </row>
    <row r="15">
      <c r="B15" s="15" t="s">
        <v>14</v>
      </c>
      <c r="C15" s="27">
        <v>0.8</v>
      </c>
      <c r="E15" s="15" t="s">
        <v>15</v>
      </c>
      <c r="F15" s="16">
        <f>(F13*F9*C15 - F14*F9*(1-C15)) *F11  / 10^9</f>
        <v>59911.04082</v>
      </c>
      <c r="R15" s="10"/>
      <c r="BA15" s="14"/>
      <c r="BB15" s="14"/>
      <c r="BC15" s="14"/>
      <c r="BD15" s="14"/>
      <c r="BE15" s="14"/>
      <c r="BF15" s="14"/>
      <c r="BG15" s="14"/>
      <c r="BH15" s="14"/>
      <c r="BI15" s="14"/>
      <c r="BJ15" s="14"/>
      <c r="BK15" s="14"/>
      <c r="BL15" s="14"/>
      <c r="BM15" s="14"/>
      <c r="BN15" s="11"/>
      <c r="BY15" s="11"/>
    </row>
    <row r="16">
      <c r="B16" s="15" t="s">
        <v>16</v>
      </c>
      <c r="C16" s="26">
        <v>0.0</v>
      </c>
      <c r="E16" s="15" t="s">
        <v>17</v>
      </c>
      <c r="F16" s="16">
        <f>F15/365</f>
        <v>164.1398379</v>
      </c>
      <c r="R16" s="10"/>
      <c r="BA16" s="14"/>
      <c r="BB16" s="14"/>
      <c r="BC16" s="14"/>
      <c r="BD16" s="14"/>
      <c r="BE16" s="14"/>
      <c r="BF16" s="14"/>
      <c r="BG16" s="14"/>
      <c r="BH16" s="14"/>
      <c r="BI16" s="14"/>
      <c r="BJ16" s="14"/>
      <c r="BK16" s="14"/>
      <c r="BL16" s="14"/>
      <c r="BM16" s="14"/>
      <c r="BN16" s="11"/>
      <c r="BY16" s="11"/>
    </row>
    <row r="17">
      <c r="B17" s="15" t="s">
        <v>18</v>
      </c>
      <c r="C17" s="26">
        <v>0.0</v>
      </c>
      <c r="E17" s="29" t="s">
        <v>19</v>
      </c>
      <c r="F17" s="30">
        <f>F15/C18</f>
        <v>0.0005446458257</v>
      </c>
      <c r="R17" s="10"/>
      <c r="BA17" s="14"/>
      <c r="BB17" s="14"/>
      <c r="BC17" s="14"/>
      <c r="BD17" s="14"/>
      <c r="BE17" s="14"/>
      <c r="BF17" s="14"/>
      <c r="BG17" s="14"/>
      <c r="BH17" s="14"/>
      <c r="BI17" s="14"/>
      <c r="BJ17" s="14"/>
      <c r="BK17" s="14"/>
      <c r="BL17" s="14"/>
      <c r="BM17" s="14"/>
      <c r="BN17" s="11"/>
      <c r="BY17" s="11"/>
    </row>
    <row r="18">
      <c r="B18" s="15" t="s">
        <v>20</v>
      </c>
      <c r="C18" s="26">
        <v>1.1E8</v>
      </c>
      <c r="R18" s="10"/>
      <c r="BA18" s="14"/>
      <c r="BB18" s="14"/>
      <c r="BC18" s="14"/>
      <c r="BD18" s="14"/>
      <c r="BE18" s="14"/>
      <c r="BF18" s="14"/>
      <c r="BG18" s="14"/>
      <c r="BH18" s="14"/>
      <c r="BI18" s="14"/>
      <c r="BJ18" s="14"/>
      <c r="BK18" s="14"/>
      <c r="BL18" s="14"/>
      <c r="BM18" s="14"/>
      <c r="BN18" s="11"/>
      <c r="BY18" s="11"/>
    </row>
    <row r="19">
      <c r="B19" s="15" t="s">
        <v>21</v>
      </c>
      <c r="C19" s="48">
        <v>64.0</v>
      </c>
      <c r="R19" s="10"/>
      <c r="BA19" s="14"/>
      <c r="BB19" s="14"/>
      <c r="BC19" s="14"/>
      <c r="BD19" s="14"/>
      <c r="BE19" s="14"/>
      <c r="BF19" s="14"/>
      <c r="BG19" s="14"/>
      <c r="BH19" s="14"/>
      <c r="BI19" s="14"/>
      <c r="BJ19" s="14"/>
      <c r="BK19" s="14"/>
      <c r="BL19" s="14"/>
      <c r="BM19" s="14"/>
      <c r="BN19" s="11"/>
      <c r="BY19" s="11"/>
    </row>
    <row r="20">
      <c r="B20" s="15" t="s">
        <v>22</v>
      </c>
      <c r="C20" s="48">
        <v>12.0</v>
      </c>
      <c r="E20" s="31" t="s">
        <v>23</v>
      </c>
      <c r="F20" s="32"/>
      <c r="R20" s="10"/>
      <c r="BA20" s="14"/>
      <c r="BB20" s="14"/>
      <c r="BC20" s="14"/>
      <c r="BD20" s="14"/>
      <c r="BE20" s="14"/>
      <c r="BF20" s="14"/>
      <c r="BG20" s="14"/>
      <c r="BH20" s="14"/>
      <c r="BI20" s="14"/>
      <c r="BJ20" s="14"/>
      <c r="BK20" s="14"/>
      <c r="BL20" s="14"/>
      <c r="BM20" s="14"/>
      <c r="BN20" s="11"/>
      <c r="BY20" s="11"/>
    </row>
    <row r="21">
      <c r="B21" s="15" t="s">
        <v>24</v>
      </c>
      <c r="C21" s="48">
        <v>32.0</v>
      </c>
      <c r="E21" s="33" t="s">
        <v>25</v>
      </c>
      <c r="F21" s="34">
        <f>C17*365.24</f>
        <v>0</v>
      </c>
      <c r="R21" s="10"/>
      <c r="BA21" s="14"/>
      <c r="BB21" s="14"/>
      <c r="BC21" s="14"/>
      <c r="BD21" s="14"/>
      <c r="BE21" s="14"/>
      <c r="BF21" s="14"/>
      <c r="BG21" s="14"/>
      <c r="BH21" s="14"/>
      <c r="BI21" s="14"/>
      <c r="BJ21" s="14"/>
      <c r="BK21" s="14"/>
      <c r="BL21" s="14"/>
      <c r="BM21" s="14"/>
      <c r="BN21" s="11"/>
      <c r="BY21" s="11"/>
    </row>
    <row r="22">
      <c r="B22" s="29" t="s">
        <v>26</v>
      </c>
      <c r="C22" s="355">
        <v>64.0</v>
      </c>
      <c r="E22" s="33" t="s">
        <v>27</v>
      </c>
      <c r="F22" s="36">
        <f>F15-F21</f>
        <v>59911.04082</v>
      </c>
      <c r="R22" s="10"/>
      <c r="BA22" s="14"/>
      <c r="BB22" s="14"/>
      <c r="BC22" s="14"/>
      <c r="BD22" s="14"/>
      <c r="BE22" s="14"/>
      <c r="BF22" s="14"/>
      <c r="BG22" s="14"/>
      <c r="BH22" s="14"/>
      <c r="BI22" s="14"/>
      <c r="BJ22" s="14"/>
      <c r="BK22" s="14"/>
      <c r="BL22" s="14"/>
      <c r="BM22" s="14"/>
      <c r="BN22" s="11"/>
      <c r="BY22" s="11"/>
    </row>
    <row r="23">
      <c r="E23" s="33" t="s">
        <v>28</v>
      </c>
      <c r="F23" s="37">
        <f>F22/C18</f>
        <v>0.0005446458257</v>
      </c>
      <c r="M23" s="38"/>
      <c r="R23" s="10"/>
      <c r="BA23" s="14"/>
      <c r="BB23" s="14"/>
      <c r="BC23" s="14"/>
      <c r="BD23" s="14"/>
      <c r="BE23" s="14"/>
      <c r="BF23" s="14"/>
      <c r="BG23" s="14"/>
      <c r="BH23" s="14"/>
      <c r="BI23" s="14"/>
      <c r="BJ23" s="14"/>
      <c r="BK23" s="14"/>
      <c r="BL23" s="14"/>
      <c r="BM23" s="14"/>
      <c r="BN23" s="11"/>
      <c r="BY23" s="11"/>
    </row>
    <row r="24">
      <c r="E24" s="39" t="s">
        <v>29</v>
      </c>
      <c r="F24" s="40">
        <f>F21/F22</f>
        <v>0</v>
      </c>
      <c r="R24" s="10"/>
      <c r="BA24" s="14"/>
      <c r="BB24" s="14"/>
      <c r="BC24" s="14"/>
      <c r="BD24" s="14"/>
      <c r="BE24" s="14"/>
      <c r="BF24" s="14"/>
      <c r="BG24" s="14"/>
      <c r="BH24" s="14"/>
      <c r="BI24" s="14"/>
      <c r="BJ24" s="14"/>
      <c r="BK24" s="14"/>
      <c r="BL24" s="14"/>
      <c r="BM24" s="14"/>
      <c r="BN24" s="11"/>
      <c r="BY24" s="11"/>
    </row>
    <row r="25">
      <c r="E25" s="41" t="s">
        <v>30</v>
      </c>
      <c r="F25" s="42" t="str">
        <f>F22/F21</f>
        <v>#DIV/0!</v>
      </c>
      <c r="R25" s="10"/>
      <c r="BA25" s="14"/>
      <c r="BB25" s="14"/>
      <c r="BC25" s="14"/>
      <c r="BD25" s="14"/>
      <c r="BE25" s="14"/>
      <c r="BF25" s="14"/>
      <c r="BG25" s="14"/>
      <c r="BH25" s="14"/>
      <c r="BI25" s="14"/>
      <c r="BJ25" s="14"/>
      <c r="BK25" s="14"/>
      <c r="BL25" s="14"/>
      <c r="BM25" s="14"/>
      <c r="BN25" s="11"/>
      <c r="BY25" s="11"/>
    </row>
    <row r="26">
      <c r="R26" s="10"/>
      <c r="BA26" s="14"/>
      <c r="BB26" s="14"/>
      <c r="BC26" s="14"/>
      <c r="BD26" s="14"/>
      <c r="BE26" s="14"/>
      <c r="BF26" s="14"/>
      <c r="BG26" s="14"/>
      <c r="BH26" s="14"/>
      <c r="BI26" s="14"/>
      <c r="BJ26" s="14"/>
      <c r="BK26" s="14"/>
      <c r="BL26" s="14"/>
      <c r="BM26" s="14"/>
      <c r="BN26" s="11"/>
      <c r="BY26" s="11"/>
    </row>
    <row r="27">
      <c r="B27" s="43" t="s">
        <v>31</v>
      </c>
      <c r="C27" s="44"/>
      <c r="E27" s="45" t="s">
        <v>32</v>
      </c>
      <c r="F27" s="46"/>
      <c r="R27" s="10"/>
      <c r="BA27" s="14"/>
      <c r="BB27" s="14"/>
      <c r="BC27" s="14"/>
      <c r="BD27" s="14"/>
      <c r="BE27" s="14"/>
      <c r="BF27" s="14"/>
      <c r="BG27" s="14"/>
      <c r="BH27" s="14"/>
      <c r="BI27" s="14"/>
      <c r="BJ27" s="14"/>
      <c r="BK27" s="14"/>
      <c r="BL27" s="14"/>
      <c r="BM27" s="14"/>
      <c r="BN27" s="11"/>
      <c r="BY27" s="11"/>
    </row>
    <row r="28">
      <c r="B28" s="15" t="s">
        <v>33</v>
      </c>
      <c r="C28" s="47" t="s">
        <v>34</v>
      </c>
      <c r="E28" s="15" t="s">
        <v>35</v>
      </c>
      <c r="F28" s="48">
        <v>4.0</v>
      </c>
      <c r="R28" s="10"/>
      <c r="BA28" s="14"/>
      <c r="BB28" s="14"/>
      <c r="BC28" s="14"/>
      <c r="BD28" s="14"/>
      <c r="BE28" s="14"/>
      <c r="BF28" s="14"/>
      <c r="BG28" s="14"/>
      <c r="BH28" s="14"/>
      <c r="BI28" s="14"/>
      <c r="BJ28" s="14"/>
      <c r="BK28" s="14"/>
      <c r="BL28" s="14"/>
      <c r="BM28" s="14"/>
      <c r="BN28" s="11"/>
      <c r="BY28" s="11"/>
    </row>
    <row r="29">
      <c r="B29" s="15" t="s">
        <v>36</v>
      </c>
      <c r="C29" s="47" t="s">
        <v>34</v>
      </c>
      <c r="E29" s="15" t="s">
        <v>37</v>
      </c>
      <c r="F29" s="48">
        <v>3.0</v>
      </c>
      <c r="R29" s="10"/>
      <c r="BA29" s="14"/>
      <c r="BB29" s="14"/>
      <c r="BC29" s="14"/>
      <c r="BD29" s="14"/>
      <c r="BE29" s="14"/>
      <c r="BF29" s="14"/>
      <c r="BG29" s="14"/>
      <c r="BH29" s="14"/>
      <c r="BI29" s="14"/>
      <c r="BJ29" s="14"/>
      <c r="BK29" s="14"/>
      <c r="BL29" s="14"/>
      <c r="BM29" s="14"/>
      <c r="BN29" s="11"/>
      <c r="BY29" s="11"/>
    </row>
    <row r="30">
      <c r="B30" s="29" t="s">
        <v>38</v>
      </c>
      <c r="C30" s="49" t="s">
        <v>34</v>
      </c>
      <c r="E30" s="29" t="s">
        <v>39</v>
      </c>
      <c r="F30" s="50">
        <f>1/64</f>
        <v>0.015625</v>
      </c>
      <c r="R30" s="10"/>
      <c r="AD30" s="51"/>
      <c r="AE30" s="51"/>
      <c r="AF30" s="51"/>
      <c r="AG30" s="51"/>
      <c r="AH30" s="51"/>
      <c r="AI30" s="51"/>
      <c r="AJ30" s="51"/>
      <c r="AK30" s="51"/>
      <c r="AL30" s="51"/>
      <c r="AM30" s="51"/>
      <c r="AN30" s="51"/>
      <c r="AO30" s="51"/>
      <c r="AP30" s="51"/>
      <c r="BA30" s="14"/>
      <c r="BB30" s="14"/>
      <c r="BC30" s="14"/>
      <c r="BD30" s="14"/>
      <c r="BE30" s="14"/>
      <c r="BF30" s="14"/>
      <c r="BG30" s="14"/>
      <c r="BH30" s="14"/>
      <c r="BI30" s="14"/>
      <c r="BJ30" s="14"/>
      <c r="BK30" s="14"/>
      <c r="BL30" s="14"/>
      <c r="BM30" s="14"/>
      <c r="BN30" s="11"/>
      <c r="BY30" s="11"/>
    </row>
    <row r="31">
      <c r="G31" s="52"/>
      <c r="H31" s="52"/>
      <c r="I31" s="52"/>
      <c r="J31" s="52"/>
      <c r="K31" s="52"/>
      <c r="L31" s="52"/>
      <c r="M31" s="52"/>
      <c r="N31" s="52"/>
      <c r="O31" s="52"/>
      <c r="P31" s="52"/>
      <c r="Q31" s="52"/>
      <c r="R31" s="53"/>
      <c r="S31" s="52"/>
      <c r="T31" s="52"/>
      <c r="BN31" s="11"/>
      <c r="BU31" s="52"/>
      <c r="BV31" s="52"/>
      <c r="BW31" s="52"/>
      <c r="BX31" s="52"/>
      <c r="BY31" s="54"/>
      <c r="BZ31" s="52"/>
      <c r="CA31" s="52"/>
      <c r="CB31" s="52"/>
      <c r="CC31" s="52"/>
      <c r="CD31" s="52"/>
      <c r="CE31" s="52"/>
      <c r="CF31" s="52"/>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row>
    <row r="32">
      <c r="B32" s="55" t="s">
        <v>40</v>
      </c>
      <c r="C32" s="56"/>
      <c r="E32" s="12" t="s">
        <v>41</v>
      </c>
      <c r="F32" s="57"/>
      <c r="R32" s="10"/>
      <c r="BN32" s="11"/>
      <c r="BY32" s="11"/>
    </row>
    <row r="33">
      <c r="B33" s="33" t="s">
        <v>42</v>
      </c>
      <c r="C33" s="58">
        <v>0.98</v>
      </c>
      <c r="E33" s="59" t="s">
        <v>43</v>
      </c>
      <c r="F33" s="60">
        <f>C13*C34</f>
        <v>32</v>
      </c>
      <c r="R33" s="10"/>
      <c r="BN33" s="11"/>
      <c r="BY33" s="11"/>
    </row>
    <row r="34">
      <c r="B34" s="33" t="s">
        <v>44</v>
      </c>
      <c r="C34" s="61">
        <v>1.0</v>
      </c>
      <c r="E34" s="59" t="s">
        <v>45</v>
      </c>
      <c r="F34" s="62">
        <f>(F13*C33-F14*(1-C33))*F11/10^9/C13</f>
        <v>0.1756735994</v>
      </c>
      <c r="I34" s="63"/>
      <c r="R34" s="10"/>
      <c r="BN34" s="11"/>
      <c r="BY34" s="11"/>
    </row>
    <row r="35">
      <c r="B35" s="33" t="s">
        <v>46</v>
      </c>
      <c r="C35" s="64">
        <v>225.0</v>
      </c>
      <c r="E35" s="59" t="s">
        <v>47</v>
      </c>
      <c r="F35" s="65">
        <f>F33*C12*F34</f>
        <v>18276.63156</v>
      </c>
      <c r="R35" s="10"/>
      <c r="BN35" s="11"/>
      <c r="BY35" s="11"/>
    </row>
    <row r="36">
      <c r="B36" s="33" t="s">
        <v>48</v>
      </c>
      <c r="C36" s="61">
        <v>2.5</v>
      </c>
      <c r="E36" s="59" t="s">
        <v>49</v>
      </c>
      <c r="F36" s="66">
        <f>C16*365.24/C14</f>
        <v>0</v>
      </c>
      <c r="R36" s="10"/>
      <c r="BY36" s="11"/>
    </row>
    <row r="37">
      <c r="B37" s="33" t="s">
        <v>50</v>
      </c>
      <c r="C37" s="67">
        <f>average(0.15,0.19,0.22,0.22,0.33,0.1936,0.11,0.2)</f>
        <v>0.2017</v>
      </c>
      <c r="E37" s="59" t="s">
        <v>51</v>
      </c>
      <c r="F37" s="65">
        <f>F36*F33*C12</f>
        <v>0</v>
      </c>
      <c r="R37" s="10"/>
      <c r="BY37" s="11"/>
    </row>
    <row r="38">
      <c r="B38" s="33" t="s">
        <v>52</v>
      </c>
      <c r="C38" s="61">
        <v>10.0</v>
      </c>
      <c r="E38" s="68" t="s">
        <v>53</v>
      </c>
      <c r="F38" s="69">
        <f>sum(F35+F37)</f>
        <v>18276.63156</v>
      </c>
      <c r="R38" s="10"/>
      <c r="U38" s="70" t="s">
        <v>54</v>
      </c>
      <c r="V38" s="71"/>
      <c r="W38" s="71"/>
      <c r="X38" s="71"/>
      <c r="Y38" s="71"/>
      <c r="Z38" s="71"/>
      <c r="AA38" s="71"/>
      <c r="AB38" s="71"/>
      <c r="AC38" s="18"/>
      <c r="AD38" s="51"/>
      <c r="AE38" s="72" t="s">
        <v>54</v>
      </c>
      <c r="AF38" s="73"/>
      <c r="AG38" s="73"/>
      <c r="AH38" s="73"/>
      <c r="AI38" s="73"/>
      <c r="AJ38" s="73"/>
      <c r="AK38" s="73"/>
      <c r="AL38" s="74"/>
      <c r="AM38" s="74"/>
      <c r="AN38" s="74"/>
      <c r="AO38" s="74"/>
      <c r="AP38" s="75"/>
      <c r="AR38" s="70" t="s">
        <v>54</v>
      </c>
      <c r="AS38" s="71"/>
      <c r="AT38" s="71"/>
      <c r="AU38" s="71"/>
      <c r="AV38" s="71"/>
      <c r="AW38" s="71"/>
      <c r="AX38" s="71"/>
      <c r="AY38" s="71"/>
      <c r="AZ38" s="71"/>
      <c r="BA38" s="71"/>
      <c r="BB38" s="71"/>
      <c r="BC38" s="71"/>
      <c r="BD38" s="71"/>
      <c r="BE38" s="71"/>
      <c r="BF38" s="71"/>
      <c r="BG38" s="18"/>
      <c r="BI38" s="70" t="s">
        <v>54</v>
      </c>
      <c r="BJ38" s="71"/>
      <c r="BK38" s="71"/>
      <c r="BL38" s="71"/>
      <c r="BM38" s="71"/>
      <c r="BN38" s="71"/>
      <c r="BO38" s="71"/>
      <c r="BP38" s="71"/>
      <c r="BQ38" s="71"/>
      <c r="BR38" s="71"/>
      <c r="BS38" s="71"/>
      <c r="BT38" s="71"/>
      <c r="BU38" s="71"/>
      <c r="BV38" s="71"/>
      <c r="BW38" s="71"/>
      <c r="BX38" s="18"/>
      <c r="BY38" s="11"/>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row>
    <row r="39">
      <c r="B39" s="33" t="s">
        <v>55</v>
      </c>
      <c r="C39" s="61">
        <v>40.0</v>
      </c>
      <c r="E39" s="21" t="s">
        <v>56</v>
      </c>
      <c r="F39" s="76">
        <f>(F38)/((C13*C12)*C34)</f>
        <v>0.1756735994</v>
      </c>
      <c r="R39" s="10"/>
      <c r="U39" s="77" t="s">
        <v>57</v>
      </c>
      <c r="AC39" s="78"/>
      <c r="AD39" s="51"/>
      <c r="AE39" s="79" t="s">
        <v>58</v>
      </c>
      <c r="AF39" s="80"/>
      <c r="AG39" s="80"/>
      <c r="AH39" s="80"/>
      <c r="AI39" s="81" t="s">
        <v>59</v>
      </c>
      <c r="AJ39" s="82"/>
      <c r="AK39" s="82"/>
      <c r="AL39" s="83"/>
      <c r="AM39" s="83"/>
      <c r="AN39" s="83"/>
      <c r="AO39" s="83"/>
      <c r="AP39" s="84"/>
      <c r="AR39" s="85" t="s">
        <v>58</v>
      </c>
      <c r="AS39" s="86"/>
      <c r="AT39" s="86" t="s">
        <v>44</v>
      </c>
      <c r="BG39" s="78"/>
      <c r="BI39" s="85" t="s">
        <v>58</v>
      </c>
      <c r="BJ39" s="86"/>
      <c r="BK39" s="86" t="s">
        <v>44</v>
      </c>
      <c r="BX39" s="78"/>
      <c r="BY39" s="11"/>
      <c r="CE39" s="87"/>
      <c r="CF39" s="87"/>
      <c r="CG39" s="87"/>
      <c r="CH39" s="87"/>
      <c r="CI39" s="87"/>
      <c r="CJ39" s="87"/>
      <c r="CK39" s="87"/>
      <c r="CL39" s="87"/>
      <c r="CM39" s="87"/>
      <c r="CN39" s="87"/>
      <c r="CO39" s="87"/>
      <c r="CP39" s="87"/>
      <c r="CQ39" s="87"/>
      <c r="CR39" s="87"/>
      <c r="CS39" s="87"/>
      <c r="CT39" s="87"/>
      <c r="CU39" s="87"/>
      <c r="CV39" s="87"/>
      <c r="CW39" s="87"/>
      <c r="CX39" s="87"/>
      <c r="CY39" s="87"/>
      <c r="CZ39" s="87"/>
      <c r="DA39" s="87"/>
      <c r="DB39" s="87"/>
      <c r="DC39" s="87"/>
      <c r="DD39" s="87"/>
      <c r="DE39" s="87"/>
      <c r="DF39" s="87"/>
      <c r="DG39" s="87"/>
      <c r="DH39" s="87"/>
    </row>
    <row r="40">
      <c r="B40" s="33" t="s">
        <v>60</v>
      </c>
      <c r="C40" s="67">
        <f>average(31.14,36.68,37.15,39.58,67.69,72.68,57.66, 68.78)</f>
        <v>51.42</v>
      </c>
      <c r="E40" s="88" t="s">
        <v>61</v>
      </c>
      <c r="F40" s="89">
        <f>IF(C30="Yes",0,C45*8760/1000*C37)</f>
        <v>0</v>
      </c>
      <c r="I40" s="9" t="s">
        <v>62</v>
      </c>
      <c r="R40" s="10"/>
      <c r="U40" s="90"/>
      <c r="V40" s="91">
        <f>$F$39</f>
        <v>0.1756735994</v>
      </c>
      <c r="W40" s="92">
        <v>64.0</v>
      </c>
      <c r="X40" s="93">
        <f t="shared" ref="X40:AC40" si="1">W40+10</f>
        <v>74</v>
      </c>
      <c r="Y40" s="93">
        <f t="shared" si="1"/>
        <v>84</v>
      </c>
      <c r="Z40" s="93">
        <f t="shared" si="1"/>
        <v>94</v>
      </c>
      <c r="AA40" s="93">
        <f t="shared" si="1"/>
        <v>104</v>
      </c>
      <c r="AB40" s="93">
        <f t="shared" si="1"/>
        <v>114</v>
      </c>
      <c r="AC40" s="94">
        <f t="shared" si="1"/>
        <v>124</v>
      </c>
      <c r="AD40" s="51"/>
      <c r="AE40" s="95"/>
      <c r="AF40" s="96">
        <f>$F$39</f>
        <v>0.1756735994</v>
      </c>
      <c r="AG40" s="97">
        <f t="shared" ref="AG40:AI40" si="2">AH40-0.05</f>
        <v>0.7</v>
      </c>
      <c r="AH40" s="97">
        <f t="shared" si="2"/>
        <v>0.75</v>
      </c>
      <c r="AI40" s="97">
        <f t="shared" si="2"/>
        <v>0.8</v>
      </c>
      <c r="AJ40" s="97">
        <v>0.85</v>
      </c>
      <c r="AK40" s="98">
        <v>0.9</v>
      </c>
      <c r="AL40" s="97">
        <f t="shared" ref="AL40:AP40" si="3">AK40+0.02</f>
        <v>0.92</v>
      </c>
      <c r="AM40" s="97">
        <f t="shared" si="3"/>
        <v>0.94</v>
      </c>
      <c r="AN40" s="97">
        <f t="shared" si="3"/>
        <v>0.96</v>
      </c>
      <c r="AO40" s="97">
        <f t="shared" si="3"/>
        <v>0.98</v>
      </c>
      <c r="AP40" s="99">
        <f t="shared" si="3"/>
        <v>1</v>
      </c>
      <c r="AR40" s="85" t="s">
        <v>63</v>
      </c>
      <c r="AS40" s="86"/>
      <c r="AT40" s="86"/>
      <c r="AU40" s="86"/>
      <c r="AV40" s="86"/>
      <c r="AW40" s="86"/>
      <c r="AX40" s="86"/>
      <c r="AY40" s="86"/>
      <c r="AZ40" s="86"/>
      <c r="BA40" s="86"/>
      <c r="BB40" s="86"/>
      <c r="BC40" s="86"/>
      <c r="BD40" s="86"/>
      <c r="BE40" s="86"/>
      <c r="BF40" s="86"/>
      <c r="BG40" s="100"/>
      <c r="BI40" s="85" t="s">
        <v>63</v>
      </c>
      <c r="BJ40" s="86"/>
      <c r="BK40" s="86"/>
      <c r="BL40" s="86"/>
      <c r="BM40" s="86"/>
      <c r="BN40" s="86"/>
      <c r="BO40" s="86"/>
      <c r="BP40" s="86"/>
      <c r="BQ40" s="86"/>
      <c r="BR40" s="86"/>
      <c r="BS40" s="86"/>
      <c r="BT40" s="86"/>
      <c r="BU40" s="86"/>
      <c r="BV40" s="86"/>
      <c r="BW40" s="86"/>
      <c r="BX40" s="100"/>
      <c r="BY40" s="11"/>
      <c r="CE40" s="87"/>
      <c r="CF40" s="87"/>
      <c r="CG40" s="87"/>
      <c r="CH40" s="87"/>
      <c r="CI40" s="87"/>
      <c r="CJ40" s="87"/>
      <c r="CK40" s="87"/>
      <c r="CL40" s="87"/>
      <c r="CM40" s="87"/>
      <c r="CN40" s="87"/>
      <c r="CO40" s="87"/>
      <c r="CP40" s="87"/>
      <c r="CQ40" s="87"/>
      <c r="CR40" s="87"/>
      <c r="CS40" s="87"/>
      <c r="CT40" s="87"/>
      <c r="CU40" s="87"/>
      <c r="CV40" s="87"/>
      <c r="CW40" s="87"/>
      <c r="CX40" s="87"/>
      <c r="CY40" s="87"/>
      <c r="CZ40" s="87"/>
      <c r="DA40" s="87"/>
      <c r="DB40" s="87"/>
      <c r="DC40" s="87"/>
      <c r="DD40" s="87"/>
      <c r="DE40" s="87"/>
      <c r="DF40" s="87"/>
      <c r="DG40" s="87"/>
      <c r="DH40" s="87"/>
    </row>
    <row r="41">
      <c r="B41" s="33" t="s">
        <v>64</v>
      </c>
      <c r="C41" s="64">
        <v>90.0</v>
      </c>
      <c r="E41" s="88" t="s">
        <v>65</v>
      </c>
      <c r="F41" s="101">
        <f>if(C30="Yes",0,C35/C36*C44)</f>
        <v>0</v>
      </c>
      <c r="R41" s="10"/>
      <c r="U41" s="102" t="s">
        <v>66</v>
      </c>
      <c r="V41" s="103">
        <v>100000.0</v>
      </c>
      <c r="W41" s="104">
        <v>0.46433959412298753</v>
      </c>
      <c r="X41" s="105">
        <v>0.5368926557047042</v>
      </c>
      <c r="Y41" s="105">
        <v>0.609445717286421</v>
      </c>
      <c r="Z41" s="105">
        <v>0.6819987788681379</v>
      </c>
      <c r="AA41" s="105">
        <v>0.7545518404498546</v>
      </c>
      <c r="AB41" s="105">
        <v>0.8271049020315713</v>
      </c>
      <c r="AC41" s="106">
        <v>0.8996579636132881</v>
      </c>
      <c r="AD41" s="51"/>
      <c r="AE41" s="102" t="s">
        <v>66</v>
      </c>
      <c r="AF41" s="103">
        <v>100000.0</v>
      </c>
      <c r="AG41" s="107">
        <v>0.38047055517584993</v>
      </c>
      <c r="AH41" s="107">
        <v>0.40198350828955076</v>
      </c>
      <c r="AI41" s="107">
        <v>0.4230780524378999</v>
      </c>
      <c r="AJ41" s="107">
        <v>0.44383610769200854</v>
      </c>
      <c r="AK41" s="108">
        <v>0.46433959412298753</v>
      </c>
      <c r="AL41" s="107">
        <v>0.47248805952083156</v>
      </c>
      <c r="AM41" s="107">
        <v>0.4806141440029038</v>
      </c>
      <c r="AN41" s="107">
        <v>0.4887230904537551</v>
      </c>
      <c r="AO41" s="107">
        <v>0.4968201417579368</v>
      </c>
      <c r="AP41" s="109">
        <v>0.5049105408</v>
      </c>
      <c r="AR41" s="85" t="s">
        <v>67</v>
      </c>
      <c r="AS41" s="86"/>
      <c r="AT41" s="86"/>
      <c r="AU41" s="86"/>
      <c r="AV41" s="86"/>
      <c r="AW41" s="86"/>
      <c r="AX41" s="86"/>
      <c r="AY41" s="86"/>
      <c r="AZ41" s="86"/>
      <c r="BA41" s="86"/>
      <c r="BB41" s="86"/>
      <c r="BC41" s="86"/>
      <c r="BD41" s="86"/>
      <c r="BE41" s="86"/>
      <c r="BF41" s="86"/>
      <c r="BG41" s="100"/>
      <c r="BI41" s="85" t="s">
        <v>68</v>
      </c>
      <c r="BJ41" s="86"/>
      <c r="BK41" s="86"/>
      <c r="BL41" s="86"/>
      <c r="BM41" s="86"/>
      <c r="BN41" s="86"/>
      <c r="BO41" s="86"/>
      <c r="BP41" s="86"/>
      <c r="BQ41" s="86"/>
      <c r="BR41" s="86"/>
      <c r="BS41" s="86"/>
      <c r="BT41" s="86"/>
      <c r="BU41" s="86"/>
      <c r="BV41" s="86"/>
      <c r="BW41" s="86"/>
      <c r="BX41" s="100"/>
      <c r="BY41" s="11"/>
      <c r="CE41" s="87"/>
      <c r="CF41" s="87"/>
      <c r="CG41" s="87"/>
      <c r="CH41" s="87"/>
      <c r="CI41" s="87"/>
      <c r="CJ41" s="87"/>
      <c r="CK41" s="87"/>
      <c r="CL41" s="87"/>
      <c r="CM41" s="87"/>
      <c r="CN41" s="87"/>
      <c r="CO41" s="87"/>
      <c r="CP41" s="87"/>
      <c r="CQ41" s="87"/>
      <c r="CR41" s="87"/>
      <c r="CS41" s="87"/>
      <c r="CT41" s="87"/>
      <c r="CU41" s="87"/>
      <c r="CV41" s="87"/>
      <c r="CW41" s="87"/>
      <c r="CX41" s="87"/>
      <c r="CY41" s="87"/>
      <c r="CZ41" s="87"/>
      <c r="DA41" s="87"/>
      <c r="DB41" s="87"/>
      <c r="DC41" s="87"/>
      <c r="DD41" s="87"/>
      <c r="DE41" s="87"/>
      <c r="DF41" s="87"/>
      <c r="DG41" s="87"/>
      <c r="DH41" s="87"/>
    </row>
    <row r="42">
      <c r="B42" s="33" t="s">
        <v>69</v>
      </c>
      <c r="C42" s="64">
        <v>20.0</v>
      </c>
      <c r="E42" s="88" t="s">
        <v>70</v>
      </c>
      <c r="F42" s="89">
        <f>IF(C28="Yes",0,C40*12)</f>
        <v>0</v>
      </c>
      <c r="R42" s="10"/>
      <c r="U42" s="110"/>
      <c r="V42" s="93">
        <f t="shared" ref="V42:V59" si="6">V41+50000</f>
        <v>150000</v>
      </c>
      <c r="W42" s="104">
        <v>0.3791316909907875</v>
      </c>
      <c r="X42" s="105">
        <v>0.4383710177080978</v>
      </c>
      <c r="Y42" s="105">
        <v>0.49761034442540836</v>
      </c>
      <c r="Z42" s="105">
        <v>0.5568496711427188</v>
      </c>
      <c r="AA42" s="105">
        <v>0.6160889978600295</v>
      </c>
      <c r="AB42" s="105">
        <v>0.67532832457734</v>
      </c>
      <c r="AC42" s="106">
        <v>0.7345676512946504</v>
      </c>
      <c r="AD42" s="51"/>
      <c r="AE42" s="110"/>
      <c r="AF42" s="93">
        <f t="shared" ref="AF42:AF59" si="7">AF41+50000</f>
        <v>150000</v>
      </c>
      <c r="AG42" s="111">
        <v>0.3106529074447552</v>
      </c>
      <c r="AH42" s="111">
        <v>0.3282181601077504</v>
      </c>
      <c r="AI42" s="111">
        <v>0.3454417832811066</v>
      </c>
      <c r="AJ42" s="111">
        <v>0.36239066442279505</v>
      </c>
      <c r="AK42" s="112">
        <v>0.3791316909907875</v>
      </c>
      <c r="AL42" s="111">
        <v>0.38578488512793485</v>
      </c>
      <c r="AM42" s="111">
        <v>0.3924198053238767</v>
      </c>
      <c r="AN42" s="111">
        <v>0.3990407323759229</v>
      </c>
      <c r="AO42" s="111">
        <v>0.40565194708138363</v>
      </c>
      <c r="AP42" s="113">
        <v>0.4122577302375692</v>
      </c>
      <c r="AR42" s="90"/>
      <c r="AS42" s="91">
        <f>$F$39</f>
        <v>0.1756735994</v>
      </c>
      <c r="AT42" s="103">
        <v>1.0</v>
      </c>
      <c r="AU42" s="93">
        <f t="shared" ref="AU42:AX42" si="4">AT42+1</f>
        <v>2</v>
      </c>
      <c r="AV42" s="93">
        <f t="shared" si="4"/>
        <v>3</v>
      </c>
      <c r="AW42" s="93">
        <f t="shared" si="4"/>
        <v>4</v>
      </c>
      <c r="AX42" s="93">
        <f t="shared" si="4"/>
        <v>5</v>
      </c>
      <c r="AY42" s="103">
        <v>10.0</v>
      </c>
      <c r="AZ42" s="103">
        <v>15.0</v>
      </c>
      <c r="BA42" s="103">
        <v>20.0</v>
      </c>
      <c r="BB42" s="103">
        <v>25.0</v>
      </c>
      <c r="BC42" s="103">
        <v>30.0</v>
      </c>
      <c r="BD42" s="103">
        <v>35.0</v>
      </c>
      <c r="BE42" s="103">
        <v>40.0</v>
      </c>
      <c r="BF42" s="103">
        <v>45.0</v>
      </c>
      <c r="BG42" s="114">
        <v>50.0</v>
      </c>
      <c r="BI42" s="90"/>
      <c r="BJ42" s="91">
        <f>$F$39</f>
        <v>0.1756735994</v>
      </c>
      <c r="BK42" s="103">
        <v>1.0</v>
      </c>
      <c r="BL42" s="93">
        <f t="shared" ref="BL42:BO42" si="5">BK42+1</f>
        <v>2</v>
      </c>
      <c r="BM42" s="93">
        <f t="shared" si="5"/>
        <v>3</v>
      </c>
      <c r="BN42" s="93">
        <f t="shared" si="5"/>
        <v>4</v>
      </c>
      <c r="BO42" s="93">
        <f t="shared" si="5"/>
        <v>5</v>
      </c>
      <c r="BP42" s="103">
        <v>10.0</v>
      </c>
      <c r="BQ42" s="103">
        <v>15.0</v>
      </c>
      <c r="BR42" s="103">
        <v>20.0</v>
      </c>
      <c r="BS42" s="103">
        <v>25.0</v>
      </c>
      <c r="BT42" s="103">
        <v>30.0</v>
      </c>
      <c r="BU42" s="103">
        <v>35.0</v>
      </c>
      <c r="BV42" s="103">
        <v>40.0</v>
      </c>
      <c r="BW42" s="103">
        <v>45.0</v>
      </c>
      <c r="BX42" s="114">
        <v>50.0</v>
      </c>
      <c r="BY42" s="11"/>
      <c r="CE42" s="115"/>
      <c r="CF42" s="115"/>
      <c r="CG42" s="115"/>
      <c r="CH42" s="115"/>
      <c r="CI42" s="115"/>
      <c r="CJ42" s="115"/>
      <c r="CK42" s="115"/>
      <c r="CL42" s="115"/>
      <c r="CM42" s="115"/>
      <c r="CN42" s="115"/>
      <c r="CO42" s="115"/>
      <c r="CP42" s="115"/>
      <c r="CQ42" s="115"/>
      <c r="CR42" s="115"/>
      <c r="CS42" s="115"/>
      <c r="CT42" s="115"/>
      <c r="CU42" s="115"/>
      <c r="CV42" s="115"/>
      <c r="CW42" s="115"/>
      <c r="CX42" s="115"/>
      <c r="CY42" s="115"/>
      <c r="CZ42" s="115"/>
      <c r="DA42" s="115"/>
      <c r="DB42" s="115"/>
      <c r="DC42" s="115"/>
      <c r="DD42" s="115"/>
      <c r="DE42" s="115"/>
      <c r="DF42" s="115"/>
      <c r="DG42" s="115"/>
      <c r="DH42" s="115"/>
    </row>
    <row r="43">
      <c r="B43" s="33" t="s">
        <v>71</v>
      </c>
      <c r="C43" s="64">
        <v>25.0</v>
      </c>
      <c r="E43" s="116" t="s">
        <v>72</v>
      </c>
      <c r="F43" s="117">
        <f>if(C29="yes",0,C41)</f>
        <v>0</v>
      </c>
      <c r="R43" s="10"/>
      <c r="U43" s="110"/>
      <c r="V43" s="93">
        <f t="shared" si="6"/>
        <v>200000</v>
      </c>
      <c r="W43" s="104">
        <v>0.3283376757777736</v>
      </c>
      <c r="X43" s="105">
        <v>0.3796404376180507</v>
      </c>
      <c r="Y43" s="105">
        <v>0.4309431994583279</v>
      </c>
      <c r="Z43" s="105">
        <v>0.48224596129860503</v>
      </c>
      <c r="AA43" s="105">
        <v>0.5335487231388821</v>
      </c>
      <c r="AB43" s="105">
        <v>0.5848514849791594</v>
      </c>
      <c r="AC43" s="106">
        <v>0.6361542468194363</v>
      </c>
      <c r="AD43" s="51"/>
      <c r="AE43" s="110"/>
      <c r="AF43" s="93">
        <f t="shared" si="7"/>
        <v>200000</v>
      </c>
      <c r="AG43" s="107">
        <v>0.269033309606654</v>
      </c>
      <c r="AH43" s="107">
        <v>0.2842452646367</v>
      </c>
      <c r="AI43" s="107">
        <v>0.2991613598500368</v>
      </c>
      <c r="AJ43" s="107">
        <v>0.31383952148446204</v>
      </c>
      <c r="AK43" s="108">
        <v>0.3283376757777736</v>
      </c>
      <c r="AL43" s="107">
        <v>0.3340995109168531</v>
      </c>
      <c r="AM43" s="107">
        <v>0.33984552035862114</v>
      </c>
      <c r="AN43" s="107">
        <v>0.3455794113822968</v>
      </c>
      <c r="AO43" s="107">
        <v>0.3513048912670992</v>
      </c>
      <c r="AP43" s="109">
        <v>0.357025667292247</v>
      </c>
      <c r="AR43" s="118" t="s">
        <v>73</v>
      </c>
      <c r="AS43" s="119">
        <f>AG40</f>
        <v>0.7</v>
      </c>
      <c r="AT43" s="14">
        <v>0.1203153536984451</v>
      </c>
      <c r="AU43" s="14">
        <v>0.1203153536984451</v>
      </c>
      <c r="AV43" s="14">
        <v>0.12031535369844511</v>
      </c>
      <c r="AW43" s="14">
        <v>0.1203153536984451</v>
      </c>
      <c r="AX43" s="14">
        <v>0.12031535369844511</v>
      </c>
      <c r="AY43" s="14">
        <v>0.12031535369844511</v>
      </c>
      <c r="AZ43" s="14">
        <v>0.12031535369844511</v>
      </c>
      <c r="BA43" s="14">
        <v>0.12031535369844511</v>
      </c>
      <c r="BB43" s="14">
        <v>0.1203153536984451</v>
      </c>
      <c r="BC43" s="14">
        <v>0.12031535369844511</v>
      </c>
      <c r="BD43" s="14">
        <v>0.12031535369844511</v>
      </c>
      <c r="BE43" s="14">
        <v>0.12031535369844511</v>
      </c>
      <c r="BF43" s="14">
        <v>0.12031535369844512</v>
      </c>
      <c r="BG43" s="120">
        <v>0.1203153536984451</v>
      </c>
      <c r="BI43" s="102" t="s">
        <v>66</v>
      </c>
      <c r="BJ43" s="103">
        <v>100000.0</v>
      </c>
      <c r="BK43" s="14">
        <v>0.46433959412298753</v>
      </c>
      <c r="BL43" s="14">
        <v>0.46433959412298753</v>
      </c>
      <c r="BM43" s="14">
        <v>0.46433959412298753</v>
      </c>
      <c r="BN43" s="14">
        <v>0.46433959412298753</v>
      </c>
      <c r="BO43" s="14">
        <v>0.46433959412298753</v>
      </c>
      <c r="BP43" s="14">
        <v>0.46433959412298753</v>
      </c>
      <c r="BQ43" s="14">
        <v>0.46433959412298753</v>
      </c>
      <c r="BR43" s="14">
        <v>0.46433959412298753</v>
      </c>
      <c r="BS43" s="14">
        <v>0.46433959412298753</v>
      </c>
      <c r="BT43" s="14">
        <v>0.46433959412298753</v>
      </c>
      <c r="BU43" s="14">
        <v>0.46433959412298753</v>
      </c>
      <c r="BV43" s="14">
        <v>0.46433959412298753</v>
      </c>
      <c r="BW43" s="14">
        <v>0.46433959412298753</v>
      </c>
      <c r="BX43" s="120">
        <v>0.46433959412298753</v>
      </c>
      <c r="BY43" s="11"/>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row>
    <row r="44">
      <c r="B44" s="121" t="s">
        <v>74</v>
      </c>
      <c r="C44" s="122">
        <f>CEILING(1024*(1-(1023/1024)^C34)/16,1)</f>
        <v>1</v>
      </c>
      <c r="E44" s="116" t="s">
        <v>75</v>
      </c>
      <c r="F44" s="117">
        <f>if(C30="Yes",12*C42*C44,0)</f>
        <v>240</v>
      </c>
      <c r="R44" s="10"/>
      <c r="U44" s="110"/>
      <c r="V44" s="93">
        <f t="shared" si="6"/>
        <v>250000</v>
      </c>
      <c r="W44" s="104">
        <v>0.29367414504535516</v>
      </c>
      <c r="X44" s="105">
        <v>0.3395607302086919</v>
      </c>
      <c r="Y44" s="105">
        <v>0.3854473153720286</v>
      </c>
      <c r="Z44" s="105">
        <v>0.43133390053536547</v>
      </c>
      <c r="AA44" s="105">
        <v>0.47722048569870196</v>
      </c>
      <c r="AB44" s="105">
        <v>0.5231070708620388</v>
      </c>
      <c r="AC44" s="106">
        <v>0.5689936560253755</v>
      </c>
      <c r="AD44" s="51"/>
      <c r="AE44" s="110"/>
      <c r="AF44" s="93">
        <f t="shared" si="7"/>
        <v>250000</v>
      </c>
      <c r="AG44" s="107">
        <v>0.2406307073968902</v>
      </c>
      <c r="AH44" s="107">
        <v>0.25423669360403134</v>
      </c>
      <c r="AI44" s="107">
        <v>0.2675780547463834</v>
      </c>
      <c r="AJ44" s="107">
        <v>0.2807066016261051</v>
      </c>
      <c r="AK44" s="108">
        <v>0.29367414504535516</v>
      </c>
      <c r="AL44" s="107">
        <v>0.29882768706380664</v>
      </c>
      <c r="AM44" s="107">
        <v>0.30396707414826624</v>
      </c>
      <c r="AN44" s="107">
        <v>0.3090956221900721</v>
      </c>
      <c r="AO44" s="107">
        <v>0.31421664708056224</v>
      </c>
      <c r="AP44" s="109">
        <v>0.319333464711075</v>
      </c>
      <c r="AR44" s="110"/>
      <c r="AS44" s="119">
        <v>0.75</v>
      </c>
      <c r="AT44" s="123">
        <v>0.12711834680201567</v>
      </c>
      <c r="AU44" s="123">
        <v>0.12711834680201567</v>
      </c>
      <c r="AV44" s="123">
        <v>0.12711834680201567</v>
      </c>
      <c r="AW44" s="123">
        <v>0.12711834680201567</v>
      </c>
      <c r="AX44" s="123">
        <v>0.12711834680201567</v>
      </c>
      <c r="AY44" s="123">
        <v>0.12711834680201567</v>
      </c>
      <c r="AZ44" s="123">
        <v>0.12711834680201567</v>
      </c>
      <c r="BA44" s="123">
        <v>0.12711834680201567</v>
      </c>
      <c r="BB44" s="123">
        <v>0.12711834680201567</v>
      </c>
      <c r="BC44" s="123">
        <v>0.12711834680201567</v>
      </c>
      <c r="BD44" s="123">
        <v>0.12711834680201567</v>
      </c>
      <c r="BE44" s="123">
        <v>0.12711834680201567</v>
      </c>
      <c r="BF44" s="123">
        <v>0.12711834680201567</v>
      </c>
      <c r="BG44" s="124">
        <v>0.12711834680201567</v>
      </c>
      <c r="BI44" s="110"/>
      <c r="BJ44" s="93">
        <f t="shared" ref="BJ44:BJ61" si="8">BJ43+50000</f>
        <v>150000</v>
      </c>
      <c r="BK44" s="123">
        <v>0.3791316909907875</v>
      </c>
      <c r="BL44" s="123">
        <v>0.3791316909907875</v>
      </c>
      <c r="BM44" s="123">
        <v>0.3791316909907875</v>
      </c>
      <c r="BN44" s="123">
        <v>0.3791316909907875</v>
      </c>
      <c r="BO44" s="123">
        <v>0.3791316909907875</v>
      </c>
      <c r="BP44" s="123">
        <v>0.3791316909907875</v>
      </c>
      <c r="BQ44" s="123">
        <v>0.3791316909907875</v>
      </c>
      <c r="BR44" s="123">
        <v>0.3791316909907875</v>
      </c>
      <c r="BS44" s="123">
        <v>0.3791316909907875</v>
      </c>
      <c r="BT44" s="123">
        <v>0.3791316909907875</v>
      </c>
      <c r="BU44" s="123">
        <v>0.3791316909907875</v>
      </c>
      <c r="BV44" s="123">
        <v>0.3791316909907875</v>
      </c>
      <c r="BW44" s="123">
        <v>0.3791316909907875</v>
      </c>
      <c r="BX44" s="124">
        <v>0.3791316909907875</v>
      </c>
      <c r="BY44" s="11"/>
      <c r="CE44" s="123"/>
      <c r="CF44" s="123"/>
      <c r="CG44" s="123"/>
      <c r="CH44" s="123"/>
      <c r="CI44" s="123"/>
      <c r="CJ44" s="123"/>
      <c r="CK44" s="123"/>
      <c r="CL44" s="123"/>
      <c r="CM44" s="123"/>
      <c r="CN44" s="123"/>
      <c r="CO44" s="123"/>
      <c r="CP44" s="123"/>
      <c r="CQ44" s="123"/>
      <c r="CR44" s="123"/>
      <c r="CS44" s="123"/>
      <c r="CT44" s="123"/>
      <c r="CU44" s="123"/>
      <c r="CV44" s="123"/>
      <c r="CW44" s="123"/>
      <c r="CX44" s="123"/>
      <c r="CY44" s="123"/>
      <c r="CZ44" s="123"/>
      <c r="DA44" s="123"/>
      <c r="DB44" s="123"/>
      <c r="DC44" s="123"/>
      <c r="DD44" s="123"/>
      <c r="DE44" s="123"/>
      <c r="DF44" s="123"/>
      <c r="DG44" s="123"/>
      <c r="DH44" s="123"/>
    </row>
    <row r="45" ht="19.5" customHeight="1">
      <c r="B45" s="33" t="s">
        <v>76</v>
      </c>
      <c r="C45" s="125">
        <f>C44*C39+1024*(1-(1023/1024)^C34)*C38</f>
        <v>50</v>
      </c>
      <c r="E45" s="116" t="s">
        <v>77</v>
      </c>
      <c r="F45" s="117">
        <f>C43*C44</f>
        <v>25</v>
      </c>
      <c r="R45" s="10"/>
      <c r="U45" s="110"/>
      <c r="V45" s="93">
        <f t="shared" si="6"/>
        <v>300000</v>
      </c>
      <c r="W45" s="104">
        <v>0.26808658966230847</v>
      </c>
      <c r="X45" s="105">
        <v>0.3099751192970441</v>
      </c>
      <c r="Y45" s="105">
        <v>0.3518636489317798</v>
      </c>
      <c r="Z45" s="105">
        <v>0.39375217856651545</v>
      </c>
      <c r="AA45" s="105">
        <v>0.43564070820125117</v>
      </c>
      <c r="AB45" s="105">
        <v>0.47752923783598683</v>
      </c>
      <c r="AC45" s="106">
        <v>0.5194177674707225</v>
      </c>
      <c r="AD45" s="51"/>
      <c r="AE45" s="110"/>
      <c r="AF45" s="93">
        <f t="shared" si="7"/>
        <v>300000</v>
      </c>
      <c r="AG45" s="107">
        <v>0.21966477744950336</v>
      </c>
      <c r="AH45" s="107">
        <v>0.23208528672076228</v>
      </c>
      <c r="AI45" s="107">
        <v>0.24426422746324414</v>
      </c>
      <c r="AJ45" s="107">
        <v>0.2562488962520569</v>
      </c>
      <c r="AK45" s="108">
        <v>0.26808658966230847</v>
      </c>
      <c r="AL45" s="107">
        <v>0.27279110835323606</v>
      </c>
      <c r="AM45" s="107">
        <v>0.27748270541641806</v>
      </c>
      <c r="AN45" s="107">
        <v>0.28216440783266145</v>
      </c>
      <c r="AO45" s="107">
        <v>0.286839242582773</v>
      </c>
      <c r="AP45" s="109">
        <v>0.29151023664755954</v>
      </c>
      <c r="AR45" s="110"/>
      <c r="AS45" s="119">
        <v>0.8</v>
      </c>
      <c r="AT45" s="14">
        <v>0.13378902737319173</v>
      </c>
      <c r="AU45" s="14">
        <v>0.13378902737319173</v>
      </c>
      <c r="AV45" s="14">
        <v>0.13378902737319173</v>
      </c>
      <c r="AW45" s="14">
        <v>0.13378902737319173</v>
      </c>
      <c r="AX45" s="14">
        <v>0.13378902737319173</v>
      </c>
      <c r="AY45" s="14">
        <v>0.13378902737319173</v>
      </c>
      <c r="AZ45" s="14">
        <v>0.13378902737319173</v>
      </c>
      <c r="BA45" s="14">
        <v>0.13378902737319173</v>
      </c>
      <c r="BB45" s="14">
        <v>0.13378902737319173</v>
      </c>
      <c r="BC45" s="14">
        <v>0.13378902737319173</v>
      </c>
      <c r="BD45" s="14">
        <v>0.13378902737319173</v>
      </c>
      <c r="BE45" s="14">
        <v>0.13378902737319173</v>
      </c>
      <c r="BF45" s="14">
        <v>0.13378902737319173</v>
      </c>
      <c r="BG45" s="120">
        <v>0.13378902737319173</v>
      </c>
      <c r="BI45" s="110"/>
      <c r="BJ45" s="93">
        <f t="shared" si="8"/>
        <v>200000</v>
      </c>
      <c r="BK45" s="14">
        <v>0.3283376757777736</v>
      </c>
      <c r="BL45" s="14">
        <v>0.3283376757777736</v>
      </c>
      <c r="BM45" s="14">
        <v>0.3283376757777736</v>
      </c>
      <c r="BN45" s="14">
        <v>0.3283376757777736</v>
      </c>
      <c r="BO45" s="14">
        <v>0.3283376757777736</v>
      </c>
      <c r="BP45" s="14">
        <v>0.3283376757777736</v>
      </c>
      <c r="BQ45" s="14">
        <v>0.3283376757777736</v>
      </c>
      <c r="BR45" s="14">
        <v>0.3283376757777736</v>
      </c>
      <c r="BS45" s="14">
        <v>0.3283376757777736</v>
      </c>
      <c r="BT45" s="14">
        <v>0.3283376757777736</v>
      </c>
      <c r="BU45" s="14">
        <v>0.3283376757777736</v>
      </c>
      <c r="BV45" s="14">
        <v>0.3283376757777736</v>
      </c>
      <c r="BW45" s="14">
        <v>0.3283376757777736</v>
      </c>
      <c r="BX45" s="120">
        <v>0.3283376757777736</v>
      </c>
      <c r="BY45" s="11"/>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row>
    <row r="46">
      <c r="B46" s="126" t="s">
        <v>78</v>
      </c>
      <c r="C46" s="127">
        <f>F33*C12</f>
        <v>104037.44</v>
      </c>
      <c r="E46" s="128" t="s">
        <v>79</v>
      </c>
      <c r="F46" s="129">
        <f>sum(F40:F45)</f>
        <v>265</v>
      </c>
      <c r="R46" s="10"/>
      <c r="U46" s="110"/>
      <c r="V46" s="93">
        <f t="shared" si="6"/>
        <v>350000</v>
      </c>
      <c r="W46" s="104">
        <v>0.24819995318884144</v>
      </c>
      <c r="X46" s="105">
        <v>0.2869811958745979</v>
      </c>
      <c r="Y46" s="105">
        <v>0.3257624385603543</v>
      </c>
      <c r="Z46" s="105">
        <v>0.36454368124611086</v>
      </c>
      <c r="AA46" s="105">
        <v>0.40332492393186736</v>
      </c>
      <c r="AB46" s="105">
        <v>0.44210616661762375</v>
      </c>
      <c r="AC46" s="106">
        <v>0.4808874093033803</v>
      </c>
      <c r="AD46" s="51"/>
      <c r="AE46" s="110"/>
      <c r="AF46" s="93">
        <f t="shared" si="7"/>
        <v>350000</v>
      </c>
      <c r="AG46" s="107">
        <v>0.20337006617481448</v>
      </c>
      <c r="AH46" s="107">
        <v>0.21486922330755734</v>
      </c>
      <c r="AI46" s="107">
        <v>0.22614473144088595</v>
      </c>
      <c r="AJ46" s="107">
        <v>0.23724037869468545</v>
      </c>
      <c r="AK46" s="108">
        <v>0.24819995318884144</v>
      </c>
      <c r="AL46" s="107">
        <v>0.25255549115265785</v>
      </c>
      <c r="AM46" s="107">
        <v>0.2568990660137857</v>
      </c>
      <c r="AN46" s="107">
        <v>0.26123348021189746</v>
      </c>
      <c r="AO46" s="107">
        <v>0.26556153618666595</v>
      </c>
      <c r="AP46" s="109">
        <v>0.26988603637776365</v>
      </c>
      <c r="AR46" s="110"/>
      <c r="AS46" s="119">
        <v>0.85</v>
      </c>
      <c r="AT46" s="14">
        <v>0.14035330081305256</v>
      </c>
      <c r="AU46" s="14">
        <v>0.14035330081305256</v>
      </c>
      <c r="AV46" s="14">
        <v>0.14035330081305256</v>
      </c>
      <c r="AW46" s="14">
        <v>0.14035330081305256</v>
      </c>
      <c r="AX46" s="14">
        <v>0.14035330081305256</v>
      </c>
      <c r="AY46" s="14">
        <v>0.14035330081305256</v>
      </c>
      <c r="AZ46" s="14">
        <v>0.14035330081305256</v>
      </c>
      <c r="BA46" s="14">
        <v>0.14035330081305256</v>
      </c>
      <c r="BB46" s="14">
        <v>0.14035330081305256</v>
      </c>
      <c r="BC46" s="14">
        <v>0.14035330081305256</v>
      </c>
      <c r="BD46" s="14">
        <v>0.14035330081305256</v>
      </c>
      <c r="BE46" s="14">
        <v>0.14035330081305256</v>
      </c>
      <c r="BF46" s="14">
        <v>0.14035330081305256</v>
      </c>
      <c r="BG46" s="120">
        <v>0.14035330081305256</v>
      </c>
      <c r="BI46" s="110"/>
      <c r="BJ46" s="93">
        <f t="shared" si="8"/>
        <v>250000</v>
      </c>
      <c r="BK46" s="14">
        <v>0.29367414504535516</v>
      </c>
      <c r="BL46" s="14">
        <v>0.29367414504535516</v>
      </c>
      <c r="BM46" s="14">
        <v>0.29367414504535516</v>
      </c>
      <c r="BN46" s="14">
        <v>0.29367414504535516</v>
      </c>
      <c r="BO46" s="14">
        <v>0.29367414504535516</v>
      </c>
      <c r="BP46" s="14">
        <v>0.29367414504535516</v>
      </c>
      <c r="BQ46" s="14">
        <v>0.29367414504535516</v>
      </c>
      <c r="BR46" s="14">
        <v>0.29367414504535516</v>
      </c>
      <c r="BS46" s="14">
        <v>0.29367414504535516</v>
      </c>
      <c r="BT46" s="14">
        <v>0.29367414504535516</v>
      </c>
      <c r="BU46" s="14">
        <v>0.29367414504535516</v>
      </c>
      <c r="BV46" s="14">
        <v>0.29367414504535516</v>
      </c>
      <c r="BW46" s="14">
        <v>0.29367414504535516</v>
      </c>
      <c r="BX46" s="120">
        <v>0.29367414504535516</v>
      </c>
      <c r="BY46" s="11"/>
      <c r="CE46" s="14"/>
      <c r="CF46" s="14"/>
      <c r="CG46" s="14"/>
      <c r="CH46" s="14"/>
      <c r="CI46" s="14"/>
      <c r="CJ46" s="14"/>
      <c r="CK46" s="14"/>
      <c r="CL46" s="14"/>
      <c r="CM46" s="14"/>
      <c r="CN46" s="14"/>
      <c r="CO46" s="14"/>
      <c r="CP46" s="14"/>
      <c r="CQ46" s="14"/>
      <c r="CR46" s="14"/>
      <c r="CS46" s="14"/>
      <c r="CT46" s="14"/>
      <c r="CU46" s="14"/>
      <c r="CV46" s="14"/>
      <c r="CW46" s="14"/>
      <c r="CX46" s="14"/>
      <c r="CY46" s="14"/>
      <c r="CZ46" s="14"/>
      <c r="DA46" s="14"/>
      <c r="DB46" s="14"/>
      <c r="DC46" s="14"/>
      <c r="DD46" s="14"/>
      <c r="DE46" s="14"/>
      <c r="DF46" s="14"/>
      <c r="DG46" s="14"/>
      <c r="DH46" s="14"/>
    </row>
    <row r="47" ht="18.0" customHeight="1">
      <c r="B47" s="130" t="s">
        <v>80</v>
      </c>
      <c r="C47" s="131">
        <f>(C35*C44)+C41+(F33*C12)+(C43*C34)</f>
        <v>104377.44</v>
      </c>
      <c r="E47" s="132" t="s">
        <v>81</v>
      </c>
      <c r="F47" s="133">
        <f>F38-F46</f>
        <v>18011.63156</v>
      </c>
      <c r="R47" s="10"/>
      <c r="U47" s="110"/>
      <c r="V47" s="93">
        <f t="shared" si="6"/>
        <v>400000</v>
      </c>
      <c r="W47" s="104">
        <v>0.23216979706149377</v>
      </c>
      <c r="X47" s="105">
        <v>0.2684463278523521</v>
      </c>
      <c r="Y47" s="105">
        <v>0.3047228586432105</v>
      </c>
      <c r="Z47" s="105">
        <v>0.34099938943406893</v>
      </c>
      <c r="AA47" s="105">
        <v>0.3772759202249273</v>
      </c>
      <c r="AB47" s="105">
        <v>0.41355245101578564</v>
      </c>
      <c r="AC47" s="106">
        <v>0.44982898180664405</v>
      </c>
      <c r="AD47" s="51"/>
      <c r="AE47" s="110"/>
      <c r="AF47" s="93">
        <f t="shared" si="7"/>
        <v>400000</v>
      </c>
      <c r="AG47" s="107">
        <v>0.19023527758792497</v>
      </c>
      <c r="AH47" s="107">
        <v>0.20099175414477538</v>
      </c>
      <c r="AI47" s="107">
        <v>0.21153902621894996</v>
      </c>
      <c r="AJ47" s="107">
        <v>0.22191805384600427</v>
      </c>
      <c r="AK47" s="108">
        <v>0.23216979706149377</v>
      </c>
      <c r="AL47" s="107">
        <v>0.23624402976041578</v>
      </c>
      <c r="AM47" s="107">
        <v>0.2403070720014519</v>
      </c>
      <c r="AN47" s="107">
        <v>0.24436154522687756</v>
      </c>
      <c r="AO47" s="107">
        <v>0.2484100708789684</v>
      </c>
      <c r="AP47" s="109">
        <v>0.2524552704</v>
      </c>
      <c r="AR47" s="110"/>
      <c r="AS47" s="134">
        <v>0.9</v>
      </c>
      <c r="AT47" s="135">
        <v>0.14683707252267758</v>
      </c>
      <c r="AU47" s="135">
        <v>0.14683707252267758</v>
      </c>
      <c r="AV47" s="135">
        <v>0.14683707252267758</v>
      </c>
      <c r="AW47" s="135">
        <v>0.14683707252267758</v>
      </c>
      <c r="AX47" s="135">
        <v>0.14683707252267758</v>
      </c>
      <c r="AY47" s="135">
        <v>0.14683707252267758</v>
      </c>
      <c r="AZ47" s="135">
        <v>0.14683707252267758</v>
      </c>
      <c r="BA47" s="135">
        <v>0.14683707252267758</v>
      </c>
      <c r="BB47" s="135">
        <v>0.14683707252267758</v>
      </c>
      <c r="BC47" s="135">
        <v>0.14683707252267758</v>
      </c>
      <c r="BD47" s="135">
        <v>0.14683707252267758</v>
      </c>
      <c r="BE47" s="135">
        <v>0.14683707252267758</v>
      </c>
      <c r="BF47" s="135">
        <v>0.14683707252267758</v>
      </c>
      <c r="BG47" s="136">
        <v>0.14683707252267758</v>
      </c>
      <c r="BI47" s="110"/>
      <c r="BJ47" s="93">
        <f t="shared" si="8"/>
        <v>300000</v>
      </c>
      <c r="BK47" s="14">
        <v>0.26808658966230847</v>
      </c>
      <c r="BL47" s="14">
        <v>0.26808658966230847</v>
      </c>
      <c r="BM47" s="14">
        <v>0.26808658966230847</v>
      </c>
      <c r="BN47" s="14">
        <v>0.26808658966230847</v>
      </c>
      <c r="BO47" s="14">
        <v>0.26808658966230847</v>
      </c>
      <c r="BP47" s="14">
        <v>0.26808658966230847</v>
      </c>
      <c r="BQ47" s="14">
        <v>0.26808658966230847</v>
      </c>
      <c r="BR47" s="14">
        <v>0.26808658966230847</v>
      </c>
      <c r="BS47" s="14">
        <v>0.26808658966230847</v>
      </c>
      <c r="BT47" s="14">
        <v>0.26808658966230847</v>
      </c>
      <c r="BU47" s="14">
        <v>0.26808658966230847</v>
      </c>
      <c r="BV47" s="14">
        <v>0.26808658966230847</v>
      </c>
      <c r="BW47" s="14">
        <v>0.26808658966230847</v>
      </c>
      <c r="BX47" s="120">
        <v>0.26808658966230847</v>
      </c>
      <c r="BY47" s="11"/>
      <c r="CE47" s="14"/>
      <c r="CF47" s="14"/>
      <c r="CG47" s="14"/>
      <c r="CH47" s="14"/>
      <c r="CI47" s="14"/>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row>
    <row r="48">
      <c r="E48" s="137" t="s">
        <v>82</v>
      </c>
      <c r="F48" s="138">
        <f>F47/(F33*C12)</f>
        <v>0.1731264395</v>
      </c>
      <c r="R48" s="10"/>
      <c r="U48" s="110"/>
      <c r="V48" s="93">
        <f t="shared" si="6"/>
        <v>450000</v>
      </c>
      <c r="W48" s="104">
        <v>0.21889178385184904</v>
      </c>
      <c r="X48" s="105">
        <v>0.25309362507870053</v>
      </c>
      <c r="Y48" s="105">
        <v>0.28729546630555186</v>
      </c>
      <c r="Z48" s="105">
        <v>0.32149730753240335</v>
      </c>
      <c r="AA48" s="105">
        <v>0.3556991487592547</v>
      </c>
      <c r="AB48" s="105">
        <v>0.3899009899861062</v>
      </c>
      <c r="AC48" s="106">
        <v>0.42410283121295755</v>
      </c>
      <c r="AD48" s="51"/>
      <c r="AE48" s="110"/>
      <c r="AF48" s="93">
        <f t="shared" si="7"/>
        <v>450000</v>
      </c>
      <c r="AG48" s="107">
        <v>0.1793555397377693</v>
      </c>
      <c r="AH48" s="107">
        <v>0.18949684309113332</v>
      </c>
      <c r="AI48" s="107">
        <v>0.1994409065666912</v>
      </c>
      <c r="AJ48" s="107">
        <v>0.20922634765630801</v>
      </c>
      <c r="AK48" s="108">
        <v>0.21889178385184904</v>
      </c>
      <c r="AL48" s="107">
        <v>0.22273300727790207</v>
      </c>
      <c r="AM48" s="107">
        <v>0.2265636802390808</v>
      </c>
      <c r="AN48" s="107">
        <v>0.2303862742548645</v>
      </c>
      <c r="AO48" s="107">
        <v>0.23420326084473264</v>
      </c>
      <c r="AP48" s="109">
        <v>0.23801711152816463</v>
      </c>
      <c r="AR48" s="110"/>
      <c r="AS48" s="119">
        <v>0.92</v>
      </c>
      <c r="AT48" s="14">
        <v>0.14941384353190332</v>
      </c>
      <c r="AU48" s="14">
        <v>0.14941384353190332</v>
      </c>
      <c r="AV48" s="14">
        <v>0.14941384353190332</v>
      </c>
      <c r="AW48" s="14">
        <v>0.14941384353190332</v>
      </c>
      <c r="AX48" s="14">
        <v>0.14941384353190332</v>
      </c>
      <c r="AY48" s="14">
        <v>0.14941384353190332</v>
      </c>
      <c r="AZ48" s="14">
        <v>0.14941384353190332</v>
      </c>
      <c r="BA48" s="14">
        <v>0.14941384353190332</v>
      </c>
      <c r="BB48" s="14">
        <v>0.14941384353190332</v>
      </c>
      <c r="BC48" s="14">
        <v>0.14941384353190332</v>
      </c>
      <c r="BD48" s="14">
        <v>0.14941384353190332</v>
      </c>
      <c r="BE48" s="14">
        <v>0.14941384353190332</v>
      </c>
      <c r="BF48" s="14">
        <v>0.14941384353190332</v>
      </c>
      <c r="BG48" s="120">
        <v>0.14941384353190332</v>
      </c>
      <c r="BI48" s="110"/>
      <c r="BJ48" s="93">
        <f t="shared" si="8"/>
        <v>350000</v>
      </c>
      <c r="BK48" s="14">
        <v>0.24819995318884144</v>
      </c>
      <c r="BL48" s="14">
        <v>0.24819995318884144</v>
      </c>
      <c r="BM48" s="14">
        <v>0.24819995318884147</v>
      </c>
      <c r="BN48" s="14">
        <v>0.24819995318884144</v>
      </c>
      <c r="BO48" s="14">
        <v>0.24819995318884144</v>
      </c>
      <c r="BP48" s="14">
        <v>0.24819995318884144</v>
      </c>
      <c r="BQ48" s="14">
        <v>0.24819995318884144</v>
      </c>
      <c r="BR48" s="14">
        <v>0.24819995318884144</v>
      </c>
      <c r="BS48" s="14">
        <v>0.24819995318884144</v>
      </c>
      <c r="BT48" s="14">
        <v>0.24819995318884144</v>
      </c>
      <c r="BU48" s="14">
        <v>0.24819995318884147</v>
      </c>
      <c r="BV48" s="14">
        <v>0.24819995318884144</v>
      </c>
      <c r="BW48" s="14">
        <v>0.24819995318884144</v>
      </c>
      <c r="BX48" s="120">
        <v>0.24819995318884144</v>
      </c>
      <c r="BY48" s="11"/>
      <c r="CE48" s="14"/>
      <c r="CF48" s="14"/>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row>
    <row r="49">
      <c r="B49" s="139"/>
      <c r="C49" s="140"/>
      <c r="R49" s="10"/>
      <c r="U49" s="110"/>
      <c r="V49" s="93">
        <f t="shared" si="6"/>
        <v>500000</v>
      </c>
      <c r="W49" s="104">
        <v>0.20765897942073241</v>
      </c>
      <c r="X49" s="105">
        <v>0.24010569495522185</v>
      </c>
      <c r="Y49" s="105">
        <v>0.27255241048971124</v>
      </c>
      <c r="Z49" s="105">
        <v>0.3049991260242006</v>
      </c>
      <c r="AA49" s="105">
        <v>0.33744584155869006</v>
      </c>
      <c r="AB49" s="105">
        <v>0.36989255709317953</v>
      </c>
      <c r="AC49" s="106">
        <v>0.4023392726276689</v>
      </c>
      <c r="AD49" s="51"/>
      <c r="AE49" s="110"/>
      <c r="AF49" s="93">
        <f t="shared" si="7"/>
        <v>500000</v>
      </c>
      <c r="AG49" s="111">
        <v>0.17015160496205697</v>
      </c>
      <c r="AH49" s="111">
        <v>0.17977249007385712</v>
      </c>
      <c r="AI49" s="111">
        <v>0.189206257007873</v>
      </c>
      <c r="AJ49" s="111">
        <v>0.19848954153364967</v>
      </c>
      <c r="AK49" s="112">
        <v>0.20765897942073241</v>
      </c>
      <c r="AL49" s="111">
        <v>0.21130308392910924</v>
      </c>
      <c r="AM49" s="111">
        <v>0.21493717938767315</v>
      </c>
      <c r="AN49" s="111">
        <v>0.21856361048567505</v>
      </c>
      <c r="AO49" s="111">
        <v>0.22218472191236574</v>
      </c>
      <c r="AP49" s="113">
        <v>0.22580285835699618</v>
      </c>
      <c r="AR49" s="110"/>
      <c r="AS49" s="119">
        <v>0.94</v>
      </c>
      <c r="AT49" s="14">
        <v>0.15198353707413312</v>
      </c>
      <c r="AU49" s="14">
        <v>0.15198353707413312</v>
      </c>
      <c r="AV49" s="14">
        <v>0.15198353707413312</v>
      </c>
      <c r="AW49" s="14">
        <v>0.15198353707413312</v>
      </c>
      <c r="AX49" s="14">
        <v>0.15198353707413312</v>
      </c>
      <c r="AY49" s="14">
        <v>0.15198353707413312</v>
      </c>
      <c r="AZ49" s="14">
        <v>0.15198353707413312</v>
      </c>
      <c r="BA49" s="14">
        <v>0.15198353707413312</v>
      </c>
      <c r="BB49" s="14">
        <v>0.15198353707413312</v>
      </c>
      <c r="BC49" s="14">
        <v>0.15198353707413312</v>
      </c>
      <c r="BD49" s="14">
        <v>0.15198353707413312</v>
      </c>
      <c r="BE49" s="14">
        <v>0.15198353707413312</v>
      </c>
      <c r="BF49" s="14">
        <v>0.15198353707413312</v>
      </c>
      <c r="BG49" s="120">
        <v>0.15198353707413312</v>
      </c>
      <c r="BI49" s="110"/>
      <c r="BJ49" s="93">
        <f t="shared" si="8"/>
        <v>400000</v>
      </c>
      <c r="BK49" s="14">
        <v>0.23216979706149377</v>
      </c>
      <c r="BL49" s="14">
        <v>0.23216979706149377</v>
      </c>
      <c r="BM49" s="14">
        <v>0.23216979706149377</v>
      </c>
      <c r="BN49" s="14">
        <v>0.23216979706149377</v>
      </c>
      <c r="BO49" s="14">
        <v>0.23216979706149377</v>
      </c>
      <c r="BP49" s="14">
        <v>0.23216979706149377</v>
      </c>
      <c r="BQ49" s="14">
        <v>0.23216979706149377</v>
      </c>
      <c r="BR49" s="14">
        <v>0.23216979706149377</v>
      </c>
      <c r="BS49" s="14">
        <v>0.23216979706149377</v>
      </c>
      <c r="BT49" s="14">
        <v>0.23216979706149377</v>
      </c>
      <c r="BU49" s="14">
        <v>0.23216979706149377</v>
      </c>
      <c r="BV49" s="14">
        <v>0.23216979706149377</v>
      </c>
      <c r="BW49" s="14">
        <v>0.23216979706149377</v>
      </c>
      <c r="BX49" s="120">
        <v>0.23216979706149377</v>
      </c>
      <c r="BY49" s="11"/>
      <c r="CE49" s="14"/>
      <c r="CF49" s="14"/>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row>
    <row r="50">
      <c r="B50" s="141"/>
      <c r="C50" s="142"/>
      <c r="R50" s="10"/>
      <c r="U50" s="110"/>
      <c r="V50" s="93">
        <f t="shared" si="6"/>
        <v>550000</v>
      </c>
      <c r="W50" s="104">
        <v>0.19799506819858867</v>
      </c>
      <c r="X50" s="105">
        <v>0.2289317976046181</v>
      </c>
      <c r="Y50" s="105">
        <v>0.25986852701064767</v>
      </c>
      <c r="Z50" s="105">
        <v>0.2908052564166771</v>
      </c>
      <c r="AA50" s="105">
        <v>0.3217419858227066</v>
      </c>
      <c r="AB50" s="105">
        <v>0.35267871522873606</v>
      </c>
      <c r="AC50" s="106">
        <v>0.3836154446347655</v>
      </c>
      <c r="AD50" s="51"/>
      <c r="AE50" s="110"/>
      <c r="AF50" s="93">
        <f t="shared" si="7"/>
        <v>550000</v>
      </c>
      <c r="AG50" s="107">
        <v>0.16223318983141602</v>
      </c>
      <c r="AH50" s="107">
        <v>0.17140634386094736</v>
      </c>
      <c r="AI50" s="107">
        <v>0.18040108770819357</v>
      </c>
      <c r="AJ50" s="107">
        <v>0.18925235220884415</v>
      </c>
      <c r="AK50" s="108">
        <v>0.19799506819858867</v>
      </c>
      <c r="AL50" s="107">
        <v>0.20146958551862718</v>
      </c>
      <c r="AM50" s="107">
        <v>0.20493455958411524</v>
      </c>
      <c r="AN50" s="107">
        <v>0.2083922259685368</v>
      </c>
      <c r="AO50" s="107">
        <v>0.21184482024537615</v>
      </c>
      <c r="AP50" s="109">
        <v>0.2152945779881173</v>
      </c>
      <c r="AR50" s="110"/>
      <c r="AS50" s="119">
        <v>0.96</v>
      </c>
      <c r="AT50" s="14">
        <v>0.154547811095036</v>
      </c>
      <c r="AU50" s="14">
        <v>0.154547811095036</v>
      </c>
      <c r="AV50" s="14">
        <v>0.154547811095036</v>
      </c>
      <c r="AW50" s="14">
        <v>0.154547811095036</v>
      </c>
      <c r="AX50" s="14">
        <v>0.154547811095036</v>
      </c>
      <c r="AY50" s="14">
        <v>0.154547811095036</v>
      </c>
      <c r="AZ50" s="14">
        <v>0.154547811095036</v>
      </c>
      <c r="BA50" s="14">
        <v>0.154547811095036</v>
      </c>
      <c r="BB50" s="14">
        <v>0.154547811095036</v>
      </c>
      <c r="BC50" s="14">
        <v>0.154547811095036</v>
      </c>
      <c r="BD50" s="14">
        <v>0.15454781109503596</v>
      </c>
      <c r="BE50" s="14">
        <v>0.154547811095036</v>
      </c>
      <c r="BF50" s="14">
        <v>0.154547811095036</v>
      </c>
      <c r="BG50" s="120">
        <v>0.154547811095036</v>
      </c>
      <c r="BI50" s="110"/>
      <c r="BJ50" s="93">
        <f t="shared" si="8"/>
        <v>450000</v>
      </c>
      <c r="BK50" s="14">
        <v>0.21889178385184904</v>
      </c>
      <c r="BL50" s="14">
        <v>0.21889178385184904</v>
      </c>
      <c r="BM50" s="14">
        <v>0.21889178385184904</v>
      </c>
      <c r="BN50" s="14">
        <v>0.21889178385184904</v>
      </c>
      <c r="BO50" s="14">
        <v>0.21889178385184904</v>
      </c>
      <c r="BP50" s="14">
        <v>0.21889178385184904</v>
      </c>
      <c r="BQ50" s="14">
        <v>0.21889178385184904</v>
      </c>
      <c r="BR50" s="14">
        <v>0.21889178385184904</v>
      </c>
      <c r="BS50" s="14">
        <v>0.21889178385184904</v>
      </c>
      <c r="BT50" s="14">
        <v>0.21889178385184904</v>
      </c>
      <c r="BU50" s="14">
        <v>0.21889178385184907</v>
      </c>
      <c r="BV50" s="14">
        <v>0.21889178385184904</v>
      </c>
      <c r="BW50" s="14">
        <v>0.21889178385184904</v>
      </c>
      <c r="BX50" s="120">
        <v>0.21889178385184904</v>
      </c>
      <c r="BY50" s="11"/>
      <c r="CE50" s="14"/>
      <c r="CF50" s="14"/>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row>
    <row r="51">
      <c r="B51" s="143"/>
      <c r="C51" s="143"/>
      <c r="R51" s="10"/>
      <c r="U51" s="110"/>
      <c r="V51" s="93">
        <f t="shared" si="6"/>
        <v>600000</v>
      </c>
      <c r="W51" s="104">
        <v>0.18956584549539374</v>
      </c>
      <c r="X51" s="105">
        <v>0.2191855088540489</v>
      </c>
      <c r="Y51" s="105">
        <v>0.24880517221270418</v>
      </c>
      <c r="Z51" s="105">
        <v>0.2784248355713594</v>
      </c>
      <c r="AA51" s="105">
        <v>0.30804449893001473</v>
      </c>
      <c r="AB51" s="105">
        <v>0.33766416228867</v>
      </c>
      <c r="AC51" s="106">
        <v>0.3672838256473252</v>
      </c>
      <c r="AD51" s="51"/>
      <c r="AE51" s="110"/>
      <c r="AF51" s="93">
        <f t="shared" si="7"/>
        <v>600000</v>
      </c>
      <c r="AG51" s="107">
        <v>0.1553264537223776</v>
      </c>
      <c r="AH51" s="107">
        <v>0.1641090800538752</v>
      </c>
      <c r="AI51" s="107">
        <v>0.1727208916405533</v>
      </c>
      <c r="AJ51" s="107">
        <v>0.18119533221139753</v>
      </c>
      <c r="AK51" s="108">
        <v>0.18956584549539374</v>
      </c>
      <c r="AL51" s="107">
        <v>0.19289244256396743</v>
      </c>
      <c r="AM51" s="107">
        <v>0.19620990266193836</v>
      </c>
      <c r="AN51" s="107">
        <v>0.19952036618796146</v>
      </c>
      <c r="AO51" s="107">
        <v>0.20282597354069182</v>
      </c>
      <c r="AP51" s="109">
        <v>0.2061288651187846</v>
      </c>
      <c r="AR51" s="110"/>
      <c r="AS51" s="119">
        <v>0.98</v>
      </c>
      <c r="AT51" s="144">
        <v>0.15710832354028112</v>
      </c>
      <c r="AU51" s="144">
        <v>0.15710832354028112</v>
      </c>
      <c r="AV51" s="144">
        <v>0.15710832354028112</v>
      </c>
      <c r="AW51" s="144">
        <v>0.15710832354028112</v>
      </c>
      <c r="AX51" s="144">
        <v>0.15710832354028112</v>
      </c>
      <c r="AY51" s="144">
        <v>0.15710832354028112</v>
      </c>
      <c r="AZ51" s="144">
        <v>0.15710832354028112</v>
      </c>
      <c r="BA51" s="144">
        <v>0.15710832354028112</v>
      </c>
      <c r="BB51" s="144">
        <v>0.15710832354028112</v>
      </c>
      <c r="BC51" s="144">
        <v>0.15710832354028112</v>
      </c>
      <c r="BD51" s="144">
        <v>0.15710832354028115</v>
      </c>
      <c r="BE51" s="144">
        <v>0.15710832354028112</v>
      </c>
      <c r="BF51" s="144">
        <v>0.15710832354028112</v>
      </c>
      <c r="BG51" s="145">
        <v>0.15710832354028112</v>
      </c>
      <c r="BI51" s="110"/>
      <c r="BJ51" s="93">
        <f t="shared" si="8"/>
        <v>500000</v>
      </c>
      <c r="BK51" s="144">
        <v>0.20765897942073241</v>
      </c>
      <c r="BL51" s="144">
        <v>0.20765897942073241</v>
      </c>
      <c r="BM51" s="144">
        <v>0.20765897942073241</v>
      </c>
      <c r="BN51" s="144">
        <v>0.20765897942073241</v>
      </c>
      <c r="BO51" s="144">
        <v>0.20765897942073241</v>
      </c>
      <c r="BP51" s="144">
        <v>0.20765897942073241</v>
      </c>
      <c r="BQ51" s="144">
        <v>0.20765897942073241</v>
      </c>
      <c r="BR51" s="144">
        <v>0.20765897942073241</v>
      </c>
      <c r="BS51" s="144">
        <v>0.20765897942073241</v>
      </c>
      <c r="BT51" s="144">
        <v>0.20765897942073241</v>
      </c>
      <c r="BU51" s="144">
        <v>0.20765897942073241</v>
      </c>
      <c r="BV51" s="144">
        <v>0.20765897942073241</v>
      </c>
      <c r="BW51" s="144">
        <v>0.20765897942073241</v>
      </c>
      <c r="BX51" s="145">
        <v>0.20765897942073241</v>
      </c>
      <c r="BY51" s="11"/>
      <c r="CE51" s="144"/>
      <c r="CF51" s="144"/>
      <c r="CG51" s="144"/>
      <c r="CH51" s="144"/>
      <c r="CI51" s="144"/>
      <c r="CJ51" s="144"/>
      <c r="CK51" s="144"/>
      <c r="CL51" s="144"/>
      <c r="CM51" s="144"/>
      <c r="CN51" s="144"/>
      <c r="CO51" s="144"/>
      <c r="CP51" s="144"/>
      <c r="CQ51" s="144"/>
      <c r="CR51" s="144"/>
      <c r="CS51" s="144"/>
      <c r="CT51" s="144"/>
      <c r="CU51" s="144"/>
      <c r="CV51" s="144"/>
      <c r="CW51" s="144"/>
      <c r="CX51" s="144"/>
      <c r="CY51" s="144"/>
      <c r="CZ51" s="144"/>
      <c r="DA51" s="144"/>
      <c r="DB51" s="144"/>
      <c r="DC51" s="144"/>
      <c r="DD51" s="144"/>
      <c r="DE51" s="144"/>
      <c r="DF51" s="144"/>
      <c r="DG51" s="144"/>
      <c r="DH51" s="144"/>
    </row>
    <row r="52">
      <c r="R52" s="10"/>
      <c r="U52" s="110"/>
      <c r="V52" s="93">
        <f t="shared" si="6"/>
        <v>650000</v>
      </c>
      <c r="W52" s="104">
        <v>0.18212897318206664</v>
      </c>
      <c r="X52" s="105">
        <v>0.21058662524176464</v>
      </c>
      <c r="Y52" s="105">
        <v>0.2390442773014625</v>
      </c>
      <c r="Z52" s="105">
        <v>0.2675019293611604</v>
      </c>
      <c r="AA52" s="105">
        <v>0.2959595814208583</v>
      </c>
      <c r="AB52" s="105">
        <v>0.32441723348055623</v>
      </c>
      <c r="AC52" s="106">
        <v>0.35287488554025404</v>
      </c>
      <c r="AD52" s="51"/>
      <c r="AE52" s="110"/>
      <c r="AF52" s="93">
        <f t="shared" si="7"/>
        <v>650000</v>
      </c>
      <c r="AG52" s="107">
        <v>0.14923282962993378</v>
      </c>
      <c r="AH52" s="107">
        <v>0.15767090407006967</v>
      </c>
      <c r="AI52" s="107">
        <v>0.16594486501182182</v>
      </c>
      <c r="AJ52" s="107">
        <v>0.17408684415066308</v>
      </c>
      <c r="AK52" s="108">
        <v>0.18212897318206664</v>
      </c>
      <c r="AL52" s="107">
        <v>0.18532506426433146</v>
      </c>
      <c r="AM52" s="107">
        <v>0.1885123768291922</v>
      </c>
      <c r="AN52" s="107">
        <v>0.19169296730515914</v>
      </c>
      <c r="AO52" s="107">
        <v>0.1948688921207426</v>
      </c>
      <c r="AP52" s="109">
        <v>0.1980422077044527</v>
      </c>
      <c r="AR52" s="146"/>
      <c r="AS52" s="147">
        <v>1.0</v>
      </c>
      <c r="AT52" s="148">
        <v>0.1596667323555375</v>
      </c>
      <c r="AU52" s="148">
        <v>0.1596667323555375</v>
      </c>
      <c r="AV52" s="148">
        <v>0.1596667323555375</v>
      </c>
      <c r="AW52" s="148">
        <v>0.1596667323555375</v>
      </c>
      <c r="AX52" s="148">
        <v>0.15966673235553747</v>
      </c>
      <c r="AY52" s="148">
        <v>0.15966673235553747</v>
      </c>
      <c r="AZ52" s="148">
        <v>0.1596667323555375</v>
      </c>
      <c r="BA52" s="148">
        <v>0.15966673235553747</v>
      </c>
      <c r="BB52" s="148">
        <v>0.1596667323555375</v>
      </c>
      <c r="BC52" s="148">
        <v>0.1596667323555375</v>
      </c>
      <c r="BD52" s="148">
        <v>0.1596667323555375</v>
      </c>
      <c r="BE52" s="148">
        <v>0.15966673235553747</v>
      </c>
      <c r="BF52" s="148">
        <v>0.1596667323555375</v>
      </c>
      <c r="BG52" s="149">
        <v>0.1596667323555375</v>
      </c>
      <c r="BI52" s="110"/>
      <c r="BJ52" s="93">
        <f t="shared" si="8"/>
        <v>550000</v>
      </c>
      <c r="BK52" s="51">
        <v>0.19799506819858867</v>
      </c>
      <c r="BL52" s="51">
        <v>0.19799506819858867</v>
      </c>
      <c r="BM52" s="51">
        <v>0.19799506819858867</v>
      </c>
      <c r="BN52" s="51">
        <v>0.19799506819858867</v>
      </c>
      <c r="BO52" s="51">
        <v>0.19799506819858867</v>
      </c>
      <c r="BP52" s="51">
        <v>0.19799506819858867</v>
      </c>
      <c r="BQ52" s="51">
        <v>0.19799506819858867</v>
      </c>
      <c r="BR52" s="51">
        <v>0.19799506819858867</v>
      </c>
      <c r="BS52" s="51">
        <v>0.19799506819858867</v>
      </c>
      <c r="BT52" s="51">
        <v>0.19799506819858867</v>
      </c>
      <c r="BU52" s="51">
        <v>0.1979950681985887</v>
      </c>
      <c r="BV52" s="51">
        <v>0.19799506819858867</v>
      </c>
      <c r="BW52" s="51">
        <v>0.19799506819858867</v>
      </c>
      <c r="BX52" s="150">
        <v>0.19799506819858867</v>
      </c>
      <c r="BY52" s="1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row>
    <row r="53">
      <c r="B53" s="151"/>
      <c r="C53" s="23"/>
      <c r="R53" s="10"/>
      <c r="U53" s="110"/>
      <c r="V53" s="93">
        <f t="shared" si="6"/>
        <v>700000</v>
      </c>
      <c r="W53" s="104">
        <v>0.1755038699900134</v>
      </c>
      <c r="X53" s="105">
        <v>0.202926349675953</v>
      </c>
      <c r="Y53" s="105">
        <v>0.23034882936189263</v>
      </c>
      <c r="Z53" s="105">
        <v>0.2577713090478322</v>
      </c>
      <c r="AA53" s="105">
        <v>0.2851937887337719</v>
      </c>
      <c r="AB53" s="105">
        <v>0.31261626841971146</v>
      </c>
      <c r="AC53" s="106">
        <v>0.34003874810565093</v>
      </c>
      <c r="AD53" s="51"/>
      <c r="AE53" s="110"/>
      <c r="AF53" s="93">
        <f t="shared" si="7"/>
        <v>700000</v>
      </c>
      <c r="AG53" s="107">
        <v>0.14380435288256824</v>
      </c>
      <c r="AH53" s="107">
        <v>0.15193548486906033</v>
      </c>
      <c r="AI53" s="107">
        <v>0.15990847313146106</v>
      </c>
      <c r="AJ53" s="107">
        <v>0.16775428054627664</v>
      </c>
      <c r="AK53" s="108">
        <v>0.1755038699900134</v>
      </c>
      <c r="AL53" s="107">
        <v>0.17858370041994343</v>
      </c>
      <c r="AM53" s="107">
        <v>0.18165507165883835</v>
      </c>
      <c r="AN53" s="107">
        <v>0.18471996533079446</v>
      </c>
      <c r="AO53" s="107">
        <v>0.1877803630599082</v>
      </c>
      <c r="AP53" s="109">
        <v>0.1908382464702759</v>
      </c>
      <c r="BI53" s="110"/>
      <c r="BJ53" s="93">
        <f t="shared" si="8"/>
        <v>600000</v>
      </c>
      <c r="BK53" s="51">
        <v>0.18956584549539374</v>
      </c>
      <c r="BL53" s="51">
        <v>0.18956584549539374</v>
      </c>
      <c r="BM53" s="51">
        <v>0.18956584549539374</v>
      </c>
      <c r="BN53" s="51">
        <v>0.18956584549539374</v>
      </c>
      <c r="BO53" s="51">
        <v>0.18956584549539374</v>
      </c>
      <c r="BP53" s="51">
        <v>0.18956584549539374</v>
      </c>
      <c r="BQ53" s="51">
        <v>0.18956584549539374</v>
      </c>
      <c r="BR53" s="51">
        <v>0.18956584549539374</v>
      </c>
      <c r="BS53" s="51">
        <v>0.18956584549539374</v>
      </c>
      <c r="BT53" s="51">
        <v>0.18956584549539374</v>
      </c>
      <c r="BU53" s="51">
        <v>0.18956584549539374</v>
      </c>
      <c r="BV53" s="51">
        <v>0.18956584549539374</v>
      </c>
      <c r="BW53" s="51">
        <v>0.18956584549539374</v>
      </c>
      <c r="BX53" s="150">
        <v>0.18956584549539374</v>
      </c>
      <c r="BY53" s="1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row>
    <row r="54">
      <c r="B54" s="152"/>
      <c r="C54" s="153"/>
      <c r="R54" s="10"/>
      <c r="U54" s="110"/>
      <c r="V54" s="93">
        <f t="shared" si="6"/>
        <v>750000</v>
      </c>
      <c r="W54" s="104">
        <v>0.16955284669596898</v>
      </c>
      <c r="X54" s="105">
        <v>0.19604547899221414</v>
      </c>
      <c r="Y54" s="105">
        <v>0.2225381112884593</v>
      </c>
      <c r="Z54" s="105">
        <v>0.24903074358470445</v>
      </c>
      <c r="AA54" s="105">
        <v>0.2755233758809497</v>
      </c>
      <c r="AB54" s="105">
        <v>0.30201600817719476</v>
      </c>
      <c r="AC54" s="106">
        <v>0.32850864047344</v>
      </c>
      <c r="AD54" s="51"/>
      <c r="AE54" s="110"/>
      <c r="AF54" s="93">
        <f t="shared" si="7"/>
        <v>750000</v>
      </c>
      <c r="AG54" s="107">
        <v>0.1389282036908846</v>
      </c>
      <c r="AH54" s="107">
        <v>0.1467836234901679</v>
      </c>
      <c r="AI54" s="107">
        <v>0.1544862619370609</v>
      </c>
      <c r="AJ54" s="107">
        <v>0.16206603201213682</v>
      </c>
      <c r="AK54" s="108">
        <v>0.16955284669596898</v>
      </c>
      <c r="AL54" s="107">
        <v>0.17252824556760205</v>
      </c>
      <c r="AM54" s="107">
        <v>0.17549547208428445</v>
      </c>
      <c r="AN54" s="107">
        <v>0.1784564406767729</v>
      </c>
      <c r="AO54" s="107">
        <v>0.18141306577582422</v>
      </c>
      <c r="AP54" s="109">
        <v>0.184367261812195</v>
      </c>
      <c r="BI54" s="110"/>
      <c r="BJ54" s="93">
        <f t="shared" si="8"/>
        <v>650000</v>
      </c>
      <c r="BK54" s="51">
        <v>0.18212897318206664</v>
      </c>
      <c r="BL54" s="51">
        <v>0.18212897318206664</v>
      </c>
      <c r="BM54" s="51">
        <v>0.18212897318206664</v>
      </c>
      <c r="BN54" s="51">
        <v>0.18212897318206664</v>
      </c>
      <c r="BO54" s="51">
        <v>0.18212897318206664</v>
      </c>
      <c r="BP54" s="51">
        <v>0.18212897318206664</v>
      </c>
      <c r="BQ54" s="51">
        <v>0.18212897318206664</v>
      </c>
      <c r="BR54" s="51">
        <v>0.18212897318206664</v>
      </c>
      <c r="BS54" s="51">
        <v>0.18212897318206664</v>
      </c>
      <c r="BT54" s="51">
        <v>0.18212897318206664</v>
      </c>
      <c r="BU54" s="51">
        <v>0.18212897318206664</v>
      </c>
      <c r="BV54" s="51">
        <v>0.18212897318206664</v>
      </c>
      <c r="BW54" s="51">
        <v>0.18212897318206664</v>
      </c>
      <c r="BX54" s="150">
        <v>0.18212897318206664</v>
      </c>
      <c r="BY54" s="1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row>
    <row r="55">
      <c r="B55" s="152"/>
      <c r="C55" s="153"/>
      <c r="R55" s="10"/>
      <c r="U55" s="110"/>
      <c r="V55" s="93">
        <f t="shared" si="6"/>
        <v>800000</v>
      </c>
      <c r="W55" s="104">
        <v>0.1641688378888868</v>
      </c>
      <c r="X55" s="105">
        <v>0.18982021880902536</v>
      </c>
      <c r="Y55" s="105">
        <v>0.21547159972916394</v>
      </c>
      <c r="Z55" s="105">
        <v>0.24112298064930252</v>
      </c>
      <c r="AA55" s="105">
        <v>0.26677436156944107</v>
      </c>
      <c r="AB55" s="105">
        <v>0.2924257424895797</v>
      </c>
      <c r="AC55" s="106">
        <v>0.31807712340971817</v>
      </c>
      <c r="AD55" s="51"/>
      <c r="AE55" s="110"/>
      <c r="AF55" s="93">
        <f t="shared" si="7"/>
        <v>800000</v>
      </c>
      <c r="AG55" s="107">
        <v>0.134516654803327</v>
      </c>
      <c r="AH55" s="107">
        <v>0.14212263231835</v>
      </c>
      <c r="AI55" s="107">
        <v>0.1495806799250184</v>
      </c>
      <c r="AJ55" s="107">
        <v>0.15691976074223102</v>
      </c>
      <c r="AK55" s="108">
        <v>0.1641688378888868</v>
      </c>
      <c r="AL55" s="107">
        <v>0.16704975545842654</v>
      </c>
      <c r="AM55" s="107">
        <v>0.16992276017931057</v>
      </c>
      <c r="AN55" s="107">
        <v>0.1727897056911484</v>
      </c>
      <c r="AO55" s="107">
        <v>0.1756524456335496</v>
      </c>
      <c r="AP55" s="109">
        <v>0.1785128336461235</v>
      </c>
      <c r="BI55" s="110"/>
      <c r="BJ55" s="93">
        <f t="shared" si="8"/>
        <v>700000</v>
      </c>
      <c r="BK55" s="51">
        <v>0.1755038699900134</v>
      </c>
      <c r="BL55" s="51">
        <v>0.1755038699900134</v>
      </c>
      <c r="BM55" s="51">
        <v>0.1755038699900134</v>
      </c>
      <c r="BN55" s="51">
        <v>0.1755038699900134</v>
      </c>
      <c r="BO55" s="51">
        <v>0.17550386999001344</v>
      </c>
      <c r="BP55" s="51">
        <v>0.17550386999001344</v>
      </c>
      <c r="BQ55" s="51">
        <v>0.1755038699900134</v>
      </c>
      <c r="BR55" s="51">
        <v>0.17550386999001344</v>
      </c>
      <c r="BS55" s="51">
        <v>0.1755038699900134</v>
      </c>
      <c r="BT55" s="51">
        <v>0.1755038699900134</v>
      </c>
      <c r="BU55" s="51">
        <v>0.17550386999001338</v>
      </c>
      <c r="BV55" s="51">
        <v>0.17550386999001344</v>
      </c>
      <c r="BW55" s="51">
        <v>0.1755038699900134</v>
      </c>
      <c r="BX55" s="150">
        <v>0.1755038699900134</v>
      </c>
      <c r="BY55" s="1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row>
    <row r="56">
      <c r="B56" s="23"/>
      <c r="C56" s="23"/>
      <c r="R56" s="10"/>
      <c r="U56" s="110"/>
      <c r="V56" s="93">
        <f t="shared" si="6"/>
        <v>850000</v>
      </c>
      <c r="W56" s="104">
        <v>0.15926716683547834</v>
      </c>
      <c r="X56" s="105">
        <v>0.18415266165352187</v>
      </c>
      <c r="Y56" s="105">
        <v>0.20903815647156532</v>
      </c>
      <c r="Z56" s="105">
        <v>0.23392365128960876</v>
      </c>
      <c r="AA56" s="105">
        <v>0.2588091461076523</v>
      </c>
      <c r="AB56" s="105">
        <v>0.2836946409256958</v>
      </c>
      <c r="AC56" s="106">
        <v>0.3085801357437394</v>
      </c>
      <c r="AD56" s="51"/>
      <c r="AE56" s="110"/>
      <c r="AF56" s="93">
        <f t="shared" si="7"/>
        <v>850000</v>
      </c>
      <c r="AG56" s="107">
        <v>0.13050032380208618</v>
      </c>
      <c r="AH56" s="107">
        <v>0.13787920584455984</v>
      </c>
      <c r="AI56" s="107">
        <v>0.145114574795896</v>
      </c>
      <c r="AJ56" s="107">
        <v>0.15223452900867532</v>
      </c>
      <c r="AK56" s="108">
        <v>0.15926716683547834</v>
      </c>
      <c r="AL56" s="107">
        <v>0.16206206740910425</v>
      </c>
      <c r="AM56" s="107">
        <v>0.16484929139195204</v>
      </c>
      <c r="AN56" s="107">
        <v>0.16763063707858675</v>
      </c>
      <c r="AO56" s="107">
        <v>0.17040790276357376</v>
      </c>
      <c r="AP56" s="109">
        <v>0.17318288674147797</v>
      </c>
      <c r="BI56" s="110"/>
      <c r="BJ56" s="93">
        <f t="shared" si="8"/>
        <v>750000</v>
      </c>
      <c r="BK56" s="51">
        <v>0.16955284669596898</v>
      </c>
      <c r="BL56" s="51">
        <v>0.16955284669596898</v>
      </c>
      <c r="BM56" s="51">
        <v>0.16955284669596898</v>
      </c>
      <c r="BN56" s="51">
        <v>0.16955284669596898</v>
      </c>
      <c r="BO56" s="51">
        <v>0.16955284669596898</v>
      </c>
      <c r="BP56" s="51">
        <v>0.16955284669596898</v>
      </c>
      <c r="BQ56" s="51">
        <v>0.16955284669596898</v>
      </c>
      <c r="BR56" s="51">
        <v>0.16955284669596898</v>
      </c>
      <c r="BS56" s="51">
        <v>0.16955284669596898</v>
      </c>
      <c r="BT56" s="51">
        <v>0.16955284669596898</v>
      </c>
      <c r="BU56" s="51">
        <v>0.16955284669596898</v>
      </c>
      <c r="BV56" s="51">
        <v>0.16955284669596898</v>
      </c>
      <c r="BW56" s="51">
        <v>0.16955284669596898</v>
      </c>
      <c r="BX56" s="150">
        <v>0.16955284669596898</v>
      </c>
      <c r="BY56" s="1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row>
    <row r="57">
      <c r="B57" s="151"/>
      <c r="C57" s="23"/>
      <c r="R57" s="10"/>
      <c r="U57" s="110"/>
      <c r="V57" s="93">
        <f t="shared" si="6"/>
        <v>900000</v>
      </c>
      <c r="W57" s="104">
        <v>0.15477986470766247</v>
      </c>
      <c r="X57" s="105">
        <v>0.17896421856823472</v>
      </c>
      <c r="Y57" s="105">
        <v>0.203148572428807</v>
      </c>
      <c r="Z57" s="105">
        <v>0.2273329262893793</v>
      </c>
      <c r="AA57" s="105">
        <v>0.25151728014995156</v>
      </c>
      <c r="AB57" s="105">
        <v>0.2757016340105238</v>
      </c>
      <c r="AC57" s="106">
        <v>0.29988598787109605</v>
      </c>
      <c r="AD57" s="51"/>
      <c r="AE57" s="110"/>
      <c r="AF57" s="93">
        <f t="shared" si="7"/>
        <v>900000</v>
      </c>
      <c r="AG57" s="111">
        <v>0.12682351839194997</v>
      </c>
      <c r="AH57" s="111">
        <v>0.13399450276318356</v>
      </c>
      <c r="AI57" s="111">
        <v>0.1410260174793</v>
      </c>
      <c r="AJ57" s="111">
        <v>0.14794536923066953</v>
      </c>
      <c r="AK57" s="112">
        <v>0.15477986470766247</v>
      </c>
      <c r="AL57" s="111">
        <v>0.15749601984027717</v>
      </c>
      <c r="AM57" s="111">
        <v>0.1602047146676346</v>
      </c>
      <c r="AN57" s="111">
        <v>0.1629076968179184</v>
      </c>
      <c r="AO57" s="111">
        <v>0.1656067139193123</v>
      </c>
      <c r="AP57" s="113">
        <v>0.16830351360000004</v>
      </c>
      <c r="BI57" s="110"/>
      <c r="BJ57" s="93">
        <f t="shared" si="8"/>
        <v>800000</v>
      </c>
      <c r="BK57" s="51">
        <v>0.1641688378888868</v>
      </c>
      <c r="BL57" s="51">
        <v>0.1641688378888868</v>
      </c>
      <c r="BM57" s="51">
        <v>0.1641688378888868</v>
      </c>
      <c r="BN57" s="51">
        <v>0.1641688378888868</v>
      </c>
      <c r="BO57" s="51">
        <v>0.1641688378888868</v>
      </c>
      <c r="BP57" s="51">
        <v>0.1641688378888868</v>
      </c>
      <c r="BQ57" s="51">
        <v>0.1641688378888868</v>
      </c>
      <c r="BR57" s="51">
        <v>0.1641688378888868</v>
      </c>
      <c r="BS57" s="51">
        <v>0.1641688378888868</v>
      </c>
      <c r="BT57" s="51">
        <v>0.1641688378888868</v>
      </c>
      <c r="BU57" s="51">
        <v>0.1641688378888868</v>
      </c>
      <c r="BV57" s="51">
        <v>0.1641688378888868</v>
      </c>
      <c r="BW57" s="51">
        <v>0.1641688378888868</v>
      </c>
      <c r="BX57" s="150">
        <v>0.1641688378888868</v>
      </c>
      <c r="BY57" s="1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row>
    <row r="58">
      <c r="B58" s="152"/>
      <c r="C58" s="23"/>
      <c r="R58" s="10"/>
      <c r="U58" s="154"/>
      <c r="V58" s="93">
        <f t="shared" si="6"/>
        <v>950000</v>
      </c>
      <c r="W58" s="104">
        <v>0.15065165769182498</v>
      </c>
      <c r="X58" s="105">
        <v>0.17419097920617266</v>
      </c>
      <c r="Y58" s="105">
        <v>0.19773030072052028</v>
      </c>
      <c r="Z58" s="105">
        <v>0.22126962223486799</v>
      </c>
      <c r="AA58" s="105">
        <v>0.2448089437492156</v>
      </c>
      <c r="AB58" s="105">
        <v>0.2683482652635633</v>
      </c>
      <c r="AC58" s="106">
        <v>0.2918875867779109</v>
      </c>
      <c r="AD58" s="51"/>
      <c r="AE58" s="154"/>
      <c r="AF58" s="93">
        <f t="shared" si="7"/>
        <v>950000</v>
      </c>
      <c r="AG58" s="107">
        <v>0.12344094831807313</v>
      </c>
      <c r="AH58" s="107">
        <v>0.13042067197172114</v>
      </c>
      <c r="AI58" s="107">
        <v>0.1372646458314228</v>
      </c>
      <c r="AJ58" s="107">
        <v>0.14399944827788758</v>
      </c>
      <c r="AK58" s="108">
        <v>0.15065165769182498</v>
      </c>
      <c r="AL58" s="107">
        <v>0.1532953689655712</v>
      </c>
      <c r="AM58" s="107">
        <v>0.15593181891139196</v>
      </c>
      <c r="AN58" s="107">
        <v>0.15856270854565274</v>
      </c>
      <c r="AO58" s="107">
        <v>0.1611897388847188</v>
      </c>
      <c r="AP58" s="109">
        <v>0.16381461094495567</v>
      </c>
      <c r="BI58" s="110"/>
      <c r="BJ58" s="93">
        <f t="shared" si="8"/>
        <v>850000</v>
      </c>
      <c r="BK58" s="51">
        <v>0.15926716683547834</v>
      </c>
      <c r="BL58" s="51">
        <v>0.15926716683547834</v>
      </c>
      <c r="BM58" s="51">
        <v>0.15926716683547834</v>
      </c>
      <c r="BN58" s="51">
        <v>0.15926716683547834</v>
      </c>
      <c r="BO58" s="51">
        <v>0.15926716683547834</v>
      </c>
      <c r="BP58" s="51">
        <v>0.15926716683547834</v>
      </c>
      <c r="BQ58" s="51">
        <v>0.15926716683547834</v>
      </c>
      <c r="BR58" s="51">
        <v>0.15926716683547834</v>
      </c>
      <c r="BS58" s="51">
        <v>0.15926716683547834</v>
      </c>
      <c r="BT58" s="51">
        <v>0.15926716683547834</v>
      </c>
      <c r="BU58" s="51">
        <v>0.15926716683547837</v>
      </c>
      <c r="BV58" s="51">
        <v>0.15926716683547834</v>
      </c>
      <c r="BW58" s="51">
        <v>0.15926716683547834</v>
      </c>
      <c r="BX58" s="150">
        <v>0.15926716683547834</v>
      </c>
      <c r="BY58" s="1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row>
    <row r="59">
      <c r="B59" s="152"/>
      <c r="C59" s="23"/>
      <c r="R59" s="10"/>
      <c r="U59" s="155"/>
      <c r="V59" s="156">
        <f t="shared" si="6"/>
        <v>1000000</v>
      </c>
      <c r="W59" s="157">
        <v>0.14683707252267758</v>
      </c>
      <c r="X59" s="158">
        <v>0.16978036510434594</v>
      </c>
      <c r="Y59" s="158">
        <v>0.1927236576860143</v>
      </c>
      <c r="Z59" s="158">
        <v>0.21566695026768273</v>
      </c>
      <c r="AA59" s="158">
        <v>0.23861024284935098</v>
      </c>
      <c r="AB59" s="158">
        <v>0.2615535354310194</v>
      </c>
      <c r="AC59" s="159">
        <v>0.2844968280126878</v>
      </c>
      <c r="AD59" s="51"/>
      <c r="AE59" s="155"/>
      <c r="AF59" s="156">
        <f t="shared" si="7"/>
        <v>1000000</v>
      </c>
      <c r="AG59" s="160">
        <v>0.1203153536984451</v>
      </c>
      <c r="AH59" s="160">
        <v>0.12711834680201567</v>
      </c>
      <c r="AI59" s="160">
        <v>0.1337890273731917</v>
      </c>
      <c r="AJ59" s="160">
        <v>0.14035330081305256</v>
      </c>
      <c r="AK59" s="161">
        <v>0.14683707252267758</v>
      </c>
      <c r="AL59" s="160">
        <v>0.14941384353190332</v>
      </c>
      <c r="AM59" s="160">
        <v>0.15198353707413312</v>
      </c>
      <c r="AN59" s="160">
        <v>0.15454781109503604</v>
      </c>
      <c r="AO59" s="160">
        <v>0.15710832354028112</v>
      </c>
      <c r="AP59" s="162">
        <v>0.1596667323555375</v>
      </c>
      <c r="BI59" s="110"/>
      <c r="BJ59" s="93">
        <f t="shared" si="8"/>
        <v>900000</v>
      </c>
      <c r="BK59" s="144">
        <v>0.15477986470766247</v>
      </c>
      <c r="BL59" s="144">
        <v>0.15477986470766247</v>
      </c>
      <c r="BM59" s="144">
        <v>0.15477986470766247</v>
      </c>
      <c r="BN59" s="144">
        <v>0.15477986470766247</v>
      </c>
      <c r="BO59" s="144">
        <v>0.15477986470766247</v>
      </c>
      <c r="BP59" s="144">
        <v>0.15477986470766247</v>
      </c>
      <c r="BQ59" s="144">
        <v>0.15477986470766247</v>
      </c>
      <c r="BR59" s="144">
        <v>0.15477986470766247</v>
      </c>
      <c r="BS59" s="144">
        <v>0.15477986470766247</v>
      </c>
      <c r="BT59" s="144">
        <v>0.15477986470766247</v>
      </c>
      <c r="BU59" s="144">
        <v>0.15477986470766247</v>
      </c>
      <c r="BV59" s="144">
        <v>0.15477986470766247</v>
      </c>
      <c r="BW59" s="144">
        <v>0.15477986470766247</v>
      </c>
      <c r="BX59" s="145">
        <v>0.15477986470766247</v>
      </c>
      <c r="BY59" s="11"/>
      <c r="CE59" s="144"/>
      <c r="CF59" s="144"/>
      <c r="CG59" s="144"/>
      <c r="CH59" s="144"/>
      <c r="CI59" s="144"/>
      <c r="CJ59" s="144"/>
      <c r="CK59" s="144"/>
      <c r="CL59" s="144"/>
      <c r="CM59" s="144"/>
      <c r="CN59" s="144"/>
      <c r="CO59" s="144"/>
      <c r="CP59" s="144"/>
      <c r="CQ59" s="144"/>
      <c r="CR59" s="144"/>
      <c r="CS59" s="144"/>
      <c r="CT59" s="144"/>
      <c r="CU59" s="144"/>
      <c r="CV59" s="144"/>
      <c r="CW59" s="144"/>
      <c r="CX59" s="144"/>
      <c r="CY59" s="144"/>
      <c r="CZ59" s="144"/>
      <c r="DA59" s="144"/>
      <c r="DB59" s="144"/>
      <c r="DC59" s="144"/>
      <c r="DD59" s="144"/>
      <c r="DE59" s="144"/>
      <c r="DF59" s="144"/>
      <c r="DG59" s="144"/>
      <c r="DH59" s="144"/>
    </row>
    <row r="60">
      <c r="B60" s="152"/>
      <c r="C60" s="23"/>
      <c r="R60" s="10"/>
      <c r="BI60" s="163"/>
      <c r="BJ60" s="93">
        <f t="shared" si="8"/>
        <v>950000</v>
      </c>
      <c r="BK60" s="51">
        <v>0.15065165769182498</v>
      </c>
      <c r="BL60" s="51">
        <v>0.15065165769182498</v>
      </c>
      <c r="BM60" s="51">
        <v>0.15065165769182498</v>
      </c>
      <c r="BN60" s="51">
        <v>0.15065165769182498</v>
      </c>
      <c r="BO60" s="51">
        <v>0.15065165769182498</v>
      </c>
      <c r="BP60" s="51">
        <v>0.15065165769182498</v>
      </c>
      <c r="BQ60" s="51">
        <v>0.15065165769182498</v>
      </c>
      <c r="BR60" s="51">
        <v>0.15065165769182498</v>
      </c>
      <c r="BS60" s="51">
        <v>0.15065165769182498</v>
      </c>
      <c r="BT60" s="51">
        <v>0.15065165769182498</v>
      </c>
      <c r="BU60" s="51">
        <v>0.15065165769182498</v>
      </c>
      <c r="BV60" s="51">
        <v>0.15065165769182498</v>
      </c>
      <c r="BW60" s="51">
        <v>0.15065165769182498</v>
      </c>
      <c r="BX60" s="150">
        <v>0.15065165769182498</v>
      </c>
      <c r="BY60" s="1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row>
    <row r="61">
      <c r="B61" s="152"/>
      <c r="C61" s="23"/>
      <c r="R61" s="10"/>
      <c r="BI61" s="164"/>
      <c r="BJ61" s="165">
        <f t="shared" si="8"/>
        <v>1000000</v>
      </c>
      <c r="BK61" s="166">
        <v>0.14683707252267758</v>
      </c>
      <c r="BL61" s="166">
        <v>0.14683707252267758</v>
      </c>
      <c r="BM61" s="166">
        <v>0.14683707252267758</v>
      </c>
      <c r="BN61" s="166">
        <v>0.14683707252267758</v>
      </c>
      <c r="BO61" s="166">
        <v>0.14683707252267758</v>
      </c>
      <c r="BP61" s="166">
        <v>0.14683707252267758</v>
      </c>
      <c r="BQ61" s="166">
        <v>0.14683707252267758</v>
      </c>
      <c r="BR61" s="166">
        <v>0.14683707252267758</v>
      </c>
      <c r="BS61" s="166">
        <v>0.14683707252267758</v>
      </c>
      <c r="BT61" s="166">
        <v>0.14683707252267758</v>
      </c>
      <c r="BU61" s="166">
        <v>0.14683707252267758</v>
      </c>
      <c r="BV61" s="166">
        <v>0.14683707252267758</v>
      </c>
      <c r="BW61" s="166">
        <v>0.14683707252267758</v>
      </c>
      <c r="BX61" s="167">
        <v>0.14683707252267758</v>
      </c>
      <c r="BY61" s="11"/>
      <c r="CE61" s="144"/>
      <c r="CF61" s="144"/>
      <c r="CG61" s="144"/>
      <c r="CH61" s="144"/>
      <c r="CI61" s="144"/>
      <c r="CJ61" s="144"/>
      <c r="CK61" s="144"/>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row>
    <row r="62">
      <c r="B62" s="23"/>
      <c r="C62" s="23"/>
      <c r="R62" s="10"/>
      <c r="BY62" s="11"/>
    </row>
    <row r="63">
      <c r="B63" s="23"/>
      <c r="C63" s="23"/>
      <c r="R63" s="168"/>
      <c r="S63" s="169"/>
      <c r="T63" s="169"/>
      <c r="U63" s="169"/>
      <c r="V63" s="169"/>
      <c r="W63" s="169"/>
      <c r="X63" s="169"/>
      <c r="Y63" s="169"/>
      <c r="Z63" s="169"/>
      <c r="AA63" s="169"/>
      <c r="AB63" s="169"/>
      <c r="AC63" s="169"/>
      <c r="AD63" s="169"/>
      <c r="AE63" s="169"/>
      <c r="AF63" s="169"/>
      <c r="AG63" s="169"/>
      <c r="AH63" s="169"/>
      <c r="AI63" s="169"/>
      <c r="AJ63" s="169"/>
      <c r="AK63" s="169"/>
      <c r="AL63" s="169"/>
      <c r="AM63" s="169"/>
      <c r="AN63" s="169"/>
      <c r="AO63" s="169"/>
      <c r="AP63" s="169"/>
      <c r="AQ63" s="169"/>
      <c r="AR63" s="169"/>
      <c r="AS63" s="169"/>
      <c r="AT63" s="169"/>
      <c r="AU63" s="169"/>
      <c r="AV63" s="169"/>
      <c r="AW63" s="169"/>
      <c r="AX63" s="169"/>
      <c r="AY63" s="169"/>
      <c r="AZ63" s="169"/>
      <c r="BA63" s="169"/>
      <c r="BB63" s="169"/>
      <c r="BC63" s="169"/>
      <c r="BD63" s="169"/>
      <c r="BE63" s="169"/>
      <c r="BF63" s="169"/>
      <c r="BG63" s="169"/>
      <c r="BH63" s="169"/>
      <c r="BI63" s="169"/>
      <c r="BJ63" s="169"/>
      <c r="BK63" s="169"/>
      <c r="BL63" s="169"/>
      <c r="BM63" s="169"/>
      <c r="BN63" s="169"/>
      <c r="BO63" s="169"/>
      <c r="BP63" s="169"/>
      <c r="BQ63" s="169"/>
      <c r="BR63" s="169"/>
      <c r="BS63" s="169"/>
      <c r="BT63" s="169"/>
      <c r="BU63" s="169"/>
      <c r="BV63" s="169"/>
      <c r="BW63" s="169"/>
      <c r="BX63" s="169"/>
      <c r="BY63" s="170"/>
    </row>
    <row r="64">
      <c r="B64" s="23"/>
      <c r="C64" s="23"/>
    </row>
    <row r="65">
      <c r="B65" s="23"/>
      <c r="C65" s="23"/>
    </row>
    <row r="66">
      <c r="B66" s="23"/>
      <c r="C66" s="23"/>
    </row>
    <row r="67">
      <c r="B67" s="151"/>
      <c r="C67" s="23"/>
      <c r="R67" s="5" t="s">
        <v>83</v>
      </c>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7"/>
    </row>
    <row r="68">
      <c r="B68" s="152"/>
      <c r="C68" s="153"/>
      <c r="R68" s="10"/>
      <c r="BY68" s="11"/>
    </row>
    <row r="69">
      <c r="B69" s="152"/>
      <c r="C69" s="153"/>
      <c r="R69" s="10"/>
      <c r="BY69" s="11"/>
    </row>
    <row r="70">
      <c r="B70" s="152"/>
      <c r="C70" s="153"/>
      <c r="R70" s="10"/>
      <c r="BY70" s="11"/>
    </row>
    <row r="71">
      <c r="B71" s="152"/>
      <c r="C71" s="153"/>
      <c r="R71" s="10"/>
      <c r="BY71" s="11"/>
    </row>
    <row r="72">
      <c r="B72" s="152"/>
      <c r="C72" s="153"/>
      <c r="R72" s="10"/>
      <c r="BY72" s="11"/>
    </row>
    <row r="73">
      <c r="B73" s="152"/>
      <c r="C73" s="153"/>
      <c r="R73" s="10"/>
      <c r="BY73" s="11"/>
    </row>
    <row r="74">
      <c r="B74" s="152"/>
      <c r="C74" s="153"/>
      <c r="R74" s="10"/>
      <c r="BM74" s="171"/>
      <c r="BY74" s="11"/>
    </row>
    <row r="75">
      <c r="B75" s="152"/>
      <c r="C75" s="153"/>
      <c r="R75" s="10"/>
      <c r="BM75" s="172"/>
      <c r="BY75" s="11"/>
    </row>
    <row r="76">
      <c r="B76" s="152"/>
      <c r="C76" s="153"/>
      <c r="R76" s="10"/>
      <c r="BM76" s="173"/>
      <c r="BY76" s="11"/>
    </row>
    <row r="77">
      <c r="B77" s="152"/>
      <c r="C77" s="153"/>
      <c r="R77" s="10"/>
      <c r="BM77" s="174"/>
      <c r="BY77" s="11"/>
    </row>
    <row r="78">
      <c r="B78" s="152"/>
      <c r="C78" s="153"/>
      <c r="R78" s="10"/>
      <c r="BM78" s="175"/>
      <c r="BY78" s="11"/>
    </row>
    <row r="79">
      <c r="B79" s="152"/>
      <c r="C79" s="153"/>
      <c r="R79" s="10"/>
      <c r="BM79" s="175"/>
      <c r="BY79" s="11"/>
    </row>
    <row r="80">
      <c r="B80" s="152"/>
      <c r="C80" s="153"/>
      <c r="R80" s="10"/>
      <c r="AW80" s="176"/>
      <c r="AX80" s="177"/>
      <c r="AY80" s="51"/>
      <c r="AZ80" s="51"/>
      <c r="BA80" s="51"/>
      <c r="BB80" s="51"/>
      <c r="BC80" s="51"/>
      <c r="BD80" s="51"/>
      <c r="BE80" s="51"/>
      <c r="BF80" s="51"/>
      <c r="BG80" s="51"/>
      <c r="BH80" s="51"/>
      <c r="BI80" s="51"/>
      <c r="BJ80" s="51"/>
      <c r="BK80" s="51"/>
      <c r="BL80" s="51"/>
      <c r="BM80" s="175"/>
      <c r="BY80" s="11"/>
    </row>
    <row r="81">
      <c r="B81" s="152"/>
      <c r="C81" s="153"/>
      <c r="R81" s="10"/>
      <c r="AW81" s="176"/>
      <c r="AX81" s="177"/>
      <c r="AY81" s="51"/>
      <c r="AZ81" s="51"/>
      <c r="BA81" s="51"/>
      <c r="BB81" s="51"/>
      <c r="BC81" s="51"/>
      <c r="BD81" s="51"/>
      <c r="BE81" s="51"/>
      <c r="BF81" s="51"/>
      <c r="BG81" s="51"/>
      <c r="BH81" s="51"/>
      <c r="BI81" s="51"/>
      <c r="BJ81" s="51"/>
      <c r="BK81" s="51"/>
      <c r="BL81" s="51"/>
      <c r="BM81" s="175"/>
      <c r="BY81" s="11"/>
    </row>
    <row r="82">
      <c r="B82" s="152"/>
      <c r="C82" s="153"/>
      <c r="R82" s="10"/>
      <c r="AW82" s="176"/>
      <c r="AX82" s="177"/>
      <c r="AY82" s="51"/>
      <c r="AZ82" s="51"/>
      <c r="BA82" s="51"/>
      <c r="BB82" s="51"/>
      <c r="BC82" s="51"/>
      <c r="BD82" s="51"/>
      <c r="BE82" s="51"/>
      <c r="BF82" s="51"/>
      <c r="BG82" s="51"/>
      <c r="BH82" s="51"/>
      <c r="BI82" s="51"/>
      <c r="BJ82" s="51"/>
      <c r="BK82" s="51"/>
      <c r="BL82" s="51"/>
      <c r="BM82" s="175"/>
      <c r="BY82" s="11"/>
    </row>
    <row r="83">
      <c r="B83" s="152"/>
      <c r="C83" s="153"/>
      <c r="R83" s="10"/>
      <c r="AW83" s="176"/>
      <c r="AX83" s="177"/>
      <c r="AY83" s="51"/>
      <c r="AZ83" s="51"/>
      <c r="BA83" s="51"/>
      <c r="BB83" s="51"/>
      <c r="BC83" s="51"/>
      <c r="BD83" s="51"/>
      <c r="BE83" s="51"/>
      <c r="BF83" s="51"/>
      <c r="BG83" s="51"/>
      <c r="BH83" s="51"/>
      <c r="BI83" s="51"/>
      <c r="BJ83" s="51"/>
      <c r="BK83" s="51"/>
      <c r="BL83" s="51"/>
      <c r="BM83" s="175"/>
      <c r="BY83" s="11"/>
    </row>
    <row r="84">
      <c r="B84" s="152"/>
      <c r="C84" s="153"/>
      <c r="R84" s="10"/>
      <c r="AW84" s="176"/>
      <c r="AX84" s="177"/>
      <c r="AY84" s="51"/>
      <c r="AZ84" s="51"/>
      <c r="BA84" s="51"/>
      <c r="BB84" s="51"/>
      <c r="BC84" s="51"/>
      <c r="BD84" s="51"/>
      <c r="BE84" s="51"/>
      <c r="BF84" s="51"/>
      <c r="BG84" s="51"/>
      <c r="BH84" s="51"/>
      <c r="BI84" s="51"/>
      <c r="BJ84" s="51"/>
      <c r="BK84" s="51"/>
      <c r="BL84" s="51"/>
      <c r="BM84" s="175"/>
      <c r="BY84" s="11"/>
    </row>
    <row r="85">
      <c r="B85" s="152"/>
      <c r="C85" s="153"/>
      <c r="R85" s="10"/>
      <c r="AW85" s="176"/>
      <c r="AX85" s="177"/>
      <c r="AY85" s="51"/>
      <c r="AZ85" s="51"/>
      <c r="BA85" s="51"/>
      <c r="BB85" s="51"/>
      <c r="BC85" s="51"/>
      <c r="BD85" s="51"/>
      <c r="BE85" s="51"/>
      <c r="BF85" s="51"/>
      <c r="BG85" s="51"/>
      <c r="BH85" s="51"/>
      <c r="BI85" s="51"/>
      <c r="BJ85" s="51"/>
      <c r="BK85" s="51"/>
      <c r="BL85" s="51"/>
      <c r="BM85" s="175"/>
      <c r="BN85" s="178"/>
      <c r="BO85" s="178"/>
      <c r="BY85" s="11"/>
    </row>
    <row r="86">
      <c r="B86" s="152"/>
      <c r="C86" s="153"/>
      <c r="R86" s="10"/>
      <c r="AW86" s="176"/>
      <c r="AX86" s="177"/>
      <c r="AY86" s="144"/>
      <c r="AZ86" s="144"/>
      <c r="BA86" s="144"/>
      <c r="BB86" s="144"/>
      <c r="BC86" s="144"/>
      <c r="BD86" s="144"/>
      <c r="BE86" s="144"/>
      <c r="BF86" s="144"/>
      <c r="BG86" s="144"/>
      <c r="BH86" s="144"/>
      <c r="BI86" s="144"/>
      <c r="BJ86" s="144"/>
      <c r="BK86" s="144"/>
      <c r="BL86" s="144"/>
      <c r="BM86" s="175"/>
      <c r="BN86" s="178"/>
      <c r="BO86" s="178"/>
      <c r="BY86" s="11"/>
    </row>
    <row r="87">
      <c r="B87" s="152"/>
      <c r="C87" s="153"/>
      <c r="R87" s="10"/>
      <c r="AW87" s="178"/>
      <c r="AX87" s="177"/>
      <c r="AY87" s="51"/>
      <c r="AZ87" s="51"/>
      <c r="BA87" s="51"/>
      <c r="BB87" s="51"/>
      <c r="BC87" s="51"/>
      <c r="BD87" s="51"/>
      <c r="BE87" s="51"/>
      <c r="BF87" s="51"/>
      <c r="BG87" s="51"/>
      <c r="BH87" s="51"/>
      <c r="BI87" s="51"/>
      <c r="BJ87" s="51"/>
      <c r="BK87" s="51"/>
      <c r="BL87" s="51"/>
      <c r="BM87" s="175"/>
      <c r="BY87" s="11"/>
    </row>
    <row r="88">
      <c r="B88" s="152"/>
      <c r="C88" s="153"/>
      <c r="R88" s="10"/>
      <c r="AW88" s="178"/>
      <c r="AX88" s="177"/>
      <c r="AY88" s="144"/>
      <c r="AZ88" s="144"/>
      <c r="BA88" s="144"/>
      <c r="BB88" s="144"/>
      <c r="BC88" s="144"/>
      <c r="BD88" s="144"/>
      <c r="BE88" s="144"/>
      <c r="BF88" s="144"/>
      <c r="BG88" s="144"/>
      <c r="BH88" s="144"/>
      <c r="BI88" s="144"/>
      <c r="BJ88" s="144"/>
      <c r="BK88" s="144"/>
      <c r="BL88" s="144"/>
      <c r="BM88" s="175"/>
      <c r="BY88" s="11"/>
    </row>
    <row r="89">
      <c r="B89" s="152"/>
      <c r="C89" s="153"/>
      <c r="R89" s="10"/>
      <c r="BM89" s="175"/>
      <c r="BY89" s="11"/>
    </row>
    <row r="90">
      <c r="B90" s="152"/>
      <c r="C90" s="153"/>
      <c r="R90" s="10"/>
      <c r="BM90" s="175"/>
      <c r="BY90" s="11"/>
    </row>
    <row r="91">
      <c r="R91" s="10"/>
      <c r="BM91" s="175"/>
      <c r="BN91" s="23"/>
      <c r="BO91" s="23"/>
      <c r="BY91" s="11"/>
    </row>
    <row r="92" ht="24.0" customHeight="1">
      <c r="R92" s="10"/>
      <c r="BM92" s="175"/>
      <c r="BN92" s="23"/>
      <c r="BO92" s="23"/>
      <c r="BY92" s="11"/>
    </row>
    <row r="93">
      <c r="R93" s="10"/>
      <c r="BM93" s="175"/>
      <c r="BN93" s="23"/>
      <c r="BO93" s="23"/>
      <c r="BT93" s="179"/>
      <c r="BU93" s="179"/>
      <c r="BV93" s="179"/>
      <c r="BW93" s="179"/>
      <c r="BX93" s="179"/>
      <c r="BY93" s="180"/>
      <c r="BZ93" s="179"/>
      <c r="CA93" s="179"/>
      <c r="CB93" s="179"/>
      <c r="CC93" s="179"/>
      <c r="CD93" s="179"/>
      <c r="CE93" s="179"/>
      <c r="CF93" s="179"/>
      <c r="CG93" s="179"/>
      <c r="CH93" s="179"/>
      <c r="CI93" s="179"/>
      <c r="CJ93" s="179"/>
      <c r="CK93" s="179"/>
      <c r="CL93" s="179"/>
      <c r="CM93" s="179"/>
      <c r="CN93" s="179"/>
      <c r="CO93" s="179"/>
      <c r="CP93" s="179"/>
      <c r="CQ93" s="179"/>
      <c r="CR93" s="179"/>
      <c r="CS93" s="179"/>
      <c r="CT93" s="179"/>
      <c r="CU93" s="179"/>
      <c r="CV93" s="179"/>
      <c r="CW93" s="179"/>
      <c r="CX93" s="179"/>
      <c r="CY93" s="179"/>
      <c r="CZ93" s="179"/>
      <c r="DA93" s="179"/>
      <c r="DB93" s="179"/>
      <c r="DC93" s="179"/>
      <c r="DD93" s="179"/>
      <c r="DE93" s="179"/>
      <c r="DF93" s="179"/>
      <c r="DG93" s="179"/>
      <c r="DH93" s="179"/>
    </row>
    <row r="94">
      <c r="R94" s="10"/>
      <c r="BM94" s="175"/>
      <c r="BN94" s="23"/>
      <c r="BO94" s="23"/>
      <c r="BY94" s="11"/>
    </row>
    <row r="95">
      <c r="R95" s="10"/>
      <c r="BN95" s="23"/>
      <c r="BO95" s="23"/>
      <c r="BY95" s="11"/>
    </row>
    <row r="96">
      <c r="R96" s="10"/>
      <c r="BN96" s="23"/>
      <c r="BO96" s="23"/>
      <c r="BY96" s="11"/>
    </row>
    <row r="97">
      <c r="R97" s="10"/>
      <c r="BN97" s="181"/>
      <c r="BO97" s="23"/>
      <c r="BY97" s="11"/>
    </row>
    <row r="98">
      <c r="R98" s="10"/>
      <c r="U98" s="70" t="s">
        <v>84</v>
      </c>
      <c r="V98" s="71"/>
      <c r="W98" s="71"/>
      <c r="X98" s="71"/>
      <c r="Y98" s="71"/>
      <c r="Z98" s="71"/>
      <c r="AA98" s="71"/>
      <c r="AB98" s="71"/>
      <c r="AC98" s="18"/>
      <c r="AE98" s="70" t="s">
        <v>84</v>
      </c>
      <c r="AF98" s="71"/>
      <c r="AG98" s="71"/>
      <c r="AH98" s="71"/>
      <c r="AI98" s="71"/>
      <c r="AJ98" s="71"/>
      <c r="AK98" s="71"/>
      <c r="AL98" s="71"/>
      <c r="AM98" s="71"/>
      <c r="AN98" s="71"/>
      <c r="AO98" s="71"/>
      <c r="AP98" s="18"/>
      <c r="AR98" s="70" t="s">
        <v>84</v>
      </c>
      <c r="AS98" s="71"/>
      <c r="AT98" s="71"/>
      <c r="AU98" s="71"/>
      <c r="AV98" s="71"/>
      <c r="AW98" s="71"/>
      <c r="AX98" s="71"/>
      <c r="AY98" s="71"/>
      <c r="AZ98" s="71"/>
      <c r="BA98" s="71"/>
      <c r="BB98" s="71"/>
      <c r="BC98" s="71"/>
      <c r="BD98" s="71"/>
      <c r="BE98" s="71"/>
      <c r="BF98" s="71"/>
      <c r="BG98" s="18"/>
      <c r="BI98" s="70" t="s">
        <v>84</v>
      </c>
      <c r="BJ98" s="71"/>
      <c r="BK98" s="71"/>
      <c r="BL98" s="71"/>
      <c r="BM98" s="71"/>
      <c r="BN98" s="71"/>
      <c r="BO98" s="71"/>
      <c r="BP98" s="71"/>
      <c r="BQ98" s="71"/>
      <c r="BR98" s="71"/>
      <c r="BS98" s="71"/>
      <c r="BT98" s="71"/>
      <c r="BU98" s="71"/>
      <c r="BV98" s="71"/>
      <c r="BW98" s="71"/>
      <c r="BX98" s="18"/>
      <c r="BY98" s="11"/>
    </row>
    <row r="99">
      <c r="R99" s="10"/>
      <c r="U99" s="77" t="s">
        <v>57</v>
      </c>
      <c r="AC99" s="78"/>
      <c r="AE99" s="85" t="s">
        <v>58</v>
      </c>
      <c r="AF99" s="182"/>
      <c r="AG99" s="182"/>
      <c r="AH99" s="182"/>
      <c r="AI99" s="183" t="s">
        <v>59</v>
      </c>
      <c r="AJ99" s="183"/>
      <c r="AK99" s="183"/>
      <c r="AL99" s="183"/>
      <c r="AM99" s="183"/>
      <c r="AN99" s="183"/>
      <c r="AO99" s="183"/>
      <c r="AP99" s="184"/>
      <c r="AR99" s="85" t="s">
        <v>58</v>
      </c>
      <c r="AS99" s="86"/>
      <c r="AT99" s="86" t="s">
        <v>44</v>
      </c>
      <c r="BG99" s="78"/>
      <c r="BI99" s="85" t="s">
        <v>58</v>
      </c>
      <c r="BJ99" s="86"/>
      <c r="BK99" s="86" t="s">
        <v>44</v>
      </c>
      <c r="BX99" s="78"/>
      <c r="BY99" s="11"/>
    </row>
    <row r="100">
      <c r="R100" s="10"/>
      <c r="U100" s="90"/>
      <c r="V100" s="91">
        <f>$F$48</f>
        <v>0.1731264395</v>
      </c>
      <c r="W100" s="92">
        <v>64.0</v>
      </c>
      <c r="X100" s="93">
        <f t="shared" ref="X100:AC100" si="9">W100+10</f>
        <v>74</v>
      </c>
      <c r="Y100" s="93">
        <f t="shared" si="9"/>
        <v>84</v>
      </c>
      <c r="Z100" s="93">
        <f t="shared" si="9"/>
        <v>94</v>
      </c>
      <c r="AA100" s="93">
        <f t="shared" si="9"/>
        <v>104</v>
      </c>
      <c r="AB100" s="93">
        <f t="shared" si="9"/>
        <v>114</v>
      </c>
      <c r="AC100" s="94">
        <f t="shared" si="9"/>
        <v>124</v>
      </c>
      <c r="AE100" s="90"/>
      <c r="AF100" s="96">
        <f>$F$48</f>
        <v>0.1731264395</v>
      </c>
      <c r="AG100" s="97">
        <f t="shared" ref="AG100:AI100" si="10">AH100-0.05</f>
        <v>0.7</v>
      </c>
      <c r="AH100" s="97">
        <f t="shared" si="10"/>
        <v>0.75</v>
      </c>
      <c r="AI100" s="97">
        <f t="shared" si="10"/>
        <v>0.8</v>
      </c>
      <c r="AJ100" s="97">
        <v>0.85</v>
      </c>
      <c r="AK100" s="98">
        <v>0.9</v>
      </c>
      <c r="AL100" s="97">
        <f t="shared" ref="AL100:AP100" si="11">AK100+0.02</f>
        <v>0.92</v>
      </c>
      <c r="AM100" s="97">
        <f t="shared" si="11"/>
        <v>0.94</v>
      </c>
      <c r="AN100" s="97">
        <f t="shared" si="11"/>
        <v>0.96</v>
      </c>
      <c r="AO100" s="97">
        <f t="shared" si="11"/>
        <v>0.98</v>
      </c>
      <c r="AP100" s="99">
        <f t="shared" si="11"/>
        <v>1</v>
      </c>
      <c r="AR100" s="85" t="s">
        <v>63</v>
      </c>
      <c r="AS100" s="86"/>
      <c r="AT100" s="86"/>
      <c r="AU100" s="86"/>
      <c r="AV100" s="86"/>
      <c r="AW100" s="86"/>
      <c r="AX100" s="86"/>
      <c r="AY100" s="86"/>
      <c r="AZ100" s="86"/>
      <c r="BA100" s="86"/>
      <c r="BB100" s="86"/>
      <c r="BC100" s="86"/>
      <c r="BD100" s="86"/>
      <c r="BE100" s="86"/>
      <c r="BF100" s="86"/>
      <c r="BG100" s="100"/>
      <c r="BI100" s="85" t="s">
        <v>63</v>
      </c>
      <c r="BJ100" s="86"/>
      <c r="BK100" s="86"/>
      <c r="BL100" s="86"/>
      <c r="BM100" s="86"/>
      <c r="BN100" s="86"/>
      <c r="BO100" s="86"/>
      <c r="BP100" s="86"/>
      <c r="BQ100" s="86"/>
      <c r="BR100" s="86"/>
      <c r="BS100" s="86"/>
      <c r="BT100" s="86"/>
      <c r="BU100" s="86"/>
      <c r="BV100" s="86"/>
      <c r="BW100" s="86"/>
      <c r="BX100" s="100"/>
      <c r="BY100" s="11"/>
    </row>
    <row r="101">
      <c r="R101" s="10"/>
      <c r="U101" s="102" t="s">
        <v>66</v>
      </c>
      <c r="V101" s="103">
        <v>100000.0</v>
      </c>
      <c r="W101" s="104">
        <v>0.43089475859667176</v>
      </c>
      <c r="X101" s="105">
        <v>0.5034478201783884</v>
      </c>
      <c r="Y101" s="105">
        <v>0.5760008817601052</v>
      </c>
      <c r="Z101" s="105">
        <v>0.648553943341822</v>
      </c>
      <c r="AA101" s="105">
        <v>0.7211070049235387</v>
      </c>
      <c r="AB101" s="105">
        <v>0.7936600665052554</v>
      </c>
      <c r="AC101" s="106">
        <v>0.8662131280869723</v>
      </c>
      <c r="AE101" s="102" t="s">
        <v>66</v>
      </c>
      <c r="AF101" s="103">
        <v>100000.0</v>
      </c>
      <c r="AG101" s="185">
        <v>0.34702571964953416</v>
      </c>
      <c r="AH101" s="185">
        <v>0.368538672763235</v>
      </c>
      <c r="AI101" s="185">
        <v>0.38963321691158415</v>
      </c>
      <c r="AJ101" s="185">
        <v>0.41039127216569277</v>
      </c>
      <c r="AK101" s="186">
        <v>0.43089475859667176</v>
      </c>
      <c r="AL101" s="185">
        <v>0.4390432239945158</v>
      </c>
      <c r="AM101" s="185">
        <v>0.44716930847658803</v>
      </c>
      <c r="AN101" s="185">
        <v>0.45527825492743934</v>
      </c>
      <c r="AO101" s="185">
        <v>0.46337530623162104</v>
      </c>
      <c r="AP101" s="187">
        <v>0.4714657052736842</v>
      </c>
      <c r="AR101" s="85" t="s">
        <v>67</v>
      </c>
      <c r="AS101" s="86"/>
      <c r="AT101" s="86"/>
      <c r="AU101" s="86"/>
      <c r="AV101" s="86"/>
      <c r="AW101" s="86"/>
      <c r="AX101" s="86"/>
      <c r="AY101" s="86"/>
      <c r="AZ101" s="86"/>
      <c r="BA101" s="86"/>
      <c r="BB101" s="86"/>
      <c r="BC101" s="86"/>
      <c r="BD101" s="86"/>
      <c r="BE101" s="86"/>
      <c r="BF101" s="86"/>
      <c r="BG101" s="100"/>
      <c r="BI101" s="85" t="s">
        <v>68</v>
      </c>
      <c r="BJ101" s="86"/>
      <c r="BK101" s="86"/>
      <c r="BL101" s="86"/>
      <c r="BM101" s="86"/>
      <c r="BN101" s="86"/>
      <c r="BO101" s="86"/>
      <c r="BP101" s="86"/>
      <c r="BQ101" s="86"/>
      <c r="BR101" s="86"/>
      <c r="BS101" s="86"/>
      <c r="BT101" s="86"/>
      <c r="BU101" s="86"/>
      <c r="BV101" s="86"/>
      <c r="BW101" s="86"/>
      <c r="BX101" s="100"/>
      <c r="BY101" s="11"/>
    </row>
    <row r="102">
      <c r="R102" s="10"/>
      <c r="U102" s="110"/>
      <c r="V102" s="93">
        <f t="shared" ref="V102:V119" si="14">V101+50000</f>
        <v>150000</v>
      </c>
      <c r="W102" s="104">
        <v>0.3456868554644717</v>
      </c>
      <c r="X102" s="105">
        <v>0.404926182181782</v>
      </c>
      <c r="Y102" s="105">
        <v>0.4641655088990926</v>
      </c>
      <c r="Z102" s="105">
        <v>0.523404835616403</v>
      </c>
      <c r="AA102" s="105">
        <v>0.5826441623337136</v>
      </c>
      <c r="AB102" s="105">
        <v>0.6418834890510243</v>
      </c>
      <c r="AC102" s="106">
        <v>0.7011228157683346</v>
      </c>
      <c r="AE102" s="110"/>
      <c r="AF102" s="93">
        <f t="shared" ref="AF102:AF119" si="15">AF101+50000</f>
        <v>150000</v>
      </c>
      <c r="AG102" s="188">
        <v>0.27720807191843944</v>
      </c>
      <c r="AH102" s="188">
        <v>0.2947733245814346</v>
      </c>
      <c r="AI102" s="188">
        <v>0.3119969477547908</v>
      </c>
      <c r="AJ102" s="188">
        <v>0.3289458288964793</v>
      </c>
      <c r="AK102" s="189">
        <v>0.3456868554644717</v>
      </c>
      <c r="AL102" s="188">
        <v>0.3523400496016191</v>
      </c>
      <c r="AM102" s="188">
        <v>0.35897496979756094</v>
      </c>
      <c r="AN102" s="188">
        <v>0.36559589684960714</v>
      </c>
      <c r="AO102" s="188">
        <v>0.37220711155506786</v>
      </c>
      <c r="AP102" s="190">
        <v>0.3788128947112534</v>
      </c>
      <c r="AR102" s="90"/>
      <c r="AS102" s="91">
        <f>$F$48</f>
        <v>0.1731264395</v>
      </c>
      <c r="AT102" s="103">
        <v>1.0</v>
      </c>
      <c r="AU102" s="93">
        <f t="shared" ref="AU102:AX102" si="12">AT102+1</f>
        <v>2</v>
      </c>
      <c r="AV102" s="93">
        <f t="shared" si="12"/>
        <v>3</v>
      </c>
      <c r="AW102" s="93">
        <f t="shared" si="12"/>
        <v>4</v>
      </c>
      <c r="AX102" s="93">
        <f t="shared" si="12"/>
        <v>5</v>
      </c>
      <c r="AY102" s="103">
        <v>10.0</v>
      </c>
      <c r="AZ102" s="103">
        <v>15.0</v>
      </c>
      <c r="BA102" s="103">
        <v>20.0</v>
      </c>
      <c r="BB102" s="103">
        <v>25.0</v>
      </c>
      <c r="BC102" s="103">
        <v>30.0</v>
      </c>
      <c r="BD102" s="103">
        <v>35.0</v>
      </c>
      <c r="BE102" s="103">
        <v>40.0</v>
      </c>
      <c r="BF102" s="103">
        <v>45.0</v>
      </c>
      <c r="BG102" s="114">
        <v>50.0</v>
      </c>
      <c r="BI102" s="90"/>
      <c r="BJ102" s="91">
        <f>$F$48</f>
        <v>0.1731264395</v>
      </c>
      <c r="BK102" s="103">
        <v>1.0</v>
      </c>
      <c r="BL102" s="93">
        <f t="shared" ref="BL102:BO102" si="13">BK102+1</f>
        <v>2</v>
      </c>
      <c r="BM102" s="93">
        <f t="shared" si="13"/>
        <v>3</v>
      </c>
      <c r="BN102" s="93">
        <f t="shared" si="13"/>
        <v>4</v>
      </c>
      <c r="BO102" s="93">
        <f t="shared" si="13"/>
        <v>5</v>
      </c>
      <c r="BP102" s="103">
        <v>10.0</v>
      </c>
      <c r="BQ102" s="103">
        <v>15.0</v>
      </c>
      <c r="BR102" s="103">
        <v>20.0</v>
      </c>
      <c r="BS102" s="103">
        <v>25.0</v>
      </c>
      <c r="BT102" s="103">
        <v>30.0</v>
      </c>
      <c r="BU102" s="103">
        <v>35.0</v>
      </c>
      <c r="BV102" s="103">
        <v>40.0</v>
      </c>
      <c r="BW102" s="103">
        <v>45.0</v>
      </c>
      <c r="BX102" s="114">
        <v>50.0</v>
      </c>
      <c r="BY102" s="11"/>
    </row>
    <row r="103">
      <c r="F103" s="191"/>
      <c r="R103" s="10"/>
      <c r="U103" s="110"/>
      <c r="V103" s="93">
        <f t="shared" si="14"/>
        <v>200000</v>
      </c>
      <c r="W103" s="104">
        <v>0.29489284025145784</v>
      </c>
      <c r="X103" s="105">
        <v>0.34619560209173494</v>
      </c>
      <c r="Y103" s="105">
        <v>0.3974983639320121</v>
      </c>
      <c r="Z103" s="105">
        <v>0.44880112577228926</v>
      </c>
      <c r="AA103" s="105">
        <v>0.5001038876125664</v>
      </c>
      <c r="AB103" s="105">
        <v>0.5514066494528437</v>
      </c>
      <c r="AC103" s="106">
        <v>0.6027094112931205</v>
      </c>
      <c r="AE103" s="110"/>
      <c r="AF103" s="93">
        <f t="shared" si="15"/>
        <v>200000</v>
      </c>
      <c r="AG103" s="185">
        <v>0.23558847408033823</v>
      </c>
      <c r="AH103" s="185">
        <v>0.25080042911038425</v>
      </c>
      <c r="AI103" s="185">
        <v>0.265716524323721</v>
      </c>
      <c r="AJ103" s="185">
        <v>0.28039468595814626</v>
      </c>
      <c r="AK103" s="186">
        <v>0.29489284025145784</v>
      </c>
      <c r="AL103" s="185">
        <v>0.3006546753905373</v>
      </c>
      <c r="AM103" s="185">
        <v>0.30640068483230537</v>
      </c>
      <c r="AN103" s="185">
        <v>0.3121345758559811</v>
      </c>
      <c r="AO103" s="185">
        <v>0.3178600557407834</v>
      </c>
      <c r="AP103" s="187">
        <v>0.3235808317659312</v>
      </c>
      <c r="AR103" s="118" t="s">
        <v>73</v>
      </c>
      <c r="AS103" s="119">
        <f>AG100</f>
        <v>0.7</v>
      </c>
      <c r="AT103" s="105">
        <v>0.0868705181721293</v>
      </c>
      <c r="AU103" s="105">
        <v>0.10214131873172531</v>
      </c>
      <c r="AV103" s="105">
        <v>0.10723253064820756</v>
      </c>
      <c r="AW103" s="105">
        <v>0.10977884471172634</v>
      </c>
      <c r="AX103" s="105">
        <v>0.11130719908085249</v>
      </c>
      <c r="AY103" s="105">
        <v>0.1143681426394832</v>
      </c>
      <c r="AZ103" s="105">
        <v>0.11539314569379489</v>
      </c>
      <c r="BA103" s="105">
        <v>0.11438220832770726</v>
      </c>
      <c r="BB103" s="105">
        <v>0.11499998220376016</v>
      </c>
      <c r="BC103" s="105">
        <v>0.11541414161574651</v>
      </c>
      <c r="BD103" s="105">
        <v>0.11483940416540545</v>
      </c>
      <c r="BE103" s="105">
        <v>0.11517353593159647</v>
      </c>
      <c r="BF103" s="105">
        <v>0.11543493389511283</v>
      </c>
      <c r="BG103" s="106">
        <v>0.1150346362770287</v>
      </c>
      <c r="BI103" s="102" t="s">
        <v>66</v>
      </c>
      <c r="BJ103" s="103">
        <v>100000.0</v>
      </c>
      <c r="BK103" s="105">
        <v>0.43089475859667176</v>
      </c>
      <c r="BL103" s="105">
        <v>0.4461655591562677</v>
      </c>
      <c r="BM103" s="105">
        <v>0.45125677107275</v>
      </c>
      <c r="BN103" s="105">
        <v>0.45380308513626877</v>
      </c>
      <c r="BO103" s="105">
        <v>0.4553314395053949</v>
      </c>
      <c r="BP103" s="105">
        <v>0.4583923830640256</v>
      </c>
      <c r="BQ103" s="105">
        <v>0.4594173861183373</v>
      </c>
      <c r="BR103" s="105">
        <v>0.4584064487522497</v>
      </c>
      <c r="BS103" s="105">
        <v>0.4590242226283026</v>
      </c>
      <c r="BT103" s="105">
        <v>0.4594383820402889</v>
      </c>
      <c r="BU103" s="105">
        <v>0.4588636445899479</v>
      </c>
      <c r="BV103" s="105">
        <v>0.45919777635613884</v>
      </c>
      <c r="BW103" s="105">
        <v>0.4594591743196552</v>
      </c>
      <c r="BX103" s="106">
        <v>0.4590588767015711</v>
      </c>
      <c r="BY103" s="11"/>
    </row>
    <row r="104">
      <c r="R104" s="10"/>
      <c r="U104" s="110"/>
      <c r="V104" s="93">
        <f t="shared" si="14"/>
        <v>250000</v>
      </c>
      <c r="W104" s="104">
        <v>0.2602293095190394</v>
      </c>
      <c r="X104" s="105">
        <v>0.3061158946823761</v>
      </c>
      <c r="Y104" s="105">
        <v>0.3520024798457128</v>
      </c>
      <c r="Z104" s="105">
        <v>0.3978890650090497</v>
      </c>
      <c r="AA104" s="105">
        <v>0.4437756501723862</v>
      </c>
      <c r="AB104" s="105">
        <v>0.48966223533572306</v>
      </c>
      <c r="AC104" s="106">
        <v>0.5355488204990598</v>
      </c>
      <c r="AE104" s="110"/>
      <c r="AF104" s="93">
        <f t="shared" si="15"/>
        <v>250000</v>
      </c>
      <c r="AG104" s="185">
        <v>0.20718587187057438</v>
      </c>
      <c r="AH104" s="185">
        <v>0.22079185807771556</v>
      </c>
      <c r="AI104" s="185">
        <v>0.23413321922006763</v>
      </c>
      <c r="AJ104" s="185">
        <v>0.24726176609978934</v>
      </c>
      <c r="AK104" s="186">
        <v>0.2602293095190394</v>
      </c>
      <c r="AL104" s="185">
        <v>0.26538285153749086</v>
      </c>
      <c r="AM104" s="185">
        <v>0.2705222386219504</v>
      </c>
      <c r="AN104" s="185">
        <v>0.27565078666375625</v>
      </c>
      <c r="AO104" s="185">
        <v>0.2807718115542464</v>
      </c>
      <c r="AP104" s="187">
        <v>0.2858886291847592</v>
      </c>
      <c r="AR104" s="110"/>
      <c r="AS104" s="119">
        <v>0.75</v>
      </c>
      <c r="AT104" s="192">
        <v>0.09367351127569988</v>
      </c>
      <c r="AU104" s="192">
        <v>0.1089443118352959</v>
      </c>
      <c r="AV104" s="192">
        <v>0.11403552375177815</v>
      </c>
      <c r="AW104" s="192">
        <v>0.1165818378152969</v>
      </c>
      <c r="AX104" s="192">
        <v>0.11811019218442305</v>
      </c>
      <c r="AY104" s="192">
        <v>0.12117113574305374</v>
      </c>
      <c r="AZ104" s="192">
        <v>0.12219613879736545</v>
      </c>
      <c r="BA104" s="192">
        <v>0.12118520143127783</v>
      </c>
      <c r="BB104" s="192">
        <v>0.12180297530733074</v>
      </c>
      <c r="BC104" s="192">
        <v>0.12221713471931707</v>
      </c>
      <c r="BD104" s="192">
        <v>0.12164239726897601</v>
      </c>
      <c r="BE104" s="192">
        <v>0.12197652903516705</v>
      </c>
      <c r="BF104" s="192">
        <v>0.12223792699868338</v>
      </c>
      <c r="BG104" s="193">
        <v>0.12183762938059928</v>
      </c>
      <c r="BI104" s="110"/>
      <c r="BJ104" s="93">
        <f t="shared" ref="BJ104:BJ121" si="16">BJ103+50000</f>
        <v>150000</v>
      </c>
      <c r="BK104" s="192">
        <v>0.3456868554644717</v>
      </c>
      <c r="BL104" s="192">
        <v>0.3609576560240677</v>
      </c>
      <c r="BM104" s="192">
        <v>0.36604886794054997</v>
      </c>
      <c r="BN104" s="192">
        <v>0.36859518200406877</v>
      </c>
      <c r="BO104" s="192">
        <v>0.37012353637319484</v>
      </c>
      <c r="BP104" s="192">
        <v>0.3731844799318256</v>
      </c>
      <c r="BQ104" s="192">
        <v>0.37420948298613727</v>
      </c>
      <c r="BR104" s="192">
        <v>0.37319854562004967</v>
      </c>
      <c r="BS104" s="192">
        <v>0.3738163194961025</v>
      </c>
      <c r="BT104" s="192">
        <v>0.37423047890808886</v>
      </c>
      <c r="BU104" s="192">
        <v>0.3736557414577478</v>
      </c>
      <c r="BV104" s="192">
        <v>0.3739898732239388</v>
      </c>
      <c r="BW104" s="192">
        <v>0.3742512711874552</v>
      </c>
      <c r="BX104" s="193">
        <v>0.3738509735693711</v>
      </c>
      <c r="BY104" s="11"/>
    </row>
    <row r="105">
      <c r="R105" s="10"/>
      <c r="U105" s="110"/>
      <c r="V105" s="93">
        <f t="shared" si="14"/>
        <v>300000</v>
      </c>
      <c r="W105" s="104">
        <v>0.23464175413599273</v>
      </c>
      <c r="X105" s="105">
        <v>0.2765302837707283</v>
      </c>
      <c r="Y105" s="105">
        <v>0.318418813405464</v>
      </c>
      <c r="Z105" s="105">
        <v>0.3603073430401997</v>
      </c>
      <c r="AA105" s="105">
        <v>0.4021958726749354</v>
      </c>
      <c r="AB105" s="105">
        <v>0.44408440230967106</v>
      </c>
      <c r="AC105" s="106">
        <v>0.48597293194440677</v>
      </c>
      <c r="AE105" s="110"/>
      <c r="AF105" s="93">
        <f t="shared" si="15"/>
        <v>300000</v>
      </c>
      <c r="AG105" s="185">
        <v>0.18621994192318755</v>
      </c>
      <c r="AH105" s="185">
        <v>0.1986404511944465</v>
      </c>
      <c r="AI105" s="185">
        <v>0.2108193919369283</v>
      </c>
      <c r="AJ105" s="185">
        <v>0.22280406072574108</v>
      </c>
      <c r="AK105" s="186">
        <v>0.23464175413599273</v>
      </c>
      <c r="AL105" s="185">
        <v>0.23934627282692028</v>
      </c>
      <c r="AM105" s="185">
        <v>0.24403786989010226</v>
      </c>
      <c r="AN105" s="185">
        <v>0.24871957230634567</v>
      </c>
      <c r="AO105" s="185">
        <v>0.2533944070564572</v>
      </c>
      <c r="AP105" s="187">
        <v>0.25806540112124376</v>
      </c>
      <c r="AR105" s="110"/>
      <c r="AS105" s="119">
        <v>0.8</v>
      </c>
      <c r="AT105" s="105">
        <v>0.10034419184687594</v>
      </c>
      <c r="AU105" s="105">
        <v>0.11561499240647197</v>
      </c>
      <c r="AV105" s="105">
        <v>0.12070620432295422</v>
      </c>
      <c r="AW105" s="105">
        <v>0.12325251838647297</v>
      </c>
      <c r="AX105" s="105">
        <v>0.1247808727555991</v>
      </c>
      <c r="AY105" s="105">
        <v>0.1278418163142298</v>
      </c>
      <c r="AZ105" s="105">
        <v>0.1288668193685415</v>
      </c>
      <c r="BA105" s="105">
        <v>0.12785588200245387</v>
      </c>
      <c r="BB105" s="105">
        <v>0.12847365587850682</v>
      </c>
      <c r="BC105" s="105">
        <v>0.12888781529049312</v>
      </c>
      <c r="BD105" s="105">
        <v>0.12831307784015208</v>
      </c>
      <c r="BE105" s="105">
        <v>0.1286472096063431</v>
      </c>
      <c r="BF105" s="105">
        <v>0.12890860756985947</v>
      </c>
      <c r="BG105" s="106">
        <v>0.12850830995177534</v>
      </c>
      <c r="BI105" s="110"/>
      <c r="BJ105" s="93">
        <f t="shared" si="16"/>
        <v>200000</v>
      </c>
      <c r="BK105" s="105">
        <v>0.29489284025145784</v>
      </c>
      <c r="BL105" s="105">
        <v>0.31016364081105385</v>
      </c>
      <c r="BM105" s="105">
        <v>0.31525485272753606</v>
      </c>
      <c r="BN105" s="105">
        <v>0.31780116679105486</v>
      </c>
      <c r="BO105" s="105">
        <v>0.319329521160181</v>
      </c>
      <c r="BP105" s="105">
        <v>0.3223904647188117</v>
      </c>
      <c r="BQ105" s="105">
        <v>0.32341546777312336</v>
      </c>
      <c r="BR105" s="105">
        <v>0.3224045304070358</v>
      </c>
      <c r="BS105" s="105">
        <v>0.3230223042830887</v>
      </c>
      <c r="BT105" s="105">
        <v>0.323436463695075</v>
      </c>
      <c r="BU105" s="105">
        <v>0.32286172624473397</v>
      </c>
      <c r="BV105" s="105">
        <v>0.323195858010925</v>
      </c>
      <c r="BW105" s="105">
        <v>0.32345725597444136</v>
      </c>
      <c r="BX105" s="106">
        <v>0.3230569583563572</v>
      </c>
      <c r="BY105" s="11"/>
    </row>
    <row r="106">
      <c r="R106" s="10"/>
      <c r="U106" s="110"/>
      <c r="V106" s="93">
        <f t="shared" si="14"/>
        <v>350000</v>
      </c>
      <c r="W106" s="104">
        <v>0.21475511766252567</v>
      </c>
      <c r="X106" s="105">
        <v>0.25353636034828214</v>
      </c>
      <c r="Y106" s="105">
        <v>0.29231760303403853</v>
      </c>
      <c r="Z106" s="105">
        <v>0.3310988457197951</v>
      </c>
      <c r="AA106" s="105">
        <v>0.3698800884055516</v>
      </c>
      <c r="AB106" s="105">
        <v>0.408661331091308</v>
      </c>
      <c r="AC106" s="106">
        <v>0.44744257377706453</v>
      </c>
      <c r="AE106" s="110"/>
      <c r="AF106" s="93">
        <f t="shared" si="15"/>
        <v>350000</v>
      </c>
      <c r="AG106" s="185">
        <v>0.16992523064849865</v>
      </c>
      <c r="AH106" s="185">
        <v>0.1814243877812415</v>
      </c>
      <c r="AI106" s="185">
        <v>0.19269989591457018</v>
      </c>
      <c r="AJ106" s="185">
        <v>0.20379554316836965</v>
      </c>
      <c r="AK106" s="186">
        <v>0.21475511766252567</v>
      </c>
      <c r="AL106" s="185">
        <v>0.21911065562634208</v>
      </c>
      <c r="AM106" s="185">
        <v>0.2234542304874699</v>
      </c>
      <c r="AN106" s="185">
        <v>0.2277886446855817</v>
      </c>
      <c r="AO106" s="185">
        <v>0.2321167006603502</v>
      </c>
      <c r="AP106" s="187">
        <v>0.23644120085144785</v>
      </c>
      <c r="AR106" s="110"/>
      <c r="AS106" s="119">
        <v>0.85</v>
      </c>
      <c r="AT106" s="105">
        <v>0.10690846528673677</v>
      </c>
      <c r="AU106" s="105">
        <v>0.12217926584633279</v>
      </c>
      <c r="AV106" s="105">
        <v>0.12727047776281503</v>
      </c>
      <c r="AW106" s="105">
        <v>0.1298167918263338</v>
      </c>
      <c r="AX106" s="105">
        <v>0.13134514619545995</v>
      </c>
      <c r="AY106" s="105">
        <v>0.13440608975409066</v>
      </c>
      <c r="AZ106" s="105">
        <v>0.13543109280840232</v>
      </c>
      <c r="BA106" s="105">
        <v>0.13442015544231473</v>
      </c>
      <c r="BB106" s="105">
        <v>0.1350379293183676</v>
      </c>
      <c r="BC106" s="105">
        <v>0.13545208873035394</v>
      </c>
      <c r="BD106" s="105">
        <v>0.1348773512800129</v>
      </c>
      <c r="BE106" s="105">
        <v>0.13521148304620392</v>
      </c>
      <c r="BF106" s="105">
        <v>0.13547288100972027</v>
      </c>
      <c r="BG106" s="106">
        <v>0.13507258339163616</v>
      </c>
      <c r="BI106" s="110"/>
      <c r="BJ106" s="93">
        <f t="shared" si="16"/>
        <v>250000</v>
      </c>
      <c r="BK106" s="105">
        <v>0.2602293095190394</v>
      </c>
      <c r="BL106" s="105">
        <v>0.2755001100786354</v>
      </c>
      <c r="BM106" s="105">
        <v>0.28059132199511766</v>
      </c>
      <c r="BN106" s="105">
        <v>0.2831376360586364</v>
      </c>
      <c r="BO106" s="105">
        <v>0.2846659904277625</v>
      </c>
      <c r="BP106" s="105">
        <v>0.2877269339863932</v>
      </c>
      <c r="BQ106" s="105">
        <v>0.28875193704070495</v>
      </c>
      <c r="BR106" s="105">
        <v>0.2877409996746173</v>
      </c>
      <c r="BS106" s="105">
        <v>0.2883587735506702</v>
      </c>
      <c r="BT106" s="105">
        <v>0.2887729329626566</v>
      </c>
      <c r="BU106" s="105">
        <v>0.2881981955123155</v>
      </c>
      <c r="BV106" s="105">
        <v>0.2885323272785065</v>
      </c>
      <c r="BW106" s="105">
        <v>0.28879372524202285</v>
      </c>
      <c r="BX106" s="106">
        <v>0.28839342762393877</v>
      </c>
      <c r="BY106" s="11"/>
    </row>
    <row r="107">
      <c r="R107" s="10"/>
      <c r="U107" s="110"/>
      <c r="V107" s="93">
        <f t="shared" si="14"/>
        <v>400000</v>
      </c>
      <c r="W107" s="104">
        <v>0.198724961535178</v>
      </c>
      <c r="X107" s="105">
        <v>0.23500149232603634</v>
      </c>
      <c r="Y107" s="105">
        <v>0.2712780231168947</v>
      </c>
      <c r="Z107" s="105">
        <v>0.30755455390775316</v>
      </c>
      <c r="AA107" s="105">
        <v>0.3438310846986115</v>
      </c>
      <c r="AB107" s="105">
        <v>0.38010761548946986</v>
      </c>
      <c r="AC107" s="106">
        <v>0.4163841462803283</v>
      </c>
      <c r="AE107" s="110"/>
      <c r="AF107" s="93">
        <f t="shared" si="15"/>
        <v>400000</v>
      </c>
      <c r="AG107" s="185">
        <v>0.15679044206160916</v>
      </c>
      <c r="AH107" s="185">
        <v>0.16754691861845958</v>
      </c>
      <c r="AI107" s="185">
        <v>0.17809419069263419</v>
      </c>
      <c r="AJ107" s="185">
        <v>0.18847321831968847</v>
      </c>
      <c r="AK107" s="186">
        <v>0.198724961535178</v>
      </c>
      <c r="AL107" s="185">
        <v>0.20279919423409998</v>
      </c>
      <c r="AM107" s="185">
        <v>0.20686223647513613</v>
      </c>
      <c r="AN107" s="185">
        <v>0.21091670970056176</v>
      </c>
      <c r="AO107" s="185">
        <v>0.21496523535265263</v>
      </c>
      <c r="AP107" s="187">
        <v>0.2190104348736842</v>
      </c>
      <c r="AR107" s="110"/>
      <c r="AS107" s="134">
        <v>0.9</v>
      </c>
      <c r="AT107" s="194">
        <v>0.11339223699636179</v>
      </c>
      <c r="AU107" s="194">
        <v>0.12866303755595782</v>
      </c>
      <c r="AV107" s="194">
        <v>0.13375424947244005</v>
      </c>
      <c r="AW107" s="194">
        <v>0.13630056353595882</v>
      </c>
      <c r="AX107" s="194">
        <v>0.13782891790508492</v>
      </c>
      <c r="AY107" s="194">
        <v>0.14088986146371565</v>
      </c>
      <c r="AZ107" s="194">
        <v>0.14191486451802737</v>
      </c>
      <c r="BA107" s="194">
        <v>0.14090392715193972</v>
      </c>
      <c r="BB107" s="194">
        <v>0.14152170102799264</v>
      </c>
      <c r="BC107" s="194">
        <v>0.141935860439979</v>
      </c>
      <c r="BD107" s="194">
        <v>0.14136112298963793</v>
      </c>
      <c r="BE107" s="194">
        <v>0.14169525475582895</v>
      </c>
      <c r="BF107" s="194">
        <v>0.1419566527193453</v>
      </c>
      <c r="BG107" s="195">
        <v>0.1415563551012612</v>
      </c>
      <c r="BI107" s="110"/>
      <c r="BJ107" s="93">
        <f t="shared" si="16"/>
        <v>300000</v>
      </c>
      <c r="BK107" s="105">
        <v>0.23464175413599273</v>
      </c>
      <c r="BL107" s="105">
        <v>0.24991255469558873</v>
      </c>
      <c r="BM107" s="105">
        <v>0.25500376661207097</v>
      </c>
      <c r="BN107" s="105">
        <v>0.2575500806755897</v>
      </c>
      <c r="BO107" s="105">
        <v>0.25907843504471584</v>
      </c>
      <c r="BP107" s="105">
        <v>0.2621393786033465</v>
      </c>
      <c r="BQ107" s="105">
        <v>0.2631643816576582</v>
      </c>
      <c r="BR107" s="105">
        <v>0.2621534442915706</v>
      </c>
      <c r="BS107" s="105">
        <v>0.2627712181676235</v>
      </c>
      <c r="BT107" s="105">
        <v>0.26318537757960986</v>
      </c>
      <c r="BU107" s="105">
        <v>0.2626106401292688</v>
      </c>
      <c r="BV107" s="105">
        <v>0.26294477189545984</v>
      </c>
      <c r="BW107" s="105">
        <v>0.26320616985897616</v>
      </c>
      <c r="BX107" s="106">
        <v>0.2628058722408921</v>
      </c>
      <c r="BY107" s="11"/>
    </row>
    <row r="108">
      <c r="R108" s="10"/>
      <c r="U108" s="110"/>
      <c r="V108" s="93">
        <f t="shared" si="14"/>
        <v>450000</v>
      </c>
      <c r="W108" s="104">
        <v>0.18544694832553327</v>
      </c>
      <c r="X108" s="105">
        <v>0.21964878955238476</v>
      </c>
      <c r="Y108" s="105">
        <v>0.25385063077923603</v>
      </c>
      <c r="Z108" s="105">
        <v>0.2880524720060875</v>
      </c>
      <c r="AA108" s="105">
        <v>0.3222543132329389</v>
      </c>
      <c r="AB108" s="105">
        <v>0.3564561544597904</v>
      </c>
      <c r="AC108" s="106">
        <v>0.3906579956866418</v>
      </c>
      <c r="AE108" s="110"/>
      <c r="AF108" s="93">
        <f t="shared" si="15"/>
        <v>450000</v>
      </c>
      <c r="AG108" s="185">
        <v>0.1459107042114535</v>
      </c>
      <c r="AH108" s="185">
        <v>0.15605200756481755</v>
      </c>
      <c r="AI108" s="185">
        <v>0.16599607104037542</v>
      </c>
      <c r="AJ108" s="185">
        <v>0.1757815121299922</v>
      </c>
      <c r="AK108" s="186">
        <v>0.18544694832553327</v>
      </c>
      <c r="AL108" s="185">
        <v>0.18928817175158627</v>
      </c>
      <c r="AM108" s="185">
        <v>0.19311884471276497</v>
      </c>
      <c r="AN108" s="185">
        <v>0.1969414387285487</v>
      </c>
      <c r="AO108" s="185">
        <v>0.2007584253184168</v>
      </c>
      <c r="AP108" s="187">
        <v>0.20457227600184885</v>
      </c>
      <c r="AR108" s="110"/>
      <c r="AS108" s="119">
        <v>0.92</v>
      </c>
      <c r="AT108" s="105">
        <v>0.11596900800558751</v>
      </c>
      <c r="AU108" s="105">
        <v>0.13123980856518355</v>
      </c>
      <c r="AV108" s="105">
        <v>0.1363310204816658</v>
      </c>
      <c r="AW108" s="105">
        <v>0.13887733454518453</v>
      </c>
      <c r="AX108" s="105">
        <v>0.14040568891431068</v>
      </c>
      <c r="AY108" s="105">
        <v>0.1434666324729414</v>
      </c>
      <c r="AZ108" s="105">
        <v>0.14449163552725308</v>
      </c>
      <c r="BA108" s="105">
        <v>0.14348069816116546</v>
      </c>
      <c r="BB108" s="105">
        <v>0.14409847203721837</v>
      </c>
      <c r="BC108" s="105">
        <v>0.1445126314492047</v>
      </c>
      <c r="BD108" s="105">
        <v>0.14393789399886367</v>
      </c>
      <c r="BE108" s="105">
        <v>0.14427202576505468</v>
      </c>
      <c r="BF108" s="105">
        <v>0.14453342372857103</v>
      </c>
      <c r="BG108" s="106">
        <v>0.1441331261104869</v>
      </c>
      <c r="BI108" s="110"/>
      <c r="BJ108" s="93">
        <f t="shared" si="16"/>
        <v>350000</v>
      </c>
      <c r="BK108" s="105">
        <v>0.21475511766252567</v>
      </c>
      <c r="BL108" s="105">
        <v>0.23002591822212168</v>
      </c>
      <c r="BM108" s="105">
        <v>0.23511713013860394</v>
      </c>
      <c r="BN108" s="105">
        <v>0.23766344420212265</v>
      </c>
      <c r="BO108" s="105">
        <v>0.2391917985712488</v>
      </c>
      <c r="BP108" s="105">
        <v>0.24225274212987954</v>
      </c>
      <c r="BQ108" s="105">
        <v>0.24327774518419118</v>
      </c>
      <c r="BR108" s="105">
        <v>0.2422668078181036</v>
      </c>
      <c r="BS108" s="105">
        <v>0.24288458169415647</v>
      </c>
      <c r="BT108" s="105">
        <v>0.24329874110614283</v>
      </c>
      <c r="BU108" s="105">
        <v>0.2427240036558018</v>
      </c>
      <c r="BV108" s="105">
        <v>0.2430581354219928</v>
      </c>
      <c r="BW108" s="105">
        <v>0.24331953338550916</v>
      </c>
      <c r="BX108" s="106">
        <v>0.24291923576742502</v>
      </c>
      <c r="BY108" s="11"/>
    </row>
    <row r="109">
      <c r="R109" s="10"/>
      <c r="U109" s="110"/>
      <c r="V109" s="93">
        <f t="shared" si="14"/>
        <v>500000</v>
      </c>
      <c r="W109" s="104">
        <v>0.1742141438944166</v>
      </c>
      <c r="X109" s="105">
        <v>0.20666085942890608</v>
      </c>
      <c r="Y109" s="105">
        <v>0.2391075749633954</v>
      </c>
      <c r="Z109" s="105">
        <v>0.2715542904978848</v>
      </c>
      <c r="AA109" s="105">
        <v>0.3040010060323743</v>
      </c>
      <c r="AB109" s="105">
        <v>0.33644772156686376</v>
      </c>
      <c r="AC109" s="106">
        <v>0.3688944371013531</v>
      </c>
      <c r="AE109" s="110"/>
      <c r="AF109" s="93">
        <f t="shared" si="15"/>
        <v>500000</v>
      </c>
      <c r="AG109" s="188">
        <v>0.13670676943574117</v>
      </c>
      <c r="AH109" s="188">
        <v>0.14632765454754132</v>
      </c>
      <c r="AI109" s="188">
        <v>0.1557614214815572</v>
      </c>
      <c r="AJ109" s="188">
        <v>0.1650447060073339</v>
      </c>
      <c r="AK109" s="189">
        <v>0.1742141438944166</v>
      </c>
      <c r="AL109" s="188">
        <v>0.17785824840279346</v>
      </c>
      <c r="AM109" s="188">
        <v>0.18149234386135737</v>
      </c>
      <c r="AN109" s="188">
        <v>0.18511877495935927</v>
      </c>
      <c r="AO109" s="188">
        <v>0.18873988638604994</v>
      </c>
      <c r="AP109" s="190">
        <v>0.1923580228306804</v>
      </c>
      <c r="AR109" s="110"/>
      <c r="AS109" s="119">
        <v>0.94</v>
      </c>
      <c r="AT109" s="105">
        <v>0.11853870154781733</v>
      </c>
      <c r="AU109" s="105">
        <v>0.13380950210741333</v>
      </c>
      <c r="AV109" s="105">
        <v>0.1389007140238956</v>
      </c>
      <c r="AW109" s="105">
        <v>0.14144702808741436</v>
      </c>
      <c r="AX109" s="105">
        <v>0.14297538245654048</v>
      </c>
      <c r="AY109" s="105">
        <v>0.1460363260151712</v>
      </c>
      <c r="AZ109" s="105">
        <v>0.14706132906948288</v>
      </c>
      <c r="BA109" s="105">
        <v>0.14605039170339526</v>
      </c>
      <c r="BB109" s="105">
        <v>0.1466681655794482</v>
      </c>
      <c r="BC109" s="105">
        <v>0.1470823249914345</v>
      </c>
      <c r="BD109" s="105">
        <v>0.14650758754109347</v>
      </c>
      <c r="BE109" s="105">
        <v>0.14684171930728449</v>
      </c>
      <c r="BF109" s="105">
        <v>0.14710311727080083</v>
      </c>
      <c r="BG109" s="106">
        <v>0.14670281965271673</v>
      </c>
      <c r="BI109" s="110"/>
      <c r="BJ109" s="93">
        <f t="shared" si="16"/>
        <v>400000</v>
      </c>
      <c r="BK109" s="105">
        <v>0.198724961535178</v>
      </c>
      <c r="BL109" s="105">
        <v>0.21399576209477397</v>
      </c>
      <c r="BM109" s="105">
        <v>0.21908697401125624</v>
      </c>
      <c r="BN109" s="105">
        <v>0.22163328807477498</v>
      </c>
      <c r="BO109" s="105">
        <v>0.2231616424439011</v>
      </c>
      <c r="BP109" s="105">
        <v>0.22622258600253184</v>
      </c>
      <c r="BQ109" s="105">
        <v>0.2272475890568435</v>
      </c>
      <c r="BR109" s="105">
        <v>0.2262366516907559</v>
      </c>
      <c r="BS109" s="105">
        <v>0.2268544255668088</v>
      </c>
      <c r="BT109" s="105">
        <v>0.22726858497879515</v>
      </c>
      <c r="BU109" s="105">
        <v>0.2266938475284541</v>
      </c>
      <c r="BV109" s="105">
        <v>0.22702797929464513</v>
      </c>
      <c r="BW109" s="105">
        <v>0.22728937725816148</v>
      </c>
      <c r="BX109" s="106">
        <v>0.22688907964007735</v>
      </c>
      <c r="BY109" s="11"/>
    </row>
    <row r="110">
      <c r="R110" s="10"/>
      <c r="U110" s="110"/>
      <c r="V110" s="93">
        <f t="shared" si="14"/>
        <v>550000</v>
      </c>
      <c r="W110" s="104">
        <v>0.1645502326722729</v>
      </c>
      <c r="X110" s="105">
        <v>0.1954869620783023</v>
      </c>
      <c r="Y110" s="105">
        <v>0.22642369148433186</v>
      </c>
      <c r="Z110" s="105">
        <v>0.2573604208903613</v>
      </c>
      <c r="AA110" s="105">
        <v>0.2882971502963908</v>
      </c>
      <c r="AB110" s="105">
        <v>0.3192338797024203</v>
      </c>
      <c r="AC110" s="106">
        <v>0.3501706091084497</v>
      </c>
      <c r="AE110" s="110"/>
      <c r="AF110" s="93">
        <f t="shared" si="15"/>
        <v>550000</v>
      </c>
      <c r="AG110" s="185">
        <v>0.12878835430510022</v>
      </c>
      <c r="AH110" s="185">
        <v>0.13796150833463158</v>
      </c>
      <c r="AI110" s="185">
        <v>0.1469562521818778</v>
      </c>
      <c r="AJ110" s="185">
        <v>0.15580751668252835</v>
      </c>
      <c r="AK110" s="186">
        <v>0.1645502326722729</v>
      </c>
      <c r="AL110" s="185">
        <v>0.1680247499923114</v>
      </c>
      <c r="AM110" s="185">
        <v>0.17148972405779941</v>
      </c>
      <c r="AN110" s="185">
        <v>0.17494739044222096</v>
      </c>
      <c r="AO110" s="185">
        <v>0.17839998471906038</v>
      </c>
      <c r="AP110" s="187">
        <v>0.18184974246180155</v>
      </c>
      <c r="AR110" s="110"/>
      <c r="AS110" s="119">
        <v>0.96</v>
      </c>
      <c r="AT110" s="105">
        <v>0.12110297556872018</v>
      </c>
      <c r="AU110" s="105">
        <v>0.13637377612831622</v>
      </c>
      <c r="AV110" s="105">
        <v>0.14146498804479846</v>
      </c>
      <c r="AW110" s="105">
        <v>0.1440113021083172</v>
      </c>
      <c r="AX110" s="105">
        <v>0.14553965647744332</v>
      </c>
      <c r="AY110" s="105">
        <v>0.14860060003607406</v>
      </c>
      <c r="AZ110" s="105">
        <v>0.14962560309038575</v>
      </c>
      <c r="BA110" s="105">
        <v>0.14861466572429813</v>
      </c>
      <c r="BB110" s="105">
        <v>0.14923243960035104</v>
      </c>
      <c r="BC110" s="105">
        <v>0.1496465990123374</v>
      </c>
      <c r="BD110" s="105">
        <v>0.1490718615619963</v>
      </c>
      <c r="BE110" s="105">
        <v>0.14940599332818735</v>
      </c>
      <c r="BF110" s="105">
        <v>0.1496673912917037</v>
      </c>
      <c r="BG110" s="106">
        <v>0.14926709367361957</v>
      </c>
      <c r="BI110" s="110"/>
      <c r="BJ110" s="93">
        <f t="shared" si="16"/>
        <v>450000</v>
      </c>
      <c r="BK110" s="105">
        <v>0.18544694832553327</v>
      </c>
      <c r="BL110" s="105">
        <v>0.20071774888512928</v>
      </c>
      <c r="BM110" s="105">
        <v>0.2058089608016115</v>
      </c>
      <c r="BN110" s="105">
        <v>0.20835527486513028</v>
      </c>
      <c r="BO110" s="105">
        <v>0.2098836292342564</v>
      </c>
      <c r="BP110" s="105">
        <v>0.21294457279288712</v>
      </c>
      <c r="BQ110" s="105">
        <v>0.2139695758471988</v>
      </c>
      <c r="BR110" s="105">
        <v>0.21295863848111118</v>
      </c>
      <c r="BS110" s="105">
        <v>0.2135764123571641</v>
      </c>
      <c r="BT110" s="105">
        <v>0.21399057176915046</v>
      </c>
      <c r="BU110" s="105">
        <v>0.2134158343188094</v>
      </c>
      <c r="BV110" s="105">
        <v>0.2137499660850004</v>
      </c>
      <c r="BW110" s="105">
        <v>0.21401136404851676</v>
      </c>
      <c r="BX110" s="106">
        <v>0.21361106643043265</v>
      </c>
      <c r="BY110" s="11"/>
    </row>
    <row r="111">
      <c r="R111" s="10"/>
      <c r="U111" s="110"/>
      <c r="V111" s="93">
        <f t="shared" si="14"/>
        <v>600000</v>
      </c>
      <c r="W111" s="104">
        <v>0.15612100996907796</v>
      </c>
      <c r="X111" s="105">
        <v>0.1857406733277331</v>
      </c>
      <c r="Y111" s="105">
        <v>0.2153603366863884</v>
      </c>
      <c r="Z111" s="105">
        <v>0.2449800000450436</v>
      </c>
      <c r="AA111" s="105">
        <v>0.2745996634036989</v>
      </c>
      <c r="AB111" s="105">
        <v>0.30421932676235425</v>
      </c>
      <c r="AC111" s="106">
        <v>0.3338389901210094</v>
      </c>
      <c r="AE111" s="110"/>
      <c r="AF111" s="93">
        <f t="shared" si="15"/>
        <v>600000</v>
      </c>
      <c r="AG111" s="185">
        <v>0.1218816181960618</v>
      </c>
      <c r="AH111" s="185">
        <v>0.13066424452755943</v>
      </c>
      <c r="AI111" s="185">
        <v>0.1392760561142375</v>
      </c>
      <c r="AJ111" s="185">
        <v>0.14775049668508172</v>
      </c>
      <c r="AK111" s="186">
        <v>0.15612100996907796</v>
      </c>
      <c r="AL111" s="185">
        <v>0.15944760703765165</v>
      </c>
      <c r="AM111" s="185">
        <v>0.16276506713562255</v>
      </c>
      <c r="AN111" s="185">
        <v>0.16607553066164568</v>
      </c>
      <c r="AO111" s="185">
        <v>0.16938113801437604</v>
      </c>
      <c r="AP111" s="187">
        <v>0.17268402959246879</v>
      </c>
      <c r="AR111" s="110"/>
      <c r="AS111" s="119">
        <v>0.98</v>
      </c>
      <c r="AT111" s="196">
        <v>0.12366348801396533</v>
      </c>
      <c r="AU111" s="196">
        <v>0.13893428857356133</v>
      </c>
      <c r="AV111" s="196">
        <v>0.1440255004900436</v>
      </c>
      <c r="AW111" s="196">
        <v>0.14657181455356236</v>
      </c>
      <c r="AX111" s="196">
        <v>0.14810016892268849</v>
      </c>
      <c r="AY111" s="196">
        <v>0.15116111248131922</v>
      </c>
      <c r="AZ111" s="196">
        <v>0.1521861155356309</v>
      </c>
      <c r="BA111" s="196">
        <v>0.1511751781695433</v>
      </c>
      <c r="BB111" s="196">
        <v>0.15179295204559617</v>
      </c>
      <c r="BC111" s="196">
        <v>0.15220711145758253</v>
      </c>
      <c r="BD111" s="196">
        <v>0.15163237400724147</v>
      </c>
      <c r="BE111" s="196">
        <v>0.1519665057734325</v>
      </c>
      <c r="BF111" s="196">
        <v>0.15222790373694883</v>
      </c>
      <c r="BG111" s="197">
        <v>0.1518276061188647</v>
      </c>
      <c r="BI111" s="110"/>
      <c r="BJ111" s="93">
        <f t="shared" si="16"/>
        <v>500000</v>
      </c>
      <c r="BK111" s="196">
        <v>0.1742141438944166</v>
      </c>
      <c r="BL111" s="196">
        <v>0.18948494445401265</v>
      </c>
      <c r="BM111" s="196">
        <v>0.19457615637049488</v>
      </c>
      <c r="BN111" s="196">
        <v>0.19712247043401365</v>
      </c>
      <c r="BO111" s="196">
        <v>0.19865082480313975</v>
      </c>
      <c r="BP111" s="196">
        <v>0.2017117683617705</v>
      </c>
      <c r="BQ111" s="196">
        <v>0.20273677141608215</v>
      </c>
      <c r="BR111" s="196">
        <v>0.20172583404999456</v>
      </c>
      <c r="BS111" s="196">
        <v>0.2023436079260475</v>
      </c>
      <c r="BT111" s="196">
        <v>0.2027577673380338</v>
      </c>
      <c r="BU111" s="196">
        <v>0.20218302988769274</v>
      </c>
      <c r="BV111" s="196">
        <v>0.20251716165388378</v>
      </c>
      <c r="BW111" s="196">
        <v>0.20277855961740013</v>
      </c>
      <c r="BX111" s="197">
        <v>0.20237826199931602</v>
      </c>
      <c r="BY111" s="11"/>
    </row>
    <row r="112">
      <c r="R112" s="10"/>
      <c r="U112" s="110"/>
      <c r="V112" s="93">
        <f t="shared" si="14"/>
        <v>650000</v>
      </c>
      <c r="W112" s="104">
        <v>0.14868413765575084</v>
      </c>
      <c r="X112" s="105">
        <v>0.1771417897154489</v>
      </c>
      <c r="Y112" s="105">
        <v>0.20559944177514666</v>
      </c>
      <c r="Z112" s="105">
        <v>0.23405709383484463</v>
      </c>
      <c r="AA112" s="105">
        <v>0.2625147458945425</v>
      </c>
      <c r="AB112" s="105">
        <v>0.29097239795424046</v>
      </c>
      <c r="AC112" s="106">
        <v>0.31943005001393826</v>
      </c>
      <c r="AE112" s="110"/>
      <c r="AF112" s="93">
        <f t="shared" si="15"/>
        <v>650000</v>
      </c>
      <c r="AG112" s="185">
        <v>0.115787994103618</v>
      </c>
      <c r="AH112" s="185">
        <v>0.12422606854375388</v>
      </c>
      <c r="AI112" s="185">
        <v>0.13250002948550602</v>
      </c>
      <c r="AJ112" s="185">
        <v>0.1406420086243473</v>
      </c>
      <c r="AK112" s="186">
        <v>0.14868413765575084</v>
      </c>
      <c r="AL112" s="185">
        <v>0.15188022873801568</v>
      </c>
      <c r="AM112" s="185">
        <v>0.15506754130287642</v>
      </c>
      <c r="AN112" s="185">
        <v>0.15824813177884334</v>
      </c>
      <c r="AO112" s="185">
        <v>0.1614240565944268</v>
      </c>
      <c r="AP112" s="187">
        <v>0.16459737217813689</v>
      </c>
      <c r="AR112" s="146"/>
      <c r="AS112" s="147">
        <v>1.0</v>
      </c>
      <c r="AT112" s="198">
        <v>0.12622189682922172</v>
      </c>
      <c r="AU112" s="198">
        <v>0.14149269738881773</v>
      </c>
      <c r="AV112" s="198">
        <v>0.14658390930529996</v>
      </c>
      <c r="AW112" s="198">
        <v>0.14913022336881873</v>
      </c>
      <c r="AX112" s="198">
        <v>0.15065857773794483</v>
      </c>
      <c r="AY112" s="198">
        <v>0.15371952129657557</v>
      </c>
      <c r="AZ112" s="198">
        <v>0.15474452435088726</v>
      </c>
      <c r="BA112" s="198">
        <v>0.15373358698479964</v>
      </c>
      <c r="BB112" s="198">
        <v>0.15435136086085255</v>
      </c>
      <c r="BC112" s="198">
        <v>0.15476552027283888</v>
      </c>
      <c r="BD112" s="198">
        <v>0.15419078282249785</v>
      </c>
      <c r="BE112" s="198">
        <v>0.15452491458868886</v>
      </c>
      <c r="BF112" s="198">
        <v>0.1547863125522052</v>
      </c>
      <c r="BG112" s="199">
        <v>0.15438601493412107</v>
      </c>
      <c r="BI112" s="110"/>
      <c r="BJ112" s="93">
        <f t="shared" si="16"/>
        <v>550000</v>
      </c>
      <c r="BK112" s="200">
        <v>0.1645502326722729</v>
      </c>
      <c r="BL112" s="200">
        <v>0.1798210332318689</v>
      </c>
      <c r="BM112" s="200">
        <v>0.18491224514835114</v>
      </c>
      <c r="BN112" s="200">
        <v>0.1874585592118699</v>
      </c>
      <c r="BO112" s="200">
        <v>0.18898691358099604</v>
      </c>
      <c r="BP112" s="200">
        <v>0.19204785713962674</v>
      </c>
      <c r="BQ112" s="200">
        <v>0.19307286019393843</v>
      </c>
      <c r="BR112" s="200">
        <v>0.1920619228278508</v>
      </c>
      <c r="BS112" s="200">
        <v>0.19267969670390375</v>
      </c>
      <c r="BT112" s="200">
        <v>0.19309385611589006</v>
      </c>
      <c r="BU112" s="200">
        <v>0.19251911866554902</v>
      </c>
      <c r="BV112" s="200">
        <v>0.19285325043174004</v>
      </c>
      <c r="BW112" s="200">
        <v>0.19311464839525638</v>
      </c>
      <c r="BX112" s="201">
        <v>0.19271435077717228</v>
      </c>
      <c r="BY112" s="11"/>
    </row>
    <row r="113">
      <c r="R113" s="10"/>
      <c r="U113" s="110"/>
      <c r="V113" s="93">
        <f t="shared" si="14"/>
        <v>700000</v>
      </c>
      <c r="W113" s="104">
        <v>0.1420590344636976</v>
      </c>
      <c r="X113" s="105">
        <v>0.16948151414963722</v>
      </c>
      <c r="Y113" s="105">
        <v>0.19690399383557686</v>
      </c>
      <c r="Z113" s="105">
        <v>0.2243264735215164</v>
      </c>
      <c r="AA113" s="105">
        <v>0.2517489532074561</v>
      </c>
      <c r="AB113" s="105">
        <v>0.2791714328933957</v>
      </c>
      <c r="AC113" s="106">
        <v>0.30659391257933516</v>
      </c>
      <c r="AE113" s="110"/>
      <c r="AF113" s="93">
        <f t="shared" si="15"/>
        <v>700000</v>
      </c>
      <c r="AG113" s="185">
        <v>0.11035951735625245</v>
      </c>
      <c r="AH113" s="185">
        <v>0.11849064934274454</v>
      </c>
      <c r="AI113" s="185">
        <v>0.12646363760514526</v>
      </c>
      <c r="AJ113" s="185">
        <v>0.13430944501996084</v>
      </c>
      <c r="AK113" s="186">
        <v>0.1420590344636976</v>
      </c>
      <c r="AL113" s="185">
        <v>0.14513886489362765</v>
      </c>
      <c r="AM113" s="185">
        <v>0.14821023613252257</v>
      </c>
      <c r="AN113" s="185">
        <v>0.1512751298044787</v>
      </c>
      <c r="AO113" s="185">
        <v>0.15433552753359242</v>
      </c>
      <c r="AP113" s="187">
        <v>0.15739341094396012</v>
      </c>
      <c r="BI113" s="110"/>
      <c r="BJ113" s="93">
        <f t="shared" si="16"/>
        <v>600000</v>
      </c>
      <c r="BK113" s="200">
        <v>0.15612100996907796</v>
      </c>
      <c r="BL113" s="200">
        <v>0.17139181052867397</v>
      </c>
      <c r="BM113" s="200">
        <v>0.1764830224451562</v>
      </c>
      <c r="BN113" s="200">
        <v>0.17902933650867497</v>
      </c>
      <c r="BO113" s="200">
        <v>0.1805576908778011</v>
      </c>
      <c r="BP113" s="200">
        <v>0.1836186344364318</v>
      </c>
      <c r="BQ113" s="200">
        <v>0.1846436374907435</v>
      </c>
      <c r="BR113" s="200">
        <v>0.18363270012465588</v>
      </c>
      <c r="BS113" s="200">
        <v>0.1842504740007088</v>
      </c>
      <c r="BT113" s="200">
        <v>0.18466463341269512</v>
      </c>
      <c r="BU113" s="200">
        <v>0.1840898959623541</v>
      </c>
      <c r="BV113" s="200">
        <v>0.1844240277285451</v>
      </c>
      <c r="BW113" s="200">
        <v>0.18468542569206145</v>
      </c>
      <c r="BX113" s="201">
        <v>0.18428512807397732</v>
      </c>
      <c r="BY113" s="11"/>
    </row>
    <row r="114">
      <c r="R114" s="10"/>
      <c r="U114" s="110"/>
      <c r="V114" s="93">
        <f t="shared" si="14"/>
        <v>750000</v>
      </c>
      <c r="W114" s="104">
        <v>0.13610801116965318</v>
      </c>
      <c r="X114" s="105">
        <v>0.16260064346589834</v>
      </c>
      <c r="Y114" s="105">
        <v>0.1890932757621435</v>
      </c>
      <c r="Z114" s="105">
        <v>0.21558590805838865</v>
      </c>
      <c r="AA114" s="105">
        <v>0.24207854035463394</v>
      </c>
      <c r="AB114" s="105">
        <v>0.26857117265087893</v>
      </c>
      <c r="AC114" s="106">
        <v>0.2950638049471242</v>
      </c>
      <c r="AE114" s="110"/>
      <c r="AF114" s="93">
        <f t="shared" si="15"/>
        <v>750000</v>
      </c>
      <c r="AG114" s="185">
        <v>0.10548336816456881</v>
      </c>
      <c r="AH114" s="185">
        <v>0.11333878796385212</v>
      </c>
      <c r="AI114" s="185">
        <v>0.1210414264107451</v>
      </c>
      <c r="AJ114" s="185">
        <v>0.12862119648582104</v>
      </c>
      <c r="AK114" s="186">
        <v>0.13610801116965318</v>
      </c>
      <c r="AL114" s="185">
        <v>0.13908341004128627</v>
      </c>
      <c r="AM114" s="185">
        <v>0.14205063655796865</v>
      </c>
      <c r="AN114" s="185">
        <v>0.14501160515045713</v>
      </c>
      <c r="AO114" s="185">
        <v>0.14796823024950845</v>
      </c>
      <c r="AP114" s="187">
        <v>0.15092242628587924</v>
      </c>
      <c r="BI114" s="110"/>
      <c r="BJ114" s="93">
        <f t="shared" si="16"/>
        <v>650000</v>
      </c>
      <c r="BK114" s="200">
        <v>0.14868413765575084</v>
      </c>
      <c r="BL114" s="200">
        <v>0.16395493821534685</v>
      </c>
      <c r="BM114" s="200">
        <v>0.1690461501318291</v>
      </c>
      <c r="BN114" s="200">
        <v>0.17159246419534785</v>
      </c>
      <c r="BO114" s="200">
        <v>0.17312081856447398</v>
      </c>
      <c r="BP114" s="200">
        <v>0.1761817621231047</v>
      </c>
      <c r="BQ114" s="200">
        <v>0.1772067651774164</v>
      </c>
      <c r="BR114" s="200">
        <v>0.17619582781132878</v>
      </c>
      <c r="BS114" s="200">
        <v>0.17681360168738172</v>
      </c>
      <c r="BT114" s="200">
        <v>0.17722776109936803</v>
      </c>
      <c r="BU114" s="200">
        <v>0.17665302364902696</v>
      </c>
      <c r="BV114" s="200">
        <v>0.176987155415218</v>
      </c>
      <c r="BW114" s="200">
        <v>0.17724855337873435</v>
      </c>
      <c r="BX114" s="201">
        <v>0.17684825576065025</v>
      </c>
      <c r="BY114" s="11"/>
    </row>
    <row r="115">
      <c r="R115" s="10"/>
      <c r="U115" s="110"/>
      <c r="V115" s="93">
        <f t="shared" si="14"/>
        <v>800000</v>
      </c>
      <c r="W115" s="104">
        <v>0.130724002362571</v>
      </c>
      <c r="X115" s="105">
        <v>0.15637538328270958</v>
      </c>
      <c r="Y115" s="105">
        <v>0.18202676420284816</v>
      </c>
      <c r="Z115" s="105">
        <v>0.20767814512298674</v>
      </c>
      <c r="AA115" s="105">
        <v>0.2333295260431253</v>
      </c>
      <c r="AB115" s="105">
        <v>0.2589809069632639</v>
      </c>
      <c r="AC115" s="106">
        <v>0.28463228788340234</v>
      </c>
      <c r="AE115" s="110"/>
      <c r="AF115" s="93">
        <f t="shared" si="15"/>
        <v>800000</v>
      </c>
      <c r="AG115" s="185">
        <v>0.10107181927701121</v>
      </c>
      <c r="AH115" s="185">
        <v>0.10867779679203422</v>
      </c>
      <c r="AI115" s="185">
        <v>0.1161358443987026</v>
      </c>
      <c r="AJ115" s="185">
        <v>0.12347492521591523</v>
      </c>
      <c r="AK115" s="186">
        <v>0.130724002362571</v>
      </c>
      <c r="AL115" s="185">
        <v>0.13360491993211074</v>
      </c>
      <c r="AM115" s="185">
        <v>0.1364779246529948</v>
      </c>
      <c r="AN115" s="185">
        <v>0.13934487016483263</v>
      </c>
      <c r="AO115" s="185">
        <v>0.1422076101072338</v>
      </c>
      <c r="AP115" s="187">
        <v>0.1450679981198077</v>
      </c>
      <c r="BI115" s="110"/>
      <c r="BJ115" s="93">
        <f t="shared" si="16"/>
        <v>700000</v>
      </c>
      <c r="BK115" s="200">
        <v>0.1420590344636976</v>
      </c>
      <c r="BL115" s="200">
        <v>0.15732983502329365</v>
      </c>
      <c r="BM115" s="200">
        <v>0.16242104693977588</v>
      </c>
      <c r="BN115" s="200">
        <v>0.16496736100329462</v>
      </c>
      <c r="BO115" s="200">
        <v>0.16649571537242078</v>
      </c>
      <c r="BP115" s="200">
        <v>0.1695566589310515</v>
      </c>
      <c r="BQ115" s="200">
        <v>0.1705816619853632</v>
      </c>
      <c r="BR115" s="200">
        <v>0.16957072461927558</v>
      </c>
      <c r="BS115" s="200">
        <v>0.1701884984953285</v>
      </c>
      <c r="BT115" s="200">
        <v>0.17060265790731483</v>
      </c>
      <c r="BU115" s="200">
        <v>0.17002792045697374</v>
      </c>
      <c r="BV115" s="200">
        <v>0.1703620522231648</v>
      </c>
      <c r="BW115" s="200">
        <v>0.17062345018668112</v>
      </c>
      <c r="BX115" s="201">
        <v>0.17022315256859702</v>
      </c>
      <c r="BY115" s="11"/>
    </row>
    <row r="116">
      <c r="R116" s="10"/>
      <c r="U116" s="110"/>
      <c r="V116" s="93">
        <f t="shared" si="14"/>
        <v>850000</v>
      </c>
      <c r="W116" s="104">
        <v>0.12582233130916257</v>
      </c>
      <c r="X116" s="105">
        <v>0.15070782612720607</v>
      </c>
      <c r="Y116" s="105">
        <v>0.17559332094524954</v>
      </c>
      <c r="Z116" s="105">
        <v>0.20047881576329296</v>
      </c>
      <c r="AA116" s="105">
        <v>0.2253643105813365</v>
      </c>
      <c r="AB116" s="105">
        <v>0.25024980539937997</v>
      </c>
      <c r="AC116" s="106">
        <v>0.2751353002174236</v>
      </c>
      <c r="AE116" s="110"/>
      <c r="AF116" s="93">
        <f t="shared" si="15"/>
        <v>850000</v>
      </c>
      <c r="AG116" s="185">
        <v>0.09705548827577039</v>
      </c>
      <c r="AH116" s="185">
        <v>0.10443437031824405</v>
      </c>
      <c r="AI116" s="185">
        <v>0.11166973926958022</v>
      </c>
      <c r="AJ116" s="185">
        <v>0.11878969348235952</v>
      </c>
      <c r="AK116" s="186">
        <v>0.12582233130916257</v>
      </c>
      <c r="AL116" s="185">
        <v>0.12861723188278848</v>
      </c>
      <c r="AM116" s="185">
        <v>0.13140445586563623</v>
      </c>
      <c r="AN116" s="185">
        <v>0.13418580155227094</v>
      </c>
      <c r="AO116" s="185">
        <v>0.13696306723725796</v>
      </c>
      <c r="AP116" s="187">
        <v>0.13973805121516217</v>
      </c>
      <c r="BI116" s="110"/>
      <c r="BJ116" s="93">
        <f t="shared" si="16"/>
        <v>750000</v>
      </c>
      <c r="BK116" s="200">
        <v>0.13610801116965318</v>
      </c>
      <c r="BL116" s="200">
        <v>0.15137881172924922</v>
      </c>
      <c r="BM116" s="200">
        <v>0.15647002364573145</v>
      </c>
      <c r="BN116" s="200">
        <v>0.1590163377092502</v>
      </c>
      <c r="BO116" s="200">
        <v>0.16054469207837635</v>
      </c>
      <c r="BP116" s="200">
        <v>0.16360563563700706</v>
      </c>
      <c r="BQ116" s="200">
        <v>0.16463063869131878</v>
      </c>
      <c r="BR116" s="200">
        <v>0.16361970132523113</v>
      </c>
      <c r="BS116" s="200">
        <v>0.16423747520128407</v>
      </c>
      <c r="BT116" s="200">
        <v>0.1646516346132704</v>
      </c>
      <c r="BU116" s="200">
        <v>0.16407689716292934</v>
      </c>
      <c r="BV116" s="200">
        <v>0.16441102892912035</v>
      </c>
      <c r="BW116" s="200">
        <v>0.1646724268926367</v>
      </c>
      <c r="BX116" s="201">
        <v>0.1642721292745526</v>
      </c>
      <c r="BY116" s="11"/>
    </row>
    <row r="117">
      <c r="R117" s="10"/>
      <c r="U117" s="110"/>
      <c r="V117" s="93">
        <f t="shared" si="14"/>
        <v>900000</v>
      </c>
      <c r="W117" s="104">
        <v>0.12133502918134667</v>
      </c>
      <c r="X117" s="105">
        <v>0.14551938304191894</v>
      </c>
      <c r="Y117" s="105">
        <v>0.1697037369024912</v>
      </c>
      <c r="Z117" s="105">
        <v>0.19388809076306351</v>
      </c>
      <c r="AA117" s="105">
        <v>0.21807244462363579</v>
      </c>
      <c r="AB117" s="105">
        <v>0.24225679848420797</v>
      </c>
      <c r="AC117" s="106">
        <v>0.2664411523447803</v>
      </c>
      <c r="AE117" s="110"/>
      <c r="AF117" s="93">
        <f t="shared" si="15"/>
        <v>900000</v>
      </c>
      <c r="AG117" s="188">
        <v>0.09337868286563417</v>
      </c>
      <c r="AH117" s="188">
        <v>0.10054966723686776</v>
      </c>
      <c r="AI117" s="188">
        <v>0.1075811819529842</v>
      </c>
      <c r="AJ117" s="188">
        <v>0.11450053370435374</v>
      </c>
      <c r="AK117" s="189">
        <v>0.12133502918134667</v>
      </c>
      <c r="AL117" s="188">
        <v>0.12405118431396138</v>
      </c>
      <c r="AM117" s="188">
        <v>0.1267598791413188</v>
      </c>
      <c r="AN117" s="188">
        <v>0.12946286129160262</v>
      </c>
      <c r="AO117" s="188">
        <v>0.13216187839299653</v>
      </c>
      <c r="AP117" s="190">
        <v>0.13485867807368423</v>
      </c>
      <c r="BI117" s="110"/>
      <c r="BJ117" s="93">
        <f t="shared" si="16"/>
        <v>800000</v>
      </c>
      <c r="BK117" s="200">
        <v>0.130724002362571</v>
      </c>
      <c r="BL117" s="200">
        <v>0.14599480292216704</v>
      </c>
      <c r="BM117" s="200">
        <v>0.15108601483864928</v>
      </c>
      <c r="BN117" s="200">
        <v>0.15363232890216802</v>
      </c>
      <c r="BO117" s="200">
        <v>0.15516068327129418</v>
      </c>
      <c r="BP117" s="200">
        <v>0.1582216268299249</v>
      </c>
      <c r="BQ117" s="200">
        <v>0.15924662988423657</v>
      </c>
      <c r="BR117" s="200">
        <v>0.15823569251814898</v>
      </c>
      <c r="BS117" s="200">
        <v>0.1588534663942019</v>
      </c>
      <c r="BT117" s="200">
        <v>0.1592676258061882</v>
      </c>
      <c r="BU117" s="200">
        <v>0.15869288835584716</v>
      </c>
      <c r="BV117" s="200">
        <v>0.15902702012203818</v>
      </c>
      <c r="BW117" s="200">
        <v>0.15928841808555452</v>
      </c>
      <c r="BX117" s="201">
        <v>0.15888812046747042</v>
      </c>
      <c r="BY117" s="11"/>
    </row>
    <row r="118">
      <c r="R118" s="10"/>
      <c r="U118" s="154"/>
      <c r="V118" s="93">
        <f t="shared" si="14"/>
        <v>950000</v>
      </c>
      <c r="W118" s="104">
        <v>0.11720682216550919</v>
      </c>
      <c r="X118" s="105">
        <v>0.14074614367985686</v>
      </c>
      <c r="Y118" s="105">
        <v>0.16428546519420448</v>
      </c>
      <c r="Z118" s="105">
        <v>0.1878247867085522</v>
      </c>
      <c r="AA118" s="105">
        <v>0.21136410822289983</v>
      </c>
      <c r="AB118" s="105">
        <v>0.23490342973724754</v>
      </c>
      <c r="AC118" s="106">
        <v>0.2584427512515951</v>
      </c>
      <c r="AE118" s="202"/>
      <c r="AF118" s="93">
        <f t="shared" si="15"/>
        <v>950000</v>
      </c>
      <c r="AG118" s="185">
        <v>0.08999611279175734</v>
      </c>
      <c r="AH118" s="185">
        <v>0.09697583644540533</v>
      </c>
      <c r="AI118" s="185">
        <v>0.10381981030510702</v>
      </c>
      <c r="AJ118" s="185">
        <v>0.11055461275157179</v>
      </c>
      <c r="AK118" s="186">
        <v>0.11720682216550919</v>
      </c>
      <c r="AL118" s="185">
        <v>0.11985053343925539</v>
      </c>
      <c r="AM118" s="185">
        <v>0.12248698338507616</v>
      </c>
      <c r="AN118" s="185">
        <v>0.12511787301933697</v>
      </c>
      <c r="AO118" s="185">
        <v>0.12774490335840302</v>
      </c>
      <c r="AP118" s="187">
        <v>0.13036977541863987</v>
      </c>
      <c r="BI118" s="110"/>
      <c r="BJ118" s="93">
        <f t="shared" si="16"/>
        <v>850000</v>
      </c>
      <c r="BK118" s="200">
        <v>0.12582233130916257</v>
      </c>
      <c r="BL118" s="200">
        <v>0.14109313186875858</v>
      </c>
      <c r="BM118" s="200">
        <v>0.1461843437852408</v>
      </c>
      <c r="BN118" s="200">
        <v>0.14873065784875958</v>
      </c>
      <c r="BO118" s="200">
        <v>0.1502590122178857</v>
      </c>
      <c r="BP118" s="200">
        <v>0.15331995577651641</v>
      </c>
      <c r="BQ118" s="200">
        <v>0.1543449588308281</v>
      </c>
      <c r="BR118" s="200">
        <v>0.15333402146474048</v>
      </c>
      <c r="BS118" s="200">
        <v>0.1539517953407934</v>
      </c>
      <c r="BT118" s="200">
        <v>0.15436595475277975</v>
      </c>
      <c r="BU118" s="200">
        <v>0.1537912173024387</v>
      </c>
      <c r="BV118" s="200">
        <v>0.1541253490686297</v>
      </c>
      <c r="BW118" s="200">
        <v>0.15438674703214608</v>
      </c>
      <c r="BX118" s="201">
        <v>0.15398644941406195</v>
      </c>
      <c r="BY118" s="11"/>
    </row>
    <row r="119">
      <c r="R119" s="10"/>
      <c r="U119" s="155"/>
      <c r="V119" s="156">
        <f t="shared" si="14"/>
        <v>1000000</v>
      </c>
      <c r="W119" s="157">
        <v>0.11339223699636179</v>
      </c>
      <c r="X119" s="158">
        <v>0.13633552957803013</v>
      </c>
      <c r="Y119" s="158">
        <v>0.15927882215969852</v>
      </c>
      <c r="Z119" s="158">
        <v>0.1822221147413669</v>
      </c>
      <c r="AA119" s="158">
        <v>0.20516540732303518</v>
      </c>
      <c r="AB119" s="158">
        <v>0.2281086999047036</v>
      </c>
      <c r="AC119" s="159">
        <v>0.251051992486372</v>
      </c>
      <c r="AE119" s="155"/>
      <c r="AF119" s="156">
        <f t="shared" si="15"/>
        <v>1000000</v>
      </c>
      <c r="AG119" s="203">
        <v>0.0868705181721293</v>
      </c>
      <c r="AH119" s="203">
        <v>0.09367351127569988</v>
      </c>
      <c r="AI119" s="203">
        <v>0.10034419184687592</v>
      </c>
      <c r="AJ119" s="203">
        <v>0.10690846528673677</v>
      </c>
      <c r="AK119" s="204">
        <v>0.11339223699636179</v>
      </c>
      <c r="AL119" s="203">
        <v>0.11596900800558751</v>
      </c>
      <c r="AM119" s="203">
        <v>0.11853870154781733</v>
      </c>
      <c r="AN119" s="203">
        <v>0.12110297556872024</v>
      </c>
      <c r="AO119" s="203">
        <v>0.12366348801396533</v>
      </c>
      <c r="AP119" s="205">
        <v>0.12622189682922172</v>
      </c>
      <c r="BI119" s="110"/>
      <c r="BJ119" s="93">
        <f t="shared" si="16"/>
        <v>900000</v>
      </c>
      <c r="BK119" s="196">
        <v>0.12133502918134667</v>
      </c>
      <c r="BL119" s="196">
        <v>0.1366058297409427</v>
      </c>
      <c r="BM119" s="196">
        <v>0.14169704165742494</v>
      </c>
      <c r="BN119" s="196">
        <v>0.14424335572094368</v>
      </c>
      <c r="BO119" s="196">
        <v>0.14577171009006984</v>
      </c>
      <c r="BP119" s="196">
        <v>0.14883265364870055</v>
      </c>
      <c r="BQ119" s="196">
        <v>0.14985765670301227</v>
      </c>
      <c r="BR119" s="196">
        <v>0.14884671933692462</v>
      </c>
      <c r="BS119" s="196">
        <v>0.14946449321297756</v>
      </c>
      <c r="BT119" s="196">
        <v>0.1498786526249639</v>
      </c>
      <c r="BU119" s="196">
        <v>0.14930391517462283</v>
      </c>
      <c r="BV119" s="196">
        <v>0.14963804694081384</v>
      </c>
      <c r="BW119" s="196">
        <v>0.1498994449043302</v>
      </c>
      <c r="BX119" s="197">
        <v>0.14949914728624608</v>
      </c>
      <c r="BY119" s="11"/>
    </row>
    <row r="120">
      <c r="R120" s="10"/>
      <c r="BI120" s="163"/>
      <c r="BJ120" s="93">
        <f t="shared" si="16"/>
        <v>950000</v>
      </c>
      <c r="BK120" s="200">
        <v>0.11720682216550919</v>
      </c>
      <c r="BL120" s="200">
        <v>0.13247762272510522</v>
      </c>
      <c r="BM120" s="200">
        <v>0.13756883464158745</v>
      </c>
      <c r="BN120" s="200">
        <v>0.14011514870510622</v>
      </c>
      <c r="BO120" s="200">
        <v>0.14164350307423235</v>
      </c>
      <c r="BP120" s="200">
        <v>0.14470444663286308</v>
      </c>
      <c r="BQ120" s="200">
        <v>0.14572944968717474</v>
      </c>
      <c r="BR120" s="200">
        <v>0.14471851232108715</v>
      </c>
      <c r="BS120" s="200">
        <v>0.14533628619714004</v>
      </c>
      <c r="BT120" s="200">
        <v>0.14575044560912637</v>
      </c>
      <c r="BU120" s="200">
        <v>0.14517570815878533</v>
      </c>
      <c r="BV120" s="200">
        <v>0.14550983992497638</v>
      </c>
      <c r="BW120" s="200">
        <v>0.1457712378884927</v>
      </c>
      <c r="BX120" s="201">
        <v>0.1453709402704086</v>
      </c>
      <c r="BY120" s="11"/>
    </row>
    <row r="121">
      <c r="R121" s="10"/>
      <c r="BI121" s="164"/>
      <c r="BJ121" s="165">
        <f t="shared" si="16"/>
        <v>1000000</v>
      </c>
      <c r="BK121" s="206">
        <v>0.11339223699636179</v>
      </c>
      <c r="BL121" s="206">
        <v>0.12866303755595782</v>
      </c>
      <c r="BM121" s="206">
        <v>0.13375424947244005</v>
      </c>
      <c r="BN121" s="206">
        <v>0.13630056353595882</v>
      </c>
      <c r="BO121" s="206">
        <v>0.13782891790508492</v>
      </c>
      <c r="BP121" s="206">
        <v>0.14088986146371565</v>
      </c>
      <c r="BQ121" s="206">
        <v>0.14191486451802737</v>
      </c>
      <c r="BR121" s="206">
        <v>0.14090392715193972</v>
      </c>
      <c r="BS121" s="206">
        <v>0.14152170102799264</v>
      </c>
      <c r="BT121" s="206">
        <v>0.141935860439979</v>
      </c>
      <c r="BU121" s="206">
        <v>0.14136112298963793</v>
      </c>
      <c r="BV121" s="206">
        <v>0.14169525475582895</v>
      </c>
      <c r="BW121" s="206">
        <v>0.1419566527193453</v>
      </c>
      <c r="BX121" s="207">
        <v>0.1415563551012612</v>
      </c>
      <c r="BY121" s="11"/>
    </row>
    <row r="122">
      <c r="R122" s="10"/>
      <c r="BN122" s="171"/>
      <c r="BO122" s="23"/>
      <c r="BY122" s="11"/>
    </row>
    <row r="123">
      <c r="R123" s="168"/>
      <c r="S123" s="169"/>
      <c r="T123" s="169"/>
      <c r="U123" s="169"/>
      <c r="V123" s="169"/>
      <c r="W123" s="169"/>
      <c r="X123" s="169"/>
      <c r="Y123" s="169"/>
      <c r="Z123" s="169"/>
      <c r="AA123" s="169"/>
      <c r="AB123" s="169"/>
      <c r="AC123" s="169"/>
      <c r="AD123" s="169"/>
      <c r="AE123" s="169"/>
      <c r="AF123" s="169"/>
      <c r="AG123" s="169"/>
      <c r="AH123" s="169"/>
      <c r="AI123" s="169"/>
      <c r="AJ123" s="169"/>
      <c r="AK123" s="169"/>
      <c r="AL123" s="169"/>
      <c r="AM123" s="169"/>
      <c r="AN123" s="169"/>
      <c r="AO123" s="169"/>
      <c r="AP123" s="169"/>
      <c r="AQ123" s="169"/>
      <c r="AR123" s="169"/>
      <c r="AS123" s="169"/>
      <c r="AT123" s="169"/>
      <c r="AU123" s="169"/>
      <c r="AV123" s="169"/>
      <c r="AW123" s="169"/>
      <c r="AX123" s="169"/>
      <c r="AY123" s="169"/>
      <c r="AZ123" s="169"/>
      <c r="BA123" s="169"/>
      <c r="BB123" s="169"/>
      <c r="BC123" s="169"/>
      <c r="BD123" s="169"/>
      <c r="BE123" s="169"/>
      <c r="BF123" s="169"/>
      <c r="BG123" s="169"/>
      <c r="BH123" s="169"/>
      <c r="BI123" s="169"/>
      <c r="BJ123" s="169"/>
      <c r="BK123" s="169"/>
      <c r="BL123" s="169"/>
      <c r="BM123" s="169"/>
      <c r="BN123" s="208"/>
      <c r="BO123" s="209"/>
      <c r="BP123" s="169"/>
      <c r="BQ123" s="169"/>
      <c r="BR123" s="169"/>
      <c r="BS123" s="169"/>
      <c r="BT123" s="169"/>
      <c r="BU123" s="169"/>
      <c r="BV123" s="169"/>
      <c r="BW123" s="169"/>
      <c r="BX123" s="169"/>
      <c r="BY123" s="170"/>
    </row>
    <row r="124" ht="37.5" customHeight="1">
      <c r="BN124" s="171"/>
      <c r="BO124" s="23"/>
    </row>
    <row r="125">
      <c r="R125" s="5" t="s">
        <v>85</v>
      </c>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210"/>
      <c r="BO125" s="211"/>
      <c r="BP125" s="6"/>
      <c r="BQ125" s="6"/>
      <c r="BR125" s="6"/>
      <c r="BS125" s="6"/>
      <c r="BT125" s="6"/>
      <c r="BU125" s="6"/>
      <c r="BV125" s="6"/>
      <c r="BW125" s="6"/>
      <c r="BX125" s="6"/>
      <c r="BY125" s="7"/>
    </row>
    <row r="126">
      <c r="R126" s="10"/>
      <c r="BN126" s="171"/>
      <c r="BO126" s="23"/>
      <c r="BY126" s="11"/>
    </row>
    <row r="127">
      <c r="R127" s="10"/>
      <c r="BH127" s="171"/>
      <c r="BI127" s="171"/>
      <c r="BJ127" s="171"/>
      <c r="BK127" s="171"/>
      <c r="BL127" s="171"/>
      <c r="BN127" s="171"/>
      <c r="BO127" s="23"/>
      <c r="BY127" s="11"/>
    </row>
    <row r="128">
      <c r="R128" s="10"/>
      <c r="BH128" s="172"/>
      <c r="BI128" s="172"/>
      <c r="BJ128" s="172"/>
      <c r="BK128" s="172"/>
      <c r="BL128" s="172"/>
      <c r="BN128" s="171"/>
      <c r="BO128" s="23"/>
      <c r="BY128" s="11"/>
    </row>
    <row r="129">
      <c r="R129" s="10"/>
      <c r="BH129" s="173"/>
      <c r="BI129" s="173"/>
      <c r="BJ129" s="173"/>
      <c r="BK129" s="173"/>
      <c r="BL129" s="173"/>
      <c r="BN129" s="171"/>
      <c r="BO129" s="23"/>
      <c r="BY129" s="11"/>
    </row>
    <row r="130">
      <c r="R130" s="10"/>
      <c r="BH130" s="174"/>
      <c r="BI130" s="174"/>
      <c r="BJ130" s="174"/>
      <c r="BK130" s="174"/>
      <c r="BL130" s="174"/>
      <c r="BN130" s="171"/>
      <c r="BO130" s="23"/>
      <c r="BY130" s="11"/>
    </row>
    <row r="131">
      <c r="R131" s="10"/>
      <c r="BH131" s="175"/>
      <c r="BI131" s="175"/>
      <c r="BJ131" s="175"/>
      <c r="BK131" s="175"/>
      <c r="BL131" s="175"/>
      <c r="BN131" s="171"/>
      <c r="BO131" s="23"/>
      <c r="BY131" s="11"/>
    </row>
    <row r="132">
      <c r="R132" s="10"/>
      <c r="BH132" s="175"/>
      <c r="BI132" s="175"/>
      <c r="BJ132" s="175"/>
      <c r="BK132" s="175"/>
      <c r="BL132" s="175"/>
      <c r="BN132" s="171"/>
      <c r="BO132" s="23"/>
      <c r="BY132" s="11"/>
    </row>
    <row r="133">
      <c r="R133" s="10"/>
      <c r="BH133" s="175"/>
      <c r="BI133" s="175"/>
      <c r="BJ133" s="175"/>
      <c r="BK133" s="175"/>
      <c r="BL133" s="175"/>
      <c r="BN133" s="171"/>
      <c r="BO133" s="23"/>
      <c r="BY133" s="11"/>
    </row>
    <row r="134">
      <c r="R134" s="10"/>
      <c r="BH134" s="175"/>
      <c r="BI134" s="175"/>
      <c r="BJ134" s="175"/>
      <c r="BK134" s="175"/>
      <c r="BL134" s="175"/>
      <c r="BN134" s="171"/>
      <c r="BO134" s="23"/>
      <c r="BY134" s="11"/>
    </row>
    <row r="135">
      <c r="R135" s="10"/>
      <c r="BH135" s="175"/>
      <c r="BI135" s="175"/>
      <c r="BJ135" s="175"/>
      <c r="BK135" s="175"/>
      <c r="BL135" s="175"/>
      <c r="BN135" s="171"/>
      <c r="BO135" s="23"/>
      <c r="BY135" s="11"/>
    </row>
    <row r="136">
      <c r="R136" s="10"/>
      <c r="BH136" s="175"/>
      <c r="BI136" s="175"/>
      <c r="BJ136" s="175"/>
      <c r="BK136" s="175"/>
      <c r="BL136" s="175"/>
      <c r="BY136" s="11"/>
    </row>
    <row r="137">
      <c r="R137" s="10"/>
      <c r="BH137" s="175"/>
      <c r="BI137" s="175"/>
      <c r="BJ137" s="175"/>
      <c r="BK137" s="175"/>
      <c r="BL137" s="175"/>
      <c r="BY137" s="11"/>
    </row>
    <row r="138">
      <c r="R138" s="10"/>
      <c r="BH138" s="175"/>
      <c r="BI138" s="175"/>
      <c r="BJ138" s="175"/>
      <c r="BK138" s="175"/>
      <c r="BL138" s="175"/>
      <c r="BY138" s="11"/>
    </row>
    <row r="139">
      <c r="R139" s="10"/>
      <c r="BH139" s="175"/>
      <c r="BI139" s="175"/>
      <c r="BJ139" s="175"/>
      <c r="BK139" s="175"/>
      <c r="BL139" s="175"/>
      <c r="BY139" s="11"/>
    </row>
    <row r="140">
      <c r="R140" s="10"/>
      <c r="BH140" s="175"/>
      <c r="BI140" s="175"/>
      <c r="BJ140" s="175"/>
      <c r="BK140" s="175"/>
      <c r="BL140" s="175"/>
      <c r="BY140" s="11"/>
    </row>
    <row r="141">
      <c r="R141" s="10"/>
      <c r="BH141" s="175"/>
      <c r="BI141" s="175"/>
      <c r="BJ141" s="175"/>
      <c r="BK141" s="175"/>
      <c r="BL141" s="175"/>
      <c r="BY141" s="11"/>
    </row>
    <row r="142">
      <c r="R142" s="10"/>
      <c r="BH142" s="175"/>
      <c r="BI142" s="175"/>
      <c r="BJ142" s="175"/>
      <c r="BK142" s="175"/>
      <c r="BL142" s="175"/>
      <c r="BY142" s="11"/>
    </row>
    <row r="143">
      <c r="R143" s="10"/>
      <c r="BH143" s="175"/>
      <c r="BI143" s="175"/>
      <c r="BJ143" s="175"/>
      <c r="BK143" s="175"/>
      <c r="BL143" s="175"/>
      <c r="BY143" s="11"/>
    </row>
    <row r="144">
      <c r="R144" s="10"/>
      <c r="BH144" s="175"/>
      <c r="BI144" s="175"/>
      <c r="BJ144" s="175"/>
      <c r="BK144" s="175"/>
      <c r="BL144" s="175"/>
      <c r="BY144" s="11"/>
    </row>
    <row r="145">
      <c r="R145" s="10"/>
      <c r="BH145" s="175"/>
      <c r="BI145" s="175"/>
      <c r="BJ145" s="175"/>
      <c r="BK145" s="175"/>
      <c r="BL145" s="175"/>
      <c r="BY145" s="11"/>
    </row>
    <row r="146">
      <c r="R146" s="10"/>
      <c r="BH146" s="175"/>
      <c r="BI146" s="175"/>
      <c r="BJ146" s="175"/>
      <c r="BK146" s="175"/>
      <c r="BL146" s="175"/>
      <c r="BY146" s="11"/>
    </row>
    <row r="147">
      <c r="R147" s="10"/>
      <c r="BH147" s="175"/>
      <c r="BI147" s="175"/>
      <c r="BJ147" s="175"/>
      <c r="BK147" s="175"/>
      <c r="BL147" s="175"/>
      <c r="BY147" s="11"/>
    </row>
    <row r="148">
      <c r="R148" s="10"/>
      <c r="BY148" s="11"/>
    </row>
    <row r="149">
      <c r="R149" s="10"/>
      <c r="BY149" s="11"/>
    </row>
    <row r="150">
      <c r="R150" s="10"/>
      <c r="BY150" s="11"/>
    </row>
    <row r="151">
      <c r="R151" s="10"/>
      <c r="BY151" s="11"/>
    </row>
    <row r="152">
      <c r="R152" s="10"/>
      <c r="BY152" s="11"/>
    </row>
    <row r="153">
      <c r="R153" s="10"/>
      <c r="BY153" s="11"/>
    </row>
    <row r="154">
      <c r="R154" s="10"/>
      <c r="BY154" s="11"/>
    </row>
    <row r="155">
      <c r="R155" s="10"/>
      <c r="BY155" s="11"/>
    </row>
    <row r="156">
      <c r="R156" s="10"/>
      <c r="BY156" s="11"/>
    </row>
    <row r="157">
      <c r="R157" s="10"/>
      <c r="U157" s="70" t="s">
        <v>86</v>
      </c>
      <c r="V157" s="71"/>
      <c r="W157" s="71"/>
      <c r="X157" s="71"/>
      <c r="Y157" s="71"/>
      <c r="Z157" s="71"/>
      <c r="AA157" s="71"/>
      <c r="AB157" s="71"/>
      <c r="AC157" s="18"/>
      <c r="AE157" s="70" t="s">
        <v>86</v>
      </c>
      <c r="AF157" s="71"/>
      <c r="AG157" s="71"/>
      <c r="AH157" s="71"/>
      <c r="AI157" s="71"/>
      <c r="AJ157" s="71"/>
      <c r="AK157" s="71"/>
      <c r="AL157" s="71"/>
      <c r="AM157" s="71"/>
      <c r="AN157" s="71"/>
      <c r="AO157" s="71"/>
      <c r="AP157" s="18"/>
      <c r="AR157" s="70" t="s">
        <v>87</v>
      </c>
      <c r="AS157" s="71"/>
      <c r="AT157" s="71"/>
      <c r="AU157" s="71"/>
      <c r="AV157" s="71"/>
      <c r="AW157" s="71"/>
      <c r="AX157" s="71"/>
      <c r="AY157" s="71"/>
      <c r="AZ157" s="71"/>
      <c r="BA157" s="71"/>
      <c r="BB157" s="71"/>
      <c r="BC157" s="71"/>
      <c r="BD157" s="71"/>
      <c r="BE157" s="71"/>
      <c r="BF157" s="71"/>
      <c r="BG157" s="18"/>
      <c r="BI157" s="70" t="s">
        <v>86</v>
      </c>
      <c r="BJ157" s="71"/>
      <c r="BK157" s="71"/>
      <c r="BL157" s="71"/>
      <c r="BM157" s="71"/>
      <c r="BN157" s="71"/>
      <c r="BO157" s="71"/>
      <c r="BP157" s="71"/>
      <c r="BQ157" s="71"/>
      <c r="BR157" s="71"/>
      <c r="BS157" s="71"/>
      <c r="BT157" s="71"/>
      <c r="BU157" s="71"/>
      <c r="BV157" s="71"/>
      <c r="BW157" s="71"/>
      <c r="BX157" s="18"/>
      <c r="BY157" s="11"/>
    </row>
    <row r="158">
      <c r="R158" s="10"/>
      <c r="U158" s="77" t="s">
        <v>57</v>
      </c>
      <c r="AC158" s="78"/>
      <c r="AD158" s="23"/>
      <c r="AE158" s="85" t="s">
        <v>58</v>
      </c>
      <c r="AF158" s="182"/>
      <c r="AG158" s="182"/>
      <c r="AH158" s="182"/>
      <c r="AI158" s="183" t="s">
        <v>59</v>
      </c>
      <c r="AJ158" s="183"/>
      <c r="AK158" s="183"/>
      <c r="AL158" s="183"/>
      <c r="AM158" s="183"/>
      <c r="AN158" s="183"/>
      <c r="AO158" s="183"/>
      <c r="AP158" s="184"/>
      <c r="AR158" s="85" t="s">
        <v>58</v>
      </c>
      <c r="AS158" s="86"/>
      <c r="AT158" s="86" t="s">
        <v>44</v>
      </c>
      <c r="BG158" s="78"/>
      <c r="BI158" s="85" t="s">
        <v>58</v>
      </c>
      <c r="BJ158" s="86"/>
      <c r="BK158" s="86" t="s">
        <v>44</v>
      </c>
      <c r="BX158" s="78"/>
      <c r="BY158" s="11"/>
    </row>
    <row r="159">
      <c r="R159" s="10"/>
      <c r="U159" s="90"/>
      <c r="V159" s="91">
        <f>$F$48</f>
        <v>0.1731264395</v>
      </c>
      <c r="W159" s="92">
        <v>64.0</v>
      </c>
      <c r="X159" s="93">
        <f t="shared" ref="X159:AC159" si="17">W159+10</f>
        <v>74</v>
      </c>
      <c r="Y159" s="93">
        <f t="shared" si="17"/>
        <v>84</v>
      </c>
      <c r="Z159" s="93">
        <f t="shared" si="17"/>
        <v>94</v>
      </c>
      <c r="AA159" s="93">
        <f t="shared" si="17"/>
        <v>104</v>
      </c>
      <c r="AB159" s="93">
        <f t="shared" si="17"/>
        <v>114</v>
      </c>
      <c r="AC159" s="94">
        <f t="shared" si="17"/>
        <v>124</v>
      </c>
      <c r="AD159" s="212"/>
      <c r="AE159" s="90"/>
      <c r="AF159" s="96">
        <f>$F$48</f>
        <v>0.1731264395</v>
      </c>
      <c r="AG159" s="97">
        <f t="shared" ref="AG159:AI159" si="18">AH159-0.05</f>
        <v>0.7</v>
      </c>
      <c r="AH159" s="97">
        <f t="shared" si="18"/>
        <v>0.75</v>
      </c>
      <c r="AI159" s="97">
        <f t="shared" si="18"/>
        <v>0.8</v>
      </c>
      <c r="AJ159" s="97">
        <v>0.85</v>
      </c>
      <c r="AK159" s="98">
        <v>0.9</v>
      </c>
      <c r="AL159" s="97">
        <f t="shared" ref="AL159:AP159" si="19">AK159+0.02</f>
        <v>0.92</v>
      </c>
      <c r="AM159" s="97">
        <f t="shared" si="19"/>
        <v>0.94</v>
      </c>
      <c r="AN159" s="97">
        <f t="shared" si="19"/>
        <v>0.96</v>
      </c>
      <c r="AO159" s="97">
        <f t="shared" si="19"/>
        <v>0.98</v>
      </c>
      <c r="AP159" s="99">
        <f t="shared" si="19"/>
        <v>1</v>
      </c>
      <c r="AR159" s="85" t="s">
        <v>63</v>
      </c>
      <c r="AS159" s="86"/>
      <c r="AT159" s="86"/>
      <c r="AU159" s="86"/>
      <c r="AV159" s="86"/>
      <c r="AW159" s="86"/>
      <c r="AX159" s="86"/>
      <c r="AY159" s="86"/>
      <c r="AZ159" s="86"/>
      <c r="BA159" s="86"/>
      <c r="BB159" s="86"/>
      <c r="BC159" s="86"/>
      <c r="BD159" s="86"/>
      <c r="BE159" s="86"/>
      <c r="BF159" s="86"/>
      <c r="BG159" s="100"/>
      <c r="BI159" s="85" t="s">
        <v>63</v>
      </c>
      <c r="BJ159" s="86"/>
      <c r="BK159" s="86"/>
      <c r="BL159" s="86"/>
      <c r="BM159" s="86"/>
      <c r="BN159" s="86"/>
      <c r="BO159" s="86"/>
      <c r="BP159" s="86"/>
      <c r="BQ159" s="86"/>
      <c r="BR159" s="86"/>
      <c r="BS159" s="86"/>
      <c r="BT159" s="86"/>
      <c r="BU159" s="86"/>
      <c r="BV159" s="86"/>
      <c r="BW159" s="86"/>
      <c r="BX159" s="100"/>
      <c r="BY159" s="11"/>
    </row>
    <row r="160">
      <c r="R160" s="10"/>
      <c r="U160" s="102" t="s">
        <v>66</v>
      </c>
      <c r="V160" s="103">
        <v>100000.0</v>
      </c>
      <c r="W160" s="104">
        <v>0.42075406780719804</v>
      </c>
      <c r="X160" s="105">
        <v>0.49330712938891474</v>
      </c>
      <c r="Y160" s="105">
        <v>0.5658601909706316</v>
      </c>
      <c r="Z160" s="105">
        <v>0.6384132525523484</v>
      </c>
      <c r="AA160" s="105">
        <v>0.7109663141340651</v>
      </c>
      <c r="AB160" s="105">
        <v>0.7835193757157818</v>
      </c>
      <c r="AC160" s="106">
        <v>0.8560724372974987</v>
      </c>
      <c r="AD160" s="177"/>
      <c r="AE160" s="102" t="s">
        <v>66</v>
      </c>
      <c r="AF160" s="103">
        <v>100000.0</v>
      </c>
      <c r="AG160" s="185">
        <v>0.33688502886006044</v>
      </c>
      <c r="AH160" s="185">
        <v>0.35839798197376127</v>
      </c>
      <c r="AI160" s="185">
        <v>0.37949252612211043</v>
      </c>
      <c r="AJ160" s="185">
        <v>0.4002505813762191</v>
      </c>
      <c r="AK160" s="186">
        <v>0.42075406780719804</v>
      </c>
      <c r="AL160" s="185">
        <v>0.4289025332050421</v>
      </c>
      <c r="AM160" s="185">
        <v>0.4370286176871143</v>
      </c>
      <c r="AN160" s="185">
        <v>0.4451375641379656</v>
      </c>
      <c r="AO160" s="185">
        <v>0.4532346154421474</v>
      </c>
      <c r="AP160" s="187">
        <v>0.4613250144842105</v>
      </c>
      <c r="AR160" s="85" t="s">
        <v>67</v>
      </c>
      <c r="AS160" s="86"/>
      <c r="AT160" s="86"/>
      <c r="AU160" s="86"/>
      <c r="AV160" s="86"/>
      <c r="AW160" s="86"/>
      <c r="AX160" s="86"/>
      <c r="AY160" s="86"/>
      <c r="AZ160" s="86"/>
      <c r="BA160" s="86"/>
      <c r="BB160" s="86"/>
      <c r="BC160" s="86"/>
      <c r="BD160" s="86"/>
      <c r="BE160" s="86"/>
      <c r="BF160" s="86"/>
      <c r="BG160" s="100"/>
      <c r="BI160" s="85" t="s">
        <v>68</v>
      </c>
      <c r="BJ160" s="86"/>
      <c r="BK160" s="86"/>
      <c r="BL160" s="86"/>
      <c r="BM160" s="86"/>
      <c r="BN160" s="86"/>
      <c r="BO160" s="86"/>
      <c r="BP160" s="86"/>
      <c r="BQ160" s="86"/>
      <c r="BR160" s="86"/>
      <c r="BS160" s="86"/>
      <c r="BT160" s="86"/>
      <c r="BU160" s="86"/>
      <c r="BV160" s="86"/>
      <c r="BW160" s="86"/>
      <c r="BX160" s="100"/>
      <c r="BY160" s="11"/>
    </row>
    <row r="161">
      <c r="R161" s="10"/>
      <c r="U161" s="110"/>
      <c r="V161" s="93">
        <f t="shared" ref="V161:V178" si="22">V160+50000</f>
        <v>150000</v>
      </c>
      <c r="W161" s="104">
        <v>0.33554616467499804</v>
      </c>
      <c r="X161" s="105">
        <v>0.3947854913923083</v>
      </c>
      <c r="Y161" s="105">
        <v>0.45402481810961887</v>
      </c>
      <c r="Z161" s="105">
        <v>0.5132641448269293</v>
      </c>
      <c r="AA161" s="105">
        <v>0.57250347154424</v>
      </c>
      <c r="AB161" s="105">
        <v>0.6317427982615507</v>
      </c>
      <c r="AC161" s="106">
        <v>0.6909821249788609</v>
      </c>
      <c r="AD161" s="51"/>
      <c r="AE161" s="110"/>
      <c r="AF161" s="93">
        <f t="shared" ref="AF161:AF178" si="23">AF160+50000</f>
        <v>150000</v>
      </c>
      <c r="AG161" s="188">
        <v>0.2670673811289657</v>
      </c>
      <c r="AH161" s="188">
        <v>0.28463263379196097</v>
      </c>
      <c r="AI161" s="188">
        <v>0.3018562569653171</v>
      </c>
      <c r="AJ161" s="188">
        <v>0.31880513810700556</v>
      </c>
      <c r="AK161" s="189">
        <v>0.33554616467499804</v>
      </c>
      <c r="AL161" s="188">
        <v>0.3421993588121454</v>
      </c>
      <c r="AM161" s="188">
        <v>0.3488342790080872</v>
      </c>
      <c r="AN161" s="188">
        <v>0.3554552060601335</v>
      </c>
      <c r="AO161" s="188">
        <v>0.36206642076559414</v>
      </c>
      <c r="AP161" s="190">
        <v>0.3686722039217797</v>
      </c>
      <c r="AR161" s="90"/>
      <c r="AS161" s="91">
        <f>$F$48</f>
        <v>0.1731264395</v>
      </c>
      <c r="AT161" s="103">
        <v>1.0</v>
      </c>
      <c r="AU161" s="93">
        <f t="shared" ref="AU161:AX161" si="20">AT161+1</f>
        <v>2</v>
      </c>
      <c r="AV161" s="93">
        <f t="shared" si="20"/>
        <v>3</v>
      </c>
      <c r="AW161" s="93">
        <f t="shared" si="20"/>
        <v>4</v>
      </c>
      <c r="AX161" s="93">
        <f t="shared" si="20"/>
        <v>5</v>
      </c>
      <c r="AY161" s="103">
        <v>10.0</v>
      </c>
      <c r="AZ161" s="103">
        <v>15.0</v>
      </c>
      <c r="BA161" s="103">
        <v>20.0</v>
      </c>
      <c r="BB161" s="103">
        <v>25.0</v>
      </c>
      <c r="BC161" s="103">
        <v>30.0</v>
      </c>
      <c r="BD161" s="103">
        <v>35.0</v>
      </c>
      <c r="BE161" s="103">
        <v>40.0</v>
      </c>
      <c r="BF161" s="103">
        <v>45.0</v>
      </c>
      <c r="BG161" s="114">
        <v>50.0</v>
      </c>
      <c r="BI161" s="90"/>
      <c r="BJ161" s="91">
        <f>$F$48</f>
        <v>0.1731264395</v>
      </c>
      <c r="BK161" s="103">
        <v>1.0</v>
      </c>
      <c r="BL161" s="93">
        <f t="shared" ref="BL161:BO161" si="21">BK161+1</f>
        <v>2</v>
      </c>
      <c r="BM161" s="93">
        <f t="shared" si="21"/>
        <v>3</v>
      </c>
      <c r="BN161" s="93">
        <f t="shared" si="21"/>
        <v>4</v>
      </c>
      <c r="BO161" s="93">
        <f t="shared" si="21"/>
        <v>5</v>
      </c>
      <c r="BP161" s="103">
        <v>10.0</v>
      </c>
      <c r="BQ161" s="103">
        <v>15.0</v>
      </c>
      <c r="BR161" s="103">
        <v>20.0</v>
      </c>
      <c r="BS161" s="103">
        <v>25.0</v>
      </c>
      <c r="BT161" s="103">
        <v>30.0</v>
      </c>
      <c r="BU161" s="103">
        <v>35.0</v>
      </c>
      <c r="BV161" s="103">
        <v>40.0</v>
      </c>
      <c r="BW161" s="103">
        <v>45.0</v>
      </c>
      <c r="BX161" s="114">
        <v>50.0</v>
      </c>
      <c r="BY161" s="11"/>
    </row>
    <row r="162">
      <c r="R162" s="10"/>
      <c r="U162" s="110"/>
      <c r="V162" s="93">
        <f t="shared" si="22"/>
        <v>200000</v>
      </c>
      <c r="W162" s="104">
        <v>0.2847521494619841</v>
      </c>
      <c r="X162" s="105">
        <v>0.3360549113022613</v>
      </c>
      <c r="Y162" s="105">
        <v>0.3873576731425384</v>
      </c>
      <c r="Z162" s="105">
        <v>0.43866043498281554</v>
      </c>
      <c r="AA162" s="105">
        <v>0.48996319682309264</v>
      </c>
      <c r="AB162" s="105">
        <v>0.5412659586633699</v>
      </c>
      <c r="AC162" s="106">
        <v>0.5925687205036468</v>
      </c>
      <c r="AD162" s="144"/>
      <c r="AE162" s="110"/>
      <c r="AF162" s="93">
        <f t="shared" si="23"/>
        <v>200000</v>
      </c>
      <c r="AG162" s="185">
        <v>0.22544778329086454</v>
      </c>
      <c r="AH162" s="185">
        <v>0.24065973832091053</v>
      </c>
      <c r="AI162" s="185">
        <v>0.25557583353424734</v>
      </c>
      <c r="AJ162" s="185">
        <v>0.2702539951686726</v>
      </c>
      <c r="AK162" s="186">
        <v>0.2847521494619841</v>
      </c>
      <c r="AL162" s="185">
        <v>0.2905139846010636</v>
      </c>
      <c r="AM162" s="185">
        <v>0.2962599940428317</v>
      </c>
      <c r="AN162" s="185">
        <v>0.3019938850665074</v>
      </c>
      <c r="AO162" s="185">
        <v>0.3077193649513097</v>
      </c>
      <c r="AP162" s="187">
        <v>0.3134401409764575</v>
      </c>
      <c r="AR162" s="118" t="s">
        <v>73</v>
      </c>
      <c r="AS162" s="119">
        <f>AG159</f>
        <v>0.7</v>
      </c>
      <c r="AT162" s="105">
        <v>0.07672982738265563</v>
      </c>
      <c r="AU162" s="105">
        <v>0.09852259054055036</v>
      </c>
      <c r="AV162" s="105">
        <v>0.10578684492651529</v>
      </c>
      <c r="AW162" s="105">
        <v>0.10941897211949773</v>
      </c>
      <c r="AX162" s="105">
        <v>0.11159824843528722</v>
      </c>
      <c r="AY162" s="105">
        <v>0.11595680106686616</v>
      </c>
      <c r="AZ162" s="105">
        <v>0.11740965194405914</v>
      </c>
      <c r="BA162" s="105">
        <v>0.11595680106686616</v>
      </c>
      <c r="BB162" s="105">
        <v>0.11682851159318194</v>
      </c>
      <c r="BC162" s="105">
        <v>0.11740965194405914</v>
      </c>
      <c r="BD162" s="105">
        <v>0.116579451442806</v>
      </c>
      <c r="BE162" s="105">
        <v>0.1170464392247609</v>
      </c>
      <c r="BF162" s="105">
        <v>0.11740965194405915</v>
      </c>
      <c r="BG162" s="106">
        <v>0.11682851159318194</v>
      </c>
      <c r="BI162" s="102" t="s">
        <v>66</v>
      </c>
      <c r="BJ162" s="103">
        <v>100000.0</v>
      </c>
      <c r="BK162" s="105">
        <v>0.42075406780719804</v>
      </c>
      <c r="BL162" s="105">
        <v>0.4425468309650928</v>
      </c>
      <c r="BM162" s="105">
        <v>0.4498110853510577</v>
      </c>
      <c r="BN162" s="105">
        <v>0.45344321254404013</v>
      </c>
      <c r="BO162" s="105">
        <v>0.4556224888598296</v>
      </c>
      <c r="BP162" s="105">
        <v>0.45998104149140856</v>
      </c>
      <c r="BQ162" s="105">
        <v>0.46143389236860155</v>
      </c>
      <c r="BR162" s="105">
        <v>0.45998104149140856</v>
      </c>
      <c r="BS162" s="105">
        <v>0.46085275201772435</v>
      </c>
      <c r="BT162" s="105">
        <v>0.46143389236860155</v>
      </c>
      <c r="BU162" s="105">
        <v>0.4606036918673484</v>
      </c>
      <c r="BV162" s="105">
        <v>0.4610706796493033</v>
      </c>
      <c r="BW162" s="105">
        <v>0.46143389236860155</v>
      </c>
      <c r="BX162" s="106">
        <v>0.46085275201772435</v>
      </c>
      <c r="BY162" s="11"/>
    </row>
    <row r="163">
      <c r="D163" s="213"/>
      <c r="G163" s="214"/>
      <c r="H163" s="214"/>
      <c r="I163" s="214"/>
      <c r="J163" s="214"/>
      <c r="K163" s="214"/>
      <c r="L163" s="214"/>
      <c r="M163" s="214"/>
      <c r="N163" s="214"/>
      <c r="O163" s="214"/>
      <c r="P163" s="214"/>
      <c r="Q163" s="214"/>
      <c r="R163" s="215"/>
      <c r="S163" s="214"/>
      <c r="T163" s="214"/>
      <c r="U163" s="110"/>
      <c r="V163" s="93">
        <f t="shared" si="22"/>
        <v>250000</v>
      </c>
      <c r="W163" s="104">
        <v>0.25008861872956567</v>
      </c>
      <c r="X163" s="105">
        <v>0.2959752038929024</v>
      </c>
      <c r="Y163" s="105">
        <v>0.34186178905623915</v>
      </c>
      <c r="Z163" s="105">
        <v>0.387748374219576</v>
      </c>
      <c r="AA163" s="105">
        <v>0.4336349593829125</v>
      </c>
      <c r="AB163" s="105">
        <v>0.47952154454624935</v>
      </c>
      <c r="AC163" s="106">
        <v>0.5254081297095861</v>
      </c>
      <c r="AD163" s="51"/>
      <c r="AE163" s="110"/>
      <c r="AF163" s="93">
        <f t="shared" si="23"/>
        <v>250000</v>
      </c>
      <c r="AG163" s="185">
        <v>0.19704518108110072</v>
      </c>
      <c r="AH163" s="185">
        <v>0.21065116728824188</v>
      </c>
      <c r="AI163" s="185">
        <v>0.22399252843059395</v>
      </c>
      <c r="AJ163" s="185">
        <v>0.23712107531031562</v>
      </c>
      <c r="AK163" s="186">
        <v>0.25008861872956567</v>
      </c>
      <c r="AL163" s="185">
        <v>0.25524216074801714</v>
      </c>
      <c r="AM163" s="185">
        <v>0.26038154783247675</v>
      </c>
      <c r="AN163" s="185">
        <v>0.2655100958742826</v>
      </c>
      <c r="AO163" s="185">
        <v>0.27063112076477275</v>
      </c>
      <c r="AP163" s="187">
        <v>0.27574793839528555</v>
      </c>
      <c r="AR163" s="110"/>
      <c r="AS163" s="119">
        <v>0.75</v>
      </c>
      <c r="AT163" s="192">
        <v>0.08353282048622619</v>
      </c>
      <c r="AU163" s="192">
        <v>0.10532558364412094</v>
      </c>
      <c r="AV163" s="192">
        <v>0.11258983803008586</v>
      </c>
      <c r="AW163" s="192">
        <v>0.1162219652230683</v>
      </c>
      <c r="AX163" s="192">
        <v>0.11840124153885778</v>
      </c>
      <c r="AY163" s="192">
        <v>0.12275979417043673</v>
      </c>
      <c r="AZ163" s="192">
        <v>0.1242126450476297</v>
      </c>
      <c r="BA163" s="192">
        <v>0.12275979417043673</v>
      </c>
      <c r="BB163" s="192">
        <v>0.12363150469675252</v>
      </c>
      <c r="BC163" s="192">
        <v>0.1242126450476297</v>
      </c>
      <c r="BD163" s="192">
        <v>0.12338244454637656</v>
      </c>
      <c r="BE163" s="192">
        <v>0.12384943232833147</v>
      </c>
      <c r="BF163" s="192">
        <v>0.1242126450476297</v>
      </c>
      <c r="BG163" s="193">
        <v>0.12363150469675252</v>
      </c>
      <c r="BI163" s="110"/>
      <c r="BJ163" s="93">
        <f t="shared" ref="BJ163:BJ180" si="24">BJ162+50000</f>
        <v>150000</v>
      </c>
      <c r="BK163" s="192">
        <v>0.33554616467499804</v>
      </c>
      <c r="BL163" s="192">
        <v>0.3573389278328928</v>
      </c>
      <c r="BM163" s="192">
        <v>0.3646031822188577</v>
      </c>
      <c r="BN163" s="192">
        <v>0.36823530941184013</v>
      </c>
      <c r="BO163" s="192">
        <v>0.3704145857276296</v>
      </c>
      <c r="BP163" s="192">
        <v>0.3747731383592085</v>
      </c>
      <c r="BQ163" s="192">
        <v>0.3762259892364015</v>
      </c>
      <c r="BR163" s="192">
        <v>0.3747731383592085</v>
      </c>
      <c r="BS163" s="192">
        <v>0.3756448488855243</v>
      </c>
      <c r="BT163" s="192">
        <v>0.3762259892364015</v>
      </c>
      <c r="BU163" s="192">
        <v>0.3753957887351484</v>
      </c>
      <c r="BV163" s="192">
        <v>0.37586277651710326</v>
      </c>
      <c r="BW163" s="192">
        <v>0.37622598923640155</v>
      </c>
      <c r="BX163" s="193">
        <v>0.3756448488855243</v>
      </c>
      <c r="BY163" s="11"/>
    </row>
    <row r="164">
      <c r="D164" s="173"/>
      <c r="E164" s="216"/>
      <c r="F164" s="214"/>
      <c r="G164" s="214"/>
      <c r="H164" s="214"/>
      <c r="I164" s="214"/>
      <c r="J164" s="214"/>
      <c r="K164" s="214"/>
      <c r="L164" s="214"/>
      <c r="M164" s="214"/>
      <c r="N164" s="214"/>
      <c r="O164" s="214"/>
      <c r="P164" s="214"/>
      <c r="Q164" s="214"/>
      <c r="R164" s="215"/>
      <c r="S164" s="214"/>
      <c r="T164" s="214"/>
      <c r="U164" s="110"/>
      <c r="V164" s="93">
        <f t="shared" si="22"/>
        <v>300000</v>
      </c>
      <c r="W164" s="104">
        <v>0.224501063346519</v>
      </c>
      <c r="X164" s="105">
        <v>0.2663895929812546</v>
      </c>
      <c r="Y164" s="105">
        <v>0.3082781226159903</v>
      </c>
      <c r="Z164" s="105">
        <v>0.35016665225072596</v>
      </c>
      <c r="AA164" s="105">
        <v>0.39205518188546173</v>
      </c>
      <c r="AB164" s="105">
        <v>0.43394371152019734</v>
      </c>
      <c r="AC164" s="106">
        <v>0.4758322411549331</v>
      </c>
      <c r="AD164" s="51"/>
      <c r="AE164" s="110"/>
      <c r="AF164" s="93">
        <f t="shared" si="23"/>
        <v>300000</v>
      </c>
      <c r="AG164" s="185">
        <v>0.17607925113371387</v>
      </c>
      <c r="AH164" s="185">
        <v>0.18849976040497282</v>
      </c>
      <c r="AI164" s="185">
        <v>0.20067870114745465</v>
      </c>
      <c r="AJ164" s="185">
        <v>0.2126633699362674</v>
      </c>
      <c r="AK164" s="186">
        <v>0.224501063346519</v>
      </c>
      <c r="AL164" s="185">
        <v>0.2292055820374466</v>
      </c>
      <c r="AM164" s="185">
        <v>0.2338971791006286</v>
      </c>
      <c r="AN164" s="185">
        <v>0.23857888151687198</v>
      </c>
      <c r="AO164" s="185">
        <v>0.2432537162669835</v>
      </c>
      <c r="AP164" s="187">
        <v>0.24792471033177008</v>
      </c>
      <c r="AR164" s="110"/>
      <c r="AS164" s="119">
        <v>0.8</v>
      </c>
      <c r="AT164" s="105">
        <v>0.09020350105740227</v>
      </c>
      <c r="AU164" s="105">
        <v>0.111996264215297</v>
      </c>
      <c r="AV164" s="105">
        <v>0.11926051860126191</v>
      </c>
      <c r="AW164" s="105">
        <v>0.12289264579424437</v>
      </c>
      <c r="AX164" s="105">
        <v>0.12507192211003382</v>
      </c>
      <c r="AY164" s="105">
        <v>0.1294304747416128</v>
      </c>
      <c r="AZ164" s="105">
        <v>0.13088332561880575</v>
      </c>
      <c r="BA164" s="105">
        <v>0.1294304747416128</v>
      </c>
      <c r="BB164" s="105">
        <v>0.13030218526792858</v>
      </c>
      <c r="BC164" s="105">
        <v>0.13088332561880575</v>
      </c>
      <c r="BD164" s="105">
        <v>0.13005312511755263</v>
      </c>
      <c r="BE164" s="105">
        <v>0.13052011289950752</v>
      </c>
      <c r="BF164" s="105">
        <v>0.13088332561880578</v>
      </c>
      <c r="BG164" s="106">
        <v>0.13030218526792858</v>
      </c>
      <c r="BI164" s="110"/>
      <c r="BJ164" s="93">
        <f t="shared" si="24"/>
        <v>200000</v>
      </c>
      <c r="BK164" s="105">
        <v>0.2847521494619841</v>
      </c>
      <c r="BL164" s="105">
        <v>0.3065449126198789</v>
      </c>
      <c r="BM164" s="105">
        <v>0.31380916700584377</v>
      </c>
      <c r="BN164" s="105">
        <v>0.3174412941988262</v>
      </c>
      <c r="BO164" s="105">
        <v>0.31962057051461573</v>
      </c>
      <c r="BP164" s="105">
        <v>0.3239791231461947</v>
      </c>
      <c r="BQ164" s="105">
        <v>0.32543197402338764</v>
      </c>
      <c r="BR164" s="105">
        <v>0.3239791231461947</v>
      </c>
      <c r="BS164" s="105">
        <v>0.3248508336725105</v>
      </c>
      <c r="BT164" s="105">
        <v>0.32543197402338764</v>
      </c>
      <c r="BU164" s="105">
        <v>0.32460177352213454</v>
      </c>
      <c r="BV164" s="105">
        <v>0.3250687613040894</v>
      </c>
      <c r="BW164" s="105">
        <v>0.3254319740233877</v>
      </c>
      <c r="BX164" s="106">
        <v>0.3248508336725105</v>
      </c>
      <c r="BY164" s="11"/>
    </row>
    <row r="165">
      <c r="D165" s="173"/>
      <c r="E165" s="216"/>
      <c r="F165" s="214"/>
      <c r="G165" s="174"/>
      <c r="H165" s="174"/>
      <c r="I165" s="174"/>
      <c r="J165" s="174"/>
      <c r="K165" s="174"/>
      <c r="L165" s="174"/>
      <c r="M165" s="174"/>
      <c r="N165" s="174"/>
      <c r="O165" s="174"/>
      <c r="P165" s="174"/>
      <c r="Q165" s="174"/>
      <c r="R165" s="217"/>
      <c r="S165" s="174"/>
      <c r="T165" s="174"/>
      <c r="U165" s="110"/>
      <c r="V165" s="93">
        <f t="shared" si="22"/>
        <v>350000</v>
      </c>
      <c r="W165" s="104">
        <v>0.20461442687305195</v>
      </c>
      <c r="X165" s="105">
        <v>0.24339566955880843</v>
      </c>
      <c r="Y165" s="105">
        <v>0.2821769122445648</v>
      </c>
      <c r="Z165" s="105">
        <v>0.32095815493032137</v>
      </c>
      <c r="AA165" s="105">
        <v>0.3597393976160779</v>
      </c>
      <c r="AB165" s="105">
        <v>0.3985206403018343</v>
      </c>
      <c r="AC165" s="106">
        <v>0.4373018829875908</v>
      </c>
      <c r="AD165" s="51"/>
      <c r="AE165" s="110"/>
      <c r="AF165" s="93">
        <f t="shared" si="23"/>
        <v>350000</v>
      </c>
      <c r="AG165" s="185">
        <v>0.159784539859025</v>
      </c>
      <c r="AH165" s="185">
        <v>0.17128369699176785</v>
      </c>
      <c r="AI165" s="185">
        <v>0.18255920512509646</v>
      </c>
      <c r="AJ165" s="185">
        <v>0.193654852378896</v>
      </c>
      <c r="AK165" s="186">
        <v>0.20461442687305195</v>
      </c>
      <c r="AL165" s="185">
        <v>0.20896996483686836</v>
      </c>
      <c r="AM165" s="185">
        <v>0.21331353969799624</v>
      </c>
      <c r="AN165" s="185">
        <v>0.217647953896108</v>
      </c>
      <c r="AO165" s="185">
        <v>0.22197600987087648</v>
      </c>
      <c r="AP165" s="187">
        <v>0.22630051006197419</v>
      </c>
      <c r="AR165" s="110"/>
      <c r="AS165" s="119">
        <v>0.85</v>
      </c>
      <c r="AT165" s="105">
        <v>0.09676777449726308</v>
      </c>
      <c r="AU165" s="105">
        <v>0.11856053765515781</v>
      </c>
      <c r="AV165" s="105">
        <v>0.12582479204112273</v>
      </c>
      <c r="AW165" s="105">
        <v>0.12945691923410518</v>
      </c>
      <c r="AX165" s="105">
        <v>0.13163619554989467</v>
      </c>
      <c r="AY165" s="105">
        <v>0.1359947481814736</v>
      </c>
      <c r="AZ165" s="105">
        <v>0.13744759905866658</v>
      </c>
      <c r="BA165" s="105">
        <v>0.1359947481814736</v>
      </c>
      <c r="BB165" s="105">
        <v>0.1368664587077894</v>
      </c>
      <c r="BC165" s="105">
        <v>0.13744759905866658</v>
      </c>
      <c r="BD165" s="105">
        <v>0.13661739855741345</v>
      </c>
      <c r="BE165" s="105">
        <v>0.13708438633936837</v>
      </c>
      <c r="BF165" s="105">
        <v>0.1374475990586666</v>
      </c>
      <c r="BG165" s="106">
        <v>0.1368664587077894</v>
      </c>
      <c r="BI165" s="110"/>
      <c r="BJ165" s="93">
        <f t="shared" si="24"/>
        <v>250000</v>
      </c>
      <c r="BK165" s="105">
        <v>0.25008861872956567</v>
      </c>
      <c r="BL165" s="105">
        <v>0.2718813818874604</v>
      </c>
      <c r="BM165" s="105">
        <v>0.27914563627342537</v>
      </c>
      <c r="BN165" s="105">
        <v>0.2827777634664078</v>
      </c>
      <c r="BO165" s="105">
        <v>0.2849570397821972</v>
      </c>
      <c r="BP165" s="105">
        <v>0.2893155924137762</v>
      </c>
      <c r="BQ165" s="105">
        <v>0.29076844329096924</v>
      </c>
      <c r="BR165" s="105">
        <v>0.2893155924137762</v>
      </c>
      <c r="BS165" s="105">
        <v>0.290187302940092</v>
      </c>
      <c r="BT165" s="105">
        <v>0.29076844329096924</v>
      </c>
      <c r="BU165" s="105">
        <v>0.2899382427897161</v>
      </c>
      <c r="BV165" s="105">
        <v>0.29040523057167095</v>
      </c>
      <c r="BW165" s="105">
        <v>0.2907684432909692</v>
      </c>
      <c r="BX165" s="106">
        <v>0.290187302940092</v>
      </c>
      <c r="BY165" s="11"/>
    </row>
    <row r="166">
      <c r="D166" s="218"/>
      <c r="E166" s="219"/>
      <c r="F166" s="174"/>
      <c r="G166" s="220"/>
      <c r="H166" s="220"/>
      <c r="I166" s="220"/>
      <c r="J166" s="220"/>
      <c r="K166" s="220"/>
      <c r="L166" s="220"/>
      <c r="M166" s="220"/>
      <c r="N166" s="220"/>
      <c r="O166" s="220"/>
      <c r="P166" s="220"/>
      <c r="Q166" s="220"/>
      <c r="R166" s="221"/>
      <c r="S166" s="220"/>
      <c r="T166" s="220"/>
      <c r="U166" s="110"/>
      <c r="V166" s="93">
        <f t="shared" si="22"/>
        <v>400000</v>
      </c>
      <c r="W166" s="104">
        <v>0.18858427074570427</v>
      </c>
      <c r="X166" s="105">
        <v>0.22486080153656265</v>
      </c>
      <c r="Y166" s="105">
        <v>0.26113733232742103</v>
      </c>
      <c r="Z166" s="105">
        <v>0.29741386311827944</v>
      </c>
      <c r="AA166" s="105">
        <v>0.3336903939091378</v>
      </c>
      <c r="AB166" s="105">
        <v>0.36996692469999615</v>
      </c>
      <c r="AC166" s="106">
        <v>0.4062434554908546</v>
      </c>
      <c r="AD166" s="51"/>
      <c r="AE166" s="110"/>
      <c r="AF166" s="93">
        <f t="shared" si="23"/>
        <v>400000</v>
      </c>
      <c r="AG166" s="185">
        <v>0.14664975127213548</v>
      </c>
      <c r="AH166" s="185">
        <v>0.15740622782898592</v>
      </c>
      <c r="AI166" s="185">
        <v>0.1679534999031605</v>
      </c>
      <c r="AJ166" s="185">
        <v>0.1783325275302148</v>
      </c>
      <c r="AK166" s="186">
        <v>0.18858427074570427</v>
      </c>
      <c r="AL166" s="185">
        <v>0.19265850344462632</v>
      </c>
      <c r="AM166" s="185">
        <v>0.19672154568566244</v>
      </c>
      <c r="AN166" s="185">
        <v>0.2007760189110881</v>
      </c>
      <c r="AO166" s="185">
        <v>0.20482454456317895</v>
      </c>
      <c r="AP166" s="187">
        <v>0.2088697440842105</v>
      </c>
      <c r="AR166" s="110"/>
      <c r="AS166" s="134">
        <v>0.9</v>
      </c>
      <c r="AT166" s="194">
        <v>0.1032515462068881</v>
      </c>
      <c r="AU166" s="194">
        <v>0.12504430936478284</v>
      </c>
      <c r="AV166" s="194">
        <v>0.13230856375074776</v>
      </c>
      <c r="AW166" s="194">
        <v>0.1359406909437302</v>
      </c>
      <c r="AX166" s="194">
        <v>0.13811996725951967</v>
      </c>
      <c r="AY166" s="194">
        <v>0.1424785198910986</v>
      </c>
      <c r="AZ166" s="194">
        <v>0.14393137076829163</v>
      </c>
      <c r="BA166" s="194">
        <v>0.1424785198910986</v>
      </c>
      <c r="BB166" s="194">
        <v>0.14335023041741443</v>
      </c>
      <c r="BC166" s="194">
        <v>0.14393137076829163</v>
      </c>
      <c r="BD166" s="194">
        <v>0.14310117026703847</v>
      </c>
      <c r="BE166" s="194">
        <v>0.14356815804899337</v>
      </c>
      <c r="BF166" s="194">
        <v>0.1439313707682916</v>
      </c>
      <c r="BG166" s="195">
        <v>0.14335023041741443</v>
      </c>
      <c r="BI166" s="110"/>
      <c r="BJ166" s="93">
        <f t="shared" si="24"/>
        <v>300000</v>
      </c>
      <c r="BK166" s="105">
        <v>0.224501063346519</v>
      </c>
      <c r="BL166" s="105">
        <v>0.24629382650441375</v>
      </c>
      <c r="BM166" s="105">
        <v>0.2535580808903787</v>
      </c>
      <c r="BN166" s="105">
        <v>0.2571902080833611</v>
      </c>
      <c r="BO166" s="105">
        <v>0.2593694843991506</v>
      </c>
      <c r="BP166" s="105">
        <v>0.2637280370307295</v>
      </c>
      <c r="BQ166" s="105">
        <v>0.2651808879079225</v>
      </c>
      <c r="BR166" s="105">
        <v>0.2637280370307295</v>
      </c>
      <c r="BS166" s="105">
        <v>0.2645997475570453</v>
      </c>
      <c r="BT166" s="105">
        <v>0.2651808879079225</v>
      </c>
      <c r="BU166" s="105">
        <v>0.2643506874066694</v>
      </c>
      <c r="BV166" s="105">
        <v>0.26481767518862426</v>
      </c>
      <c r="BW166" s="105">
        <v>0.2651808879079225</v>
      </c>
      <c r="BX166" s="106">
        <v>0.2645997475570453</v>
      </c>
      <c r="BY166" s="11"/>
    </row>
    <row r="167">
      <c r="E167" s="174"/>
      <c r="F167" s="220"/>
      <c r="G167" s="175"/>
      <c r="H167" s="175"/>
      <c r="I167" s="175"/>
      <c r="J167" s="175"/>
      <c r="K167" s="175"/>
      <c r="L167" s="175"/>
      <c r="M167" s="175"/>
      <c r="N167" s="175"/>
      <c r="O167" s="175"/>
      <c r="P167" s="175"/>
      <c r="Q167" s="175"/>
      <c r="R167" s="222"/>
      <c r="S167" s="175"/>
      <c r="T167" s="175"/>
      <c r="U167" s="110"/>
      <c r="V167" s="93">
        <f t="shared" si="22"/>
        <v>450000</v>
      </c>
      <c r="W167" s="104">
        <v>0.17530625753605958</v>
      </c>
      <c r="X167" s="105">
        <v>0.20950809876291107</v>
      </c>
      <c r="Y167" s="105">
        <v>0.24370993998976237</v>
      </c>
      <c r="Z167" s="105">
        <v>0.27791178121661386</v>
      </c>
      <c r="AA167" s="105">
        <v>0.3121136224434652</v>
      </c>
      <c r="AB167" s="105">
        <v>0.3463154636703167</v>
      </c>
      <c r="AC167" s="106">
        <v>0.3805173048971681</v>
      </c>
      <c r="AD167" s="51"/>
      <c r="AE167" s="110"/>
      <c r="AF167" s="93">
        <f t="shared" si="23"/>
        <v>450000</v>
      </c>
      <c r="AG167" s="185">
        <v>0.1357700134219798</v>
      </c>
      <c r="AH167" s="185">
        <v>0.14591131677534386</v>
      </c>
      <c r="AI167" s="185">
        <v>0.15585538025090173</v>
      </c>
      <c r="AJ167" s="185">
        <v>0.16564082134051855</v>
      </c>
      <c r="AK167" s="186">
        <v>0.17530625753605958</v>
      </c>
      <c r="AL167" s="185">
        <v>0.1791474809621126</v>
      </c>
      <c r="AM167" s="185">
        <v>0.1829781539232913</v>
      </c>
      <c r="AN167" s="185">
        <v>0.18680074793907503</v>
      </c>
      <c r="AO167" s="185">
        <v>0.19061773452894315</v>
      </c>
      <c r="AP167" s="187">
        <v>0.19443158521237514</v>
      </c>
      <c r="AR167" s="110"/>
      <c r="AS167" s="119">
        <v>0.92</v>
      </c>
      <c r="AT167" s="105">
        <v>0.10582831721611384</v>
      </c>
      <c r="AU167" s="105">
        <v>0.12762108037400857</v>
      </c>
      <c r="AV167" s="105">
        <v>0.1348853347599735</v>
      </c>
      <c r="AW167" s="105">
        <v>0.13851746195295594</v>
      </c>
      <c r="AX167" s="105">
        <v>0.14069673826874543</v>
      </c>
      <c r="AY167" s="105">
        <v>0.14505529090032437</v>
      </c>
      <c r="AZ167" s="105">
        <v>0.14650814177751734</v>
      </c>
      <c r="BA167" s="105">
        <v>0.14505529090032437</v>
      </c>
      <c r="BB167" s="105">
        <v>0.14592700142664014</v>
      </c>
      <c r="BC167" s="105">
        <v>0.14650814177751734</v>
      </c>
      <c r="BD167" s="105">
        <v>0.1456779412762642</v>
      </c>
      <c r="BE167" s="105">
        <v>0.1461449290582191</v>
      </c>
      <c r="BF167" s="105">
        <v>0.14650814177751734</v>
      </c>
      <c r="BG167" s="106">
        <v>0.14592700142664014</v>
      </c>
      <c r="BI167" s="110"/>
      <c r="BJ167" s="93">
        <f t="shared" si="24"/>
        <v>350000</v>
      </c>
      <c r="BK167" s="105">
        <v>0.20461442687305195</v>
      </c>
      <c r="BL167" s="105">
        <v>0.2264071900309467</v>
      </c>
      <c r="BM167" s="105">
        <v>0.23367144441691165</v>
      </c>
      <c r="BN167" s="105">
        <v>0.23730357160989407</v>
      </c>
      <c r="BO167" s="105">
        <v>0.23948284792568356</v>
      </c>
      <c r="BP167" s="105">
        <v>0.2438414005572625</v>
      </c>
      <c r="BQ167" s="105">
        <v>0.24529425143445546</v>
      </c>
      <c r="BR167" s="105">
        <v>0.2438414005572625</v>
      </c>
      <c r="BS167" s="105">
        <v>0.2447131110835783</v>
      </c>
      <c r="BT167" s="105">
        <v>0.24529425143445546</v>
      </c>
      <c r="BU167" s="105">
        <v>0.24446405093320236</v>
      </c>
      <c r="BV167" s="105">
        <v>0.24493103871515723</v>
      </c>
      <c r="BW167" s="105">
        <v>0.2452942514344555</v>
      </c>
      <c r="BX167" s="106">
        <v>0.2447131110835783</v>
      </c>
      <c r="BY167" s="11"/>
    </row>
    <row r="168">
      <c r="E168" s="174"/>
      <c r="F168" s="175"/>
      <c r="G168" s="220"/>
      <c r="H168" s="220"/>
      <c r="I168" s="220"/>
      <c r="J168" s="220"/>
      <c r="K168" s="220"/>
      <c r="L168" s="220"/>
      <c r="M168" s="220"/>
      <c r="N168" s="220"/>
      <c r="O168" s="220"/>
      <c r="P168" s="220"/>
      <c r="Q168" s="220"/>
      <c r="R168" s="221"/>
      <c r="S168" s="220"/>
      <c r="T168" s="220"/>
      <c r="U168" s="110"/>
      <c r="V168" s="93">
        <f t="shared" si="22"/>
        <v>500000</v>
      </c>
      <c r="W168" s="104">
        <v>0.16407345310494295</v>
      </c>
      <c r="X168" s="105">
        <v>0.1965201686394324</v>
      </c>
      <c r="Y168" s="105">
        <v>0.22896688417392175</v>
      </c>
      <c r="Z168" s="105">
        <v>0.2614135997084111</v>
      </c>
      <c r="AA168" s="105">
        <v>0.29386031524290057</v>
      </c>
      <c r="AB168" s="105">
        <v>0.32630703077739004</v>
      </c>
      <c r="AC168" s="106">
        <v>0.3587537463118794</v>
      </c>
      <c r="AD168" s="51"/>
      <c r="AE168" s="110"/>
      <c r="AF168" s="93">
        <f t="shared" si="23"/>
        <v>500000</v>
      </c>
      <c r="AG168" s="188">
        <v>0.1265660786462675</v>
      </c>
      <c r="AH168" s="188">
        <v>0.13618696375806763</v>
      </c>
      <c r="AI168" s="188">
        <v>0.1456207306920835</v>
      </c>
      <c r="AJ168" s="188">
        <v>0.1549040152178602</v>
      </c>
      <c r="AK168" s="189">
        <v>0.16407345310494295</v>
      </c>
      <c r="AL168" s="188">
        <v>0.16771755761331975</v>
      </c>
      <c r="AM168" s="188">
        <v>0.17135165307188366</v>
      </c>
      <c r="AN168" s="188">
        <v>0.17497808416988558</v>
      </c>
      <c r="AO168" s="188">
        <v>0.17859919559657628</v>
      </c>
      <c r="AP168" s="190">
        <v>0.1822173320412067</v>
      </c>
      <c r="AR168" s="110"/>
      <c r="AS168" s="119">
        <v>0.94</v>
      </c>
      <c r="AT168" s="105">
        <v>0.10839801075834364</v>
      </c>
      <c r="AU168" s="105">
        <v>0.13019077391623837</v>
      </c>
      <c r="AV168" s="105">
        <v>0.1374550283022033</v>
      </c>
      <c r="AW168" s="105">
        <v>0.14108715549518575</v>
      </c>
      <c r="AX168" s="105">
        <v>0.14326643181097523</v>
      </c>
      <c r="AY168" s="105">
        <v>0.14762498444255417</v>
      </c>
      <c r="AZ168" s="105">
        <v>0.14907783531974714</v>
      </c>
      <c r="BA168" s="105">
        <v>0.14762498444255417</v>
      </c>
      <c r="BB168" s="105">
        <v>0.14849669496886997</v>
      </c>
      <c r="BC168" s="105">
        <v>0.14907783531974714</v>
      </c>
      <c r="BD168" s="105">
        <v>0.148247634818494</v>
      </c>
      <c r="BE168" s="105">
        <v>0.1487146226004489</v>
      </c>
      <c r="BF168" s="105">
        <v>0.14907783531974717</v>
      </c>
      <c r="BG168" s="106">
        <v>0.14849669496886997</v>
      </c>
      <c r="BI168" s="110"/>
      <c r="BJ168" s="93">
        <f t="shared" si="24"/>
        <v>400000</v>
      </c>
      <c r="BK168" s="105">
        <v>0.18858427074570427</v>
      </c>
      <c r="BL168" s="105">
        <v>0.21037703390359902</v>
      </c>
      <c r="BM168" s="105">
        <v>0.21764128828956392</v>
      </c>
      <c r="BN168" s="105">
        <v>0.2212734154825464</v>
      </c>
      <c r="BO168" s="105">
        <v>0.22345269179833585</v>
      </c>
      <c r="BP168" s="105">
        <v>0.2278112444299148</v>
      </c>
      <c r="BQ168" s="105">
        <v>0.22926409530710778</v>
      </c>
      <c r="BR168" s="105">
        <v>0.2278112444299148</v>
      </c>
      <c r="BS168" s="105">
        <v>0.2286829549562306</v>
      </c>
      <c r="BT168" s="105">
        <v>0.22926409530710778</v>
      </c>
      <c r="BU168" s="105">
        <v>0.22843389480585466</v>
      </c>
      <c r="BV168" s="105">
        <v>0.22890088258780955</v>
      </c>
      <c r="BW168" s="105">
        <v>0.22926409530710778</v>
      </c>
      <c r="BX168" s="106">
        <v>0.2286829549562306</v>
      </c>
      <c r="BY168" s="11"/>
    </row>
    <row r="169">
      <c r="E169" s="174"/>
      <c r="F169" s="220"/>
      <c r="G169" s="220"/>
      <c r="H169" s="220"/>
      <c r="I169" s="220"/>
      <c r="J169" s="220"/>
      <c r="K169" s="220"/>
      <c r="L169" s="220"/>
      <c r="M169" s="220"/>
      <c r="N169" s="220"/>
      <c r="O169" s="220"/>
      <c r="P169" s="220"/>
      <c r="Q169" s="220"/>
      <c r="R169" s="221"/>
      <c r="S169" s="220"/>
      <c r="T169" s="220"/>
      <c r="U169" s="110"/>
      <c r="V169" s="93">
        <f t="shared" si="22"/>
        <v>550000</v>
      </c>
      <c r="W169" s="104">
        <v>0.1544095418827992</v>
      </c>
      <c r="X169" s="105">
        <v>0.18534627128882863</v>
      </c>
      <c r="Y169" s="105">
        <v>0.21628300069485817</v>
      </c>
      <c r="Z169" s="105">
        <v>0.2472197301008876</v>
      </c>
      <c r="AA169" s="105">
        <v>0.2781564595069171</v>
      </c>
      <c r="AB169" s="105">
        <v>0.3090931889129466</v>
      </c>
      <c r="AC169" s="106">
        <v>0.34002991831897605</v>
      </c>
      <c r="AD169" s="144"/>
      <c r="AE169" s="110"/>
      <c r="AF169" s="93">
        <f t="shared" si="23"/>
        <v>550000</v>
      </c>
      <c r="AG169" s="185">
        <v>0.11864766351562654</v>
      </c>
      <c r="AH169" s="185">
        <v>0.1278208175451579</v>
      </c>
      <c r="AI169" s="185">
        <v>0.1368155613924041</v>
      </c>
      <c r="AJ169" s="185">
        <v>0.14566682589305469</v>
      </c>
      <c r="AK169" s="186">
        <v>0.1544095418827992</v>
      </c>
      <c r="AL169" s="185">
        <v>0.1578840592028377</v>
      </c>
      <c r="AM169" s="185">
        <v>0.16134903326832575</v>
      </c>
      <c r="AN169" s="185">
        <v>0.1648066996527473</v>
      </c>
      <c r="AO169" s="185">
        <v>0.16825929392958666</v>
      </c>
      <c r="AP169" s="187">
        <v>0.17170905167232783</v>
      </c>
      <c r="AR169" s="110"/>
      <c r="AS169" s="119">
        <v>0.96</v>
      </c>
      <c r="AT169" s="105">
        <v>0.11096228477924651</v>
      </c>
      <c r="AU169" s="105">
        <v>0.13275504793714124</v>
      </c>
      <c r="AV169" s="105">
        <v>0.14001930232310617</v>
      </c>
      <c r="AW169" s="105">
        <v>0.1436514295160886</v>
      </c>
      <c r="AX169" s="105">
        <v>0.14583070583187807</v>
      </c>
      <c r="AY169" s="105">
        <v>0.15018925846345701</v>
      </c>
      <c r="AZ169" s="105">
        <v>0.15164210934065</v>
      </c>
      <c r="BA169" s="105">
        <v>0.15018925846345701</v>
      </c>
      <c r="BB169" s="105">
        <v>0.1510609689897728</v>
      </c>
      <c r="BC169" s="105">
        <v>0.15164210934065</v>
      </c>
      <c r="BD169" s="105">
        <v>0.15081190883939688</v>
      </c>
      <c r="BE169" s="105">
        <v>0.15127889662135177</v>
      </c>
      <c r="BF169" s="105">
        <v>0.15164210934065</v>
      </c>
      <c r="BG169" s="106">
        <v>0.1510609689897728</v>
      </c>
      <c r="BI169" s="110"/>
      <c r="BJ169" s="93">
        <f t="shared" si="24"/>
        <v>450000</v>
      </c>
      <c r="BK169" s="105">
        <v>0.17530625753605958</v>
      </c>
      <c r="BL169" s="105">
        <v>0.19709902069395432</v>
      </c>
      <c r="BM169" s="105">
        <v>0.20436327507991922</v>
      </c>
      <c r="BN169" s="105">
        <v>0.20799540227290167</v>
      </c>
      <c r="BO169" s="105">
        <v>0.21017467858869113</v>
      </c>
      <c r="BP169" s="105">
        <v>0.2145332312202701</v>
      </c>
      <c r="BQ169" s="105">
        <v>0.2159860820974631</v>
      </c>
      <c r="BR169" s="105">
        <v>0.2145332312202701</v>
      </c>
      <c r="BS169" s="105">
        <v>0.2154049417465859</v>
      </c>
      <c r="BT169" s="105">
        <v>0.2159860820974631</v>
      </c>
      <c r="BU169" s="105">
        <v>0.21515588159620996</v>
      </c>
      <c r="BV169" s="105">
        <v>0.21562286937816483</v>
      </c>
      <c r="BW169" s="105">
        <v>0.21598608209746306</v>
      </c>
      <c r="BX169" s="106">
        <v>0.2154049417465859</v>
      </c>
      <c r="BY169" s="11"/>
    </row>
    <row r="170">
      <c r="E170" s="174"/>
      <c r="F170" s="220"/>
      <c r="G170" s="220"/>
      <c r="H170" s="220"/>
      <c r="I170" s="220"/>
      <c r="J170" s="220"/>
      <c r="K170" s="220"/>
      <c r="L170" s="220"/>
      <c r="M170" s="220"/>
      <c r="N170" s="220"/>
      <c r="O170" s="220"/>
      <c r="P170" s="220"/>
      <c r="Q170" s="220"/>
      <c r="R170" s="221"/>
      <c r="S170" s="220"/>
      <c r="T170" s="220"/>
      <c r="U170" s="110"/>
      <c r="V170" s="93">
        <f t="shared" si="22"/>
        <v>600000</v>
      </c>
      <c r="W170" s="104">
        <v>0.14598031917960427</v>
      </c>
      <c r="X170" s="105">
        <v>0.17559998253825942</v>
      </c>
      <c r="Y170" s="105">
        <v>0.20521964589691472</v>
      </c>
      <c r="Z170" s="105">
        <v>0.23483930925556992</v>
      </c>
      <c r="AA170" s="105">
        <v>0.26445897261422524</v>
      </c>
      <c r="AB170" s="105">
        <v>0.2940786359728806</v>
      </c>
      <c r="AC170" s="106">
        <v>0.3236982993315357</v>
      </c>
      <c r="AD170" s="51"/>
      <c r="AE170" s="110"/>
      <c r="AF170" s="93">
        <f t="shared" si="23"/>
        <v>600000</v>
      </c>
      <c r="AG170" s="185">
        <v>0.11174092740658813</v>
      </c>
      <c r="AH170" s="185">
        <v>0.12052355373808574</v>
      </c>
      <c r="AI170" s="185">
        <v>0.1291353653247638</v>
      </c>
      <c r="AJ170" s="185">
        <v>0.13760980589560806</v>
      </c>
      <c r="AK170" s="186">
        <v>0.14598031917960427</v>
      </c>
      <c r="AL170" s="185">
        <v>0.14930691624817796</v>
      </c>
      <c r="AM170" s="185">
        <v>0.1526243763461489</v>
      </c>
      <c r="AN170" s="185">
        <v>0.155934839872172</v>
      </c>
      <c r="AO170" s="185">
        <v>0.15924044722490233</v>
      </c>
      <c r="AP170" s="187">
        <v>0.1625433388029951</v>
      </c>
      <c r="AR170" s="110"/>
      <c r="AS170" s="119">
        <v>0.98</v>
      </c>
      <c r="AT170" s="196">
        <v>0.11352279722449164</v>
      </c>
      <c r="AU170" s="196">
        <v>0.13531556038238637</v>
      </c>
      <c r="AV170" s="196">
        <v>0.1425798147683513</v>
      </c>
      <c r="AW170" s="196">
        <v>0.14621194196133375</v>
      </c>
      <c r="AX170" s="196">
        <v>0.14839121827712323</v>
      </c>
      <c r="AY170" s="196">
        <v>0.15274977090870218</v>
      </c>
      <c r="AZ170" s="196">
        <v>0.15420262178589517</v>
      </c>
      <c r="BA170" s="196">
        <v>0.15274977090870218</v>
      </c>
      <c r="BB170" s="196">
        <v>0.15362148143501797</v>
      </c>
      <c r="BC170" s="196">
        <v>0.15420262178589517</v>
      </c>
      <c r="BD170" s="196">
        <v>0.15337242128464204</v>
      </c>
      <c r="BE170" s="196">
        <v>0.1538394090665969</v>
      </c>
      <c r="BF170" s="196">
        <v>0.15420262178589517</v>
      </c>
      <c r="BG170" s="197">
        <v>0.15362148143501797</v>
      </c>
      <c r="BI170" s="110"/>
      <c r="BJ170" s="93">
        <f t="shared" si="24"/>
        <v>500000</v>
      </c>
      <c r="BK170" s="196">
        <v>0.16407345310494295</v>
      </c>
      <c r="BL170" s="196">
        <v>0.1858662162628377</v>
      </c>
      <c r="BM170" s="196">
        <v>0.1931304706488026</v>
      </c>
      <c r="BN170" s="196">
        <v>0.19676259784178504</v>
      </c>
      <c r="BO170" s="196">
        <v>0.1989418741575745</v>
      </c>
      <c r="BP170" s="196">
        <v>0.20330042678915344</v>
      </c>
      <c r="BQ170" s="196">
        <v>0.20475327766634643</v>
      </c>
      <c r="BR170" s="196">
        <v>0.20330042678915344</v>
      </c>
      <c r="BS170" s="196">
        <v>0.20417213731546927</v>
      </c>
      <c r="BT170" s="196">
        <v>0.20475327766634643</v>
      </c>
      <c r="BU170" s="196">
        <v>0.2039230771650933</v>
      </c>
      <c r="BV170" s="196">
        <v>0.2043900649470482</v>
      </c>
      <c r="BW170" s="196">
        <v>0.20475327766634643</v>
      </c>
      <c r="BX170" s="197">
        <v>0.20417213731546927</v>
      </c>
      <c r="BY170" s="11"/>
    </row>
    <row r="171">
      <c r="E171" s="174"/>
      <c r="F171" s="220"/>
      <c r="G171" s="220"/>
      <c r="H171" s="220"/>
      <c r="I171" s="220"/>
      <c r="J171" s="220"/>
      <c r="K171" s="220"/>
      <c r="L171" s="220"/>
      <c r="M171" s="220"/>
      <c r="N171" s="220"/>
      <c r="O171" s="220"/>
      <c r="P171" s="220"/>
      <c r="Q171" s="220"/>
      <c r="R171" s="221"/>
      <c r="S171" s="220"/>
      <c r="T171" s="220"/>
      <c r="U171" s="110"/>
      <c r="V171" s="93">
        <f t="shared" si="22"/>
        <v>650000</v>
      </c>
      <c r="W171" s="104">
        <v>0.13854344686627715</v>
      </c>
      <c r="X171" s="105">
        <v>0.16700109892597517</v>
      </c>
      <c r="Y171" s="105">
        <v>0.195458750985673</v>
      </c>
      <c r="Z171" s="105">
        <v>0.22391640304537092</v>
      </c>
      <c r="AA171" s="105">
        <v>0.25237405510506883</v>
      </c>
      <c r="AB171" s="105">
        <v>0.28083170716476674</v>
      </c>
      <c r="AC171" s="106">
        <v>0.30928935922446454</v>
      </c>
      <c r="AD171" s="51"/>
      <c r="AE171" s="110"/>
      <c r="AF171" s="93">
        <f t="shared" si="23"/>
        <v>650000</v>
      </c>
      <c r="AG171" s="185">
        <v>0.1056473033141443</v>
      </c>
      <c r="AH171" s="185">
        <v>0.1140853777542802</v>
      </c>
      <c r="AI171" s="185">
        <v>0.12235933869603234</v>
      </c>
      <c r="AJ171" s="185">
        <v>0.13050131783487362</v>
      </c>
      <c r="AK171" s="186">
        <v>0.13854344686627715</v>
      </c>
      <c r="AL171" s="185">
        <v>0.141739537948542</v>
      </c>
      <c r="AM171" s="185">
        <v>0.14492685051340273</v>
      </c>
      <c r="AN171" s="185">
        <v>0.14810744098936968</v>
      </c>
      <c r="AO171" s="185">
        <v>0.1512833658049531</v>
      </c>
      <c r="AP171" s="187">
        <v>0.1544566813886632</v>
      </c>
      <c r="AR171" s="146"/>
      <c r="AS171" s="147">
        <v>1.0</v>
      </c>
      <c r="AT171" s="198">
        <v>0.11608120603974803</v>
      </c>
      <c r="AU171" s="198">
        <v>0.13787396919764278</v>
      </c>
      <c r="AV171" s="198">
        <v>0.14513822358360767</v>
      </c>
      <c r="AW171" s="198">
        <v>0.14877035077659012</v>
      </c>
      <c r="AX171" s="198">
        <v>0.15094962709237958</v>
      </c>
      <c r="AY171" s="198">
        <v>0.15530817972395852</v>
      </c>
      <c r="AZ171" s="198">
        <v>0.1567610306011515</v>
      </c>
      <c r="BA171" s="198">
        <v>0.15530817972395852</v>
      </c>
      <c r="BB171" s="198">
        <v>0.15617989025027432</v>
      </c>
      <c r="BC171" s="198">
        <v>0.1567610306011515</v>
      </c>
      <c r="BD171" s="198">
        <v>0.1559308300998984</v>
      </c>
      <c r="BE171" s="198">
        <v>0.15639781788185328</v>
      </c>
      <c r="BF171" s="198">
        <v>0.15676103060115154</v>
      </c>
      <c r="BG171" s="199">
        <v>0.15617989025027432</v>
      </c>
      <c r="BI171" s="110"/>
      <c r="BJ171" s="93">
        <f t="shared" si="24"/>
        <v>550000</v>
      </c>
      <c r="BK171" s="200">
        <v>0.1544095418827992</v>
      </c>
      <c r="BL171" s="200">
        <v>0.17620230504069395</v>
      </c>
      <c r="BM171" s="200">
        <v>0.18346655942665885</v>
      </c>
      <c r="BN171" s="200">
        <v>0.1870986866196413</v>
      </c>
      <c r="BO171" s="200">
        <v>0.18927796293543078</v>
      </c>
      <c r="BP171" s="200">
        <v>0.19363651556700973</v>
      </c>
      <c r="BQ171" s="200">
        <v>0.1950893664442027</v>
      </c>
      <c r="BR171" s="200">
        <v>0.19363651556700973</v>
      </c>
      <c r="BS171" s="200">
        <v>0.19450822609332552</v>
      </c>
      <c r="BT171" s="200">
        <v>0.1950893664442027</v>
      </c>
      <c r="BU171" s="200">
        <v>0.1942591659429496</v>
      </c>
      <c r="BV171" s="200">
        <v>0.19472615372490445</v>
      </c>
      <c r="BW171" s="200">
        <v>0.1950893664442027</v>
      </c>
      <c r="BX171" s="201">
        <v>0.19450822609332552</v>
      </c>
      <c r="BY171" s="11"/>
    </row>
    <row r="172">
      <c r="E172" s="174"/>
      <c r="F172" s="220"/>
      <c r="G172" s="220"/>
      <c r="H172" s="220"/>
      <c r="I172" s="220"/>
      <c r="J172" s="220"/>
      <c r="K172" s="220"/>
      <c r="L172" s="220"/>
      <c r="M172" s="220"/>
      <c r="N172" s="220"/>
      <c r="O172" s="220"/>
      <c r="P172" s="220"/>
      <c r="Q172" s="220"/>
      <c r="R172" s="221"/>
      <c r="S172" s="220"/>
      <c r="T172" s="220"/>
      <c r="U172" s="110"/>
      <c r="V172" s="93">
        <f t="shared" si="22"/>
        <v>700000</v>
      </c>
      <c r="W172" s="104">
        <v>0.13191834367422392</v>
      </c>
      <c r="X172" s="105">
        <v>0.15934082336016353</v>
      </c>
      <c r="Y172" s="105">
        <v>0.18676330304610314</v>
      </c>
      <c r="Z172" s="105">
        <v>0.2141857827320427</v>
      </c>
      <c r="AA172" s="105">
        <v>0.24160826241798242</v>
      </c>
      <c r="AB172" s="105">
        <v>0.269030742103922</v>
      </c>
      <c r="AC172" s="106">
        <v>0.29645322178986144</v>
      </c>
      <c r="AD172" s="51"/>
      <c r="AE172" s="110"/>
      <c r="AF172" s="93">
        <f t="shared" si="23"/>
        <v>700000</v>
      </c>
      <c r="AG172" s="185">
        <v>0.10021882656677877</v>
      </c>
      <c r="AH172" s="185">
        <v>0.10834995855327086</v>
      </c>
      <c r="AI172" s="185">
        <v>0.11632294681567158</v>
      </c>
      <c r="AJ172" s="185">
        <v>0.12416875423048716</v>
      </c>
      <c r="AK172" s="186">
        <v>0.13191834367422392</v>
      </c>
      <c r="AL172" s="185">
        <v>0.13499817410415396</v>
      </c>
      <c r="AM172" s="185">
        <v>0.13806954534304888</v>
      </c>
      <c r="AN172" s="185">
        <v>0.141134439015005</v>
      </c>
      <c r="AO172" s="185">
        <v>0.14419483674411873</v>
      </c>
      <c r="AP172" s="187">
        <v>0.14725272015448643</v>
      </c>
      <c r="BI172" s="110"/>
      <c r="BJ172" s="93">
        <f t="shared" si="24"/>
        <v>600000</v>
      </c>
      <c r="BK172" s="200">
        <v>0.14598031917960427</v>
      </c>
      <c r="BL172" s="200">
        <v>0.16777308233749902</v>
      </c>
      <c r="BM172" s="200">
        <v>0.17503733672346392</v>
      </c>
      <c r="BN172" s="200">
        <v>0.1786694639164464</v>
      </c>
      <c r="BO172" s="200">
        <v>0.18084874023223585</v>
      </c>
      <c r="BP172" s="200">
        <v>0.1852072928638148</v>
      </c>
      <c r="BQ172" s="200">
        <v>0.18666014374100776</v>
      </c>
      <c r="BR172" s="200">
        <v>0.1852072928638148</v>
      </c>
      <c r="BS172" s="200">
        <v>0.1860790033901306</v>
      </c>
      <c r="BT172" s="200">
        <v>0.18666014374100776</v>
      </c>
      <c r="BU172" s="200">
        <v>0.18582994323975466</v>
      </c>
      <c r="BV172" s="200">
        <v>0.18629693102170952</v>
      </c>
      <c r="BW172" s="200">
        <v>0.18666014374100778</v>
      </c>
      <c r="BX172" s="201">
        <v>0.1860790033901306</v>
      </c>
      <c r="BY172" s="11"/>
    </row>
    <row r="173">
      <c r="E173" s="174"/>
      <c r="F173" s="220"/>
      <c r="G173" s="220"/>
      <c r="H173" s="220"/>
      <c r="I173" s="220"/>
      <c r="J173" s="220"/>
      <c r="K173" s="220"/>
      <c r="L173" s="220"/>
      <c r="M173" s="220"/>
      <c r="N173" s="220"/>
      <c r="O173" s="220"/>
      <c r="P173" s="220"/>
      <c r="Q173" s="220"/>
      <c r="R173" s="221"/>
      <c r="S173" s="220"/>
      <c r="T173" s="220"/>
      <c r="U173" s="110"/>
      <c r="V173" s="93">
        <f t="shared" si="22"/>
        <v>750000</v>
      </c>
      <c r="W173" s="104">
        <v>0.1259673203801795</v>
      </c>
      <c r="X173" s="105">
        <v>0.15245995267642465</v>
      </c>
      <c r="Y173" s="105">
        <v>0.17895258497266983</v>
      </c>
      <c r="Z173" s="105">
        <v>0.205445217268915</v>
      </c>
      <c r="AA173" s="105">
        <v>0.23193784956516025</v>
      </c>
      <c r="AB173" s="105">
        <v>0.25843048186140527</v>
      </c>
      <c r="AC173" s="106">
        <v>0.2849231141576505</v>
      </c>
      <c r="AD173" s="51"/>
      <c r="AE173" s="110"/>
      <c r="AF173" s="93">
        <f t="shared" si="23"/>
        <v>750000</v>
      </c>
      <c r="AG173" s="185">
        <v>0.09534267737509512</v>
      </c>
      <c r="AH173" s="185">
        <v>0.10319809717437843</v>
      </c>
      <c r="AI173" s="185">
        <v>0.11090073562127141</v>
      </c>
      <c r="AJ173" s="185">
        <v>0.11848050569634735</v>
      </c>
      <c r="AK173" s="186">
        <v>0.1259673203801795</v>
      </c>
      <c r="AL173" s="185">
        <v>0.12894271925181258</v>
      </c>
      <c r="AM173" s="185">
        <v>0.131909945768495</v>
      </c>
      <c r="AN173" s="185">
        <v>0.13487091436098345</v>
      </c>
      <c r="AO173" s="185">
        <v>0.13782753946003476</v>
      </c>
      <c r="AP173" s="187">
        <v>0.14078173549640555</v>
      </c>
      <c r="BI173" s="110"/>
      <c r="BJ173" s="93">
        <f t="shared" si="24"/>
        <v>650000</v>
      </c>
      <c r="BK173" s="200">
        <v>0.13854344686627715</v>
      </c>
      <c r="BL173" s="200">
        <v>0.1603362100241719</v>
      </c>
      <c r="BM173" s="200">
        <v>0.16760046441013682</v>
      </c>
      <c r="BN173" s="200">
        <v>0.17123259160311927</v>
      </c>
      <c r="BO173" s="200">
        <v>0.17341186791890872</v>
      </c>
      <c r="BP173" s="200">
        <v>0.17777042055048767</v>
      </c>
      <c r="BQ173" s="200">
        <v>0.17922327142768066</v>
      </c>
      <c r="BR173" s="200">
        <v>0.17777042055048767</v>
      </c>
      <c r="BS173" s="200">
        <v>0.1786421310768035</v>
      </c>
      <c r="BT173" s="200">
        <v>0.17922327142768066</v>
      </c>
      <c r="BU173" s="200">
        <v>0.17839307092642753</v>
      </c>
      <c r="BV173" s="200">
        <v>0.17886005870838242</v>
      </c>
      <c r="BW173" s="200">
        <v>0.17922327142768066</v>
      </c>
      <c r="BX173" s="201">
        <v>0.1786421310768035</v>
      </c>
      <c r="BY173" s="11"/>
    </row>
    <row r="174">
      <c r="E174" s="174"/>
      <c r="F174" s="220"/>
      <c r="G174" s="175"/>
      <c r="H174" s="175"/>
      <c r="I174" s="175"/>
      <c r="J174" s="175"/>
      <c r="K174" s="175"/>
      <c r="L174" s="175"/>
      <c r="M174" s="175"/>
      <c r="N174" s="175"/>
      <c r="O174" s="175"/>
      <c r="P174" s="175"/>
      <c r="Q174" s="175"/>
      <c r="R174" s="222"/>
      <c r="S174" s="175"/>
      <c r="T174" s="175"/>
      <c r="U174" s="110"/>
      <c r="V174" s="93">
        <f t="shared" si="22"/>
        <v>800000</v>
      </c>
      <c r="W174" s="104">
        <v>0.12058331157309733</v>
      </c>
      <c r="X174" s="105">
        <v>0.1462346924932359</v>
      </c>
      <c r="Y174" s="105">
        <v>0.17188607341337447</v>
      </c>
      <c r="Z174" s="105">
        <v>0.19753745433351302</v>
      </c>
      <c r="AA174" s="105">
        <v>0.2231888352536516</v>
      </c>
      <c r="AB174" s="105">
        <v>0.24884021617379024</v>
      </c>
      <c r="AC174" s="106">
        <v>0.2744915970939287</v>
      </c>
      <c r="AD174" s="51"/>
      <c r="AE174" s="110"/>
      <c r="AF174" s="93">
        <f t="shared" si="23"/>
        <v>800000</v>
      </c>
      <c r="AG174" s="185">
        <v>0.09093112848753752</v>
      </c>
      <c r="AH174" s="185">
        <v>0.09853710600256053</v>
      </c>
      <c r="AI174" s="185">
        <v>0.10599515360922893</v>
      </c>
      <c r="AJ174" s="185">
        <v>0.11333423442644155</v>
      </c>
      <c r="AK174" s="186">
        <v>0.12058331157309733</v>
      </c>
      <c r="AL174" s="185">
        <v>0.12346422914263706</v>
      </c>
      <c r="AM174" s="185">
        <v>0.1263372338635211</v>
      </c>
      <c r="AN174" s="185">
        <v>0.12920417937535894</v>
      </c>
      <c r="AO174" s="185">
        <v>0.1320669193177601</v>
      </c>
      <c r="AP174" s="187">
        <v>0.13492730733033403</v>
      </c>
      <c r="BI174" s="110"/>
      <c r="BJ174" s="93">
        <f t="shared" si="24"/>
        <v>700000</v>
      </c>
      <c r="BK174" s="200">
        <v>0.13191834367422392</v>
      </c>
      <c r="BL174" s="200">
        <v>0.15371110683211867</v>
      </c>
      <c r="BM174" s="200">
        <v>0.1609753612180836</v>
      </c>
      <c r="BN174" s="200">
        <v>0.16460748841106604</v>
      </c>
      <c r="BO174" s="200">
        <v>0.16678676472685552</v>
      </c>
      <c r="BP174" s="200">
        <v>0.17114531735843447</v>
      </c>
      <c r="BQ174" s="200">
        <v>0.17259816823562746</v>
      </c>
      <c r="BR174" s="200">
        <v>0.17114531735843447</v>
      </c>
      <c r="BS174" s="200">
        <v>0.17201702788475026</v>
      </c>
      <c r="BT174" s="200">
        <v>0.17259816823562746</v>
      </c>
      <c r="BU174" s="200">
        <v>0.1717679677343743</v>
      </c>
      <c r="BV174" s="200">
        <v>0.17223495551632922</v>
      </c>
      <c r="BW174" s="200">
        <v>0.17259816823562746</v>
      </c>
      <c r="BX174" s="201">
        <v>0.17201702788475026</v>
      </c>
      <c r="BY174" s="11"/>
    </row>
    <row r="175">
      <c r="E175" s="174"/>
      <c r="F175" s="175"/>
      <c r="G175" s="220"/>
      <c r="H175" s="220"/>
      <c r="I175" s="220"/>
      <c r="J175" s="220"/>
      <c r="K175" s="220"/>
      <c r="L175" s="220"/>
      <c r="M175" s="220"/>
      <c r="N175" s="220"/>
      <c r="O175" s="220"/>
      <c r="P175" s="220"/>
      <c r="Q175" s="220"/>
      <c r="R175" s="221"/>
      <c r="S175" s="220"/>
      <c r="T175" s="220"/>
      <c r="U175" s="110"/>
      <c r="V175" s="93">
        <f t="shared" si="22"/>
        <v>850000</v>
      </c>
      <c r="W175" s="104">
        <v>0.11568164051968888</v>
      </c>
      <c r="X175" s="105">
        <v>0.14056713533773238</v>
      </c>
      <c r="Y175" s="105">
        <v>0.16545263015577585</v>
      </c>
      <c r="Z175" s="105">
        <v>0.1903381249738193</v>
      </c>
      <c r="AA175" s="105">
        <v>0.21522361979186283</v>
      </c>
      <c r="AB175" s="105">
        <v>0.2401091146099063</v>
      </c>
      <c r="AC175" s="106">
        <v>0.2649946094279499</v>
      </c>
      <c r="AD175" s="51"/>
      <c r="AE175" s="110"/>
      <c r="AF175" s="93">
        <f t="shared" si="23"/>
        <v>850000</v>
      </c>
      <c r="AG175" s="185">
        <v>0.0869147974862967</v>
      </c>
      <c r="AH175" s="185">
        <v>0.09429367952877037</v>
      </c>
      <c r="AI175" s="185">
        <v>0.10152904848010653</v>
      </c>
      <c r="AJ175" s="185">
        <v>0.10864900269288584</v>
      </c>
      <c r="AK175" s="186">
        <v>0.11568164051968888</v>
      </c>
      <c r="AL175" s="185">
        <v>0.11847654109331479</v>
      </c>
      <c r="AM175" s="185">
        <v>0.12126376507616256</v>
      </c>
      <c r="AN175" s="185">
        <v>0.12404511076279727</v>
      </c>
      <c r="AO175" s="185">
        <v>0.12682237644778427</v>
      </c>
      <c r="AP175" s="187">
        <v>0.12959736042568848</v>
      </c>
      <c r="BI175" s="110"/>
      <c r="BJ175" s="93">
        <f t="shared" si="24"/>
        <v>750000</v>
      </c>
      <c r="BK175" s="200">
        <v>0.1259673203801795</v>
      </c>
      <c r="BL175" s="200">
        <v>0.14776008353807424</v>
      </c>
      <c r="BM175" s="200">
        <v>0.15502433792403916</v>
      </c>
      <c r="BN175" s="200">
        <v>0.1586564651170216</v>
      </c>
      <c r="BO175" s="200">
        <v>0.1608357414328111</v>
      </c>
      <c r="BP175" s="200">
        <v>0.16519429406439004</v>
      </c>
      <c r="BQ175" s="200">
        <v>0.16664714494158303</v>
      </c>
      <c r="BR175" s="200">
        <v>0.16519429406439004</v>
      </c>
      <c r="BS175" s="200">
        <v>0.16606600459070583</v>
      </c>
      <c r="BT175" s="200">
        <v>0.16664714494158303</v>
      </c>
      <c r="BU175" s="200">
        <v>0.16581694444032988</v>
      </c>
      <c r="BV175" s="200">
        <v>0.16628393222228477</v>
      </c>
      <c r="BW175" s="200">
        <v>0.16664714494158303</v>
      </c>
      <c r="BX175" s="201">
        <v>0.16606600459070583</v>
      </c>
      <c r="BY175" s="11"/>
    </row>
    <row r="176">
      <c r="E176" s="174"/>
      <c r="F176" s="220"/>
      <c r="G176" s="220"/>
      <c r="H176" s="220"/>
      <c r="I176" s="220"/>
      <c r="J176" s="220"/>
      <c r="K176" s="220"/>
      <c r="L176" s="220"/>
      <c r="M176" s="220"/>
      <c r="N176" s="220"/>
      <c r="O176" s="220"/>
      <c r="P176" s="220"/>
      <c r="Q176" s="220"/>
      <c r="R176" s="221"/>
      <c r="S176" s="220"/>
      <c r="T176" s="220"/>
      <c r="U176" s="110"/>
      <c r="V176" s="93">
        <f t="shared" si="22"/>
        <v>900000</v>
      </c>
      <c r="W176" s="104">
        <v>0.111194338391873</v>
      </c>
      <c r="X176" s="105">
        <v>0.13537869225244525</v>
      </c>
      <c r="Y176" s="105">
        <v>0.15956304611301753</v>
      </c>
      <c r="Z176" s="105">
        <v>0.18374739997358983</v>
      </c>
      <c r="AA176" s="105">
        <v>0.2079317538341621</v>
      </c>
      <c r="AB176" s="105">
        <v>0.2321161076947343</v>
      </c>
      <c r="AC176" s="106">
        <v>0.2563004615553066</v>
      </c>
      <c r="AD176" s="51"/>
      <c r="AE176" s="110"/>
      <c r="AF176" s="93">
        <f t="shared" si="23"/>
        <v>900000</v>
      </c>
      <c r="AG176" s="188">
        <v>0.08323799207616049</v>
      </c>
      <c r="AH176" s="188">
        <v>0.09040897644739408</v>
      </c>
      <c r="AI176" s="188">
        <v>0.09744049116351051</v>
      </c>
      <c r="AJ176" s="188">
        <v>0.10435984291488007</v>
      </c>
      <c r="AK176" s="189">
        <v>0.111194338391873</v>
      </c>
      <c r="AL176" s="188">
        <v>0.11391049352448769</v>
      </c>
      <c r="AM176" s="188">
        <v>0.11661918835184513</v>
      </c>
      <c r="AN176" s="188">
        <v>0.11932217050212893</v>
      </c>
      <c r="AO176" s="188">
        <v>0.12202118760352285</v>
      </c>
      <c r="AP176" s="190">
        <v>0.12471798728421056</v>
      </c>
      <c r="BI176" s="110"/>
      <c r="BJ176" s="93">
        <f t="shared" si="24"/>
        <v>800000</v>
      </c>
      <c r="BK176" s="200">
        <v>0.12058331157309733</v>
      </c>
      <c r="BL176" s="200">
        <v>0.14237607473099206</v>
      </c>
      <c r="BM176" s="200">
        <v>0.149640329116957</v>
      </c>
      <c r="BN176" s="200">
        <v>0.15327245630993944</v>
      </c>
      <c r="BO176" s="200">
        <v>0.15545173262572892</v>
      </c>
      <c r="BP176" s="200">
        <v>0.15981028525730787</v>
      </c>
      <c r="BQ176" s="200">
        <v>0.16126313613450083</v>
      </c>
      <c r="BR176" s="200">
        <v>0.15981028525730787</v>
      </c>
      <c r="BS176" s="200">
        <v>0.16068199578362366</v>
      </c>
      <c r="BT176" s="200">
        <v>0.16126313613450083</v>
      </c>
      <c r="BU176" s="200">
        <v>0.16043293563324773</v>
      </c>
      <c r="BV176" s="200">
        <v>0.16089992341520262</v>
      </c>
      <c r="BW176" s="200">
        <v>0.16126313613450086</v>
      </c>
      <c r="BX176" s="201">
        <v>0.16068199578362366</v>
      </c>
      <c r="BY176" s="11"/>
    </row>
    <row r="177">
      <c r="E177" s="174"/>
      <c r="F177" s="220"/>
      <c r="G177" s="220"/>
      <c r="H177" s="220"/>
      <c r="I177" s="220"/>
      <c r="J177" s="220"/>
      <c r="K177" s="220"/>
      <c r="L177" s="220"/>
      <c r="M177" s="220"/>
      <c r="N177" s="220"/>
      <c r="O177" s="220"/>
      <c r="P177" s="220"/>
      <c r="Q177" s="220"/>
      <c r="R177" s="221"/>
      <c r="S177" s="220"/>
      <c r="T177" s="220"/>
      <c r="U177" s="154"/>
      <c r="V177" s="93">
        <f t="shared" si="22"/>
        <v>950000</v>
      </c>
      <c r="W177" s="104">
        <v>0.10706613137603552</v>
      </c>
      <c r="X177" s="105">
        <v>0.13060545289038317</v>
      </c>
      <c r="Y177" s="105">
        <v>0.15414477440473082</v>
      </c>
      <c r="Z177" s="105">
        <v>0.1776840959190785</v>
      </c>
      <c r="AA177" s="105">
        <v>0.20122341743342614</v>
      </c>
      <c r="AB177" s="105">
        <v>0.22476273894777385</v>
      </c>
      <c r="AC177" s="106">
        <v>0.2483020604621214</v>
      </c>
      <c r="AD177" s="144"/>
      <c r="AE177" s="202"/>
      <c r="AF177" s="93">
        <f t="shared" si="23"/>
        <v>950000</v>
      </c>
      <c r="AG177" s="185">
        <v>0.07985542200228365</v>
      </c>
      <c r="AH177" s="185">
        <v>0.08683514565593166</v>
      </c>
      <c r="AI177" s="185">
        <v>0.09367911951563333</v>
      </c>
      <c r="AJ177" s="185">
        <v>0.10041392196209811</v>
      </c>
      <c r="AK177" s="186">
        <v>0.10706613137603552</v>
      </c>
      <c r="AL177" s="185">
        <v>0.10970984264978172</v>
      </c>
      <c r="AM177" s="185">
        <v>0.11234629259560248</v>
      </c>
      <c r="AN177" s="185">
        <v>0.11497718222986328</v>
      </c>
      <c r="AO177" s="185">
        <v>0.11760421256892933</v>
      </c>
      <c r="AP177" s="187">
        <v>0.12022908462916619</v>
      </c>
      <c r="BI177" s="110"/>
      <c r="BJ177" s="93">
        <f t="shared" si="24"/>
        <v>850000</v>
      </c>
      <c r="BK177" s="200">
        <v>0.11568164051968888</v>
      </c>
      <c r="BL177" s="200">
        <v>0.13747440367758362</v>
      </c>
      <c r="BM177" s="200">
        <v>0.14473865806354852</v>
      </c>
      <c r="BN177" s="200">
        <v>0.14837078525653097</v>
      </c>
      <c r="BO177" s="200">
        <v>0.15055006157232045</v>
      </c>
      <c r="BP177" s="200">
        <v>0.1549086142038994</v>
      </c>
      <c r="BQ177" s="200">
        <v>0.1563614650810924</v>
      </c>
      <c r="BR177" s="200">
        <v>0.1549086142038994</v>
      </c>
      <c r="BS177" s="200">
        <v>0.1557803247302152</v>
      </c>
      <c r="BT177" s="200">
        <v>0.1563614650810924</v>
      </c>
      <c r="BU177" s="200">
        <v>0.15553126457983926</v>
      </c>
      <c r="BV177" s="200">
        <v>0.15599825236179413</v>
      </c>
      <c r="BW177" s="200">
        <v>0.1563614650810924</v>
      </c>
      <c r="BX177" s="201">
        <v>0.1557803247302152</v>
      </c>
      <c r="BY177" s="11"/>
    </row>
    <row r="178">
      <c r="E178" s="174"/>
      <c r="F178" s="220"/>
      <c r="G178" s="220"/>
      <c r="H178" s="220"/>
      <c r="I178" s="220"/>
      <c r="J178" s="220"/>
      <c r="K178" s="220"/>
      <c r="L178" s="220"/>
      <c r="M178" s="220"/>
      <c r="N178" s="220"/>
      <c r="O178" s="220"/>
      <c r="P178" s="220"/>
      <c r="Q178" s="220"/>
      <c r="R178" s="221"/>
      <c r="S178" s="220"/>
      <c r="T178" s="220"/>
      <c r="U178" s="155"/>
      <c r="V178" s="156">
        <f t="shared" si="22"/>
        <v>1000000</v>
      </c>
      <c r="W178" s="157">
        <v>0.1032515462068881</v>
      </c>
      <c r="X178" s="158">
        <v>0.12619483878855645</v>
      </c>
      <c r="Y178" s="158">
        <v>0.14913813137022483</v>
      </c>
      <c r="Z178" s="158">
        <v>0.17208142395189324</v>
      </c>
      <c r="AA178" s="158">
        <v>0.19502471653356152</v>
      </c>
      <c r="AB178" s="158">
        <v>0.21796800911522993</v>
      </c>
      <c r="AC178" s="159">
        <v>0.2409113016968983</v>
      </c>
      <c r="AD178" s="51"/>
      <c r="AE178" s="155"/>
      <c r="AF178" s="156">
        <f t="shared" si="23"/>
        <v>1000000</v>
      </c>
      <c r="AG178" s="203">
        <v>0.07672982738265563</v>
      </c>
      <c r="AH178" s="203">
        <v>0.08353282048622619</v>
      </c>
      <c r="AI178" s="203">
        <v>0.09020350105740223</v>
      </c>
      <c r="AJ178" s="203">
        <v>0.09676777449726308</v>
      </c>
      <c r="AK178" s="204">
        <v>0.1032515462068881</v>
      </c>
      <c r="AL178" s="203">
        <v>0.10582831721611384</v>
      </c>
      <c r="AM178" s="203">
        <v>0.10839801075834364</v>
      </c>
      <c r="AN178" s="203">
        <v>0.11096228477924656</v>
      </c>
      <c r="AO178" s="203">
        <v>0.11352279722449164</v>
      </c>
      <c r="AP178" s="205">
        <v>0.11608120603974803</v>
      </c>
      <c r="BI178" s="110"/>
      <c r="BJ178" s="93">
        <f t="shared" si="24"/>
        <v>900000</v>
      </c>
      <c r="BK178" s="196">
        <v>0.111194338391873</v>
      </c>
      <c r="BL178" s="196">
        <v>0.13298710154976773</v>
      </c>
      <c r="BM178" s="196">
        <v>0.14025135593573265</v>
      </c>
      <c r="BN178" s="196">
        <v>0.1438834831287151</v>
      </c>
      <c r="BO178" s="196">
        <v>0.1460627594445046</v>
      </c>
      <c r="BP178" s="196">
        <v>0.15042131207608353</v>
      </c>
      <c r="BQ178" s="196">
        <v>0.15187416295327652</v>
      </c>
      <c r="BR178" s="196">
        <v>0.15042131207608353</v>
      </c>
      <c r="BS178" s="196">
        <v>0.15129302260239932</v>
      </c>
      <c r="BT178" s="196">
        <v>0.15187416295327652</v>
      </c>
      <c r="BU178" s="196">
        <v>0.15104396245202337</v>
      </c>
      <c r="BV178" s="196">
        <v>0.15151095023397826</v>
      </c>
      <c r="BW178" s="196">
        <v>0.15187416295327652</v>
      </c>
      <c r="BX178" s="197">
        <v>0.15129302260239932</v>
      </c>
      <c r="BY178" s="11"/>
    </row>
    <row r="179">
      <c r="E179" s="174"/>
      <c r="F179" s="220"/>
      <c r="G179" s="220"/>
      <c r="H179" s="220"/>
      <c r="I179" s="220"/>
      <c r="J179" s="220"/>
      <c r="K179" s="220"/>
      <c r="L179" s="220"/>
      <c r="M179" s="220"/>
      <c r="N179" s="220"/>
      <c r="O179" s="220"/>
      <c r="P179" s="220"/>
      <c r="Q179" s="220"/>
      <c r="R179" s="221"/>
      <c r="S179" s="220"/>
      <c r="T179" s="220"/>
      <c r="AD179" s="23"/>
      <c r="AE179" s="23"/>
      <c r="AF179" s="23"/>
      <c r="AG179" s="23"/>
      <c r="AH179" s="23"/>
      <c r="AI179" s="51"/>
      <c r="BI179" s="163"/>
      <c r="BJ179" s="93">
        <f t="shared" si="24"/>
        <v>950000</v>
      </c>
      <c r="BK179" s="200">
        <v>0.10706613137603552</v>
      </c>
      <c r="BL179" s="200">
        <v>0.12885889453393026</v>
      </c>
      <c r="BM179" s="200">
        <v>0.13612314891989516</v>
      </c>
      <c r="BN179" s="200">
        <v>0.1397552761128776</v>
      </c>
      <c r="BO179" s="200">
        <v>0.1419345524286671</v>
      </c>
      <c r="BP179" s="200">
        <v>0.14629310506024604</v>
      </c>
      <c r="BQ179" s="200">
        <v>0.147745955937439</v>
      </c>
      <c r="BR179" s="200">
        <v>0.14629310506024604</v>
      </c>
      <c r="BS179" s="200">
        <v>0.14716481558656183</v>
      </c>
      <c r="BT179" s="200">
        <v>0.147745955937439</v>
      </c>
      <c r="BU179" s="200">
        <v>0.14691575543618587</v>
      </c>
      <c r="BV179" s="200">
        <v>0.1473827432181408</v>
      </c>
      <c r="BW179" s="200">
        <v>0.147745955937439</v>
      </c>
      <c r="BX179" s="201">
        <v>0.14716481558656183</v>
      </c>
      <c r="BY179" s="11"/>
    </row>
    <row r="180">
      <c r="E180" s="174"/>
      <c r="F180" s="220"/>
      <c r="G180" s="220"/>
      <c r="H180" s="220"/>
      <c r="I180" s="220"/>
      <c r="J180" s="220"/>
      <c r="K180" s="220"/>
      <c r="L180" s="220"/>
      <c r="M180" s="220"/>
      <c r="N180" s="220"/>
      <c r="O180" s="220"/>
      <c r="P180" s="220"/>
      <c r="Q180" s="220"/>
      <c r="R180" s="221"/>
      <c r="S180" s="220"/>
      <c r="T180" s="220"/>
      <c r="BI180" s="164"/>
      <c r="BJ180" s="165">
        <f t="shared" si="24"/>
        <v>1000000</v>
      </c>
      <c r="BK180" s="206">
        <v>0.1032515462068881</v>
      </c>
      <c r="BL180" s="206">
        <v>0.12504430936478284</v>
      </c>
      <c r="BM180" s="206">
        <v>0.13230856375074776</v>
      </c>
      <c r="BN180" s="206">
        <v>0.1359406909437302</v>
      </c>
      <c r="BO180" s="206">
        <v>0.13811996725951967</v>
      </c>
      <c r="BP180" s="206">
        <v>0.1424785198910986</v>
      </c>
      <c r="BQ180" s="206">
        <v>0.14393137076829163</v>
      </c>
      <c r="BR180" s="206">
        <v>0.1424785198910986</v>
      </c>
      <c r="BS180" s="206">
        <v>0.14335023041741443</v>
      </c>
      <c r="BT180" s="206">
        <v>0.14393137076829163</v>
      </c>
      <c r="BU180" s="206">
        <v>0.14310117026703847</v>
      </c>
      <c r="BV180" s="206">
        <v>0.14356815804899337</v>
      </c>
      <c r="BW180" s="206">
        <v>0.1439313707682916</v>
      </c>
      <c r="BX180" s="207">
        <v>0.14335023041741443</v>
      </c>
      <c r="BY180" s="11"/>
    </row>
    <row r="181">
      <c r="E181" s="174"/>
      <c r="F181" s="220"/>
      <c r="G181" s="220"/>
      <c r="H181" s="220"/>
      <c r="I181" s="220"/>
      <c r="J181" s="220"/>
      <c r="K181" s="220"/>
      <c r="L181" s="220"/>
      <c r="M181" s="220"/>
      <c r="N181" s="220"/>
      <c r="O181" s="220"/>
      <c r="P181" s="220"/>
      <c r="Q181" s="220"/>
      <c r="R181" s="221"/>
      <c r="S181" s="220"/>
      <c r="T181" s="220"/>
      <c r="BY181" s="11"/>
    </row>
    <row r="182">
      <c r="E182" s="174"/>
      <c r="F182" s="220"/>
      <c r="G182" s="220"/>
      <c r="H182" s="220"/>
      <c r="I182" s="220"/>
      <c r="J182" s="220"/>
      <c r="K182" s="220"/>
      <c r="L182" s="220"/>
      <c r="M182" s="220"/>
      <c r="N182" s="220"/>
      <c r="O182" s="220"/>
      <c r="P182" s="220"/>
      <c r="Q182" s="220"/>
      <c r="R182" s="223"/>
      <c r="S182" s="224"/>
      <c r="T182" s="224"/>
      <c r="U182" s="169"/>
      <c r="V182" s="169"/>
      <c r="W182" s="169"/>
      <c r="X182" s="169"/>
      <c r="Y182" s="169"/>
      <c r="Z182" s="169"/>
      <c r="AA182" s="169"/>
      <c r="AB182" s="169"/>
      <c r="AC182" s="169"/>
      <c r="AD182" s="169"/>
      <c r="AE182" s="169"/>
      <c r="AF182" s="169"/>
      <c r="AG182" s="169"/>
      <c r="AH182" s="169"/>
      <c r="AI182" s="169"/>
      <c r="AJ182" s="169"/>
      <c r="AK182" s="169"/>
      <c r="AL182" s="169"/>
      <c r="AM182" s="169"/>
      <c r="AN182" s="169"/>
      <c r="AO182" s="169"/>
      <c r="AP182" s="169"/>
      <c r="AQ182" s="169"/>
      <c r="AR182" s="169"/>
      <c r="AS182" s="169"/>
      <c r="AT182" s="169"/>
      <c r="AU182" s="169"/>
      <c r="AV182" s="169"/>
      <c r="AW182" s="169"/>
      <c r="AX182" s="169"/>
      <c r="AY182" s="169"/>
      <c r="AZ182" s="169"/>
      <c r="BA182" s="169"/>
      <c r="BB182" s="169"/>
      <c r="BC182" s="169"/>
      <c r="BD182" s="169"/>
      <c r="BE182" s="169"/>
      <c r="BF182" s="169"/>
      <c r="BG182" s="169"/>
      <c r="BH182" s="169"/>
      <c r="BI182" s="169"/>
      <c r="BJ182" s="169"/>
      <c r="BK182" s="169"/>
      <c r="BL182" s="169"/>
      <c r="BM182" s="169"/>
      <c r="BN182" s="169"/>
      <c r="BO182" s="169"/>
      <c r="BP182" s="169"/>
      <c r="BQ182" s="169"/>
      <c r="BR182" s="169"/>
      <c r="BS182" s="169"/>
      <c r="BT182" s="169"/>
      <c r="BU182" s="169"/>
      <c r="BV182" s="169"/>
      <c r="BW182" s="169"/>
      <c r="BX182" s="169"/>
      <c r="BY182" s="170"/>
    </row>
    <row r="183">
      <c r="E183" s="174"/>
      <c r="F183" s="220"/>
      <c r="G183" s="220"/>
      <c r="H183" s="220"/>
      <c r="I183" s="220"/>
      <c r="J183" s="220"/>
      <c r="K183" s="220"/>
      <c r="L183" s="220"/>
      <c r="M183" s="220"/>
      <c r="N183" s="220"/>
      <c r="O183" s="220"/>
      <c r="P183" s="220"/>
      <c r="Q183" s="220"/>
      <c r="R183" s="220"/>
      <c r="S183" s="220"/>
      <c r="T183" s="220"/>
    </row>
    <row r="184">
      <c r="E184" s="174"/>
      <c r="F184" s="220"/>
      <c r="G184" s="220"/>
      <c r="H184" s="220"/>
      <c r="I184" s="220"/>
      <c r="J184" s="220"/>
      <c r="K184" s="220"/>
      <c r="L184" s="220"/>
      <c r="M184" s="220"/>
      <c r="N184" s="220"/>
      <c r="O184" s="220"/>
      <c r="P184" s="220"/>
      <c r="Q184" s="220"/>
      <c r="R184" s="220"/>
      <c r="S184" s="220"/>
      <c r="T184" s="220"/>
      <c r="BR184" s="70" t="s">
        <v>88</v>
      </c>
      <c r="BS184" s="71"/>
      <c r="BT184" s="71"/>
      <c r="BU184" s="71"/>
      <c r="BV184" s="71"/>
      <c r="BW184" s="71"/>
      <c r="BX184" s="71"/>
      <c r="BY184" s="71"/>
      <c r="BZ184" s="18"/>
    </row>
    <row r="185">
      <c r="E185" s="174"/>
      <c r="F185" s="220"/>
      <c r="G185" s="220"/>
      <c r="H185" s="220"/>
      <c r="I185" s="220"/>
      <c r="J185" s="220"/>
      <c r="K185" s="220"/>
      <c r="L185" s="220"/>
      <c r="M185" s="220"/>
      <c r="N185" s="220"/>
      <c r="O185" s="220"/>
      <c r="P185" s="220"/>
      <c r="Q185" s="220"/>
      <c r="R185" s="220"/>
      <c r="S185" s="220"/>
      <c r="T185" s="220"/>
      <c r="BR185" s="85"/>
      <c r="BS185" s="182"/>
      <c r="BT185" s="182"/>
      <c r="BU185" s="182"/>
      <c r="BV185" s="183"/>
      <c r="BW185" s="183"/>
      <c r="BX185" s="183"/>
      <c r="BY185" s="183"/>
      <c r="BZ185" s="184"/>
    </row>
    <row r="186">
      <c r="E186" s="174"/>
      <c r="F186" s="220"/>
      <c r="G186" s="220"/>
      <c r="H186" s="220"/>
      <c r="I186" s="220"/>
      <c r="J186" s="220"/>
      <c r="K186" s="220"/>
      <c r="L186" s="220"/>
      <c r="M186" s="220"/>
      <c r="N186" s="220"/>
      <c r="O186" s="220"/>
      <c r="P186" s="220"/>
      <c r="Q186" s="220"/>
      <c r="R186" s="220"/>
      <c r="S186" s="220"/>
      <c r="T186" s="220"/>
      <c r="BR186" s="90"/>
      <c r="BS186" s="239">
        <f>$F$17</f>
        <v>0.0005446458257</v>
      </c>
      <c r="BT186" s="240">
        <v>64.0</v>
      </c>
      <c r="BU186" s="241">
        <f t="shared" ref="BU186:BZ186" si="25">BT186+10</f>
        <v>74</v>
      </c>
      <c r="BV186" s="241">
        <f t="shared" si="25"/>
        <v>84</v>
      </c>
      <c r="BW186" s="241">
        <f t="shared" si="25"/>
        <v>94</v>
      </c>
      <c r="BX186" s="241">
        <f t="shared" si="25"/>
        <v>104</v>
      </c>
      <c r="BY186" s="241">
        <f t="shared" si="25"/>
        <v>114</v>
      </c>
      <c r="BZ186" s="242">
        <f t="shared" si="25"/>
        <v>124</v>
      </c>
    </row>
    <row r="187">
      <c r="E187" s="174"/>
      <c r="F187" s="220"/>
      <c r="G187" s="220"/>
      <c r="H187" s="220"/>
      <c r="I187" s="220"/>
      <c r="J187" s="220"/>
      <c r="K187" s="220"/>
      <c r="L187" s="220"/>
      <c r="M187" s="220"/>
      <c r="N187" s="220"/>
      <c r="O187" s="220"/>
      <c r="P187" s="220"/>
      <c r="Q187" s="220"/>
      <c r="R187" s="220"/>
      <c r="S187" s="220"/>
      <c r="T187" s="220"/>
      <c r="V187" s="356">
        <f>F39</f>
        <v>0.1756735994</v>
      </c>
      <c r="W187" s="357">
        <f>0.7</f>
        <v>0.7</v>
      </c>
      <c r="X187" s="357">
        <f t="shared" ref="X187:BA187" si="26">W187+0.01</f>
        <v>0.71</v>
      </c>
      <c r="Y187" s="357">
        <f t="shared" si="26"/>
        <v>0.72</v>
      </c>
      <c r="Z187" s="357">
        <f t="shared" si="26"/>
        <v>0.73</v>
      </c>
      <c r="AA187" s="357">
        <f t="shared" si="26"/>
        <v>0.74</v>
      </c>
      <c r="AB187" s="357">
        <f t="shared" si="26"/>
        <v>0.75</v>
      </c>
      <c r="AC187" s="357">
        <f t="shared" si="26"/>
        <v>0.76</v>
      </c>
      <c r="AD187" s="357">
        <f t="shared" si="26"/>
        <v>0.77</v>
      </c>
      <c r="AE187" s="357">
        <f t="shared" si="26"/>
        <v>0.78</v>
      </c>
      <c r="AF187" s="357">
        <f t="shared" si="26"/>
        <v>0.79</v>
      </c>
      <c r="AG187" s="357">
        <f t="shared" si="26"/>
        <v>0.8</v>
      </c>
      <c r="AH187" s="357">
        <f t="shared" si="26"/>
        <v>0.81</v>
      </c>
      <c r="AI187" s="357">
        <f t="shared" si="26"/>
        <v>0.82</v>
      </c>
      <c r="AJ187" s="357">
        <f t="shared" si="26"/>
        <v>0.83</v>
      </c>
      <c r="AK187" s="357">
        <f t="shared" si="26"/>
        <v>0.84</v>
      </c>
      <c r="AL187" s="357">
        <f t="shared" si="26"/>
        <v>0.85</v>
      </c>
      <c r="AM187" s="357">
        <f t="shared" si="26"/>
        <v>0.86</v>
      </c>
      <c r="AN187" s="357">
        <f t="shared" si="26"/>
        <v>0.87</v>
      </c>
      <c r="AO187" s="357">
        <f t="shared" si="26"/>
        <v>0.88</v>
      </c>
      <c r="AP187" s="357">
        <f t="shared" si="26"/>
        <v>0.89</v>
      </c>
      <c r="AQ187" s="357">
        <f t="shared" si="26"/>
        <v>0.9</v>
      </c>
      <c r="AR187" s="357">
        <f t="shared" si="26"/>
        <v>0.91</v>
      </c>
      <c r="AS187" s="357">
        <f t="shared" si="26"/>
        <v>0.92</v>
      </c>
      <c r="AT187" s="357">
        <f t="shared" si="26"/>
        <v>0.93</v>
      </c>
      <c r="AU187" s="357">
        <f t="shared" si="26"/>
        <v>0.94</v>
      </c>
      <c r="AV187" s="357">
        <f t="shared" si="26"/>
        <v>0.95</v>
      </c>
      <c r="AW187" s="357">
        <f t="shared" si="26"/>
        <v>0.96</v>
      </c>
      <c r="AX187" s="357">
        <f t="shared" si="26"/>
        <v>0.97</v>
      </c>
      <c r="AY187" s="357">
        <f t="shared" si="26"/>
        <v>0.98</v>
      </c>
      <c r="AZ187" s="357">
        <f t="shared" si="26"/>
        <v>0.99</v>
      </c>
      <c r="BA187" s="357">
        <f t="shared" si="26"/>
        <v>1</v>
      </c>
      <c r="BR187" s="102" t="s">
        <v>66</v>
      </c>
      <c r="BS187" s="103">
        <v>2000000.0</v>
      </c>
      <c r="BT187" s="248">
        <v>0.0015907843779627013</v>
      </c>
      <c r="BU187" s="249">
        <v>0.0018393444370193733</v>
      </c>
      <c r="BV187" s="249">
        <v>0.0020879044960760455</v>
      </c>
      <c r="BW187" s="249">
        <v>0.0023364645551327175</v>
      </c>
      <c r="BX187" s="249">
        <v>0.0025850246141893886</v>
      </c>
      <c r="BY187" s="249">
        <v>0.0028335846732460614</v>
      </c>
      <c r="BZ187" s="250">
        <v>0.003082144732302734</v>
      </c>
    </row>
    <row r="188">
      <c r="E188" s="174"/>
      <c r="F188" s="220"/>
      <c r="G188" s="220"/>
      <c r="H188" s="220"/>
      <c r="I188" s="220"/>
      <c r="J188" s="220"/>
      <c r="K188" s="220"/>
      <c r="L188" s="220"/>
      <c r="M188" s="220"/>
      <c r="N188" s="220"/>
      <c r="O188" s="220"/>
      <c r="P188" s="220"/>
      <c r="Q188" s="220"/>
      <c r="R188" s="220"/>
      <c r="S188" s="220"/>
      <c r="T188" s="220"/>
      <c r="V188" s="103">
        <v>100000.0</v>
      </c>
      <c r="W188" s="358">
        <v>0.3473205092272115</v>
      </c>
      <c r="X188" s="358">
        <v>0.35128236495500004</v>
      </c>
      <c r="Y188" s="358">
        <v>0.47248805952083167</v>
      </c>
      <c r="Z188" s="358">
        <v>0.3591536611491339</v>
      </c>
      <c r="AA188" s="358">
        <v>0.36306429813470203</v>
      </c>
      <c r="AB188" s="358">
        <v>0.40198350828955076</v>
      </c>
      <c r="AC188" s="358">
        <v>0.3708385411808985</v>
      </c>
      <c r="AD188" s="358">
        <v>0.3747033437607496</v>
      </c>
      <c r="AE188" s="358">
        <v>0.4535326644395606</v>
      </c>
      <c r="AF188" s="358">
        <v>0.382391302332015</v>
      </c>
      <c r="AG188" s="358">
        <v>0.4230780524378999</v>
      </c>
      <c r="AH188" s="358">
        <v>0.4272539611579855</v>
      </c>
      <c r="AI188" s="358">
        <v>0.43141706568287014</v>
      </c>
      <c r="AJ188" s="358">
        <v>0.435568021373123</v>
      </c>
      <c r="AK188" s="358">
        <v>0.43970748358931283</v>
      </c>
      <c r="AL188" s="358">
        <v>0.34882089463709753</v>
      </c>
      <c r="AM188" s="358">
        <v>0.3928821295221563</v>
      </c>
      <c r="AN188" s="358">
        <v>0.4520634629991935</v>
      </c>
      <c r="AO188" s="358">
        <v>0.4561635049248205</v>
      </c>
      <c r="AP188" s="358">
        <v>0.4602553301792288</v>
      </c>
      <c r="AQ188" s="358">
        <v>0.4643395941229876</v>
      </c>
      <c r="AR188" s="358">
        <v>0.4684169521166655</v>
      </c>
      <c r="AS188" s="358">
        <v>0.47248805952083167</v>
      </c>
      <c r="AT188" s="358">
        <v>0.4765535716960548</v>
      </c>
      <c r="AU188" s="358">
        <v>0.4806141440029038</v>
      </c>
      <c r="AV188" s="358">
        <v>0.48467043180194763</v>
      </c>
      <c r="AW188" s="358">
        <v>0.4286385057029807</v>
      </c>
      <c r="AX188" s="358">
        <v>0.43219031428961807</v>
      </c>
      <c r="AY188" s="358">
        <v>0.43574008948205356</v>
      </c>
      <c r="AZ188" s="358">
        <v>0.4392884060695298</v>
      </c>
      <c r="BA188" s="358">
        <v>0.442835838841289</v>
      </c>
      <c r="BR188" s="110"/>
      <c r="BS188" s="93">
        <f t="shared" ref="BS188:BS191" si="27">BS187+500000</f>
        <v>2500000</v>
      </c>
      <c r="BT188" s="261">
        <v>0.0017785510033346591</v>
      </c>
      <c r="BU188" s="262">
        <v>0.0020564495976056994</v>
      </c>
      <c r="BV188" s="262">
        <v>0.0023343481918767406</v>
      </c>
      <c r="BW188" s="262">
        <v>0.0026122467861477805</v>
      </c>
      <c r="BX188" s="262">
        <v>0.0028901453804188212</v>
      </c>
      <c r="BY188" s="262">
        <v>0.003168043974689862</v>
      </c>
      <c r="BZ188" s="263">
        <v>0.003445942568960902</v>
      </c>
    </row>
    <row r="189">
      <c r="E189" s="174"/>
      <c r="F189" s="220"/>
      <c r="G189" s="220"/>
      <c r="H189" s="220"/>
      <c r="I189" s="220"/>
      <c r="J189" s="220"/>
      <c r="K189" s="220"/>
      <c r="L189" s="220"/>
      <c r="M189" s="220"/>
      <c r="N189" s="220"/>
      <c r="O189" s="220"/>
      <c r="P189" s="220"/>
      <c r="Q189" s="220"/>
      <c r="R189" s="220"/>
      <c r="S189" s="220"/>
      <c r="T189" s="220"/>
      <c r="V189" s="93">
        <f t="shared" ref="V189:V228" si="28">V188+10000</f>
        <v>110000</v>
      </c>
      <c r="W189" s="358">
        <v>0.3336947515271767</v>
      </c>
      <c r="X189" s="358">
        <v>0.33750117938717406</v>
      </c>
      <c r="Y189" s="358">
        <v>0.3412906293326649</v>
      </c>
      <c r="Z189" s="358">
        <v>0.37512376476448916</v>
      </c>
      <c r="AA189" s="358">
        <v>0.37920829188293737</v>
      </c>
      <c r="AB189" s="358">
        <v>0.38327623664778204</v>
      </c>
      <c r="AC189" s="358">
        <v>0.35629014575441426</v>
      </c>
      <c r="AD189" s="358">
        <v>0.3600033279660105</v>
      </c>
      <c r="AE189" s="358">
        <v>0.43574008948205356</v>
      </c>
      <c r="AF189" s="358">
        <v>0.3993946894068225</v>
      </c>
      <c r="AG189" s="358">
        <v>0.4033890953304225</v>
      </c>
      <c r="AH189" s="358">
        <v>0.4073706680711285</v>
      </c>
      <c r="AI189" s="358">
        <v>0.36461396862436957</v>
      </c>
      <c r="AJ189" s="358">
        <v>0.3681221664871762</v>
      </c>
      <c r="AK189" s="358">
        <v>0.4192446358137299</v>
      </c>
      <c r="AL189" s="358">
        <v>0.42318112444070805</v>
      </c>
      <c r="AM189" s="358">
        <v>0.4271079041937164</v>
      </c>
      <c r="AN189" s="358">
        <v>0.43102559993454</v>
      </c>
      <c r="AO189" s="358">
        <v>0.43493483652496373</v>
      </c>
      <c r="AP189" s="358">
        <v>0.43883623882677253</v>
      </c>
      <c r="AQ189" s="358">
        <v>0.442730431701751</v>
      </c>
      <c r="AR189" s="358">
        <v>0.4466180400116845</v>
      </c>
      <c r="AS189" s="358">
        <v>0.4504996886183576</v>
      </c>
      <c r="AT189" s="358">
        <v>0.45437600238355536</v>
      </c>
      <c r="AU189" s="358">
        <v>0.4582476061690627</v>
      </c>
      <c r="AV189" s="358">
        <v>0.4621151248366643</v>
      </c>
      <c r="AW189" s="358">
        <v>0.46597918324814525</v>
      </c>
      <c r="AX189" s="358">
        <v>0.4698404062652905</v>
      </c>
      <c r="AY189" s="358">
        <v>0.4736994187498848</v>
      </c>
      <c r="AZ189" s="358">
        <v>0.47755684556371303</v>
      </c>
      <c r="BA189" s="358">
        <v>0.4814133115685602</v>
      </c>
      <c r="BR189" s="110"/>
      <c r="BS189" s="93">
        <f t="shared" si="27"/>
        <v>3000000</v>
      </c>
      <c r="BT189" s="248">
        <v>0.0019483050083996772</v>
      </c>
      <c r="BU189" s="249">
        <v>0.0022527276659621265</v>
      </c>
      <c r="BV189" s="249">
        <v>0.0025571503235245776</v>
      </c>
      <c r="BW189" s="249">
        <v>0.0028615729810870256</v>
      </c>
      <c r="BX189" s="249">
        <v>0.0031659956386494766</v>
      </c>
      <c r="BY189" s="249">
        <v>0.0034704182962119255</v>
      </c>
      <c r="BZ189" s="250">
        <v>0.003774840953774376</v>
      </c>
    </row>
    <row r="190">
      <c r="E190" s="174"/>
      <c r="F190" s="220"/>
      <c r="G190" s="220"/>
      <c r="H190" s="220"/>
      <c r="I190" s="220"/>
      <c r="J190" s="220"/>
      <c r="K190" s="220"/>
      <c r="L190" s="220"/>
      <c r="M190" s="220"/>
      <c r="N190" s="220"/>
      <c r="O190" s="220"/>
      <c r="P190" s="220"/>
      <c r="Q190" s="220"/>
      <c r="R190" s="220"/>
      <c r="S190" s="220"/>
      <c r="T190" s="220"/>
      <c r="V190" s="93">
        <f t="shared" si="28"/>
        <v>120000</v>
      </c>
      <c r="W190" s="358">
        <v>0.3473205092272115</v>
      </c>
      <c r="X190" s="358">
        <v>0.35128236495500004</v>
      </c>
      <c r="Y190" s="358">
        <v>0.35522654950910365</v>
      </c>
      <c r="Z190" s="358">
        <v>0.3591536611491339</v>
      </c>
      <c r="AA190" s="358">
        <v>0.36306429813470203</v>
      </c>
      <c r="AB190" s="358">
        <v>0.3669590587254197</v>
      </c>
      <c r="AC190" s="358">
        <v>0.3708385411808985</v>
      </c>
      <c r="AD190" s="358">
        <v>0.3747033437607496</v>
      </c>
      <c r="AE190" s="358">
        <v>0.3504729619726199</v>
      </c>
      <c r="AF190" s="358">
        <v>0.382391302332015</v>
      </c>
      <c r="AG190" s="358">
        <v>0.3862156548426522</v>
      </c>
      <c r="AH190" s="358">
        <v>0.3900277205161078</v>
      </c>
      <c r="AI190" s="358">
        <v>0.393828097611993</v>
      </c>
      <c r="AJ190" s="358">
        <v>0.39761738438991945</v>
      </c>
      <c r="AK190" s="358">
        <v>0.40139617910949876</v>
      </c>
      <c r="AL190" s="358">
        <v>0.32821816010775046</v>
      </c>
      <c r="AM190" s="358">
        <v>0.36575335770363415</v>
      </c>
      <c r="AN190" s="358">
        <v>0.36910827190118917</v>
      </c>
      <c r="AO190" s="358">
        <v>0.3724559421151238</v>
      </c>
      <c r="AP190" s="358">
        <v>0.375796903445102</v>
      </c>
      <c r="AQ190" s="358">
        <v>0.3454417832811066</v>
      </c>
      <c r="AR190" s="358">
        <v>0.4276042183201916</v>
      </c>
      <c r="AS190" s="358">
        <v>0.43132061391900506</v>
      </c>
      <c r="AT190" s="358">
        <v>0.4350319017959744</v>
      </c>
      <c r="AU190" s="358">
        <v>0.40139617910949876</v>
      </c>
      <c r="AV190" s="358">
        <v>0.44244154742282654</v>
      </c>
      <c r="AW190" s="358">
        <v>0.44614110169193233</v>
      </c>
      <c r="AX190" s="358">
        <v>0.4498379412776399</v>
      </c>
      <c r="AY190" s="358">
        <v>0.4535326644395606</v>
      </c>
      <c r="AZ190" s="358">
        <v>0.45722586943730603</v>
      </c>
      <c r="BA190" s="358">
        <v>0.4609181545304875</v>
      </c>
      <c r="BR190" s="110"/>
      <c r="BS190" s="93">
        <f t="shared" si="27"/>
        <v>3500000</v>
      </c>
      <c r="BT190" s="248">
        <v>0.0021044099268079427</v>
      </c>
      <c r="BU190" s="249">
        <v>0.002433223977871684</v>
      </c>
      <c r="BV190" s="249">
        <v>0.002762038028935426</v>
      </c>
      <c r="BW190" s="249">
        <v>0.003090852079999166</v>
      </c>
      <c r="BX190" s="249">
        <v>0.0034196661310629066</v>
      </c>
      <c r="BY190" s="249">
        <v>0.003748480182126648</v>
      </c>
      <c r="BZ190" s="250">
        <v>0.004077294233190389</v>
      </c>
    </row>
    <row r="191">
      <c r="E191" s="174"/>
      <c r="F191" s="220"/>
      <c r="G191" s="220"/>
      <c r="H191" s="220"/>
      <c r="I191" s="220"/>
      <c r="J191" s="220"/>
      <c r="K191" s="220"/>
      <c r="L191" s="220"/>
      <c r="M191" s="220"/>
      <c r="N191" s="220"/>
      <c r="O191" s="220"/>
      <c r="P191" s="220"/>
      <c r="Q191" s="220"/>
      <c r="R191" s="220"/>
      <c r="S191" s="220"/>
      <c r="T191" s="220"/>
      <c r="V191" s="93">
        <f t="shared" si="28"/>
        <v>130000</v>
      </c>
      <c r="W191" s="358">
        <v>0.3336947515271767</v>
      </c>
      <c r="X191" s="358">
        <v>0.33750117938717406</v>
      </c>
      <c r="Y191" s="358">
        <v>0.3412906293326649</v>
      </c>
      <c r="Z191" s="358">
        <v>0.3450636761528919</v>
      </c>
      <c r="AA191" s="358">
        <v>0.34882089463709753</v>
      </c>
      <c r="AB191" s="358">
        <v>0.35256285957452416</v>
      </c>
      <c r="AC191" s="358">
        <v>0.35629014575441426</v>
      </c>
      <c r="AD191" s="358">
        <v>0.3600033279660105</v>
      </c>
      <c r="AE191" s="358">
        <v>0.3637029809985552</v>
      </c>
      <c r="AF191" s="358">
        <v>0.3673896796412909</v>
      </c>
      <c r="AG191" s="358">
        <v>0.37106399868345996</v>
      </c>
      <c r="AH191" s="358">
        <v>0.33777391414708646</v>
      </c>
      <c r="AI191" s="358">
        <v>0.3410651372560836</v>
      </c>
      <c r="AJ191" s="358">
        <v>0.34434675586799246</v>
      </c>
      <c r="AK191" s="358">
        <v>0.3476192880908345</v>
      </c>
      <c r="AL191" s="358">
        <v>0.35088325203263143</v>
      </c>
      <c r="AM191" s="358">
        <v>0.35413916580140475</v>
      </c>
      <c r="AN191" s="358">
        <v>0.35738754750517604</v>
      </c>
      <c r="AO191" s="358">
        <v>0.360628915251967</v>
      </c>
      <c r="AP191" s="358">
        <v>0.4036706282624971</v>
      </c>
      <c r="AQ191" s="358">
        <v>0.40725276470733723</v>
      </c>
      <c r="AR191" s="358">
        <v>0.4108288442332782</v>
      </c>
      <c r="AS191" s="358">
        <v>0.41439944162956227</v>
      </c>
      <c r="AT191" s="358">
        <v>0.41796513168543215</v>
      </c>
      <c r="AU191" s="358">
        <v>0.42152648919013014</v>
      </c>
      <c r="AV191" s="358">
        <v>0.42508408893289884</v>
      </c>
      <c r="AW191" s="358">
        <v>0.4286385057029807</v>
      </c>
      <c r="AX191" s="358">
        <v>0.43219031428961807</v>
      </c>
      <c r="AY191" s="358">
        <v>0.43574008948205356</v>
      </c>
      <c r="AZ191" s="358">
        <v>0.4392884060695298</v>
      </c>
      <c r="BA191" s="358">
        <v>0.442835838841289</v>
      </c>
      <c r="BR191" s="110"/>
      <c r="BS191" s="93">
        <f t="shared" si="27"/>
        <v>4000000</v>
      </c>
      <c r="BT191" s="248">
        <v>0.0022497088421260998</v>
      </c>
      <c r="BU191" s="249">
        <v>0.0026012258487083033</v>
      </c>
      <c r="BV191" s="249">
        <v>0.0029527428552905055</v>
      </c>
      <c r="BW191" s="249">
        <v>0.0033042598618727085</v>
      </c>
      <c r="BX191" s="249">
        <v>0.0036557768684549125</v>
      </c>
      <c r="BY191" s="249">
        <v>0.004007293875037116</v>
      </c>
      <c r="BZ191" s="250">
        <v>0.004358810881619318</v>
      </c>
    </row>
    <row r="192">
      <c r="E192" s="174"/>
      <c r="F192" s="220"/>
      <c r="G192" s="220"/>
      <c r="H192" s="220"/>
      <c r="I192" s="220"/>
      <c r="J192" s="220"/>
      <c r="K192" s="220"/>
      <c r="L192" s="220"/>
      <c r="M192" s="220"/>
      <c r="N192" s="220"/>
      <c r="O192" s="220"/>
      <c r="P192" s="220"/>
      <c r="Q192" s="220"/>
      <c r="R192" s="220"/>
      <c r="S192" s="220"/>
      <c r="T192" s="220"/>
      <c r="V192" s="93">
        <f t="shared" si="28"/>
        <v>140000</v>
      </c>
      <c r="W192" s="358">
        <v>0.3215563085057905</v>
      </c>
      <c r="X192" s="358">
        <v>0.325224274170976</v>
      </c>
      <c r="Y192" s="358">
        <v>0.32887587950837754</v>
      </c>
      <c r="Z192" s="358">
        <v>0.3325116783987683</v>
      </c>
      <c r="AA192" s="358">
        <v>0.33613222472292126</v>
      </c>
      <c r="AB192" s="358">
        <v>0.33973807236160974</v>
      </c>
      <c r="AC192" s="358">
        <v>0.34332977519560687</v>
      </c>
      <c r="AD192" s="358">
        <v>0.3469078871056859</v>
      </c>
      <c r="AE192" s="358">
        <v>0.3504729619726199</v>
      </c>
      <c r="AF192" s="358">
        <v>0.4198896566415451</v>
      </c>
      <c r="AG192" s="358">
        <v>0.33447256843297923</v>
      </c>
      <c r="AH192" s="358">
        <v>0.3610955031222838</v>
      </c>
      <c r="AI192" s="358">
        <v>0.36461396862436957</v>
      </c>
      <c r="AJ192" s="358">
        <v>0.3681221664871762</v>
      </c>
      <c r="AK192" s="358">
        <v>0.37162065059147703</v>
      </c>
      <c r="AL192" s="358">
        <v>0.37510997481804514</v>
      </c>
      <c r="AM192" s="358">
        <v>0.3785906930476536</v>
      </c>
      <c r="AN192" s="358">
        <v>0.3820633591610757</v>
      </c>
      <c r="AO192" s="358">
        <v>0.38552852703908447</v>
      </c>
      <c r="AP192" s="358">
        <v>0.3889867505624534</v>
      </c>
      <c r="AQ192" s="358">
        <v>0.3924385836119554</v>
      </c>
      <c r="AR192" s="358">
        <v>0.3592594024560777</v>
      </c>
      <c r="AS192" s="358">
        <v>0.3623817993009103</v>
      </c>
      <c r="AT192" s="358">
        <v>0.3654999048010392</v>
      </c>
      <c r="AU192" s="358">
        <v>0.3686142215950757</v>
      </c>
      <c r="AV192" s="358">
        <v>0.371725252321631</v>
      </c>
      <c r="AW192" s="358">
        <v>0.37483349961931683</v>
      </c>
      <c r="AX192" s="358">
        <v>0.3779394661267444</v>
      </c>
      <c r="AY192" s="358">
        <v>0.3467168488574801</v>
      </c>
      <c r="AZ192" s="358">
        <v>0.4233089000610383</v>
      </c>
      <c r="BA192" s="358">
        <v>0.4267272918143963</v>
      </c>
      <c r="BR192" s="110"/>
      <c r="BS192" s="103">
        <v>4200000.0</v>
      </c>
      <c r="BT192" s="248">
        <v>0.002386176566944052</v>
      </c>
      <c r="BU192" s="249">
        <v>0.00275901665552906</v>
      </c>
      <c r="BV192" s="249">
        <v>0.003131856744114068</v>
      </c>
      <c r="BW192" s="249">
        <v>0.003504696832699076</v>
      </c>
      <c r="BX192" s="249">
        <v>0.003877536921284084</v>
      </c>
      <c r="BY192" s="249">
        <v>0.004250377009869093</v>
      </c>
      <c r="BZ192" s="250">
        <v>0.0046232170984541006</v>
      </c>
    </row>
    <row r="193">
      <c r="E193" s="174"/>
      <c r="F193" s="220"/>
      <c r="G193" s="220"/>
      <c r="H193" s="220"/>
      <c r="I193" s="220"/>
      <c r="J193" s="220"/>
      <c r="K193" s="220"/>
      <c r="L193" s="220"/>
      <c r="M193" s="220"/>
      <c r="N193" s="220"/>
      <c r="O193" s="220"/>
      <c r="P193" s="220"/>
      <c r="Q193" s="220"/>
      <c r="R193" s="220"/>
      <c r="S193" s="220"/>
      <c r="T193" s="220"/>
      <c r="V193" s="93">
        <f t="shared" si="28"/>
        <v>150000</v>
      </c>
      <c r="W193" s="358">
        <v>0.31065290744475527</v>
      </c>
      <c r="X193" s="358">
        <v>0.314196498934508</v>
      </c>
      <c r="Y193" s="358">
        <v>0.31772428484602017</v>
      </c>
      <c r="Z193" s="358">
        <v>0.30174943128772586</v>
      </c>
      <c r="AA193" s="358">
        <v>0.3050350235397786</v>
      </c>
      <c r="AB193" s="358">
        <v>0.32821816010775046</v>
      </c>
      <c r="AC193" s="358">
        <v>0.3316880747029377</v>
      </c>
      <c r="AD193" s="358">
        <v>0.3148137778121272</v>
      </c>
      <c r="AE193" s="358">
        <v>0.3180490305370116</v>
      </c>
      <c r="AF193" s="358">
        <v>0.32127295497663255</v>
      </c>
      <c r="AG193" s="358">
        <v>0.31534376167978834</v>
      </c>
      <c r="AH193" s="358">
        <v>0.31845630026843674</v>
      </c>
      <c r="AI193" s="358">
        <v>0.3215592951734631</v>
      </c>
      <c r="AJ193" s="358">
        <v>0.32465323487179476</v>
      </c>
      <c r="AK193" s="358">
        <v>0.3277386078403589</v>
      </c>
      <c r="AL193" s="358">
        <v>0.33081590255608284</v>
      </c>
      <c r="AM193" s="358">
        <v>0.3338856074958939</v>
      </c>
      <c r="AN193" s="358">
        <v>0.3369482111367193</v>
      </c>
      <c r="AO193" s="358">
        <v>0.34000420195548625</v>
      </c>
      <c r="AP193" s="358">
        <v>0.34305406842912195</v>
      </c>
      <c r="AQ193" s="358">
        <v>0.346098299034554</v>
      </c>
      <c r="AR193" s="358">
        <v>0.34913738224870944</v>
      </c>
      <c r="AS193" s="358">
        <v>0.3857848851279351</v>
      </c>
      <c r="AT193" s="358">
        <v>0.3891043619187247</v>
      </c>
      <c r="AU193" s="358">
        <v>0.3924198053238767</v>
      </c>
      <c r="AV193" s="359">
        <v>0.39573175044305503</v>
      </c>
      <c r="AW193" s="359">
        <v>0.399040732375923</v>
      </c>
      <c r="AX193" s="359">
        <v>0.40234728622214466</v>
      </c>
      <c r="AY193" s="359">
        <v>0.4056519470813837</v>
      </c>
      <c r="AZ193" s="359">
        <v>0.40895525005330396</v>
      </c>
      <c r="BA193" s="359">
        <v>0.41225773023756923</v>
      </c>
      <c r="BB193" s="225"/>
      <c r="BC193" s="225"/>
      <c r="BR193" s="110"/>
      <c r="BS193" s="103">
        <v>5000000.0</v>
      </c>
      <c r="BT193" s="248">
        <v>0.0025152509502881504</v>
      </c>
      <c r="BU193" s="249">
        <v>0.0029082589112706734</v>
      </c>
      <c r="BV193" s="249">
        <v>0.0033012668722531982</v>
      </c>
      <c r="BW193" s="249">
        <v>0.0036942748332357204</v>
      </c>
      <c r="BX193" s="249">
        <v>0.004087282794218244</v>
      </c>
      <c r="BY193" s="249">
        <v>0.004480290755200769</v>
      </c>
      <c r="BZ193" s="250">
        <v>0.004873298716183292</v>
      </c>
    </row>
    <row r="194">
      <c r="E194" s="174"/>
      <c r="F194" s="220"/>
      <c r="G194" s="220"/>
      <c r="H194" s="220"/>
      <c r="I194" s="220"/>
      <c r="J194" s="220"/>
      <c r="K194" s="220"/>
      <c r="L194" s="220"/>
      <c r="M194" s="220"/>
      <c r="N194" s="220"/>
      <c r="O194" s="220"/>
      <c r="P194" s="220"/>
      <c r="Q194" s="220"/>
      <c r="R194" s="220"/>
      <c r="S194" s="220"/>
      <c r="T194" s="220"/>
      <c r="V194" s="93">
        <f t="shared" si="28"/>
        <v>160000</v>
      </c>
      <c r="W194" s="358">
        <v>0.30078838424611276</v>
      </c>
      <c r="X194" s="358">
        <v>0.3042194519525065</v>
      </c>
      <c r="Y194" s="358">
        <v>0.3076352159735744</v>
      </c>
      <c r="Z194" s="358">
        <v>0.2932477363559429</v>
      </c>
      <c r="AA194" s="358">
        <v>0.2964407580839089</v>
      </c>
      <c r="AB194" s="358">
        <v>0.2996208167897619</v>
      </c>
      <c r="AC194" s="358">
        <v>0.3027884009504294</v>
      </c>
      <c r="AD194" s="358">
        <v>0.30594399904283853</v>
      </c>
      <c r="AE194" s="358">
        <v>0.3090880995439165</v>
      </c>
      <c r="AF194" s="358">
        <v>0.30389379179939746</v>
      </c>
      <c r="AG194" s="358">
        <v>0.3069330789864946</v>
      </c>
      <c r="AH194" s="358">
        <v>0.3099626015855439</v>
      </c>
      <c r="AI194" s="358">
        <v>0.31298283504507324</v>
      </c>
      <c r="AJ194" s="358">
        <v>0.3159942548136106</v>
      </c>
      <c r="AK194" s="358">
        <v>0.31899733633968413</v>
      </c>
      <c r="AL194" s="358">
        <v>0.32199255507182173</v>
      </c>
      <c r="AM194" s="358">
        <v>0.3249803864585514</v>
      </c>
      <c r="AN194" s="358">
        <v>0.3279613059484009</v>
      </c>
      <c r="AO194" s="358">
        <v>0.360628915251967</v>
      </c>
      <c r="AP194" s="358">
        <v>0.36386378714979917</v>
      </c>
      <c r="AQ194" s="358">
        <v>0.33686734752194974</v>
      </c>
      <c r="AR194" s="358">
        <v>0.33982537390955936</v>
      </c>
      <c r="AS194" s="358">
        <v>0.342778865642929</v>
      </c>
      <c r="AT194" s="358">
        <v>0.376748678411971</v>
      </c>
      <c r="AU194" s="358">
        <v>0.3799588426853329</v>
      </c>
      <c r="AV194" s="360">
        <v>0.3831656197578653</v>
      </c>
      <c r="AW194" s="360">
        <v>0.38636952773759015</v>
      </c>
      <c r="AX194" s="360">
        <v>0.38957108473252877</v>
      </c>
      <c r="AY194" s="360">
        <v>0.3927708088507028</v>
      </c>
      <c r="AZ194" s="360">
        <v>0.395969218200134</v>
      </c>
      <c r="BA194" s="360">
        <v>0.39916683088884386</v>
      </c>
      <c r="BB194" s="23"/>
      <c r="BC194" s="225"/>
      <c r="BR194" s="110"/>
      <c r="BS194" s="103">
        <v>5500000.0</v>
      </c>
      <c r="BT194" s="248">
        <v>0.002638017452030595</v>
      </c>
      <c r="BU194" s="249">
        <v>0.003050207678910375</v>
      </c>
      <c r="BV194" s="249">
        <v>0.003462397905790155</v>
      </c>
      <c r="BW194" s="249">
        <v>0.0038745881326699367</v>
      </c>
      <c r="BX194" s="249">
        <v>0.004286778359549716</v>
      </c>
      <c r="BY194" s="249">
        <v>0.0046989685864294965</v>
      </c>
      <c r="BZ194" s="250">
        <v>0.005111158813309277</v>
      </c>
    </row>
    <row r="195">
      <c r="E195" s="174"/>
      <c r="F195" s="220"/>
      <c r="G195" s="220"/>
      <c r="H195" s="220"/>
      <c r="I195" s="220"/>
      <c r="J195" s="220"/>
      <c r="K195" s="220"/>
      <c r="L195" s="220"/>
      <c r="M195" s="220"/>
      <c r="N195" s="220"/>
      <c r="O195" s="220"/>
      <c r="P195" s="220"/>
      <c r="Q195" s="220"/>
      <c r="R195" s="220"/>
      <c r="S195" s="220"/>
      <c r="T195" s="220"/>
      <c r="V195" s="93">
        <f t="shared" si="28"/>
        <v>170000</v>
      </c>
      <c r="W195" s="358">
        <v>0.27602235164624994</v>
      </c>
      <c r="X195" s="358">
        <v>0.2791709153095375</v>
      </c>
      <c r="Y195" s="358">
        <v>0.2823054353480254</v>
      </c>
      <c r="Z195" s="358">
        <v>0.30174943128772586</v>
      </c>
      <c r="AA195" s="358">
        <v>0.3050350235397786</v>
      </c>
      <c r="AB195" s="358">
        <v>0.3083072769521222</v>
      </c>
      <c r="AC195" s="358">
        <v>0.31156669416336785</v>
      </c>
      <c r="AD195" s="358">
        <v>0.3148137778121272</v>
      </c>
      <c r="AE195" s="358">
        <v>0.3180490305370116</v>
      </c>
      <c r="AF195" s="358">
        <v>0.32127295497663255</v>
      </c>
      <c r="AG195" s="358">
        <v>0.32448605376960116</v>
      </c>
      <c r="AH195" s="358">
        <v>0.3276888295545291</v>
      </c>
      <c r="AI195" s="358">
        <v>0.3308817849700278</v>
      </c>
      <c r="AJ195" s="358">
        <v>0.33406542265470845</v>
      </c>
      <c r="AK195" s="358">
        <v>0.3372402452471826</v>
      </c>
      <c r="AL195" s="358">
        <v>0.34040675538606174</v>
      </c>
      <c r="AM195" s="358">
        <v>0.316751699290804</v>
      </c>
      <c r="AN195" s="358">
        <v>0.3467168488574801</v>
      </c>
      <c r="AO195" s="358">
        <v>0.34986143746724235</v>
      </c>
      <c r="AP195" s="358">
        <v>0.352999724177855</v>
      </c>
      <c r="AQ195" s="358">
        <v>0.3561322116279297</v>
      </c>
      <c r="AR195" s="358">
        <v>0.3592594024560777</v>
      </c>
      <c r="AS195" s="358">
        <v>0.30799310158094234</v>
      </c>
      <c r="AT195" s="358">
        <v>0.3654999048010392</v>
      </c>
      <c r="AU195" s="358">
        <v>0.3686142215950757</v>
      </c>
      <c r="AV195" s="359">
        <v>0.371725252321631</v>
      </c>
      <c r="AW195" s="359">
        <v>0.34557941138229686</v>
      </c>
      <c r="AX195" s="359">
        <v>0.3779394661267444</v>
      </c>
      <c r="AY195" s="359">
        <v>0.3810436544825251</v>
      </c>
      <c r="AZ195" s="359">
        <v>0.38414656732527047</v>
      </c>
      <c r="BA195" s="359">
        <v>0.33409951091685314</v>
      </c>
      <c r="BB195" s="177"/>
      <c r="BC195" s="177"/>
      <c r="BR195" s="110"/>
      <c r="BS195" s="93">
        <f t="shared" ref="BS195:BS202" si="29">BS194+500000</f>
        <v>6000000</v>
      </c>
      <c r="BT195" s="272">
        <v>0.002755319366518252</v>
      </c>
      <c r="BU195" s="251">
        <v>0.003185838017536727</v>
      </c>
      <c r="BV195" s="251">
        <v>0.003616356668555203</v>
      </c>
      <c r="BW195" s="251">
        <v>0.004046875319573681</v>
      </c>
      <c r="BX195" s="251">
        <v>0.004477393970592158</v>
      </c>
      <c r="BY195" s="251">
        <v>0.004907912621610635</v>
      </c>
      <c r="BZ195" s="273">
        <v>0.005338431272629112</v>
      </c>
    </row>
    <row r="196">
      <c r="E196" s="174"/>
      <c r="F196" s="220"/>
      <c r="G196" s="220"/>
      <c r="H196" s="220"/>
      <c r="I196" s="220"/>
      <c r="J196" s="220"/>
      <c r="K196" s="220"/>
      <c r="L196" s="220"/>
      <c r="M196" s="220"/>
      <c r="N196" s="220"/>
      <c r="O196" s="220"/>
      <c r="P196" s="220"/>
      <c r="Q196" s="220"/>
      <c r="R196" s="220"/>
      <c r="S196" s="220"/>
      <c r="T196" s="220"/>
      <c r="V196" s="93">
        <f t="shared" si="28"/>
        <v>180000</v>
      </c>
      <c r="W196" s="358">
        <v>0.283586008270095</v>
      </c>
      <c r="X196" s="358">
        <v>0.35822863231278873</v>
      </c>
      <c r="Y196" s="358">
        <v>0.27515730207589656</v>
      </c>
      <c r="Z196" s="358">
        <v>0.2932477363559429</v>
      </c>
      <c r="AA196" s="358">
        <v>0.2964407580839089</v>
      </c>
      <c r="AB196" s="358">
        <v>0.2996208167897619</v>
      </c>
      <c r="AC196" s="358">
        <v>0.3027884009504294</v>
      </c>
      <c r="AD196" s="358">
        <v>0.30594399904283853</v>
      </c>
      <c r="AE196" s="358">
        <v>0.3090880995439165</v>
      </c>
      <c r="AF196" s="358">
        <v>0.31222119093059075</v>
      </c>
      <c r="AG196" s="358">
        <v>0.31534376167978834</v>
      </c>
      <c r="AH196" s="358">
        <v>0.31845630026843674</v>
      </c>
      <c r="AI196" s="358">
        <v>0.3215592951734631</v>
      </c>
      <c r="AJ196" s="358">
        <v>0.32465323487179476</v>
      </c>
      <c r="AK196" s="358">
        <v>0.3277386078403589</v>
      </c>
      <c r="AL196" s="358">
        <v>0.33081590255608284</v>
      </c>
      <c r="AM196" s="358">
        <v>0.3338856074958939</v>
      </c>
      <c r="AN196" s="358">
        <v>0.3369482111367193</v>
      </c>
      <c r="AO196" s="358">
        <v>0.34000420195548625</v>
      </c>
      <c r="AP196" s="358">
        <v>0.34305406842912195</v>
      </c>
      <c r="AQ196" s="358">
        <v>0.346098299034554</v>
      </c>
      <c r="AR196" s="358">
        <v>0.34913738224870944</v>
      </c>
      <c r="AS196" s="358">
        <v>0.35217180654851543</v>
      </c>
      <c r="AT196" s="358">
        <v>0.3552020604108995</v>
      </c>
      <c r="AU196" s="358">
        <v>0.35822863231278873</v>
      </c>
      <c r="AV196" s="359">
        <v>0.3369482111367193</v>
      </c>
      <c r="AW196" s="359">
        <v>0.33725097277749455</v>
      </c>
      <c r="AX196" s="359">
        <v>0.3400455208291177</v>
      </c>
      <c r="AY196" s="359">
        <v>0.37030786985394293</v>
      </c>
      <c r="AZ196" s="359">
        <v>0.3733233591072673</v>
      </c>
      <c r="BA196" s="359">
        <v>0.37633809726166045</v>
      </c>
      <c r="BB196" s="178"/>
      <c r="BC196" s="178"/>
      <c r="BR196" s="110"/>
      <c r="BS196" s="93">
        <f t="shared" si="29"/>
        <v>6500000</v>
      </c>
      <c r="BT196" s="248">
        <v>0.002867827321475803</v>
      </c>
      <c r="BU196" s="249">
        <v>0.0033159253404563974</v>
      </c>
      <c r="BV196" s="249">
        <v>0.003764023359436992</v>
      </c>
      <c r="BW196" s="249">
        <v>0.004212121378417586</v>
      </c>
      <c r="BX196" s="249">
        <v>0.00466021939739818</v>
      </c>
      <c r="BY196" s="249">
        <v>0.005108317416378775</v>
      </c>
      <c r="BZ196" s="250">
        <v>0.005556415435359368</v>
      </c>
    </row>
    <row r="197">
      <c r="E197" s="174"/>
      <c r="F197" s="220"/>
      <c r="G197" s="220"/>
      <c r="H197" s="220"/>
      <c r="I197" s="220"/>
      <c r="J197" s="220"/>
      <c r="K197" s="220"/>
      <c r="L197" s="220"/>
      <c r="M197" s="220"/>
      <c r="N197" s="220"/>
      <c r="O197" s="220"/>
      <c r="P197" s="220"/>
      <c r="Q197" s="220"/>
      <c r="R197" s="220"/>
      <c r="S197" s="220"/>
      <c r="T197" s="220"/>
      <c r="V197" s="93">
        <f t="shared" si="28"/>
        <v>190000</v>
      </c>
      <c r="W197" s="358">
        <v>0.27602235164624994</v>
      </c>
      <c r="X197" s="358">
        <v>0.2791709153095375</v>
      </c>
      <c r="Y197" s="358">
        <v>0.2823054353480254</v>
      </c>
      <c r="Z197" s="358">
        <v>0.28542638721024144</v>
      </c>
      <c r="AA197" s="358">
        <v>0.28853424634471364</v>
      </c>
      <c r="AB197" s="358">
        <v>0.29162948819997014</v>
      </c>
      <c r="AC197" s="358">
        <v>0.2803275875778978</v>
      </c>
      <c r="AD197" s="358">
        <v>0.2832491037186541</v>
      </c>
      <c r="AE197" s="358">
        <v>0.27958070545941566</v>
      </c>
      <c r="AF197" s="358">
        <v>0.2824146932494591</v>
      </c>
      <c r="AG197" s="358">
        <v>0.2852391647648484</v>
      </c>
      <c r="AH197" s="358">
        <v>0.26525255784919755</v>
      </c>
      <c r="AI197" s="358">
        <v>0.31298283504507324</v>
      </c>
      <c r="AJ197" s="358">
        <v>0.3159942548136106</v>
      </c>
      <c r="AK197" s="358">
        <v>0.31899733633968413</v>
      </c>
      <c r="AL197" s="358">
        <v>0.32199255507182173</v>
      </c>
      <c r="AM197" s="358">
        <v>0.3249803864585514</v>
      </c>
      <c r="AN197" s="358">
        <v>0.3047811245787132</v>
      </c>
      <c r="AO197" s="358">
        <v>0.33093578898989856</v>
      </c>
      <c r="AP197" s="358">
        <v>0.3339043110315723</v>
      </c>
      <c r="AQ197" s="358">
        <v>0.33686734752194974</v>
      </c>
      <c r="AR197" s="358">
        <v>0.33982537390955936</v>
      </c>
      <c r="AS197" s="358">
        <v>0.342778865642929</v>
      </c>
      <c r="AT197" s="358">
        <v>0.3457282981705864</v>
      </c>
      <c r="AU197" s="358">
        <v>0.3486741469410599</v>
      </c>
      <c r="AV197" s="359">
        <v>0.3516168874028772</v>
      </c>
      <c r="AW197" s="359">
        <v>0.3545569950045664</v>
      </c>
      <c r="AX197" s="359">
        <v>0.3574949451946555</v>
      </c>
      <c r="AY197" s="359">
        <v>0.3604312134216725</v>
      </c>
      <c r="AZ197" s="359">
        <v>0.3633662751341454</v>
      </c>
      <c r="BA197" s="359">
        <v>0.3663006057806021</v>
      </c>
      <c r="BB197" s="178"/>
      <c r="BC197" s="178"/>
      <c r="BR197" s="110"/>
      <c r="BS197" s="93">
        <f t="shared" si="29"/>
        <v>7000000</v>
      </c>
      <c r="BT197" s="248">
        <v>0.002976085059284366</v>
      </c>
      <c r="BU197" s="249">
        <v>0.0034410983497975478</v>
      </c>
      <c r="BV197" s="249">
        <v>0.0039061116403107292</v>
      </c>
      <c r="BW197" s="249">
        <v>0.0043711249308239115</v>
      </c>
      <c r="BX197" s="249">
        <v>0.004836138221337093</v>
      </c>
      <c r="BY197" s="249">
        <v>0.005301151511850276</v>
      </c>
      <c r="BZ197" s="250">
        <v>0.005766164802363458</v>
      </c>
    </row>
    <row r="198">
      <c r="E198" s="174"/>
      <c r="F198" s="220"/>
      <c r="G198" s="220"/>
      <c r="H198" s="220"/>
      <c r="I198" s="220"/>
      <c r="J198" s="220"/>
      <c r="K198" s="220"/>
      <c r="L198" s="220"/>
      <c r="M198" s="220"/>
      <c r="N198" s="220"/>
      <c r="O198" s="220"/>
      <c r="P198" s="220"/>
      <c r="Q198" s="220"/>
      <c r="R198" s="220"/>
      <c r="S198" s="220"/>
      <c r="T198" s="220"/>
      <c r="V198" s="93">
        <f t="shared" si="28"/>
        <v>200000</v>
      </c>
      <c r="W198" s="358">
        <v>0.2565131959708714</v>
      </c>
      <c r="X198" s="358">
        <v>0.2594392203423423</v>
      </c>
      <c r="Y198" s="358">
        <v>0.26235219368711593</v>
      </c>
      <c r="Z198" s="358">
        <v>0.26525255784919755</v>
      </c>
      <c r="AA198" s="358">
        <v>0.2681407546725927</v>
      </c>
      <c r="AB198" s="358">
        <v>0.27101722600130657</v>
      </c>
      <c r="AC198" s="358">
        <v>0.27388241367934485</v>
      </c>
      <c r="AD198" s="358">
        <v>0.2706538901563684</v>
      </c>
      <c r="AE198" s="358">
        <v>0.27343532412572763</v>
      </c>
      <c r="AF198" s="358">
        <v>0.27620701886290755</v>
      </c>
      <c r="AG198" s="358">
        <v>0.2789694064998701</v>
      </c>
      <c r="AH198" s="358">
        <v>0.28172291916857756</v>
      </c>
      <c r="AI198" s="358">
        <v>0.28446798900099224</v>
      </c>
      <c r="AJ198" s="358">
        <v>0.28720504812907605</v>
      </c>
      <c r="AK198" s="358">
        <v>0.28993452868479125</v>
      </c>
      <c r="AL198" s="358">
        <v>0.2926568628001001</v>
      </c>
      <c r="AM198" s="358">
        <v>0.29537248260696464</v>
      </c>
      <c r="AN198" s="358">
        <v>0.3196571402134037</v>
      </c>
      <c r="AO198" s="358">
        <v>0.3225563076621636</v>
      </c>
      <c r="AP198" s="358">
        <v>0.32544966504698614</v>
      </c>
      <c r="AQ198" s="358">
        <v>0.3283376757777736</v>
      </c>
      <c r="AR198" s="358">
        <v>0.3312208032644285</v>
      </c>
      <c r="AS198" s="358">
        <v>0.33409951091685314</v>
      </c>
      <c r="AT198" s="358">
        <v>0.3369742621449499</v>
      </c>
      <c r="AU198" s="358">
        <v>0.3398455203586212</v>
      </c>
      <c r="AV198" s="359">
        <v>0.3427137489677694</v>
      </c>
      <c r="AW198" s="359">
        <v>0.3222544627428492</v>
      </c>
      <c r="AX198" s="359">
        <v>0.324924745866329</v>
      </c>
      <c r="AY198" s="359">
        <v>0.35130489126709913</v>
      </c>
      <c r="AZ198" s="359">
        <v>0.35416563555717867</v>
      </c>
      <c r="BA198" s="359">
        <v>0.35702566729224705</v>
      </c>
      <c r="BB198" s="178"/>
      <c r="BC198" s="178"/>
      <c r="BR198" s="110"/>
      <c r="BS198" s="93">
        <f t="shared" si="29"/>
        <v>7500000</v>
      </c>
      <c r="BT198" s="248">
        <v>0.0030805407016282335</v>
      </c>
      <c r="BU198" s="249">
        <v>0.0035618751862576447</v>
      </c>
      <c r="BV198" s="249">
        <v>0.004043209670887056</v>
      </c>
      <c r="BW198" s="249">
        <v>0.004524544155516468</v>
      </c>
      <c r="BX198" s="249">
        <v>0.005005878640145879</v>
      </c>
      <c r="BY198" s="249">
        <v>0.005487213124775291</v>
      </c>
      <c r="BZ198" s="250">
        <v>0.005968547609404701</v>
      </c>
    </row>
    <row r="199">
      <c r="E199" s="174"/>
      <c r="F199" s="220"/>
      <c r="G199" s="220"/>
      <c r="H199" s="220"/>
      <c r="I199" s="220"/>
      <c r="J199" s="220"/>
      <c r="K199" s="220"/>
      <c r="L199" s="220"/>
      <c r="M199" s="220"/>
      <c r="N199" s="220"/>
      <c r="O199" s="220"/>
      <c r="P199" s="220"/>
      <c r="Q199" s="220"/>
      <c r="R199" s="220"/>
      <c r="S199" s="220"/>
      <c r="T199" s="220"/>
      <c r="V199" s="93">
        <f t="shared" si="28"/>
        <v>210000</v>
      </c>
      <c r="W199" s="358">
        <v>0.26254962647071894</v>
      </c>
      <c r="X199" s="358">
        <v>0.26554450789530326</v>
      </c>
      <c r="Y199" s="358">
        <v>0.2685260311681891</v>
      </c>
      <c r="Z199" s="358">
        <v>0.27149464853113386</v>
      </c>
      <c r="AA199" s="358">
        <v>0.2744508122258953</v>
      </c>
      <c r="AB199" s="358">
        <v>0.27739497449423073</v>
      </c>
      <c r="AC199" s="358">
        <v>0.26222244719434007</v>
      </c>
      <c r="AD199" s="358">
        <v>0.2649552753065001</v>
      </c>
      <c r="AE199" s="358">
        <v>0.26767814621248504</v>
      </c>
      <c r="AF199" s="358">
        <v>0.2703914829457231</v>
      </c>
      <c r="AG199" s="358">
        <v>0.27309570853964243</v>
      </c>
      <c r="AH199" s="358">
        <v>0.27579124602767136</v>
      </c>
      <c r="AI199" s="358">
        <v>0.27847851844323784</v>
      </c>
      <c r="AJ199" s="358">
        <v>0.28115794881977024</v>
      </c>
      <c r="AK199" s="358">
        <v>0.28382996019069656</v>
      </c>
      <c r="AL199" s="358">
        <v>0.2864949755894451</v>
      </c>
      <c r="AM199" s="358">
        <v>0.28915341804944406</v>
      </c>
      <c r="AN199" s="358">
        <v>0.2918057106041216</v>
      </c>
      <c r="AO199" s="358">
        <v>0.2944522762869057</v>
      </c>
      <c r="AP199" s="358">
        <v>0.31760635186042946</v>
      </c>
      <c r="AQ199" s="358">
        <v>0.3204247617432811</v>
      </c>
      <c r="AR199" s="358">
        <v>0.3232384060678275</v>
      </c>
      <c r="AS199" s="358">
        <v>0.3260477370758263</v>
      </c>
      <c r="AT199" s="358">
        <v>0.32885320700903475</v>
      </c>
      <c r="AU199" s="358">
        <v>0.3316552681092106</v>
      </c>
      <c r="AV199" s="359">
        <v>0.33445437261811145</v>
      </c>
      <c r="AW199" s="359">
        <v>0.33725097277749455</v>
      </c>
      <c r="AX199" s="359">
        <v>0.3400455208291177</v>
      </c>
      <c r="AY199" s="359">
        <v>0.34283846901473847</v>
      </c>
      <c r="AZ199" s="359">
        <v>0.3456302695761142</v>
      </c>
      <c r="BA199" s="359">
        <v>0.34842137475500257</v>
      </c>
      <c r="BB199" s="178"/>
      <c r="BC199" s="178"/>
      <c r="BR199" s="110"/>
      <c r="BS199" s="93">
        <f t="shared" si="29"/>
        <v>8000000</v>
      </c>
      <c r="BT199" s="248">
        <v>0.0031815687559254026</v>
      </c>
      <c r="BU199" s="249">
        <v>0.0036786888740387466</v>
      </c>
      <c r="BV199" s="249">
        <v>0.004175808992152091</v>
      </c>
      <c r="BW199" s="249">
        <v>0.004672929110265435</v>
      </c>
      <c r="BX199" s="249">
        <v>0.005170049228378777</v>
      </c>
      <c r="BY199" s="249">
        <v>0.005667169346492123</v>
      </c>
      <c r="BZ199" s="250">
        <v>0.006164289464605468</v>
      </c>
    </row>
    <row r="200">
      <c r="E200" s="174"/>
      <c r="F200" s="220"/>
      <c r="G200" s="220"/>
      <c r="H200" s="220"/>
      <c r="I200" s="220"/>
      <c r="J200" s="220"/>
      <c r="K200" s="220"/>
      <c r="L200" s="220"/>
      <c r="M200" s="220"/>
      <c r="N200" s="220"/>
      <c r="O200" s="220"/>
      <c r="P200" s="220"/>
      <c r="Q200" s="220"/>
      <c r="R200" s="220"/>
      <c r="S200" s="220"/>
      <c r="T200" s="220"/>
      <c r="V200" s="93">
        <f t="shared" si="28"/>
        <v>220000</v>
      </c>
      <c r="W200" s="358">
        <v>0.2565131959708714</v>
      </c>
      <c r="X200" s="358">
        <v>0.2594392203423423</v>
      </c>
      <c r="Y200" s="358">
        <v>0.251183102015386</v>
      </c>
      <c r="Z200" s="358">
        <v>0.25395998928652797</v>
      </c>
      <c r="AA200" s="358">
        <v>0.25672522721778224</v>
      </c>
      <c r="AB200" s="358">
        <v>0.25947923884257684</v>
      </c>
      <c r="AC200" s="358">
        <v>0.26222244719434007</v>
      </c>
      <c r="AD200" s="358">
        <v>0.2649552753065001</v>
      </c>
      <c r="AE200" s="358">
        <v>0.26767814621248504</v>
      </c>
      <c r="AF200" s="358">
        <v>0.2703914829457231</v>
      </c>
      <c r="AG200" s="359">
        <v>0.26757805474638346</v>
      </c>
      <c r="AH200" s="359">
        <v>0.2433755615620052</v>
      </c>
      <c r="AI200" s="361">
        <v>0.29086132634768647</v>
      </c>
      <c r="AJ200" s="359">
        <v>0.29365990010314597</v>
      </c>
      <c r="AK200" s="359">
        <v>0.29645072495997293</v>
      </c>
      <c r="AL200" s="359">
        <v>0.29923424276217286</v>
      </c>
      <c r="AM200" s="359">
        <v>0.30201089535375114</v>
      </c>
      <c r="AN200" s="359">
        <v>0.3047811245787132</v>
      </c>
      <c r="AO200" s="359">
        <v>0.3075453722810643</v>
      </c>
      <c r="AP200" s="359">
        <v>0.3103040803048101</v>
      </c>
      <c r="AQ200" s="359">
        <v>0.31305769049395576</v>
      </c>
      <c r="AR200" s="359">
        <v>0.31580664469250685</v>
      </c>
      <c r="AS200" s="359">
        <v>0.3185513847444688</v>
      </c>
      <c r="AT200" s="359">
        <v>0.3013989427295769</v>
      </c>
      <c r="AU200" s="359">
        <v>0.3039670741482663</v>
      </c>
      <c r="AV200" s="359">
        <v>0.3065324958062922</v>
      </c>
      <c r="AW200" s="359">
        <v>0.30909562219007214</v>
      </c>
      <c r="AX200" s="359">
        <v>0.31165686778602303</v>
      </c>
      <c r="AY200" s="359">
        <v>0.3142166470805623</v>
      </c>
      <c r="AZ200" s="359">
        <v>0.31677537456010724</v>
      </c>
      <c r="BA200" s="359">
        <v>0.319333464711075</v>
      </c>
      <c r="BB200" s="178"/>
      <c r="BC200" s="178"/>
      <c r="BR200" s="110"/>
      <c r="BS200" s="93">
        <f t="shared" si="29"/>
        <v>8500000</v>
      </c>
      <c r="BT200" s="248">
        <v>0.003279486008961351</v>
      </c>
      <c r="BU200" s="249">
        <v>0.0037919056978615636</v>
      </c>
      <c r="BV200" s="249">
        <v>0.004304325386761775</v>
      </c>
      <c r="BW200" s="249">
        <v>0.004816745075661985</v>
      </c>
      <c r="BX200" s="249">
        <v>0.0053291647645621965</v>
      </c>
      <c r="BY200" s="249">
        <v>0.0058415844534624095</v>
      </c>
      <c r="BZ200" s="250">
        <v>0.006354004142362619</v>
      </c>
    </row>
    <row r="201">
      <c r="E201" s="174"/>
      <c r="F201" s="220"/>
      <c r="G201" s="220"/>
      <c r="H201" s="220"/>
      <c r="I201" s="220"/>
      <c r="J201" s="220"/>
      <c r="K201" s="220"/>
      <c r="L201" s="220"/>
      <c r="M201" s="220"/>
      <c r="N201" s="220"/>
      <c r="O201" s="220"/>
      <c r="P201" s="220"/>
      <c r="Q201" s="220"/>
      <c r="R201" s="220"/>
      <c r="S201" s="220"/>
      <c r="T201" s="220"/>
      <c r="V201" s="93">
        <f t="shared" si="28"/>
        <v>230000</v>
      </c>
      <c r="W201" s="358">
        <v>0.24063070739689021</v>
      </c>
      <c r="X201" s="358">
        <v>0.2433755615620052</v>
      </c>
      <c r="Y201" s="358">
        <v>0.24610817277885957</v>
      </c>
      <c r="Z201" s="358">
        <v>0.2488289555338705</v>
      </c>
      <c r="AA201" s="358">
        <v>0.26224683153559286</v>
      </c>
      <c r="AB201" s="358">
        <v>0.25423669360403134</v>
      </c>
      <c r="AC201" s="358">
        <v>0.2569244778920159</v>
      </c>
      <c r="AD201" s="358">
        <v>0.25960209166382603</v>
      </c>
      <c r="AE201" s="358">
        <v>0.26226994940587917</v>
      </c>
      <c r="AF201" s="358">
        <v>0.26492846560459254</v>
      </c>
      <c r="AG201" s="358">
        <v>0.2623818697232707</v>
      </c>
      <c r="AH201" s="358">
        <v>0.26497165837209347</v>
      </c>
      <c r="AI201" s="358">
        <v>0.24132891835655176</v>
      </c>
      <c r="AJ201" s="358">
        <v>0.28720504812907605</v>
      </c>
      <c r="AK201" s="359">
        <v>0.28993452868479125</v>
      </c>
      <c r="AL201" s="359">
        <v>0.2926568628001001</v>
      </c>
      <c r="AM201" s="358">
        <v>0.29537248260696464</v>
      </c>
      <c r="AN201" s="358">
        <v>0.2980818202373471</v>
      </c>
      <c r="AO201" s="358">
        <v>0.3007853078232095</v>
      </c>
      <c r="AP201" s="358">
        <v>0.3034833774965141</v>
      </c>
      <c r="AQ201" s="358">
        <v>0.3061764613892231</v>
      </c>
      <c r="AR201" s="358">
        <v>0.3088649916332986</v>
      </c>
      <c r="AS201" s="358">
        <v>0.3115494003607028</v>
      </c>
      <c r="AT201" s="358">
        <v>0.3142301197033977</v>
      </c>
      <c r="AU201" s="358">
        <v>0.3169075817933457</v>
      </c>
      <c r="AV201" s="358">
        <v>0.3195822187625088</v>
      </c>
      <c r="AW201" s="358">
        <v>0.3222544627428492</v>
      </c>
      <c r="AX201" s="358">
        <v>0.324924745866329</v>
      </c>
      <c r="AY201" s="358">
        <v>0.32759350026491046</v>
      </c>
      <c r="AZ201" s="358">
        <v>0.3302611580705557</v>
      </c>
      <c r="BA201" s="358">
        <v>0.33292815141522686</v>
      </c>
      <c r="BC201" s="178"/>
      <c r="BR201" s="110"/>
      <c r="BS201" s="93">
        <f t="shared" si="29"/>
        <v>9000000</v>
      </c>
      <c r="BT201" s="248">
        <v>0.0033745632631891503</v>
      </c>
      <c r="BU201" s="249">
        <v>0.0039018387730624547</v>
      </c>
      <c r="BV201" s="249">
        <v>0.004429114282935758</v>
      </c>
      <c r="BW201" s="249">
        <v>0.004956389792809063</v>
      </c>
      <c r="BX201" s="249">
        <v>0.005483665302682368</v>
      </c>
      <c r="BY201" s="249">
        <v>0.006010940812555673</v>
      </c>
      <c r="BZ201" s="250">
        <v>0.006538216322428978</v>
      </c>
    </row>
    <row r="202">
      <c r="E202" s="174"/>
      <c r="F202" s="220"/>
      <c r="G202" s="220"/>
      <c r="H202" s="220"/>
      <c r="I202" s="220"/>
      <c r="J202" s="220"/>
      <c r="K202" s="220"/>
      <c r="L202" s="220"/>
      <c r="M202" s="220"/>
      <c r="N202" s="220"/>
      <c r="O202" s="220"/>
      <c r="P202" s="220"/>
      <c r="Q202" s="220"/>
      <c r="R202" s="220"/>
      <c r="S202" s="220"/>
      <c r="T202" s="220"/>
      <c r="V202" s="93">
        <f t="shared" si="28"/>
        <v>240000</v>
      </c>
      <c r="W202" s="358">
        <v>0.24559268731972617</v>
      </c>
      <c r="X202" s="358">
        <v>0.24839414237092813</v>
      </c>
      <c r="Y202" s="358">
        <v>0.251183102015386</v>
      </c>
      <c r="Z202" s="358">
        <v>0.25395998928652797</v>
      </c>
      <c r="AA202" s="358">
        <v>0.25672522721778224</v>
      </c>
      <c r="AB202" s="358">
        <v>0.25947923884257684</v>
      </c>
      <c r="AC202" s="358">
        <v>0.26222244719434007</v>
      </c>
      <c r="AD202" s="358">
        <v>0.2649552753065001</v>
      </c>
      <c r="AE202" s="358">
        <v>0.25717684420184045</v>
      </c>
      <c r="AF202" s="358">
        <v>0.31062381082839424</v>
      </c>
      <c r="AG202" s="358">
        <v>0.27309570853964243</v>
      </c>
      <c r="AH202" s="358">
        <v>0.27579124602767136</v>
      </c>
      <c r="AI202" s="358">
        <v>0.27847851844323784</v>
      </c>
      <c r="AJ202" s="358">
        <v>0.28115794881977024</v>
      </c>
      <c r="AK202" s="362">
        <v>0.28382996019069656</v>
      </c>
      <c r="AL202" s="362">
        <v>0.2864949755894451</v>
      </c>
      <c r="AM202" s="358">
        <v>0.28915341804944406</v>
      </c>
      <c r="AN202" s="358">
        <v>0.2918057106041216</v>
      </c>
      <c r="AO202" s="358">
        <v>0.2944522762869057</v>
      </c>
      <c r="AP202" s="358">
        <v>0.2970935381312248</v>
      </c>
      <c r="AQ202" s="358">
        <v>0.299729919170507</v>
      </c>
      <c r="AR202" s="358">
        <v>0.3023618424381804</v>
      </c>
      <c r="AS202" s="358">
        <v>0.30498973096767323</v>
      </c>
      <c r="AT202" s="358">
        <v>0.3076140077924137</v>
      </c>
      <c r="AU202" s="358">
        <v>0.31023509594582993</v>
      </c>
      <c r="AV202" s="358">
        <v>0.3128534184613501</v>
      </c>
      <c r="AW202" s="358">
        <v>0.3154693983724025</v>
      </c>
      <c r="AX202" s="362">
        <v>0.31808345871241517</v>
      </c>
      <c r="AY202" s="362">
        <v>0.32069602251481627</v>
      </c>
      <c r="AZ202" s="362">
        <v>0.3233075128130341</v>
      </c>
      <c r="BA202" s="362">
        <v>0.32591835264049673</v>
      </c>
      <c r="BB202" s="225"/>
      <c r="BC202" s="227"/>
      <c r="BR202" s="110"/>
      <c r="BS202" s="93">
        <f t="shared" si="29"/>
        <v>9500000</v>
      </c>
      <c r="BT202" s="248">
        <v>0.0034670341722513125</v>
      </c>
      <c r="BU202" s="249">
        <v>0.004008758261665581</v>
      </c>
      <c r="BV202" s="249">
        <v>0.004550482351079848</v>
      </c>
      <c r="BW202" s="249">
        <v>0.0050922064404941144</v>
      </c>
      <c r="BX202" s="249">
        <v>0.005633930529908383</v>
      </c>
      <c r="BY202" s="249">
        <v>0.006175654619322651</v>
      </c>
      <c r="BZ202" s="250">
        <v>0.0067173787087369185</v>
      </c>
    </row>
    <row r="203">
      <c r="E203" s="174"/>
      <c r="F203" s="220"/>
      <c r="G203" s="220"/>
      <c r="H203" s="220"/>
      <c r="I203" s="220"/>
      <c r="J203" s="220"/>
      <c r="K203" s="220"/>
      <c r="L203" s="220"/>
      <c r="M203" s="220"/>
      <c r="N203" s="220"/>
      <c r="O203" s="220"/>
      <c r="P203" s="220"/>
      <c r="Q203" s="220"/>
      <c r="R203" s="220"/>
      <c r="S203" s="220"/>
      <c r="T203" s="220"/>
      <c r="V203" s="93">
        <f t="shared" si="28"/>
        <v>250000</v>
      </c>
      <c r="W203" s="358">
        <v>0.24063070739689021</v>
      </c>
      <c r="X203" s="358">
        <v>0.2433755615620052</v>
      </c>
      <c r="Y203" s="358">
        <v>0.24610817277885957</v>
      </c>
      <c r="Z203" s="358">
        <v>0.2488289555338705</v>
      </c>
      <c r="AA203" s="358">
        <v>0.25153832431345535</v>
      </c>
      <c r="AB203" s="358">
        <v>0.25423669360403134</v>
      </c>
      <c r="AC203" s="358">
        <v>0.2569244778920159</v>
      </c>
      <c r="AD203" s="358">
        <v>0.25960209166382603</v>
      </c>
      <c r="AE203" s="358">
        <v>0.26226994940587917</v>
      </c>
      <c r="AF203" s="358">
        <v>0.26492846560459254</v>
      </c>
      <c r="AG203" s="358">
        <v>0.26757805474638346</v>
      </c>
      <c r="AH203" s="358">
        <v>0.27021913131766917</v>
      </c>
      <c r="AI203" s="358">
        <v>0.2728521098048669</v>
      </c>
      <c r="AJ203" s="358">
        <v>0.27547740469439397</v>
      </c>
      <c r="AK203" s="362">
        <v>0.2780954304726677</v>
      </c>
      <c r="AL203" s="362">
        <v>0.28070660162610517</v>
      </c>
      <c r="AM203" s="358">
        <v>0.28331133264112385</v>
      </c>
      <c r="AN203" s="358">
        <v>0.28591003800414083</v>
      </c>
      <c r="AO203" s="358">
        <v>0.2885031322015736</v>
      </c>
      <c r="AP203" s="358">
        <v>0.2910910297198393</v>
      </c>
      <c r="AQ203" s="358">
        <v>0.27749598367125755</v>
      </c>
      <c r="AR203" s="358">
        <v>0.2799326711335287</v>
      </c>
      <c r="AS203" s="358">
        <v>0.29882768706380664</v>
      </c>
      <c r="AT203" s="358">
        <v>0.2728521098048669</v>
      </c>
      <c r="AU203" s="358">
        <v>0.28722188748151534</v>
      </c>
      <c r="AV203" s="358">
        <v>0.289645983094071</v>
      </c>
      <c r="AW203" s="358">
        <v>0.29206790987632447</v>
      </c>
      <c r="AX203" s="359">
        <v>0.29448805948112644</v>
      </c>
      <c r="AY203" s="359">
        <v>0.29690682356132764</v>
      </c>
      <c r="AZ203" s="359">
        <v>0.2993245937697787</v>
      </c>
      <c r="BA203" s="359">
        <v>0.3017417617593303</v>
      </c>
      <c r="BB203" s="177"/>
      <c r="BC203" s="51"/>
      <c r="BR203" s="146"/>
      <c r="BS203" s="279">
        <v>1.0E7</v>
      </c>
      <c r="BT203" s="280">
        <v>0.0035571020066693182</v>
      </c>
      <c r="BU203" s="281">
        <v>0.004112899195211399</v>
      </c>
      <c r="BV203" s="281">
        <v>0.004668696383753481</v>
      </c>
      <c r="BW203" s="281">
        <v>0.005224493572295561</v>
      </c>
      <c r="BX203" s="281">
        <v>0.0057802907608376424</v>
      </c>
      <c r="BY203" s="281">
        <v>0.006336087949379724</v>
      </c>
      <c r="BZ203" s="282">
        <v>0.006891885137921804</v>
      </c>
    </row>
    <row r="204">
      <c r="E204" s="174"/>
      <c r="F204" s="220"/>
      <c r="G204" s="175"/>
      <c r="H204" s="175"/>
      <c r="I204" s="175"/>
      <c r="J204" s="175"/>
      <c r="K204" s="175"/>
      <c r="L204" s="175"/>
      <c r="M204" s="175"/>
      <c r="N204" s="175"/>
      <c r="O204" s="175"/>
      <c r="P204" s="175"/>
      <c r="Q204" s="175"/>
      <c r="R204" s="175"/>
      <c r="S204" s="175"/>
      <c r="T204" s="175"/>
      <c r="V204" s="93">
        <f t="shared" si="28"/>
        <v>260000</v>
      </c>
      <c r="W204" s="358">
        <v>0.2273746462777579</v>
      </c>
      <c r="X204" s="358">
        <v>0.22996828967277008</v>
      </c>
      <c r="Y204" s="358">
        <v>0.2325503645690637</v>
      </c>
      <c r="Z204" s="358">
        <v>0.23512126261948949</v>
      </c>
      <c r="AA204" s="358">
        <v>0.2980642389560989</v>
      </c>
      <c r="AB204" s="358">
        <v>0.2492995887996665</v>
      </c>
      <c r="AC204" s="358">
        <v>0.25193517813288974</v>
      </c>
      <c r="AD204" s="358">
        <v>0.29448805948112644</v>
      </c>
      <c r="AE204" s="358">
        <v>0.25717684420184045</v>
      </c>
      <c r="AF204" s="358">
        <v>0.25978373381231007</v>
      </c>
      <c r="AG204" s="358">
        <v>0.2623818697232707</v>
      </c>
      <c r="AH204" s="358">
        <v>0.25089216485971877</v>
      </c>
      <c r="AI204" s="358">
        <v>0.2675535061961495</v>
      </c>
      <c r="AJ204" s="358">
        <v>0.27012781963280985</v>
      </c>
      <c r="AK204" s="362">
        <v>0.27269500511944567</v>
      </c>
      <c r="AL204" s="362">
        <v>0.27525546909342813</v>
      </c>
      <c r="AM204" s="358">
        <v>0.2778096179921283</v>
      </c>
      <c r="AN204" s="358">
        <v>0.2803578582529171</v>
      </c>
      <c r="AO204" s="358">
        <v>0.2829005963131659</v>
      </c>
      <c r="AP204" s="358">
        <v>0.2854382386102457</v>
      </c>
      <c r="AQ204" s="358">
        <v>0.2879711915815277</v>
      </c>
      <c r="AR204" s="358">
        <v>0.29049986166438285</v>
      </c>
      <c r="AS204" s="358">
        <v>0.277454542029899</v>
      </c>
      <c r="AT204" s="358">
        <v>0.2798418929818733</v>
      </c>
      <c r="AU204" s="358">
        <v>0.2822263431432565</v>
      </c>
      <c r="AV204" s="358">
        <v>0.28460827735502586</v>
      </c>
      <c r="AW204" s="358">
        <v>0.3030931940602462</v>
      </c>
      <c r="AX204" s="359">
        <v>0.3056047019973342</v>
      </c>
      <c r="AY204" s="359">
        <v>0.3081147721075932</v>
      </c>
      <c r="AZ204" s="359">
        <v>0.31062381082839424</v>
      </c>
      <c r="BA204" s="359">
        <v>0.31313222459710854</v>
      </c>
      <c r="BB204" s="178"/>
      <c r="BC204" s="51"/>
    </row>
    <row r="205">
      <c r="E205" s="174"/>
      <c r="F205" s="175"/>
      <c r="V205" s="93">
        <f t="shared" si="28"/>
        <v>270000</v>
      </c>
      <c r="W205" s="358">
        <v>0.23154700615147442</v>
      </c>
      <c r="X205" s="358">
        <v>0.23418824330333343</v>
      </c>
      <c r="Y205" s="358">
        <v>0.22850570186153313</v>
      </c>
      <c r="Z205" s="358">
        <v>0.23103188523052332</v>
      </c>
      <c r="AA205" s="358">
        <v>0.23354747098938017</v>
      </c>
      <c r="AB205" s="358">
        <v>0.2360528439790806</v>
      </c>
      <c r="AC205" s="358">
        <v>0.23854838904060183</v>
      </c>
      <c r="AD205" s="358">
        <v>0.24103449101492092</v>
      </c>
      <c r="AE205" s="358">
        <v>0.24351153474301504</v>
      </c>
      <c r="AF205" s="358">
        <v>0.24597990506586134</v>
      </c>
      <c r="AG205" s="358">
        <v>0.2442642274632441</v>
      </c>
      <c r="AH205" s="358">
        <v>0.24667518948689685</v>
      </c>
      <c r="AI205" s="358">
        <v>0.24907875900500354</v>
      </c>
      <c r="AJ205" s="358">
        <v>0.2514753143901653</v>
      </c>
      <c r="AK205" s="359">
        <v>0.2538652340149827</v>
      </c>
      <c r="AL205" s="359">
        <v>0.2562488962520569</v>
      </c>
      <c r="AM205" s="358">
        <v>0.2586266794739887</v>
      </c>
      <c r="AN205" s="358">
        <v>0.2609989620533788</v>
      </c>
      <c r="AO205" s="358">
        <v>0.2633661223628283</v>
      </c>
      <c r="AP205" s="358">
        <v>0.26572853877493785</v>
      </c>
      <c r="AQ205" s="358">
        <v>0.28258807782661505</v>
      </c>
      <c r="AR205" s="358">
        <v>0.2850694788801278</v>
      </c>
      <c r="AS205" s="358">
        <v>0.2875470759460034</v>
      </c>
      <c r="AT205" s="358">
        <v>0.29002126786398297</v>
      </c>
      <c r="AU205" s="358">
        <v>0.2924924534738075</v>
      </c>
      <c r="AV205" s="358">
        <v>0.2949610316152178</v>
      </c>
      <c r="AW205" s="358">
        <v>0.28216440783266145</v>
      </c>
      <c r="AX205" s="359">
        <v>0.29989196085176</v>
      </c>
      <c r="AY205" s="359">
        <v>0.30235510962637374</v>
      </c>
      <c r="AZ205" s="359">
        <v>0.3048172462915374</v>
      </c>
      <c r="BA205" s="359">
        <v>0.30727876968699175</v>
      </c>
      <c r="BB205" s="251"/>
      <c r="BC205" s="51"/>
    </row>
    <row r="206">
      <c r="V206" s="93">
        <f t="shared" si="28"/>
        <v>280000</v>
      </c>
      <c r="W206" s="358">
        <v>0.2273746462777579</v>
      </c>
      <c r="X206" s="358">
        <v>0.22996828967277008</v>
      </c>
      <c r="Y206" s="358">
        <v>0.2325503645690637</v>
      </c>
      <c r="Z206" s="358">
        <v>0.23512126261948949</v>
      </c>
      <c r="AA206" s="358">
        <v>0.23768137547689808</v>
      </c>
      <c r="AB206" s="358">
        <v>0.24023109479414023</v>
      </c>
      <c r="AC206" s="358">
        <v>0.24277081222406657</v>
      </c>
      <c r="AD206" s="358">
        <v>0.23698320263300224</v>
      </c>
      <c r="AE206" s="358">
        <v>0.24782180803337456</v>
      </c>
      <c r="AF206" s="358">
        <v>0.25033386971845756</v>
      </c>
      <c r="AG206" s="358">
        <v>0.2528374961276274</v>
      </c>
      <c r="AH206" s="358">
        <v>0.25533307891373497</v>
      </c>
      <c r="AI206" s="358">
        <v>0.24502842795072935</v>
      </c>
      <c r="AJ206" s="358">
        <v>0.2603016802281656</v>
      </c>
      <c r="AK206" s="359">
        <v>0.26277548206219004</v>
      </c>
      <c r="AL206" s="359">
        <v>0.2652428068845548</v>
      </c>
      <c r="AM206" s="358">
        <v>0.2677040463481106</v>
      </c>
      <c r="AN206" s="358">
        <v>0.2701595921057081</v>
      </c>
      <c r="AO206" s="358">
        <v>0.27260983581019793</v>
      </c>
      <c r="AP206" s="358">
        <v>0.2750551691144309</v>
      </c>
      <c r="AQ206" s="358">
        <v>0.27749598367125755</v>
      </c>
      <c r="AR206" s="358">
        <v>0.2799326711335287</v>
      </c>
      <c r="AS206" s="358">
        <v>0.2823656231540949</v>
      </c>
      <c r="AT206" s="358">
        <v>0.2847952313858069</v>
      </c>
      <c r="AU206" s="358">
        <v>0.28722188748151534</v>
      </c>
      <c r="AV206" s="358">
        <v>0.2752743074515511</v>
      </c>
      <c r="AW206" s="358">
        <v>0.277576062893009</v>
      </c>
      <c r="AX206" s="359">
        <v>0.27987612933713657</v>
      </c>
      <c r="AY206" s="359">
        <v>0.2821748790037246</v>
      </c>
      <c r="AZ206" s="359">
        <v>0.28447268411256404</v>
      </c>
      <c r="BA206" s="359">
        <v>0.28676991688344544</v>
      </c>
      <c r="BB206" s="178"/>
      <c r="BC206" s="51"/>
      <c r="BR206" s="228" t="s">
        <v>88</v>
      </c>
      <c r="BS206" s="229"/>
      <c r="BT206" s="230"/>
      <c r="BU206" s="230"/>
      <c r="BV206" s="231"/>
      <c r="BW206" s="232"/>
      <c r="BX206" s="233"/>
      <c r="BY206" s="233"/>
      <c r="BZ206" s="233"/>
      <c r="CA206" s="233"/>
      <c r="CB206" s="233"/>
      <c r="CC206" s="234"/>
    </row>
    <row r="207">
      <c r="V207" s="93">
        <f t="shared" si="28"/>
        <v>290000</v>
      </c>
      <c r="W207" s="358">
        <v>0.21609275439467482</v>
      </c>
      <c r="X207" s="358">
        <v>0.21855770620139944</v>
      </c>
      <c r="Y207" s="358">
        <v>0.2210116635160238</v>
      </c>
      <c r="Z207" s="358">
        <v>0.22345499855833872</v>
      </c>
      <c r="AA207" s="358">
        <v>0.225888083548135</v>
      </c>
      <c r="AB207" s="358">
        <v>0.22831129070520345</v>
      </c>
      <c r="AC207" s="358">
        <v>0.27987612933713657</v>
      </c>
      <c r="AD207" s="358">
        <v>0.2331295604003199</v>
      </c>
      <c r="AE207" s="358">
        <v>0.23552536737794943</v>
      </c>
      <c r="AF207" s="358">
        <v>0.23791278540201447</v>
      </c>
      <c r="AG207" s="358">
        <v>0.23650782125984132</v>
      </c>
      <c r="AH207" s="358">
        <v>0.21511563744447243</v>
      </c>
      <c r="AI207" s="358">
        <v>0.24116947138009734</v>
      </c>
      <c r="AJ207" s="358">
        <v>0.24348992615384604</v>
      </c>
      <c r="AK207" s="359">
        <v>0.24580395588026918</v>
      </c>
      <c r="AL207" s="359">
        <v>0.26062953658745286</v>
      </c>
      <c r="AM207" s="358">
        <v>0.22709130071282205</v>
      </c>
      <c r="AN207" s="358">
        <v>0.2654608059769634</v>
      </c>
      <c r="AO207" s="358">
        <v>0.26786843349654954</v>
      </c>
      <c r="AP207" s="358">
        <v>0.27027123602065906</v>
      </c>
      <c r="AQ207" s="358">
        <v>0.27266959839026905</v>
      </c>
      <c r="AR207" s="358">
        <v>0.27506390544635667</v>
      </c>
      <c r="AS207" s="358">
        <v>0.277454542029899</v>
      </c>
      <c r="AT207" s="358">
        <v>0.2798418929818733</v>
      </c>
      <c r="AU207" s="358">
        <v>0.2822263431432565</v>
      </c>
      <c r="AV207" s="358">
        <v>0.28460827735502586</v>
      </c>
      <c r="AW207" s="358">
        <v>0.28698808045815843</v>
      </c>
      <c r="AX207" s="359">
        <v>0.28936613729363136</v>
      </c>
      <c r="AY207" s="359">
        <v>0.29174283270242185</v>
      </c>
      <c r="AZ207" s="359">
        <v>0.29411855152550687</v>
      </c>
      <c r="BA207" s="359">
        <v>0.2964936786038636</v>
      </c>
      <c r="BB207" s="178"/>
      <c r="BC207" s="178"/>
      <c r="BR207" s="85" t="s">
        <v>58</v>
      </c>
      <c r="BS207" s="235"/>
      <c r="BT207" s="236"/>
      <c r="BU207" s="236"/>
      <c r="BV207" s="237" t="s">
        <v>59</v>
      </c>
      <c r="BW207" s="237"/>
      <c r="BX207" s="237"/>
      <c r="BY207" s="237"/>
      <c r="BZ207" s="237"/>
      <c r="CA207" s="237"/>
      <c r="CB207" s="237"/>
      <c r="CC207" s="238"/>
    </row>
    <row r="208">
      <c r="V208" s="93">
        <f t="shared" si="28"/>
        <v>300000</v>
      </c>
      <c r="W208" s="358">
        <v>0.21966477744950336</v>
      </c>
      <c r="X208" s="358">
        <v>0.2221704750216625</v>
      </c>
      <c r="Y208" s="358">
        <v>0.2246649963622671</v>
      </c>
      <c r="Z208" s="358">
        <v>0.227148719843918</v>
      </c>
      <c r="AA208" s="358">
        <v>0.22962202383921618</v>
      </c>
      <c r="AB208" s="358">
        <v>0.23208528672076228</v>
      </c>
      <c r="AC208" s="358">
        <v>0.23453888686115743</v>
      </c>
      <c r="AD208" s="358">
        <v>0.23698320263300224</v>
      </c>
      <c r="AE208" s="358">
        <v>0.2394186124088978</v>
      </c>
      <c r="AF208" s="358">
        <v>0.2418454945614448</v>
      </c>
      <c r="AG208" s="358">
        <v>0.2442642274632441</v>
      </c>
      <c r="AH208" s="358">
        <v>0.24667518948689685</v>
      </c>
      <c r="AI208" s="358">
        <v>0.24907875900500354</v>
      </c>
      <c r="AJ208" s="358">
        <v>0.2514753143901653</v>
      </c>
      <c r="AK208" s="359">
        <v>0.2538652340149827</v>
      </c>
      <c r="AL208" s="359">
        <v>0.2562488962520569</v>
      </c>
      <c r="AM208" s="358">
        <v>0.2586266794739887</v>
      </c>
      <c r="AN208" s="358">
        <v>0.2609989620533788</v>
      </c>
      <c r="AO208" s="358">
        <v>0.2633661223628283</v>
      </c>
      <c r="AP208" s="358">
        <v>0.26572853877493785</v>
      </c>
      <c r="AQ208" s="358">
        <v>0.26808658966230847</v>
      </c>
      <c r="AR208" s="358">
        <v>0.2704406533975409</v>
      </c>
      <c r="AS208" s="358">
        <v>0.272791108353236</v>
      </c>
      <c r="AT208" s="358">
        <v>0.2751383329019949</v>
      </c>
      <c r="AU208" s="358">
        <v>0.27748270541641806</v>
      </c>
      <c r="AV208" s="358">
        <v>0.2798246042691067</v>
      </c>
      <c r="AW208" s="358">
        <v>0.2690332068850786</v>
      </c>
      <c r="AX208" s="359">
        <v>0.27126248503342854</v>
      </c>
      <c r="AY208" s="359">
        <v>0.27349048693021516</v>
      </c>
      <c r="AZ208" s="359">
        <v>0.2757175733395583</v>
      </c>
      <c r="BA208" s="359">
        <v>0.2779441050255774</v>
      </c>
      <c r="BB208" s="178"/>
      <c r="BC208" s="178"/>
      <c r="BR208" s="243"/>
      <c r="BS208" s="244">
        <f>$F$17</f>
        <v>0.0005446458257</v>
      </c>
      <c r="BT208" s="245">
        <f t="shared" ref="BT208:BV208" si="30">BU208-0.05</f>
        <v>0.7</v>
      </c>
      <c r="BU208" s="245">
        <f t="shared" si="30"/>
        <v>0.75</v>
      </c>
      <c r="BV208" s="245">
        <f t="shared" si="30"/>
        <v>0.8</v>
      </c>
      <c r="BW208" s="245">
        <v>0.85</v>
      </c>
      <c r="BX208" s="246">
        <v>0.9</v>
      </c>
      <c r="BY208" s="245">
        <f t="shared" ref="BY208:CC208" si="31">BX208+0.02</f>
        <v>0.92</v>
      </c>
      <c r="BZ208" s="245">
        <f t="shared" si="31"/>
        <v>0.94</v>
      </c>
      <c r="CA208" s="245">
        <f t="shared" si="31"/>
        <v>0.96</v>
      </c>
      <c r="CB208" s="245">
        <f t="shared" si="31"/>
        <v>0.98</v>
      </c>
      <c r="CC208" s="247">
        <f t="shared" si="31"/>
        <v>1</v>
      </c>
    </row>
    <row r="209">
      <c r="V209" s="93">
        <f t="shared" si="28"/>
        <v>310000</v>
      </c>
      <c r="W209" s="358">
        <v>0.20944214747306023</v>
      </c>
      <c r="X209" s="358">
        <v>0.2118312363680775</v>
      </c>
      <c r="Y209" s="358">
        <v>0.2210116635160238</v>
      </c>
      <c r="Z209" s="358">
        <v>0.22345499855833872</v>
      </c>
      <c r="AA209" s="358">
        <v>0.225888083548135</v>
      </c>
      <c r="AB209" s="358">
        <v>0.22831129070520345</v>
      </c>
      <c r="AC209" s="358">
        <v>0.2307249922493348</v>
      </c>
      <c r="AD209" s="358">
        <v>0.2331295604003199</v>
      </c>
      <c r="AE209" s="358">
        <v>0.23552536737794943</v>
      </c>
      <c r="AF209" s="358">
        <v>0.23059063144193595</v>
      </c>
      <c r="AG209" s="358">
        <v>0.22944628902094766</v>
      </c>
      <c r="AH209" s="358">
        <v>0.23171099349709032</v>
      </c>
      <c r="AI209" s="358">
        <v>0.23396875392341568</v>
      </c>
      <c r="AJ209" s="358">
        <v>0.23621992571909442</v>
      </c>
      <c r="AK209" s="359">
        <v>0.23846486430329716</v>
      </c>
      <c r="AL209" s="359">
        <v>0.2407039250951946</v>
      </c>
      <c r="AM209" s="358">
        <v>0.2429374635139571</v>
      </c>
      <c r="AN209" s="358">
        <v>0.24516583497875546</v>
      </c>
      <c r="AO209" s="358">
        <v>0.24738939490876033</v>
      </c>
      <c r="AP209" s="358">
        <v>0.24960849872314217</v>
      </c>
      <c r="AQ209" s="358">
        <v>0.2518235018410717</v>
      </c>
      <c r="AR209" s="358">
        <v>0.2660429513166009</v>
      </c>
      <c r="AS209" s="358">
        <v>0.2683551849452879</v>
      </c>
      <c r="AT209" s="358">
        <v>0.2706642406974814</v>
      </c>
      <c r="AU209" s="358">
        <v>0.2729704907929722</v>
      </c>
      <c r="AV209" s="358">
        <v>0.2752743074515511</v>
      </c>
      <c r="AW209" s="358">
        <v>0.277576062893009</v>
      </c>
      <c r="AX209" s="359">
        <v>0.27987612933713657</v>
      </c>
      <c r="AY209" s="359">
        <v>0.2821748790037246</v>
      </c>
      <c r="AZ209" s="359">
        <v>0.28447268411256404</v>
      </c>
      <c r="BA209" s="359">
        <v>0.28676991688344544</v>
      </c>
      <c r="BB209" s="178"/>
      <c r="BC209" s="178"/>
      <c r="BR209" s="102" t="s">
        <v>66</v>
      </c>
      <c r="BS209" s="103">
        <v>2000000.0</v>
      </c>
      <c r="BT209" s="252">
        <v>5.88719043143297E-4</v>
      </c>
      <c r="BU209" s="253">
        <v>8.269278155446847E-4</v>
      </c>
      <c r="BV209" s="254">
        <v>0.001073525805285321</v>
      </c>
      <c r="BW209" s="255">
        <v>0.0013282367476597963</v>
      </c>
      <c r="BX209" s="256">
        <v>0.0015907843779627013</v>
      </c>
      <c r="BY209" s="257">
        <v>0.0016979358194098122</v>
      </c>
      <c r="BZ209" s="258">
        <v>0.001806279247631459</v>
      </c>
      <c r="CA209" s="259">
        <v>0.0019157969816864973</v>
      </c>
      <c r="CB209" s="259">
        <v>0.002026471340633781</v>
      </c>
      <c r="CC209" s="260">
        <v>0.002138284643532161</v>
      </c>
    </row>
    <row r="210">
      <c r="V210" s="93">
        <f t="shared" si="28"/>
        <v>320000</v>
      </c>
      <c r="W210" s="358">
        <v>0.20633912930203854</v>
      </c>
      <c r="X210" s="358">
        <v>0.20869282233073727</v>
      </c>
      <c r="Y210" s="358">
        <v>0.2175309473467026</v>
      </c>
      <c r="Z210" s="358">
        <v>0.2199358022669572</v>
      </c>
      <c r="AA210" s="358">
        <v>0.22233056856293165</v>
      </c>
      <c r="AB210" s="358">
        <v>0.22471561259232145</v>
      </c>
      <c r="AC210" s="358">
        <v>0.22709130071282205</v>
      </c>
      <c r="AD210" s="358">
        <v>0.2294579992821289</v>
      </c>
      <c r="AE210" s="358">
        <v>0.23181607465793738</v>
      </c>
      <c r="AF210" s="358">
        <v>0.23416589319794306</v>
      </c>
      <c r="AG210" s="358">
        <v>0.22614473144088593</v>
      </c>
      <c r="AH210" s="358">
        <v>0.2283768485421718</v>
      </c>
      <c r="AI210" s="358">
        <v>0.23060212151323567</v>
      </c>
      <c r="AJ210" s="358">
        <v>0.2328209006590365</v>
      </c>
      <c r="AK210" s="359">
        <v>0.23503353628453344</v>
      </c>
      <c r="AL210" s="359">
        <v>0.23724037869468548</v>
      </c>
      <c r="AM210" s="358">
        <v>0.23944177819445187</v>
      </c>
      <c r="AN210" s="358">
        <v>0.24163808508879153</v>
      </c>
      <c r="AO210" s="358">
        <v>0.24382964968266366</v>
      </c>
      <c r="AP210" s="358">
        <v>0.24601682228102723</v>
      </c>
      <c r="AQ210" s="358">
        <v>0.24819995318884147</v>
      </c>
      <c r="AR210" s="358">
        <v>0.2503793927110653</v>
      </c>
      <c r="AS210" s="358">
        <v>0.25255549115265796</v>
      </c>
      <c r="AT210" s="358">
        <v>0.25472859881857834</v>
      </c>
      <c r="AU210" s="358">
        <v>0.2568990660137857</v>
      </c>
      <c r="AV210" s="358">
        <v>0.2590672430432391</v>
      </c>
      <c r="AW210" s="358">
        <v>0.2612334802118975</v>
      </c>
      <c r="AX210" s="359">
        <v>0.2754683557685702</v>
      </c>
      <c r="AY210" s="359">
        <v>0.2777309023904573</v>
      </c>
      <c r="AZ210" s="359">
        <v>0.26772405560269413</v>
      </c>
      <c r="BA210" s="359">
        <v>0.2698860363777637</v>
      </c>
      <c r="BB210" s="178"/>
      <c r="BR210" s="110"/>
      <c r="BS210" s="93">
        <f t="shared" ref="BS210:BS213" si="32">BS209+500000</f>
        <v>2500000</v>
      </c>
      <c r="BT210" s="264">
        <v>6.582079000585219E-4</v>
      </c>
      <c r="BU210" s="264">
        <v>9.245334040216612E-4</v>
      </c>
      <c r="BV210" s="264">
        <v>0.0012002383381090904</v>
      </c>
      <c r="BW210" s="264">
        <v>0.0014850138289902697</v>
      </c>
      <c r="BX210" s="265">
        <v>0.0017785510033346591</v>
      </c>
      <c r="BY210" s="264">
        <v>0.0018983499568160727</v>
      </c>
      <c r="BZ210" s="264">
        <v>0.0020194815920255593</v>
      </c>
      <c r="CA210" s="264">
        <v>0.0021419261410699636</v>
      </c>
      <c r="CB210" s="264">
        <v>0.0022656638360561325</v>
      </c>
      <c r="CC210" s="266">
        <v>0.002390674909090909</v>
      </c>
    </row>
    <row r="211">
      <c r="V211" s="93">
        <f t="shared" si="28"/>
        <v>330000</v>
      </c>
      <c r="W211" s="358">
        <v>0.2033700661748145</v>
      </c>
      <c r="X211" s="358">
        <v>0.2056898913510707</v>
      </c>
      <c r="Y211" s="358">
        <v>0.20799936934751403</v>
      </c>
      <c r="Z211" s="358">
        <v>0.21657780656620365</v>
      </c>
      <c r="AA211" s="358">
        <v>0.2189360093975521</v>
      </c>
      <c r="AB211" s="358">
        <v>0.2212846384025837</v>
      </c>
      <c r="AC211" s="358">
        <v>0.22362405434541813</v>
      </c>
      <c r="AD211" s="358">
        <v>0.21940381230610492</v>
      </c>
      <c r="AE211" s="358">
        <v>0.21855829117156592</v>
      </c>
      <c r="AF211" s="358">
        <v>0.22077372133716047</v>
      </c>
      <c r="AG211" s="358">
        <v>0.22298171228865288</v>
      </c>
      <c r="AH211" s="358">
        <v>0.2351955648708237</v>
      </c>
      <c r="AI211" s="358">
        <v>0.2374872784869895</v>
      </c>
      <c r="AJ211" s="358">
        <v>0.22956450391199495</v>
      </c>
      <c r="AK211" s="359">
        <v>0.23174619206055636</v>
      </c>
      <c r="AL211" s="359">
        <v>0.23392216802175428</v>
      </c>
      <c r="AM211" s="358">
        <v>0.2360927772009365</v>
      </c>
      <c r="AN211" s="358">
        <v>0.22077372133716047</v>
      </c>
      <c r="AO211" s="358">
        <v>0.25110974494763366</v>
      </c>
      <c r="AP211" s="358">
        <v>0.25336222061679997</v>
      </c>
      <c r="AQ211" s="358">
        <v>0.2556105339214452</v>
      </c>
      <c r="AR211" s="358">
        <v>0.2578550456256891</v>
      </c>
      <c r="AS211" s="358">
        <v>0.2600961164936514</v>
      </c>
      <c r="AT211" s="358">
        <v>0.2623341072894517</v>
      </c>
      <c r="AU211" s="358">
        <v>0.2645693787772099</v>
      </c>
      <c r="AV211" s="358">
        <v>0.26680229172104564</v>
      </c>
      <c r="AW211" s="358">
        <v>0.25757968515839336</v>
      </c>
      <c r="AX211" s="359">
        <v>0.2597140564883525</v>
      </c>
      <c r="AY211" s="359">
        <v>0.27349048693021516</v>
      </c>
      <c r="AZ211" s="359">
        <v>0.2600961164936514</v>
      </c>
      <c r="BA211" s="359">
        <v>0.2779441050255774</v>
      </c>
      <c r="BB211" s="178"/>
      <c r="BR211" s="110"/>
      <c r="BS211" s="93">
        <f t="shared" si="32"/>
        <v>3000000</v>
      </c>
      <c r="BT211" s="267">
        <v>7.210306287803169E-4</v>
      </c>
      <c r="BU211" s="267">
        <v>0.0010127756010994025</v>
      </c>
      <c r="BV211" s="267">
        <v>0.0013147952243297229</v>
      </c>
      <c r="BW211" s="267">
        <v>0.00162675114469018</v>
      </c>
      <c r="BX211" s="268">
        <v>0.0019483050083996772</v>
      </c>
      <c r="BY211" s="267">
        <v>0.0020795381867742425</v>
      </c>
      <c r="BZ211" s="267">
        <v>0.0022122312448376873</v>
      </c>
      <c r="CA211" s="267">
        <v>0.002346362527948024</v>
      </c>
      <c r="CB211" s="267">
        <v>0.0024819103814632593</v>
      </c>
      <c r="CC211" s="269">
        <v>0.0026188531507414063</v>
      </c>
    </row>
    <row r="212">
      <c r="V212" s="93">
        <f t="shared" si="28"/>
        <v>340000</v>
      </c>
      <c r="W212" s="358">
        <v>0.20633912930203854</v>
      </c>
      <c r="X212" s="358">
        <v>0.20869282233073727</v>
      </c>
      <c r="Y212" s="358">
        <v>0.21103601711791256</v>
      </c>
      <c r="Z212" s="358">
        <v>0.21336906908273517</v>
      </c>
      <c r="AA212" s="358">
        <v>0.21569233364437562</v>
      </c>
      <c r="AB212" s="358">
        <v>0.21800616622200453</v>
      </c>
      <c r="AC212" s="358">
        <v>0.22031092223479254</v>
      </c>
      <c r="AD212" s="358">
        <v>0.22260695710191022</v>
      </c>
      <c r="AE212" s="358">
        <v>0.22489462624252832</v>
      </c>
      <c r="AF212" s="358">
        <v>0.2271742850758172</v>
      </c>
      <c r="AG212" s="358">
        <v>0.22944628902094766</v>
      </c>
      <c r="AH212" s="358">
        <v>0.23171099349709032</v>
      </c>
      <c r="AI212" s="358">
        <v>0.23396875392341568</v>
      </c>
      <c r="AJ212" s="358">
        <v>0.23621992571909442</v>
      </c>
      <c r="AK212" s="359">
        <v>0.23846486430329716</v>
      </c>
      <c r="AL212" s="359">
        <v>0.2407039250951946</v>
      </c>
      <c r="AM212" s="358">
        <v>0.2429374635139571</v>
      </c>
      <c r="AN212" s="358">
        <v>0.24516583497875546</v>
      </c>
      <c r="AO212" s="358">
        <v>0.24738939490876033</v>
      </c>
      <c r="AP212" s="358">
        <v>0.23927535249807624</v>
      </c>
      <c r="AQ212" s="358">
        <v>0.24139866021611503</v>
      </c>
      <c r="AR212" s="358">
        <v>0.24351837770166423</v>
      </c>
      <c r="AS212" s="358">
        <v>0.2456348456604602</v>
      </c>
      <c r="AT212" s="358">
        <v>0.24774840479823904</v>
      </c>
      <c r="AU212" s="358">
        <v>0.24985939582073713</v>
      </c>
      <c r="AV212" s="358">
        <v>0.25196815943369066</v>
      </c>
      <c r="AW212" s="358">
        <v>0.25407503634283585</v>
      </c>
      <c r="AX212" s="359">
        <v>0.256180367253909</v>
      </c>
      <c r="AY212" s="359">
        <v>0.2582844928726465</v>
      </c>
      <c r="AZ212" s="359">
        <v>0.26038775390478436</v>
      </c>
      <c r="BA212" s="359">
        <v>0.27382618693302324</v>
      </c>
      <c r="BB212" s="251"/>
      <c r="BC212" s="178"/>
      <c r="BR212" s="110"/>
      <c r="BS212" s="93">
        <f t="shared" si="32"/>
        <v>3500000</v>
      </c>
      <c r="BT212" s="267">
        <v>7.788020901225349E-4</v>
      </c>
      <c r="BU212" s="267">
        <v>0.0010939226760665638</v>
      </c>
      <c r="BV212" s="267">
        <v>0.001420141153397654</v>
      </c>
      <c r="BW212" s="267">
        <v>0.0017570920582625368</v>
      </c>
      <c r="BX212" s="268">
        <v>0.0021044099268079427</v>
      </c>
      <c r="BY212" s="267">
        <v>0.0022461579601535196</v>
      </c>
      <c r="BZ212" s="267">
        <v>0.002389482843784847</v>
      </c>
      <c r="CA212" s="267">
        <v>0.002534361188015318</v>
      </c>
      <c r="CB212" s="267">
        <v>0.002680769603158321</v>
      </c>
      <c r="CC212" s="269">
        <v>0.002828684699527248</v>
      </c>
    </row>
    <row r="213">
      <c r="V213" s="93">
        <f t="shared" si="28"/>
        <v>350000</v>
      </c>
      <c r="W213" s="358">
        <v>0.2033700661748145</v>
      </c>
      <c r="X213" s="358">
        <v>0.2056898913510707</v>
      </c>
      <c r="Y213" s="358">
        <v>0.20799936934751403</v>
      </c>
      <c r="Z213" s="358">
        <v>0.2102988504691035</v>
      </c>
      <c r="AA213" s="358">
        <v>0.21258868502079828</v>
      </c>
      <c r="AB213" s="358">
        <v>0.21486922330755737</v>
      </c>
      <c r="AC213" s="358">
        <v>0.2171408156343399</v>
      </c>
      <c r="AD213" s="358">
        <v>0.21940381230610492</v>
      </c>
      <c r="AE213" s="358">
        <v>0.22165856362781156</v>
      </c>
      <c r="AF213" s="358">
        <v>0.2239054199044189</v>
      </c>
      <c r="AG213" s="358">
        <v>0.22614473144088593</v>
      </c>
      <c r="AH213" s="358">
        <v>0.2283768485421718</v>
      </c>
      <c r="AI213" s="358">
        <v>0.23060212151323567</v>
      </c>
      <c r="AJ213" s="358">
        <v>0.2328209006590365</v>
      </c>
      <c r="AK213" s="359">
        <v>0.23503353628453344</v>
      </c>
      <c r="AL213" s="359">
        <v>0.23724037869468548</v>
      </c>
      <c r="AM213" s="358">
        <v>0.23944177819445187</v>
      </c>
      <c r="AN213" s="358">
        <v>0.2319036634029103</v>
      </c>
      <c r="AO213" s="358">
        <v>0.24382964968266366</v>
      </c>
      <c r="AP213" s="358">
        <v>0.24601682228102723</v>
      </c>
      <c r="AQ213" s="358">
        <v>0.24819995318884147</v>
      </c>
      <c r="AR213" s="358">
        <v>0.2503793927110653</v>
      </c>
      <c r="AS213" s="358">
        <v>0.25255549115265796</v>
      </c>
      <c r="AT213" s="358">
        <v>0.25472859881857834</v>
      </c>
      <c r="AU213" s="358">
        <v>0.2568990660137857</v>
      </c>
      <c r="AV213" s="358">
        <v>0.2590672430432391</v>
      </c>
      <c r="AW213" s="358">
        <v>0.2612334802118975</v>
      </c>
      <c r="AX213" s="359">
        <v>0.2503793927110653</v>
      </c>
      <c r="AY213" s="359">
        <v>0.2548633551617604</v>
      </c>
      <c r="AZ213" s="359">
        <v>0.25693875720185094</v>
      </c>
      <c r="BA213" s="359">
        <v>0.259013642300204</v>
      </c>
      <c r="BB213" s="178"/>
      <c r="BR213" s="110"/>
      <c r="BS213" s="93">
        <f t="shared" si="32"/>
        <v>4000000</v>
      </c>
      <c r="BT213" s="267">
        <v>8.32574455240562E-4</v>
      </c>
      <c r="BU213" s="267">
        <v>0.0011694525318468505</v>
      </c>
      <c r="BV213" s="267">
        <v>0.0015181947533919994</v>
      </c>
      <c r="BW213" s="267">
        <v>0.0018784104225828145</v>
      </c>
      <c r="BX213" s="268">
        <v>0.0022497088421260998</v>
      </c>
      <c r="BY213" s="267">
        <v>0.0024012438638484307</v>
      </c>
      <c r="BZ213" s="267">
        <v>0.00255446460943348</v>
      </c>
      <c r="CA213" s="267">
        <v>0.0027093460742544854</v>
      </c>
      <c r="CB213" s="270">
        <v>0.0028658632536846806</v>
      </c>
      <c r="CC213" s="271">
        <v>0.003023991143097301</v>
      </c>
    </row>
    <row r="214">
      <c r="V214" s="93">
        <f t="shared" si="28"/>
        <v>360000</v>
      </c>
      <c r="W214" s="358">
        <v>0.19517727660812112</v>
      </c>
      <c r="X214" s="358">
        <v>0.20281296796833764</v>
      </c>
      <c r="Y214" s="358">
        <v>0.19962008770040918</v>
      </c>
      <c r="Z214" s="358">
        <v>0.20182693392593895</v>
      </c>
      <c r="AA214" s="358">
        <v>0.20402452219489683</v>
      </c>
      <c r="AB214" s="358">
        <v>0.2062131887001611</v>
      </c>
      <c r="AC214" s="358">
        <v>0.2057042115609221</v>
      </c>
      <c r="AD214" s="358">
        <v>0.2078480183103373</v>
      </c>
      <c r="AE214" s="358">
        <v>0.21855829117156592</v>
      </c>
      <c r="AF214" s="358">
        <v>0.22077372133716047</v>
      </c>
      <c r="AG214" s="358">
        <v>0.22298171228865288</v>
      </c>
      <c r="AH214" s="358">
        <v>0.22518260943139093</v>
      </c>
      <c r="AI214" s="358">
        <v>0.22737675817072242</v>
      </c>
      <c r="AJ214" s="358">
        <v>0.22956450391199495</v>
      </c>
      <c r="AK214" s="359">
        <v>0.23174619206055636</v>
      </c>
      <c r="AL214" s="359">
        <v>0.23392216802175428</v>
      </c>
      <c r="AM214" s="358">
        <v>0.2360927772009365</v>
      </c>
      <c r="AN214" s="358">
        <v>0.23825836500345068</v>
      </c>
      <c r="AO214" s="358">
        <v>0.24041927683464465</v>
      </c>
      <c r="AP214" s="358">
        <v>0.24257585809986607</v>
      </c>
      <c r="AQ214" s="358">
        <v>0.24472845420446268</v>
      </c>
      <c r="AR214" s="358">
        <v>0.24687741055378207</v>
      </c>
      <c r="AS214" s="358">
        <v>0.24902307255317224</v>
      </c>
      <c r="AT214" s="358">
        <v>0.25116578560798064</v>
      </c>
      <c r="AU214" s="358">
        <v>0.25330589512355517</v>
      </c>
      <c r="AV214" s="358">
        <v>0.25544374650524354</v>
      </c>
      <c r="AW214" s="358">
        <v>0.25757968515839336</v>
      </c>
      <c r="AX214" s="359">
        <v>0.2597140564883525</v>
      </c>
      <c r="AY214" s="359">
        <v>0.26184720590046856</v>
      </c>
      <c r="AZ214" s="359">
        <v>0.2639794788000893</v>
      </c>
      <c r="BA214" s="359">
        <v>0.2661112205925625</v>
      </c>
      <c r="BB214" s="178"/>
      <c r="BC214" s="23"/>
      <c r="BR214" s="110"/>
      <c r="BS214" s="103">
        <v>4200000.0</v>
      </c>
      <c r="BT214" s="267">
        <v>8.830785647149458E-4</v>
      </c>
      <c r="BU214" s="267">
        <v>0.001240391723317027</v>
      </c>
      <c r="BV214" s="267">
        <v>0.0016102887079279822</v>
      </c>
      <c r="BW214" s="267">
        <v>0.0019923551214896945</v>
      </c>
      <c r="BX214" s="268">
        <v>0.002386176566944052</v>
      </c>
      <c r="BY214" s="267">
        <v>0.0025469037291147175</v>
      </c>
      <c r="BZ214" s="267">
        <v>0.002709418871447188</v>
      </c>
      <c r="CA214" s="270">
        <v>0.0028736954725297453</v>
      </c>
      <c r="CB214" s="270">
        <v>0.0030397070109506705</v>
      </c>
      <c r="CC214" s="271">
        <v>0.0032074269652982417</v>
      </c>
    </row>
    <row r="215">
      <c r="V215" s="93">
        <f t="shared" si="28"/>
        <v>370000</v>
      </c>
      <c r="W215" s="358">
        <v>0.24774840479823904</v>
      </c>
      <c r="X215" s="358">
        <v>0.20005347927833145</v>
      </c>
      <c r="Y215" s="358">
        <v>0.20229967186208203</v>
      </c>
      <c r="Z215" s="358">
        <v>0.20453614151009045</v>
      </c>
      <c r="AA215" s="358">
        <v>0.20676322892809298</v>
      </c>
      <c r="AB215" s="358">
        <v>0.20898127482182582</v>
      </c>
      <c r="AC215" s="358">
        <v>0.21119061989702528</v>
      </c>
      <c r="AD215" s="358">
        <v>0.21339160485942762</v>
      </c>
      <c r="AE215" s="358">
        <v>0.2155845704147691</v>
      </c>
      <c r="AF215" s="358">
        <v>0.21776985726878598</v>
      </c>
      <c r="AG215" s="358">
        <v>0.21994780612721446</v>
      </c>
      <c r="AH215" s="358">
        <v>0.2221187576957908</v>
      </c>
      <c r="AI215" s="358">
        <v>0.2242830526802513</v>
      </c>
      <c r="AJ215" s="358">
        <v>0.22644103178633218</v>
      </c>
      <c r="AK215" s="359">
        <v>0.2285930357197698</v>
      </c>
      <c r="AL215" s="359">
        <v>0.2307394051863002</v>
      </c>
      <c r="AM215" s="358">
        <v>0.23288048089165986</v>
      </c>
      <c r="AN215" s="358">
        <v>0.2350166035415849</v>
      </c>
      <c r="AO215" s="358">
        <v>0.23714811384181161</v>
      </c>
      <c r="AP215" s="358">
        <v>0.23927535249807624</v>
      </c>
      <c r="AQ215" s="358">
        <v>0.24139866021611503</v>
      </c>
      <c r="AR215" s="358">
        <v>0.24351837770166423</v>
      </c>
      <c r="AS215" s="358">
        <v>0.2456348456604602</v>
      </c>
      <c r="AT215" s="358">
        <v>0.24774840479823904</v>
      </c>
      <c r="AU215" s="358">
        <v>0.24985939582073713</v>
      </c>
      <c r="AV215" s="358">
        <v>0.25196815943369066</v>
      </c>
      <c r="AW215" s="358">
        <v>0.25407503634283585</v>
      </c>
      <c r="AX215" s="359">
        <v>0.256180367253909</v>
      </c>
      <c r="AY215" s="359">
        <v>0.2582844928726465</v>
      </c>
      <c r="AZ215" s="359">
        <v>0.2504329225657244</v>
      </c>
      <c r="BA215" s="359">
        <v>0.25245527040000004</v>
      </c>
      <c r="BB215" s="178"/>
      <c r="BC215" s="225"/>
      <c r="BR215" s="110"/>
      <c r="BS215" s="103">
        <v>5000000.0</v>
      </c>
      <c r="BT215" s="267">
        <v>9.308465391238762E-4</v>
      </c>
      <c r="BU215" s="267">
        <v>0.0013074876788343973</v>
      </c>
      <c r="BV215" s="267">
        <v>0.0016973933358340198</v>
      </c>
      <c r="BW215" s="267">
        <v>0.002100126697269639</v>
      </c>
      <c r="BX215" s="268">
        <v>0.0025152509502881504</v>
      </c>
      <c r="BY215" s="267">
        <v>0.002684672255059669</v>
      </c>
      <c r="BZ215" s="270">
        <v>0.0028559782564053556</v>
      </c>
      <c r="CA215" s="270">
        <v>0.0030291409983026103</v>
      </c>
      <c r="CB215" s="270">
        <v>0.0032041325247288343</v>
      </c>
      <c r="CC215" s="271">
        <v>0.0033809248796614288</v>
      </c>
    </row>
    <row r="216">
      <c r="V216" s="93">
        <f t="shared" si="28"/>
        <v>380000</v>
      </c>
      <c r="W216" s="358">
        <v>0.2382767858480274</v>
      </c>
      <c r="X216" s="358">
        <v>0.19240527533961582</v>
      </c>
      <c r="Y216" s="358">
        <v>0.19456559419086178</v>
      </c>
      <c r="Z216" s="358">
        <v>0.19671656182194738</v>
      </c>
      <c r="AA216" s="358">
        <v>0.20402452219489683</v>
      </c>
      <c r="AB216" s="358">
        <v>0.2062131887001611</v>
      </c>
      <c r="AC216" s="358">
        <v>0.20839326963460994</v>
      </c>
      <c r="AD216" s="358">
        <v>0.2052334737503752</v>
      </c>
      <c r="AE216" s="358">
        <v>0.20479842314525265</v>
      </c>
      <c r="AF216" s="358">
        <v>0.20687437552422702</v>
      </c>
      <c r="AG216" s="358">
        <v>0.20894335704289047</v>
      </c>
      <c r="AH216" s="358">
        <v>0.21100569136075817</v>
      </c>
      <c r="AI216" s="358">
        <v>0.2130617021373454</v>
      </c>
      <c r="AJ216" s="358">
        <v>0.19852550425131246</v>
      </c>
      <c r="AK216" s="359">
        <v>0.22556517970623655</v>
      </c>
      <c r="AL216" s="359">
        <v>0.22768311918286802</v>
      </c>
      <c r="AM216" s="358">
        <v>0.22979583501746648</v>
      </c>
      <c r="AN216" s="358">
        <v>0.2319036634029103</v>
      </c>
      <c r="AO216" s="358">
        <v>0.23400694053207763</v>
      </c>
      <c r="AP216" s="358">
        <v>0.22730390581687665</v>
      </c>
      <c r="AQ216" s="358">
        <v>0.22932098000576634</v>
      </c>
      <c r="AR216" s="358">
        <v>0.24029282631070353</v>
      </c>
      <c r="AS216" s="358">
        <v>0.23334522022612914</v>
      </c>
      <c r="AT216" s="358">
        <v>0.23535303357663276</v>
      </c>
      <c r="AU216" s="358">
        <v>0.237358407300038</v>
      </c>
      <c r="AV216" s="358">
        <v>0.23936166505586012</v>
      </c>
      <c r="AW216" s="358">
        <v>0.24136313050361424</v>
      </c>
      <c r="AX216" s="359">
        <v>0.2433631273028157</v>
      </c>
      <c r="AY216" s="359">
        <v>0.24536197911297952</v>
      </c>
      <c r="AZ216" s="359">
        <v>0.2473600095936209</v>
      </c>
      <c r="BA216" s="359">
        <v>0.2493575424042551</v>
      </c>
      <c r="BB216" s="178"/>
      <c r="BC216" s="226"/>
      <c r="BR216" s="110"/>
      <c r="BS216" s="103">
        <v>5500000.0</v>
      </c>
      <c r="BT216" s="267">
        <v>9.76280086521685E-4</v>
      </c>
      <c r="BU216" s="267">
        <v>0.0013713046464349698</v>
      </c>
      <c r="BV216" s="267">
        <v>0.0017802411494477702</v>
      </c>
      <c r="BW216" s="267">
        <v>0.0022026314623747557</v>
      </c>
      <c r="BX216" s="268">
        <v>0.002638017452030595</v>
      </c>
      <c r="BY216" s="270">
        <v>0.002815708015543496</v>
      </c>
      <c r="BZ216" s="270">
        <v>0.0029953752654994998</v>
      </c>
      <c r="CA216" s="270">
        <v>0.0031769898813747443</v>
      </c>
      <c r="CB216" s="270">
        <v>0.0033605225426453695</v>
      </c>
      <c r="CC216" s="271">
        <v>0.003545943928787512</v>
      </c>
    </row>
    <row r="217">
      <c r="V217" s="93">
        <f t="shared" si="28"/>
        <v>390000</v>
      </c>
      <c r="W217" s="358">
        <v>0.18790101400044384</v>
      </c>
      <c r="X217" s="358">
        <v>0.19004438500445192</v>
      </c>
      <c r="Y217" s="358">
        <v>0.19217819587202767</v>
      </c>
      <c r="Z217" s="358">
        <v>0.19430277026268616</v>
      </c>
      <c r="AA217" s="358">
        <v>0.1964184318359427</v>
      </c>
      <c r="AB217" s="358">
        <v>0.19852550425131246</v>
      </c>
      <c r="AC217" s="358">
        <v>0.20062431116831056</v>
      </c>
      <c r="AD217" s="358">
        <v>0.2078480183103373</v>
      </c>
      <c r="AE217" s="358">
        <v>0.20998401398458516</v>
      </c>
      <c r="AF217" s="358">
        <v>0.19485639677100108</v>
      </c>
      <c r="AG217" s="358">
        <v>0.2142338995264746</v>
      </c>
      <c r="AH217" s="358">
        <v>0.21634845310356382</v>
      </c>
      <c r="AI217" s="358">
        <v>0.2184565230243813</v>
      </c>
      <c r="AJ217" s="358">
        <v>0.22055844114365075</v>
      </c>
      <c r="AK217" s="359">
        <v>0.22265453931609616</v>
      </c>
      <c r="AL217" s="359">
        <v>0.22474514939644147</v>
      </c>
      <c r="AM217" s="358">
        <v>0.2268306032394104</v>
      </c>
      <c r="AN217" s="358">
        <v>0.22058438325913976</v>
      </c>
      <c r="AO217" s="358">
        <v>0.22258499886629543</v>
      </c>
      <c r="AP217" s="358">
        <v>0.2245816051484303</v>
      </c>
      <c r="AQ217" s="358">
        <v>0.22657452188875796</v>
      </c>
      <c r="AR217" s="358">
        <v>0.22856406887049172</v>
      </c>
      <c r="AS217" s="358">
        <v>0.23055056587684525</v>
      </c>
      <c r="AT217" s="358">
        <v>0.23253433269103196</v>
      </c>
      <c r="AU217" s="358">
        <v>0.23451568909626536</v>
      </c>
      <c r="AV217" s="358">
        <v>0.23649495487575897</v>
      </c>
      <c r="AW217" s="358">
        <v>0.24747455665265483</v>
      </c>
      <c r="AX217" s="359">
        <v>0.24044849369038057</v>
      </c>
      <c r="AY217" s="359">
        <v>0.2424234062919357</v>
      </c>
      <c r="AZ217" s="359">
        <v>0.24439750740060484</v>
      </c>
      <c r="BA217" s="359">
        <v>0.25567139076183193</v>
      </c>
      <c r="BB217" s="178"/>
      <c r="BC217" s="177"/>
      <c r="BR217" s="110"/>
      <c r="BS217" s="93">
        <f t="shared" ref="BS217:BS224" si="33">BS216+500000</f>
        <v>6000000</v>
      </c>
      <c r="BT217" s="264">
        <v>0.0010196912941075244</v>
      </c>
      <c r="BU217" s="264">
        <v>0.0014322809907153392</v>
      </c>
      <c r="BV217" s="264">
        <v>0.0018594012379904697</v>
      </c>
      <c r="BW217" s="264">
        <v>0.00230057353142681</v>
      </c>
      <c r="BX217" s="265">
        <v>0.002755319366518252</v>
      </c>
      <c r="BY217" s="274">
        <v>0.002940911107208889</v>
      </c>
      <c r="BZ217" s="274">
        <v>0.0031285674295549733</v>
      </c>
      <c r="CA217" s="274">
        <v>0.003318257709268116</v>
      </c>
      <c r="CB217" s="274">
        <v>0.003509951322059925</v>
      </c>
      <c r="CC217" s="275">
        <v>0.0037036176436420092</v>
      </c>
    </row>
    <row r="218">
      <c r="V218" s="93">
        <f t="shared" si="28"/>
        <v>400000</v>
      </c>
      <c r="W218" s="358">
        <v>0.19023527758792502</v>
      </c>
      <c r="X218" s="358">
        <v>0.19240527533961582</v>
      </c>
      <c r="Y218" s="358">
        <v>0.19456559419086178</v>
      </c>
      <c r="Z218" s="358">
        <v>0.19671656182194738</v>
      </c>
      <c r="AA218" s="358">
        <v>0.1988585059131571</v>
      </c>
      <c r="AB218" s="358">
        <v>0.20099175414477538</v>
      </c>
      <c r="AC218" s="358">
        <v>0.20311663419708662</v>
      </c>
      <c r="AD218" s="358">
        <v>0.2052334737503752</v>
      </c>
      <c r="AE218" s="358">
        <v>0.2073426004849257</v>
      </c>
      <c r="AF218" s="358">
        <v>0.2094443420810225</v>
      </c>
      <c r="AG218" s="358">
        <v>0.21153902621894996</v>
      </c>
      <c r="AH218" s="358">
        <v>0.21362698057899274</v>
      </c>
      <c r="AI218" s="358">
        <v>0.21570853284143507</v>
      </c>
      <c r="AJ218" s="358">
        <v>0.2177840106865615</v>
      </c>
      <c r="AK218" s="359">
        <v>0.21985374179465642</v>
      </c>
      <c r="AL218" s="359">
        <v>0.22191805384600433</v>
      </c>
      <c r="AM218" s="358">
        <v>0.2239772745208896</v>
      </c>
      <c r="AN218" s="358">
        <v>0.22603173149959674</v>
      </c>
      <c r="AO218" s="358">
        <v>0.22808175246241025</v>
      </c>
      <c r="AP218" s="358">
        <v>0.2301276650896144</v>
      </c>
      <c r="AQ218" s="358">
        <v>0.2321697970614938</v>
      </c>
      <c r="AR218" s="358">
        <v>0.23420847605833275</v>
      </c>
      <c r="AS218" s="358">
        <v>0.22785397526514745</v>
      </c>
      <c r="AT218" s="358">
        <v>0.22981453933009527</v>
      </c>
      <c r="AU218" s="358">
        <v>0.23177272117897715</v>
      </c>
      <c r="AV218" s="358">
        <v>0.2337288368547235</v>
      </c>
      <c r="AW218" s="358">
        <v>0.2356832024002645</v>
      </c>
      <c r="AX218" s="359">
        <v>0.22785397526514745</v>
      </c>
      <c r="AY218" s="359">
        <v>0.23958794727245167</v>
      </c>
      <c r="AZ218" s="359">
        <v>0.24153895868495845</v>
      </c>
      <c r="BA218" s="359">
        <v>0.243489484138981</v>
      </c>
      <c r="BB218" s="178"/>
      <c r="BC218" s="178"/>
      <c r="BR218" s="110"/>
      <c r="BS218" s="93">
        <f t="shared" si="33"/>
        <v>6500000</v>
      </c>
      <c r="BT218" s="267">
        <v>0.0010613283484476276</v>
      </c>
      <c r="BU218" s="267">
        <v>0.0014907653200268948</v>
      </c>
      <c r="BV218" s="267">
        <v>0.001935326168244998</v>
      </c>
      <c r="BW218" s="267">
        <v>0.00239451284982146</v>
      </c>
      <c r="BX218" s="276">
        <v>0.002867827321475803</v>
      </c>
      <c r="BY218" s="270">
        <v>0.0030609973296645207</v>
      </c>
      <c r="BZ218" s="270">
        <v>0.003256316222570872</v>
      </c>
      <c r="CA218" s="270">
        <v>0.003453752125424906</v>
      </c>
      <c r="CB218" s="270">
        <v>0.003653273163456674</v>
      </c>
      <c r="CC218" s="271">
        <v>0.003854847461896222</v>
      </c>
    </row>
    <row r="219">
      <c r="V219" s="93">
        <f t="shared" si="28"/>
        <v>410000</v>
      </c>
      <c r="W219" s="358">
        <v>0.18347919428074536</v>
      </c>
      <c r="X219" s="358">
        <v>0.18557212596050301</v>
      </c>
      <c r="Y219" s="358">
        <v>0.18765572247972864</v>
      </c>
      <c r="Z219" s="358">
        <v>0.1897302998813525</v>
      </c>
      <c r="AA219" s="358">
        <v>0.1964184318359427</v>
      </c>
      <c r="AB219" s="358">
        <v>0.19852550425131246</v>
      </c>
      <c r="AC219" s="358">
        <v>0.20062431116831056</v>
      </c>
      <c r="AD219" s="358">
        <v>0.20271517624645224</v>
      </c>
      <c r="AE219" s="358">
        <v>0.20479842314525265</v>
      </c>
      <c r="AF219" s="358">
        <v>0.20687437552422702</v>
      </c>
      <c r="AG219" s="358">
        <v>0.20894335704289047</v>
      </c>
      <c r="AH219" s="358">
        <v>0.21100569136075817</v>
      </c>
      <c r="AI219" s="358">
        <v>0.2130617021373454</v>
      </c>
      <c r="AJ219" s="358">
        <v>0.2151117130321673</v>
      </c>
      <c r="AK219" s="359">
        <v>0.21715604770473904</v>
      </c>
      <c r="AL219" s="359">
        <v>0.21919502981457575</v>
      </c>
      <c r="AM219" s="358">
        <v>0.2212289830211927</v>
      </c>
      <c r="AN219" s="358">
        <v>0.22325823098410505</v>
      </c>
      <c r="AO219" s="358">
        <v>0.22528309736282798</v>
      </c>
      <c r="AP219" s="358">
        <v>0.21941811941338626</v>
      </c>
      <c r="AQ219" s="358">
        <v>0.2213652158508755</v>
      </c>
      <c r="AR219" s="358">
        <v>0.22330902000584224</v>
      </c>
      <c r="AS219" s="358">
        <v>0.21551279996727</v>
      </c>
      <c r="AT219" s="358">
        <v>0.23535303357663276</v>
      </c>
      <c r="AU219" s="358">
        <v>0.237358407300038</v>
      </c>
      <c r="AV219" s="358">
        <v>0.23936166505586012</v>
      </c>
      <c r="AW219" s="358">
        <v>0.24136313050361424</v>
      </c>
      <c r="AX219" s="359">
        <v>0.2433631273028157</v>
      </c>
      <c r="AY219" s="359">
        <v>0.24536197911297952</v>
      </c>
      <c r="AZ219" s="359">
        <v>0.2473600095936209</v>
      </c>
      <c r="BA219" s="359">
        <v>0.2493575424042551</v>
      </c>
      <c r="BB219" s="178"/>
      <c r="BC219" s="178"/>
      <c r="BR219" s="110"/>
      <c r="BS219" s="93">
        <f t="shared" si="33"/>
        <v>7000000</v>
      </c>
      <c r="BT219" s="267">
        <v>0.0011013924782558022</v>
      </c>
      <c r="BU219" s="267">
        <v>0.0015470402846808047</v>
      </c>
      <c r="BV219" s="267">
        <v>0.0020083828796191323</v>
      </c>
      <c r="BW219" s="267">
        <v>0.002484903419132936</v>
      </c>
      <c r="BX219" s="276">
        <v>0.002976085059284366</v>
      </c>
      <c r="BY219" s="270">
        <v>0.003176547050481393</v>
      </c>
      <c r="BZ219" s="270">
        <v>0.0033792390447383623</v>
      </c>
      <c r="CA219" s="270">
        <v>0.0035841279640432522</v>
      </c>
      <c r="CB219" s="270">
        <v>0.003791180730384039</v>
      </c>
      <c r="CC219" s="271">
        <v>0.004000364265748697</v>
      </c>
    </row>
    <row r="220">
      <c r="V220" s="93">
        <f t="shared" si="28"/>
        <v>420000</v>
      </c>
      <c r="W220" s="358">
        <v>0.1856506212754405</v>
      </c>
      <c r="X220" s="358">
        <v>0.18776832223961365</v>
      </c>
      <c r="Y220" s="358">
        <v>0.1898765775641367</v>
      </c>
      <c r="Z220" s="358">
        <v>0.19197570703222314</v>
      </c>
      <c r="AA220" s="358">
        <v>0.1940660304270864</v>
      </c>
      <c r="AB220" s="358">
        <v>0.18949684309113338</v>
      </c>
      <c r="AC220" s="358">
        <v>0.19822153812999738</v>
      </c>
      <c r="AD220" s="358">
        <v>0.20028736200447209</v>
      </c>
      <c r="AE220" s="358">
        <v>0.20234565893857756</v>
      </c>
      <c r="AF220" s="358">
        <v>0.20439674871552738</v>
      </c>
      <c r="AG220" s="358">
        <v>0.206440951118535</v>
      </c>
      <c r="AH220" s="358">
        <v>0.20140944881575018</v>
      </c>
      <c r="AI220" s="358">
        <v>0.20337195510930642</v>
      </c>
      <c r="AJ220" s="358">
        <v>0.20532873438729482</v>
      </c>
      <c r="AK220" s="359">
        <v>0.2072800955896504</v>
      </c>
      <c r="AL220" s="359">
        <v>0.20922634765630801</v>
      </c>
      <c r="AM220" s="358">
        <v>0.21116779952720263</v>
      </c>
      <c r="AN220" s="358">
        <v>0.21310476014226912</v>
      </c>
      <c r="AO220" s="358">
        <v>0.21503753844144238</v>
      </c>
      <c r="AP220" s="358">
        <v>0.2245816051484303</v>
      </c>
      <c r="AQ220" s="358">
        <v>0.22657452188875796</v>
      </c>
      <c r="AR220" s="358">
        <v>0.22856406887049172</v>
      </c>
      <c r="AS220" s="358">
        <v>0.23055056587684525</v>
      </c>
      <c r="AT220" s="358">
        <v>0.23253433269103196</v>
      </c>
      <c r="AU220" s="358">
        <v>0.23451568909626536</v>
      </c>
      <c r="AV220" s="358">
        <v>0.23649495487575897</v>
      </c>
      <c r="AW220" s="358">
        <v>0.2384724498127262</v>
      </c>
      <c r="AX220" s="359">
        <v>0.22464950809663325</v>
      </c>
      <c r="AY220" s="359">
        <v>0.23420326084473267</v>
      </c>
      <c r="AZ220" s="359">
        <v>0.23611042370478572</v>
      </c>
      <c r="BA220" s="359">
        <v>0.24637111679960166</v>
      </c>
      <c r="BB220" s="251"/>
      <c r="BC220" s="178"/>
      <c r="BR220" s="110"/>
      <c r="BS220" s="93">
        <f t="shared" si="33"/>
        <v>7500000</v>
      </c>
      <c r="BT220" s="267">
        <v>0.001140049524844578</v>
      </c>
      <c r="BU220" s="267">
        <v>0.0016013388290601217</v>
      </c>
      <c r="BV220" s="267">
        <v>0.0020788737827969776</v>
      </c>
      <c r="BW220" s="270">
        <v>0.0025721194017535465</v>
      </c>
      <c r="BX220" s="276">
        <v>0.0030805407016282335</v>
      </c>
      <c r="BY220" s="270">
        <v>0.0032880385757516227</v>
      </c>
      <c r="BZ220" s="270">
        <v>0.0034978447223383514</v>
      </c>
      <c r="CA220" s="270">
        <v>0.0037099249023931193</v>
      </c>
      <c r="CB220" s="277">
        <v>0.003924244876920623</v>
      </c>
      <c r="CC220" s="278">
        <v>0.004140770406925561</v>
      </c>
    </row>
    <row r="221">
      <c r="V221" s="93">
        <f t="shared" si="28"/>
        <v>430000</v>
      </c>
      <c r="W221" s="358">
        <v>0.18347919428074536</v>
      </c>
      <c r="X221" s="358">
        <v>0.18557212596050301</v>
      </c>
      <c r="Y221" s="358">
        <v>0.18765572247972864</v>
      </c>
      <c r="Z221" s="358">
        <v>0.1897302998813525</v>
      </c>
      <c r="AA221" s="358">
        <v>0.19179617420830494</v>
      </c>
      <c r="AB221" s="358">
        <v>0.19385366150351616</v>
      </c>
      <c r="AC221" s="358">
        <v>0.1959030778099165</v>
      </c>
      <c r="AD221" s="358">
        <v>0.19794473917043626</v>
      </c>
      <c r="AE221" s="358">
        <v>0.1999789616280056</v>
      </c>
      <c r="AF221" s="358">
        <v>0.20200606122555495</v>
      </c>
      <c r="AG221" s="358">
        <v>0.20402635400601446</v>
      </c>
      <c r="AH221" s="358">
        <v>0.19920818655977082</v>
      </c>
      <c r="AI221" s="358">
        <v>0.2011492440531018</v>
      </c>
      <c r="AJ221" s="358">
        <v>0.21004955187415716</v>
      </c>
      <c r="AK221" s="359">
        <v>0.2050146713331415</v>
      </c>
      <c r="AL221" s="359">
        <v>0.2069396522467319</v>
      </c>
      <c r="AM221" s="358">
        <v>0.20885988542729025</v>
      </c>
      <c r="AN221" s="358">
        <v>0.21077567643825756</v>
      </c>
      <c r="AO221" s="358">
        <v>0.21268733084307453</v>
      </c>
      <c r="AP221" s="358">
        <v>0.21459515420518205</v>
      </c>
      <c r="AQ221" s="358">
        <v>0.21649945208802077</v>
      </c>
      <c r="AR221" s="358">
        <v>0.21840053005503168</v>
      </c>
      <c r="AS221" s="358">
        <v>0.22029869366965554</v>
      </c>
      <c r="AT221" s="358">
        <v>0.22219424849533306</v>
      </c>
      <c r="AU221" s="358">
        <v>0.21649945208802077</v>
      </c>
      <c r="AV221" s="358">
        <v>0.2337288368547235</v>
      </c>
      <c r="AW221" s="358">
        <v>0.2356832024002645</v>
      </c>
      <c r="AX221" s="359">
        <v>0.2376361338585305</v>
      </c>
      <c r="AY221" s="359">
        <v>0.23958794727245167</v>
      </c>
      <c r="AZ221" s="359">
        <v>0.22597875403361267</v>
      </c>
      <c r="BA221" s="359">
        <v>0.22786831587309625</v>
      </c>
      <c r="BB221" s="23"/>
      <c r="BC221" s="178"/>
      <c r="BR221" s="110"/>
      <c r="BS221" s="93">
        <f t="shared" si="33"/>
        <v>8000000</v>
      </c>
      <c r="BT221" s="267">
        <v>0.001177438086286594</v>
      </c>
      <c r="BU221" s="267">
        <v>0.0016538556310893694</v>
      </c>
      <c r="BV221" s="267">
        <v>0.002147051610570642</v>
      </c>
      <c r="BW221" s="270">
        <v>0.0026564734953195925</v>
      </c>
      <c r="BX221" s="276">
        <v>0.0031815687559254026</v>
      </c>
      <c r="BY221" s="270">
        <v>0.0033958716388196243</v>
      </c>
      <c r="BZ221" s="270">
        <v>0.003612558495262918</v>
      </c>
      <c r="CA221" s="270">
        <v>0.0038315939633729946</v>
      </c>
      <c r="CB221" s="277">
        <v>0.004052942681267562</v>
      </c>
      <c r="CC221" s="278">
        <v>0.004276569287064322</v>
      </c>
    </row>
    <row r="222">
      <c r="V222" s="93">
        <f t="shared" si="28"/>
        <v>440000</v>
      </c>
      <c r="W222" s="358">
        <v>0.18138222033483692</v>
      </c>
      <c r="X222" s="358">
        <v>0.1794188443849932</v>
      </c>
      <c r="Y222" s="358">
        <v>0.18143335210111228</v>
      </c>
      <c r="Z222" s="358">
        <v>0.18147716741689002</v>
      </c>
      <c r="AA222" s="358">
        <v>0.18345317768688404</v>
      </c>
      <c r="AB222" s="358">
        <v>0.18542116575502432</v>
      </c>
      <c r="AC222" s="358">
        <v>0.18738143391659942</v>
      </c>
      <c r="AD222" s="358">
        <v>0.18933428446689812</v>
      </c>
      <c r="AE222" s="358">
        <v>0.191280019701209</v>
      </c>
      <c r="AF222" s="358">
        <v>0.1932189419148207</v>
      </c>
      <c r="AG222" s="358">
        <v>0.19515135340302192</v>
      </c>
      <c r="AH222" s="358">
        <v>0.19707755646110128</v>
      </c>
      <c r="AI222" s="358">
        <v>0.19899785338434753</v>
      </c>
      <c r="AJ222" s="358">
        <v>0.2009125464680492</v>
      </c>
      <c r="AK222" s="359">
        <v>0.20282193800749496</v>
      </c>
      <c r="AL222" s="359">
        <v>0.21159056222035402</v>
      </c>
      <c r="AM222" s="358">
        <v>0.2135539520968582</v>
      </c>
      <c r="AN222" s="358">
        <v>0.20852132631318362</v>
      </c>
      <c r="AO222" s="358">
        <v>0.2104125346284924</v>
      </c>
      <c r="AP222" s="358">
        <v>0.21229995287598863</v>
      </c>
      <c r="AQ222" s="358">
        <v>0.21418388335096097</v>
      </c>
      <c r="AR222" s="358">
        <v>0.2160646283486979</v>
      </c>
      <c r="AS222" s="358">
        <v>0.21794249016448827</v>
      </c>
      <c r="AT222" s="358">
        <v>0.21981777109362063</v>
      </c>
      <c r="AU222" s="358">
        <v>0.22169077343138374</v>
      </c>
      <c r="AV222" s="358">
        <v>0.22356179947306606</v>
      </c>
      <c r="AW222" s="358">
        <v>0.22543115151395646</v>
      </c>
      <c r="AX222" s="358">
        <v>0.22729913184934344</v>
      </c>
      <c r="AY222" s="358">
        <v>0.22916604277451574</v>
      </c>
      <c r="AZ222" s="358">
        <v>0.23103218658476202</v>
      </c>
      <c r="BA222" s="358">
        <v>0.23289786557537087</v>
      </c>
      <c r="BC222" s="178"/>
      <c r="BR222" s="110"/>
      <c r="BS222" s="93">
        <f t="shared" si="33"/>
        <v>8500000</v>
      </c>
      <c r="BT222" s="267">
        <v>0.001213675399346187</v>
      </c>
      <c r="BU222" s="267">
        <v>0.0017047553641260061</v>
      </c>
      <c r="BV222" s="270">
        <v>0.0022131301435088188</v>
      </c>
      <c r="BW222" s="270">
        <v>0.0027382302032141056</v>
      </c>
      <c r="BX222" s="276">
        <v>0.003279486008961351</v>
      </c>
      <c r="BY222" s="270">
        <v>0.003500384364473163</v>
      </c>
      <c r="BZ222" s="270">
        <v>0.003723740063672853</v>
      </c>
      <c r="CA222" s="277">
        <v>0.003949516656366466</v>
      </c>
      <c r="CB222" s="277">
        <v>0.004177677692360051</v>
      </c>
      <c r="CC222" s="278">
        <v>0.004408186721459653</v>
      </c>
    </row>
    <row r="223">
      <c r="V223" s="93">
        <f t="shared" si="28"/>
        <v>450000</v>
      </c>
      <c r="W223" s="358">
        <v>0.17549798044289872</v>
      </c>
      <c r="X223" s="358">
        <v>0.17749987109018606</v>
      </c>
      <c r="Y223" s="358">
        <v>0.17949283264975355</v>
      </c>
      <c r="Z223" s="358">
        <v>0.17957683057456694</v>
      </c>
      <c r="AA223" s="358">
        <v>0.18153214906735102</v>
      </c>
      <c r="AB223" s="358">
        <v>0.18347952936270984</v>
      </c>
      <c r="AC223" s="358">
        <v>0.18541927059044924</v>
      </c>
      <c r="AD223" s="358">
        <v>0.1873516718803748</v>
      </c>
      <c r="AE223" s="358">
        <v>0.18927703236229232</v>
      </c>
      <c r="AF223" s="358">
        <v>0.1911956511660075</v>
      </c>
      <c r="AG223" s="358">
        <v>0.1931078274213261</v>
      </c>
      <c r="AH223" s="358">
        <v>0.20140944881575018</v>
      </c>
      <c r="AI223" s="358">
        <v>0.20337195510930642</v>
      </c>
      <c r="AJ223" s="358">
        <v>0.20532873438729482</v>
      </c>
      <c r="AK223" s="359">
        <v>0.2072800955896504</v>
      </c>
      <c r="AL223" s="359">
        <v>0.20922634765630801</v>
      </c>
      <c r="AM223" s="358">
        <v>0.21116779952720263</v>
      </c>
      <c r="AN223" s="358">
        <v>0.21310476014226912</v>
      </c>
      <c r="AO223" s="358">
        <v>0.21503753844144238</v>
      </c>
      <c r="AP223" s="358">
        <v>0.21696644336465737</v>
      </c>
      <c r="AQ223" s="358">
        <v>0.21889178385184907</v>
      </c>
      <c r="AR223" s="358">
        <v>0.22081386884295234</v>
      </c>
      <c r="AS223" s="358">
        <v>0.22273300727790207</v>
      </c>
      <c r="AT223" s="358">
        <v>0.22464950809663325</v>
      </c>
      <c r="AU223" s="358">
        <v>0.2265636802390808</v>
      </c>
      <c r="AV223" s="358">
        <v>0.22847583264517957</v>
      </c>
      <c r="AW223" s="358">
        <v>0.23038627425486455</v>
      </c>
      <c r="AX223" s="358">
        <v>0.23229531400807057</v>
      </c>
      <c r="AY223" s="358">
        <v>0.23420326084473267</v>
      </c>
      <c r="AZ223" s="358">
        <v>0.23611042370478572</v>
      </c>
      <c r="BA223" s="358">
        <v>0.23801711152816465</v>
      </c>
      <c r="BC223" s="178"/>
      <c r="BR223" s="110"/>
      <c r="BS223" s="93">
        <f t="shared" si="33"/>
        <v>9000000</v>
      </c>
      <c r="BT223" s="267">
        <v>0.001248861682860843</v>
      </c>
      <c r="BU223" s="267">
        <v>0.0017541787977702762</v>
      </c>
      <c r="BV223" s="270">
        <v>0.002277292130088</v>
      </c>
      <c r="BW223" s="270">
        <v>0.002817615633874222</v>
      </c>
      <c r="BX223" s="276">
        <v>0.0033745632631891503</v>
      </c>
      <c r="BY223" s="270">
        <v>0.003601865795772645</v>
      </c>
      <c r="BZ223" s="270">
        <v>0.0038316969141502194</v>
      </c>
      <c r="CA223" s="277">
        <v>0.004064019111381728</v>
      </c>
      <c r="CB223" s="277">
        <v>0.004298794880527021</v>
      </c>
      <c r="CC223" s="278">
        <v>0.0045359867146459515</v>
      </c>
    </row>
    <row r="224">
      <c r="V224" s="93">
        <f t="shared" si="28"/>
        <v>460000</v>
      </c>
      <c r="W224" s="358">
        <v>0.17366025461360576</v>
      </c>
      <c r="X224" s="358">
        <v>0.17564118247750002</v>
      </c>
      <c r="Y224" s="358">
        <v>0.23045907726524376</v>
      </c>
      <c r="Z224" s="358">
        <v>0.18343913975946893</v>
      </c>
      <c r="AA224" s="358">
        <v>0.18543651292350394</v>
      </c>
      <c r="AB224" s="358">
        <v>0.18742577715665804</v>
      </c>
      <c r="AC224" s="358">
        <v>0.1894072380223722</v>
      </c>
      <c r="AD224" s="358">
        <v>0.1913812010840871</v>
      </c>
      <c r="AE224" s="358">
        <v>0.1933479719052436</v>
      </c>
      <c r="AF224" s="358">
        <v>0.19530785604928255</v>
      </c>
      <c r="AG224" s="358">
        <v>0.19726115907964464</v>
      </c>
      <c r="AH224" s="358">
        <v>0.1930136652269065</v>
      </c>
      <c r="AI224" s="358">
        <v>0.1948943641463335</v>
      </c>
      <c r="AJ224" s="358">
        <v>0.19676957478170995</v>
      </c>
      <c r="AK224" s="359">
        <v>0.19863959319476257</v>
      </c>
      <c r="AL224" s="359">
        <v>0.20050471544721793</v>
      </c>
      <c r="AM224" s="358">
        <v>0.20236523760080266</v>
      </c>
      <c r="AN224" s="358">
        <v>0.20422145571724346</v>
      </c>
      <c r="AO224" s="358">
        <v>0.20607366585826686</v>
      </c>
      <c r="AP224" s="358">
        <v>0.2079221640855995</v>
      </c>
      <c r="AQ224" s="358">
        <v>0.20976724646096798</v>
      </c>
      <c r="AR224" s="358">
        <v>0.21160920904609892</v>
      </c>
      <c r="AS224" s="358">
        <v>0.21344834790271905</v>
      </c>
      <c r="AT224" s="358">
        <v>0.21528495909255485</v>
      </c>
      <c r="AU224" s="358">
        <v>0.21711933867733302</v>
      </c>
      <c r="AV224" s="358">
        <v>0.21895178271878016</v>
      </c>
      <c r="AW224" s="358">
        <v>0.2207825872786229</v>
      </c>
      <c r="AX224" s="358">
        <v>0.2226120484185878</v>
      </c>
      <c r="AY224" s="358">
        <v>0.22444046220040156</v>
      </c>
      <c r="AZ224" s="358">
        <v>0.22626812468579083</v>
      </c>
      <c r="BA224" s="358">
        <v>0.22809533193648215</v>
      </c>
      <c r="BC224" s="178"/>
      <c r="BR224" s="110"/>
      <c r="BS224" s="93">
        <f t="shared" si="33"/>
        <v>9500000</v>
      </c>
      <c r="BT224" s="267">
        <v>0.0012830834075997972</v>
      </c>
      <c r="BU224" s="267">
        <v>0.0018022473907810617</v>
      </c>
      <c r="BV224" s="270">
        <v>0.002339695249260918</v>
      </c>
      <c r="BW224" s="270">
        <v>0.0028948248780730932</v>
      </c>
      <c r="BX224" s="276">
        <v>0.0034670341722513125</v>
      </c>
      <c r="BY224" s="270">
        <v>0.0037005653247126477</v>
      </c>
      <c r="BZ224" s="277">
        <v>0.003936694352120105</v>
      </c>
      <c r="CA224" s="277">
        <v>0.004175382719755842</v>
      </c>
      <c r="CB224" s="277">
        <v>0.004416591892902019</v>
      </c>
      <c r="CC224" s="278">
        <v>0.004660283336840791</v>
      </c>
    </row>
    <row r="225">
      <c r="V225" s="93">
        <f t="shared" si="28"/>
        <v>470000</v>
      </c>
      <c r="W225" s="358">
        <v>0.17187907671206443</v>
      </c>
      <c r="X225" s="358">
        <v>0.17383968683000367</v>
      </c>
      <c r="Y225" s="358">
        <v>0.17949283264975355</v>
      </c>
      <c r="Z225" s="358">
        <v>0.17594864181356576</v>
      </c>
      <c r="AA225" s="358">
        <v>0.18345317768688404</v>
      </c>
      <c r="AB225" s="358">
        <v>0.17977249007385715</v>
      </c>
      <c r="AC225" s="358">
        <v>0.1816730405702576</v>
      </c>
      <c r="AD225" s="358">
        <v>0.18356639942570308</v>
      </c>
      <c r="AE225" s="358">
        <v>0.1854528597263499</v>
      </c>
      <c r="AF225" s="358">
        <v>0.18733271455835443</v>
      </c>
      <c r="AG225" s="358">
        <v>0.189206257007873</v>
      </c>
      <c r="AH225" s="358">
        <v>0.191073780161062</v>
      </c>
      <c r="AI225" s="358">
        <v>0.19293557710407788</v>
      </c>
      <c r="AJ225" s="358">
        <v>0.1947919409230768</v>
      </c>
      <c r="AK225" s="358">
        <v>0.19664316470421533</v>
      </c>
      <c r="AL225" s="358">
        <v>0.19848954153364975</v>
      </c>
      <c r="AM225" s="358">
        <v>0.20033136449753636</v>
      </c>
      <c r="AN225" s="358">
        <v>0.2021689266820315</v>
      </c>
      <c r="AO225" s="358">
        <v>0.20400252117329173</v>
      </c>
      <c r="AP225" s="358">
        <v>0.20583244105747323</v>
      </c>
      <c r="AQ225" s="358">
        <v>0.20765897942073241</v>
      </c>
      <c r="AR225" s="358">
        <v>0.20948242934922565</v>
      </c>
      <c r="AS225" s="358">
        <v>0.21130308392910924</v>
      </c>
      <c r="AT225" s="358">
        <v>0.21312123624653964</v>
      </c>
      <c r="AU225" s="358">
        <v>0.20948242934922565</v>
      </c>
      <c r="AV225" s="358">
        <v>0.22356179947306606</v>
      </c>
      <c r="AW225" s="358">
        <v>0.22543115151395646</v>
      </c>
      <c r="AX225" s="358">
        <v>0.22729913184934344</v>
      </c>
      <c r="AY225" s="358">
        <v>0.22916604277451574</v>
      </c>
      <c r="AZ225" s="358">
        <v>0.23103218658476202</v>
      </c>
      <c r="BA225" s="358">
        <v>0.23289786557537087</v>
      </c>
      <c r="BR225" s="146"/>
      <c r="BS225" s="279">
        <v>1.0E7</v>
      </c>
      <c r="BT225" s="283">
        <v>0.0013164158001170438</v>
      </c>
      <c r="BU225" s="284">
        <v>0.0018490668080433225</v>
      </c>
      <c r="BV225" s="284">
        <v>0.0024004766762181808</v>
      </c>
      <c r="BW225" s="284">
        <v>0.0029700276579805395</v>
      </c>
      <c r="BX225" s="285">
        <v>0.0035571020066693182</v>
      </c>
      <c r="BY225" s="284">
        <v>0.0037966999136321454</v>
      </c>
      <c r="BZ225" s="286">
        <v>0.0040389631840511185</v>
      </c>
      <c r="CA225" s="286">
        <v>0.004283852282139927</v>
      </c>
      <c r="CB225" s="286">
        <v>0.004531327672112265</v>
      </c>
      <c r="CC225" s="287">
        <v>0.004781349818181818</v>
      </c>
    </row>
    <row r="226">
      <c r="V226" s="93">
        <f t="shared" si="28"/>
        <v>480000</v>
      </c>
      <c r="W226" s="358">
        <v>0.17366025461360576</v>
      </c>
      <c r="X226" s="358">
        <v>0.17564118247750002</v>
      </c>
      <c r="Y226" s="358">
        <v>0.17761327475455183</v>
      </c>
      <c r="Z226" s="358">
        <v>0.17957683057456694</v>
      </c>
      <c r="AA226" s="358">
        <v>0.18153214906735102</v>
      </c>
      <c r="AB226" s="358">
        <v>0.18347952936270984</v>
      </c>
      <c r="AC226" s="358">
        <v>0.18541927059044924</v>
      </c>
      <c r="AD226" s="358">
        <v>0.1873516718803748</v>
      </c>
      <c r="AE226" s="358">
        <v>0.18927703236229232</v>
      </c>
      <c r="AF226" s="358">
        <v>0.1911956511660075</v>
      </c>
      <c r="AG226" s="358">
        <v>0.1931078274213261</v>
      </c>
      <c r="AH226" s="358">
        <v>0.1950138602580539</v>
      </c>
      <c r="AI226" s="358">
        <v>0.1969140488059965</v>
      </c>
      <c r="AJ226" s="358">
        <v>0.19880869219495972</v>
      </c>
      <c r="AK226" s="359">
        <v>0.20069808955474938</v>
      </c>
      <c r="AL226" s="359">
        <v>0.202582540015171</v>
      </c>
      <c r="AM226" s="359">
        <v>0.20446234270603053</v>
      </c>
      <c r="AN226" s="359">
        <v>0.20633779675713354</v>
      </c>
      <c r="AO226" s="359">
        <v>0.20820920129828585</v>
      </c>
      <c r="AP226" s="359">
        <v>0.21007685545929322</v>
      </c>
      <c r="AQ226" s="358">
        <v>0.21194105836996127</v>
      </c>
      <c r="AR226" s="358">
        <v>0.2138021091600958</v>
      </c>
      <c r="AS226" s="358">
        <v>0.21566030695950253</v>
      </c>
      <c r="AT226" s="358">
        <v>0.2175159508979872</v>
      </c>
      <c r="AU226" s="358">
        <v>0.21936934010535553</v>
      </c>
      <c r="AV226" s="358">
        <v>0.22122077371141327</v>
      </c>
      <c r="AW226" s="358">
        <v>0.22307055084596616</v>
      </c>
      <c r="AX226" s="358">
        <v>0.21936934010535553</v>
      </c>
      <c r="AY226" s="358">
        <v>0.21999565648848463</v>
      </c>
      <c r="AZ226" s="358">
        <v>0.22178712405351558</v>
      </c>
      <c r="BA226" s="358">
        <v>0.23045907726524376</v>
      </c>
    </row>
    <row r="227">
      <c r="V227" s="93">
        <f t="shared" si="28"/>
        <v>490000</v>
      </c>
      <c r="W227" s="358">
        <v>0.17187907671206443</v>
      </c>
      <c r="X227" s="358">
        <v>0.17383968683000367</v>
      </c>
      <c r="Y227" s="358">
        <v>0.17579155198489965</v>
      </c>
      <c r="Z227" s="358">
        <v>0.17773496823847887</v>
      </c>
      <c r="AA227" s="358">
        <v>0.1796702316524681</v>
      </c>
      <c r="AB227" s="358">
        <v>0.18159763828859382</v>
      </c>
      <c r="AC227" s="358">
        <v>0.18351748420858274</v>
      </c>
      <c r="AD227" s="358">
        <v>0.1854300654741614</v>
      </c>
      <c r="AE227" s="358">
        <v>0.1873356781470565</v>
      </c>
      <c r="AF227" s="358">
        <v>0.18923461828899468</v>
      </c>
      <c r="AG227" s="358">
        <v>0.19112718196170245</v>
      </c>
      <c r="AH227" s="358">
        <v>0.1930136652269065</v>
      </c>
      <c r="AI227" s="358">
        <v>0.1948943641463335</v>
      </c>
      <c r="AJ227" s="358">
        <v>0.19100921304949645</v>
      </c>
      <c r="AK227" s="359">
        <v>0.19282448731566038</v>
      </c>
      <c r="AL227" s="359">
        <v>0.1946350087546472</v>
      </c>
      <c r="AM227" s="359">
        <v>0.20236523760080266</v>
      </c>
      <c r="AN227" s="359">
        <v>0.20422145571724346</v>
      </c>
      <c r="AO227" s="359">
        <v>0.20607366585826686</v>
      </c>
      <c r="AP227" s="359">
        <v>0.2079221640855995</v>
      </c>
      <c r="AQ227" s="358">
        <v>0.20976724646096798</v>
      </c>
      <c r="AR227" s="358">
        <v>0.21160920904609892</v>
      </c>
      <c r="AS227" s="358">
        <v>0.21344834790271905</v>
      </c>
      <c r="AT227" s="358">
        <v>0.21528495909255485</v>
      </c>
      <c r="AU227" s="358">
        <v>0.21076324459506507</v>
      </c>
      <c r="AV227" s="358">
        <v>0.21254204446644942</v>
      </c>
      <c r="AW227" s="358">
        <v>0.21431925285149034</v>
      </c>
      <c r="AX227" s="358">
        <v>0.21609515714480904</v>
      </c>
      <c r="AY227" s="358">
        <v>0.21787004474102678</v>
      </c>
      <c r="AZ227" s="358">
        <v>0.2196442030347649</v>
      </c>
      <c r="BA227" s="358">
        <v>0.2214179194206445</v>
      </c>
    </row>
    <row r="228">
      <c r="V228" s="93">
        <f t="shared" si="28"/>
        <v>500000</v>
      </c>
      <c r="W228" s="358">
        <v>0.16684737576358835</v>
      </c>
      <c r="X228" s="358">
        <v>0.16875058969358703</v>
      </c>
      <c r="Y228" s="358">
        <v>0.16902778702642768</v>
      </c>
      <c r="Z228" s="358">
        <v>0.17089642829447854</v>
      </c>
      <c r="AA228" s="358">
        <v>0.17275723041202232</v>
      </c>
      <c r="AB228" s="358">
        <v>0.17461047804949903</v>
      </c>
      <c r="AC228" s="358">
        <v>0.1764564558773489</v>
      </c>
      <c r="AD228" s="358">
        <v>0.17829544856601204</v>
      </c>
      <c r="AE228" s="358">
        <v>0.18012774078592853</v>
      </c>
      <c r="AF228" s="358">
        <v>0.18195361720753844</v>
      </c>
      <c r="AG228" s="358">
        <v>0.18377336250128207</v>
      </c>
      <c r="AH228" s="358">
        <v>0.191073780161062</v>
      </c>
      <c r="AI228" s="358">
        <v>0.19293557710407788</v>
      </c>
      <c r="AJ228" s="358">
        <v>0.1947919409230768</v>
      </c>
      <c r="AK228" s="359">
        <v>0.19664316470421533</v>
      </c>
      <c r="AL228" s="359">
        <v>0.19848954153364975</v>
      </c>
      <c r="AM228" s="359">
        <v>0.20033136449753636</v>
      </c>
      <c r="AN228" s="359">
        <v>0.2021689266820315</v>
      </c>
      <c r="AO228" s="359">
        <v>0.20400252117329173</v>
      </c>
      <c r="AP228" s="359">
        <v>0.20583244105747323</v>
      </c>
      <c r="AQ228" s="358">
        <v>0.20765897942073241</v>
      </c>
      <c r="AR228" s="358">
        <v>0.20948242934922565</v>
      </c>
      <c r="AS228" s="358">
        <v>0.21130308392910924</v>
      </c>
      <c r="AT228" s="358">
        <v>0.21312123624653964</v>
      </c>
      <c r="AU228" s="358">
        <v>0.21493717938767318</v>
      </c>
      <c r="AV228" s="358">
        <v>0.2167512064386662</v>
      </c>
      <c r="AW228" s="358">
        <v>0.21856361048567507</v>
      </c>
      <c r="AX228" s="358">
        <v>0.22037468461485615</v>
      </c>
      <c r="AY228" s="358">
        <v>0.2158048792252611</v>
      </c>
      <c r="AZ228" s="358">
        <v>0.22399401546436037</v>
      </c>
      <c r="BA228" s="358">
        <v>0.22580285835699623</v>
      </c>
    </row>
    <row r="229">
      <c r="V229" s="177"/>
      <c r="W229" s="358"/>
      <c r="X229" s="358"/>
      <c r="Y229" s="358"/>
      <c r="Z229" s="358"/>
      <c r="AA229" s="358"/>
      <c r="AB229" s="358"/>
      <c r="AC229" s="358"/>
      <c r="AD229" s="358"/>
      <c r="AE229" s="358"/>
      <c r="AF229" s="358"/>
      <c r="AG229" s="358"/>
      <c r="AH229" s="358"/>
      <c r="AI229" s="358"/>
      <c r="AJ229" s="358"/>
      <c r="AK229" s="359"/>
      <c r="AL229" s="359"/>
      <c r="AM229" s="359"/>
      <c r="AN229" s="359"/>
      <c r="AO229" s="359"/>
      <c r="AP229" s="359"/>
      <c r="AQ229" s="358"/>
      <c r="AR229" s="358"/>
      <c r="AS229" s="358"/>
      <c r="AT229" s="358"/>
      <c r="AU229" s="358"/>
      <c r="AV229" s="358"/>
      <c r="AW229" s="358"/>
      <c r="AX229" s="358"/>
      <c r="AY229" s="358"/>
      <c r="AZ229" s="358"/>
      <c r="BA229" s="358"/>
    </row>
    <row r="230">
      <c r="V230" s="363" t="s">
        <v>89</v>
      </c>
      <c r="W230" s="364">
        <v>1.0</v>
      </c>
      <c r="X230" s="364">
        <f t="shared" ref="X230:BA230" si="34">W230+1</f>
        <v>2</v>
      </c>
      <c r="Y230" s="364">
        <f t="shared" si="34"/>
        <v>3</v>
      </c>
      <c r="Z230" s="364">
        <f t="shared" si="34"/>
        <v>4</v>
      </c>
      <c r="AA230" s="364">
        <f t="shared" si="34"/>
        <v>5</v>
      </c>
      <c r="AB230" s="364">
        <f t="shared" si="34"/>
        <v>6</v>
      </c>
      <c r="AC230" s="364">
        <f t="shared" si="34"/>
        <v>7</v>
      </c>
      <c r="AD230" s="364">
        <f t="shared" si="34"/>
        <v>8</v>
      </c>
      <c r="AE230" s="364">
        <f t="shared" si="34"/>
        <v>9</v>
      </c>
      <c r="AF230" s="364">
        <f t="shared" si="34"/>
        <v>10</v>
      </c>
      <c r="AG230" s="364">
        <f t="shared" si="34"/>
        <v>11</v>
      </c>
      <c r="AH230" s="364">
        <f t="shared" si="34"/>
        <v>12</v>
      </c>
      <c r="AI230" s="364">
        <f t="shared" si="34"/>
        <v>13</v>
      </c>
      <c r="AJ230" s="364">
        <f t="shared" si="34"/>
        <v>14</v>
      </c>
      <c r="AK230" s="364">
        <f t="shared" si="34"/>
        <v>15</v>
      </c>
      <c r="AL230" s="364">
        <f t="shared" si="34"/>
        <v>16</v>
      </c>
      <c r="AM230" s="364">
        <f t="shared" si="34"/>
        <v>17</v>
      </c>
      <c r="AN230" s="364">
        <f t="shared" si="34"/>
        <v>18</v>
      </c>
      <c r="AO230" s="364">
        <f t="shared" si="34"/>
        <v>19</v>
      </c>
      <c r="AP230" s="365">
        <f t="shared" si="34"/>
        <v>20</v>
      </c>
      <c r="AQ230" s="366">
        <f t="shared" si="34"/>
        <v>21</v>
      </c>
      <c r="AR230" s="366">
        <f t="shared" si="34"/>
        <v>22</v>
      </c>
      <c r="AS230" s="366">
        <f t="shared" si="34"/>
        <v>23</v>
      </c>
      <c r="AT230" s="366">
        <f t="shared" si="34"/>
        <v>24</v>
      </c>
      <c r="AU230" s="366">
        <f t="shared" si="34"/>
        <v>25</v>
      </c>
      <c r="AV230" s="366">
        <f t="shared" si="34"/>
        <v>26</v>
      </c>
      <c r="AW230" s="366">
        <f t="shared" si="34"/>
        <v>27</v>
      </c>
      <c r="AX230" s="366">
        <f t="shared" si="34"/>
        <v>28</v>
      </c>
      <c r="AY230" s="366">
        <f t="shared" si="34"/>
        <v>29</v>
      </c>
      <c r="AZ230" s="366">
        <f t="shared" si="34"/>
        <v>30</v>
      </c>
      <c r="BA230" s="366">
        <f t="shared" si="34"/>
        <v>31</v>
      </c>
    </row>
    <row r="231">
      <c r="V231" s="367" t="s">
        <v>90</v>
      </c>
      <c r="W231" s="366">
        <v>32.0</v>
      </c>
      <c r="X231" s="366">
        <f t="shared" ref="X231:AP231" si="35">W231</f>
        <v>32</v>
      </c>
      <c r="Y231" s="366">
        <f t="shared" si="35"/>
        <v>32</v>
      </c>
      <c r="Z231" s="366">
        <f t="shared" si="35"/>
        <v>32</v>
      </c>
      <c r="AA231" s="366">
        <f t="shared" si="35"/>
        <v>32</v>
      </c>
      <c r="AB231" s="366">
        <f t="shared" si="35"/>
        <v>32</v>
      </c>
      <c r="AC231" s="366">
        <f t="shared" si="35"/>
        <v>32</v>
      </c>
      <c r="AD231" s="366">
        <f t="shared" si="35"/>
        <v>32</v>
      </c>
      <c r="AE231" s="366">
        <f t="shared" si="35"/>
        <v>32</v>
      </c>
      <c r="AF231" s="366">
        <f t="shared" si="35"/>
        <v>32</v>
      </c>
      <c r="AG231" s="366">
        <f t="shared" si="35"/>
        <v>32</v>
      </c>
      <c r="AH231" s="366">
        <f t="shared" si="35"/>
        <v>32</v>
      </c>
      <c r="AI231" s="366">
        <f t="shared" si="35"/>
        <v>32</v>
      </c>
      <c r="AJ231" s="366">
        <f t="shared" si="35"/>
        <v>32</v>
      </c>
      <c r="AK231" s="366">
        <f t="shared" si="35"/>
        <v>32</v>
      </c>
      <c r="AL231" s="366">
        <f t="shared" si="35"/>
        <v>32</v>
      </c>
      <c r="AM231" s="366">
        <f t="shared" si="35"/>
        <v>32</v>
      </c>
      <c r="AN231" s="366">
        <f t="shared" si="35"/>
        <v>32</v>
      </c>
      <c r="AO231" s="366">
        <f t="shared" si="35"/>
        <v>32</v>
      </c>
      <c r="AP231" s="368">
        <f t="shared" si="35"/>
        <v>32</v>
      </c>
      <c r="AQ231" s="366"/>
      <c r="AR231" s="366"/>
      <c r="AS231" s="366" t="str">
        <f t="shared" ref="AS231:AT231" si="36">AR231</f>
        <v/>
      </c>
      <c r="AT231" s="366" t="str">
        <f t="shared" si="36"/>
        <v/>
      </c>
      <c r="AU231" s="358"/>
      <c r="AV231" s="358"/>
      <c r="AW231" s="358"/>
      <c r="AX231" s="358"/>
      <c r="AY231" s="358"/>
      <c r="AZ231" s="358"/>
      <c r="BA231" s="358"/>
    </row>
    <row r="232">
      <c r="V232" s="367" t="s">
        <v>91</v>
      </c>
      <c r="W232" s="358">
        <f>AQ188</f>
        <v>0.4643395941</v>
      </c>
      <c r="X232" s="358">
        <f>AQ189</f>
        <v>0.4427304317</v>
      </c>
      <c r="Y232" s="358">
        <f>AQ190</f>
        <v>0.3454417833</v>
      </c>
      <c r="Z232" s="358">
        <f>AQ195</f>
        <v>0.3561322116</v>
      </c>
      <c r="AA232" s="358">
        <f>AQ196</f>
        <v>0.346098299</v>
      </c>
      <c r="AB232" s="358">
        <f>AQ197</f>
        <v>0.3368673475</v>
      </c>
      <c r="AC232" s="358">
        <f>AQ198</f>
        <v>0.3283376758</v>
      </c>
      <c r="AD232" s="358">
        <f>AQ199</f>
        <v>0.3204247617</v>
      </c>
      <c r="AE232" s="358">
        <f>AQ200</f>
        <v>0.3130576905</v>
      </c>
      <c r="AF232" s="358">
        <f>AQ202</f>
        <v>0.2997299192</v>
      </c>
      <c r="AG232" s="358">
        <f>AQ203</f>
        <v>0.2774959837</v>
      </c>
      <c r="AH232" s="358">
        <f>AQ204</f>
        <v>0.2879711916</v>
      </c>
      <c r="AI232" s="358">
        <f>AQ205</f>
        <v>0.2825880778</v>
      </c>
      <c r="AJ232" s="358">
        <f>AQ206</f>
        <v>0.2774959837</v>
      </c>
      <c r="AK232" s="359">
        <f>AQ207</f>
        <v>0.2726695984</v>
      </c>
      <c r="AL232" s="359">
        <f>AQ208</f>
        <v>0.2680865897</v>
      </c>
      <c r="AM232" s="359">
        <f>AQ209</f>
        <v>0.2518235018</v>
      </c>
      <c r="AN232" s="359">
        <f>AQ210</f>
        <v>0.2481999532</v>
      </c>
      <c r="AO232" s="359">
        <f>AQ214</f>
        <v>0.2447284542</v>
      </c>
      <c r="AP232" s="369">
        <f>AQ215</f>
        <v>0.2413986602</v>
      </c>
      <c r="AQ232" s="358"/>
      <c r="AR232" s="358"/>
      <c r="AS232" s="358"/>
      <c r="AT232" s="358"/>
      <c r="AU232" s="358"/>
      <c r="AV232" s="358"/>
      <c r="AW232" s="358"/>
      <c r="AX232" s="358"/>
      <c r="AY232" s="358"/>
      <c r="AZ232" s="358"/>
      <c r="BA232" s="358"/>
    </row>
    <row r="233">
      <c r="V233" s="367" t="s">
        <v>92</v>
      </c>
      <c r="W233" s="366">
        <f t="shared" ref="W233:AP233" si="37">W231*W232</f>
        <v>14.85886701</v>
      </c>
      <c r="X233" s="366">
        <f t="shared" si="37"/>
        <v>14.16737381</v>
      </c>
      <c r="Y233" s="366">
        <f t="shared" si="37"/>
        <v>11.05413706</v>
      </c>
      <c r="Z233" s="366">
        <f t="shared" si="37"/>
        <v>11.39623077</v>
      </c>
      <c r="AA233" s="366">
        <f t="shared" si="37"/>
        <v>11.07514557</v>
      </c>
      <c r="AB233" s="366">
        <f t="shared" si="37"/>
        <v>10.77975512</v>
      </c>
      <c r="AC233" s="366">
        <f t="shared" si="37"/>
        <v>10.50680562</v>
      </c>
      <c r="AD233" s="366">
        <f t="shared" si="37"/>
        <v>10.25359238</v>
      </c>
      <c r="AE233" s="366">
        <f t="shared" si="37"/>
        <v>10.0178461</v>
      </c>
      <c r="AF233" s="366">
        <f t="shared" si="37"/>
        <v>9.591357413</v>
      </c>
      <c r="AG233" s="366">
        <f t="shared" si="37"/>
        <v>8.879871477</v>
      </c>
      <c r="AH233" s="366">
        <f t="shared" si="37"/>
        <v>9.215078131</v>
      </c>
      <c r="AI233" s="366">
        <f t="shared" si="37"/>
        <v>9.04281849</v>
      </c>
      <c r="AJ233" s="366">
        <f t="shared" si="37"/>
        <v>8.879871477</v>
      </c>
      <c r="AK233" s="366">
        <f t="shared" si="37"/>
        <v>8.725427148</v>
      </c>
      <c r="AL233" s="366">
        <f t="shared" si="37"/>
        <v>8.578770869</v>
      </c>
      <c r="AM233" s="366">
        <f t="shared" si="37"/>
        <v>8.058352059</v>
      </c>
      <c r="AN233" s="366">
        <f t="shared" si="37"/>
        <v>7.942398502</v>
      </c>
      <c r="AO233" s="366">
        <f t="shared" si="37"/>
        <v>7.831310535</v>
      </c>
      <c r="AP233" s="368">
        <f t="shared" si="37"/>
        <v>7.724757127</v>
      </c>
      <c r="AQ233" s="358"/>
      <c r="AR233" s="358"/>
      <c r="AS233" s="358"/>
      <c r="AT233" s="358"/>
      <c r="AU233" s="358"/>
      <c r="AV233" s="358"/>
      <c r="AW233" s="358"/>
      <c r="AX233" s="358"/>
      <c r="AY233" s="358"/>
      <c r="AZ233" s="358"/>
      <c r="BA233" s="358"/>
    </row>
    <row r="234">
      <c r="V234" s="370" t="s">
        <v>93</v>
      </c>
      <c r="W234" s="371">
        <f>W233+W231</f>
        <v>46.85886701</v>
      </c>
      <c r="X234" s="371">
        <f t="shared" ref="X234:AP234" si="38">W234+X233</f>
        <v>61.02624083</v>
      </c>
      <c r="Y234" s="371">
        <f t="shared" si="38"/>
        <v>72.08037789</v>
      </c>
      <c r="Z234" s="371">
        <f t="shared" si="38"/>
        <v>83.47660866</v>
      </c>
      <c r="AA234" s="371">
        <f t="shared" si="38"/>
        <v>94.55175423</v>
      </c>
      <c r="AB234" s="371">
        <f t="shared" si="38"/>
        <v>105.3315094</v>
      </c>
      <c r="AC234" s="371">
        <f t="shared" si="38"/>
        <v>115.838315</v>
      </c>
      <c r="AD234" s="371">
        <f t="shared" si="38"/>
        <v>126.0919074</v>
      </c>
      <c r="AE234" s="371">
        <f t="shared" si="38"/>
        <v>136.1097534</v>
      </c>
      <c r="AF234" s="371">
        <f t="shared" si="38"/>
        <v>145.7011109</v>
      </c>
      <c r="AG234" s="371">
        <f t="shared" si="38"/>
        <v>154.5809823</v>
      </c>
      <c r="AH234" s="371">
        <f t="shared" si="38"/>
        <v>163.7960605</v>
      </c>
      <c r="AI234" s="371">
        <f t="shared" si="38"/>
        <v>172.838879</v>
      </c>
      <c r="AJ234" s="371">
        <f t="shared" si="38"/>
        <v>181.7187504</v>
      </c>
      <c r="AK234" s="371">
        <f t="shared" si="38"/>
        <v>190.4441776</v>
      </c>
      <c r="AL234" s="371">
        <f t="shared" si="38"/>
        <v>199.0229485</v>
      </c>
      <c r="AM234" s="371">
        <f t="shared" si="38"/>
        <v>207.0813005</v>
      </c>
      <c r="AN234" s="371">
        <f t="shared" si="38"/>
        <v>215.023699</v>
      </c>
      <c r="AO234" s="371">
        <f t="shared" si="38"/>
        <v>222.8550096</v>
      </c>
      <c r="AP234" s="372">
        <f t="shared" si="38"/>
        <v>230.5797667</v>
      </c>
      <c r="AQ234" s="373"/>
      <c r="AR234" s="373"/>
      <c r="AS234" s="373"/>
      <c r="AT234" s="373"/>
      <c r="AU234" s="358"/>
      <c r="AV234" s="358"/>
      <c r="AW234" s="358"/>
      <c r="AX234" s="358"/>
      <c r="AY234" s="358"/>
      <c r="AZ234" s="358"/>
      <c r="BA234" s="358"/>
    </row>
    <row r="235">
      <c r="V235" s="177"/>
      <c r="W235" s="358"/>
      <c r="X235" s="358"/>
      <c r="Y235" s="358"/>
      <c r="Z235" s="358"/>
      <c r="AA235" s="358"/>
      <c r="AB235" s="358"/>
      <c r="AC235" s="358"/>
      <c r="AD235" s="358"/>
      <c r="AE235" s="358"/>
      <c r="AF235" s="358"/>
      <c r="AG235" s="358"/>
      <c r="AH235" s="358"/>
      <c r="AI235" s="358"/>
      <c r="AJ235" s="358"/>
      <c r="AK235" s="359"/>
      <c r="AL235" s="359"/>
      <c r="AM235" s="359"/>
      <c r="AN235" s="359"/>
      <c r="AO235" s="359"/>
      <c r="AP235" s="359">
        <f>(AP234-W231)/W231</f>
        <v>6.205617709</v>
      </c>
      <c r="AQ235" s="358"/>
      <c r="AR235" s="358"/>
      <c r="AS235" s="358"/>
      <c r="AT235" s="358"/>
      <c r="AU235" s="358"/>
      <c r="AV235" s="358"/>
      <c r="AW235" s="358"/>
      <c r="AX235" s="358"/>
      <c r="AY235" s="358"/>
      <c r="AZ235" s="358"/>
      <c r="BA235" s="358"/>
    </row>
    <row r="236">
      <c r="V236" s="177"/>
      <c r="W236" s="358"/>
      <c r="X236" s="358"/>
      <c r="Y236" s="358"/>
      <c r="Z236" s="358"/>
      <c r="AA236" s="358"/>
      <c r="AB236" s="358"/>
      <c r="AC236" s="358"/>
      <c r="AD236" s="358"/>
      <c r="AE236" s="358"/>
      <c r="AF236" s="358"/>
      <c r="AG236" s="358"/>
      <c r="AH236" s="374"/>
      <c r="AI236" s="374"/>
      <c r="AJ236" s="374"/>
      <c r="AK236" s="359"/>
      <c r="AL236" s="359"/>
      <c r="AM236" s="359"/>
      <c r="AN236" s="359"/>
      <c r="AO236" s="359"/>
      <c r="AP236" s="359"/>
      <c r="AQ236" s="374"/>
      <c r="AR236" s="374"/>
      <c r="AS236" s="374"/>
      <c r="AT236" s="374"/>
      <c r="AU236" s="374"/>
      <c r="AV236" s="374"/>
      <c r="AW236" s="374"/>
      <c r="AX236" s="374"/>
      <c r="AY236" s="374"/>
      <c r="AZ236" s="374"/>
      <c r="BA236" s="374"/>
    </row>
    <row r="237">
      <c r="V237" s="375" t="s">
        <v>94</v>
      </c>
      <c r="W237" s="376">
        <f>V188/32</f>
        <v>3125</v>
      </c>
      <c r="X237" s="376">
        <f>V189/32</f>
        <v>3437.5</v>
      </c>
    </row>
    <row r="238">
      <c r="V238" s="375" t="s">
        <v>95</v>
      </c>
      <c r="W238" s="377">
        <f>128</f>
        <v>128</v>
      </c>
    </row>
    <row r="239">
      <c r="V239" s="375" t="s">
        <v>96</v>
      </c>
      <c r="W239" s="378">
        <f>W237/W238</f>
        <v>24.4140625</v>
      </c>
      <c r="AK239" s="23"/>
      <c r="AL239" s="23"/>
      <c r="AM239" s="23"/>
      <c r="AN239" s="23"/>
      <c r="AO239" s="23"/>
      <c r="AP239" s="23"/>
    </row>
    <row r="240">
      <c r="V240" s="375" t="s">
        <v>97</v>
      </c>
      <c r="W240" s="9">
        <v>5.0</v>
      </c>
      <c r="AK240" s="87"/>
      <c r="AL240" s="87"/>
      <c r="AM240" s="87"/>
      <c r="AN240" s="87"/>
      <c r="AO240" s="87"/>
      <c r="AP240" s="87"/>
    </row>
    <row r="241">
      <c r="V241" s="375" t="s">
        <v>98</v>
      </c>
      <c r="W241" s="379">
        <f>(W238/W240)</f>
        <v>25.6</v>
      </c>
      <c r="AK241" s="51"/>
      <c r="AL241" s="51"/>
      <c r="AM241" s="51"/>
      <c r="AN241" s="51"/>
      <c r="AO241" s="51"/>
      <c r="AP241" s="51"/>
    </row>
    <row r="242">
      <c r="V242" s="375" t="s">
        <v>99</v>
      </c>
      <c r="W242" s="379">
        <f>(W240/W237)/W239</f>
        <v>0.000065536</v>
      </c>
      <c r="AK242" s="51"/>
      <c r="AL242" s="51"/>
      <c r="AM242" s="51"/>
      <c r="AN242" s="51"/>
      <c r="AO242" s="51"/>
      <c r="AP242" s="51"/>
    </row>
    <row r="243">
      <c r="V243" s="177"/>
      <c r="AK243" s="51"/>
      <c r="AL243" s="51"/>
      <c r="AM243" s="51"/>
      <c r="AN243" s="51"/>
      <c r="AO243" s="51"/>
      <c r="AP243" s="51"/>
    </row>
    <row r="244">
      <c r="V244" s="177"/>
      <c r="AK244" s="51"/>
      <c r="AL244" s="51"/>
      <c r="AM244" s="51"/>
      <c r="AN244" s="51"/>
      <c r="AO244" s="51"/>
      <c r="AP244" s="51"/>
    </row>
    <row r="245">
      <c r="V245" s="177"/>
      <c r="AK245" s="51"/>
      <c r="AL245" s="51"/>
      <c r="AM245" s="51"/>
      <c r="AN245" s="51"/>
      <c r="AO245" s="51"/>
      <c r="AP245" s="51"/>
    </row>
    <row r="246">
      <c r="V246" s="177"/>
      <c r="AK246" s="51"/>
      <c r="AL246" s="51"/>
      <c r="AM246" s="51"/>
      <c r="AN246" s="51"/>
      <c r="AO246" s="51"/>
      <c r="AP246" s="51"/>
    </row>
    <row r="247">
      <c r="V247" s="177"/>
    </row>
    <row r="248">
      <c r="V248" s="177"/>
    </row>
    <row r="249">
      <c r="V249" s="177"/>
    </row>
    <row r="250">
      <c r="V250" s="177"/>
    </row>
    <row r="251">
      <c r="V251" s="177"/>
    </row>
    <row r="252">
      <c r="V252" s="177"/>
    </row>
    <row r="253">
      <c r="V253" s="177"/>
    </row>
    <row r="254">
      <c r="V254" s="177"/>
    </row>
    <row r="255">
      <c r="V255" s="177"/>
    </row>
    <row r="256">
      <c r="V256" s="177"/>
    </row>
    <row r="257">
      <c r="V257" s="177"/>
    </row>
    <row r="258">
      <c r="V258" s="177"/>
    </row>
    <row r="259">
      <c r="V259" s="177"/>
    </row>
    <row r="260">
      <c r="V260" s="177"/>
    </row>
    <row r="261">
      <c r="V261" s="177"/>
    </row>
    <row r="262">
      <c r="V262" s="177"/>
    </row>
    <row r="263">
      <c r="V263" s="177"/>
    </row>
    <row r="264">
      <c r="V264" s="177"/>
    </row>
    <row r="265">
      <c r="V265" s="177"/>
    </row>
    <row r="266">
      <c r="V266" s="177"/>
    </row>
    <row r="267">
      <c r="V267" s="177"/>
    </row>
    <row r="268">
      <c r="V268" s="177"/>
    </row>
    <row r="269">
      <c r="V269" s="177"/>
    </row>
    <row r="270">
      <c r="V270" s="177"/>
    </row>
    <row r="271">
      <c r="V271" s="177"/>
    </row>
    <row r="272">
      <c r="V272" s="177"/>
    </row>
    <row r="273">
      <c r="V273" s="177"/>
    </row>
    <row r="274">
      <c r="V274" s="177"/>
    </row>
    <row r="275">
      <c r="V275" s="177"/>
    </row>
    <row r="276">
      <c r="V276" s="177"/>
    </row>
    <row r="277">
      <c r="V277" s="177"/>
    </row>
    <row r="278">
      <c r="V278" s="177"/>
    </row>
    <row r="279">
      <c r="V279" s="177"/>
    </row>
    <row r="280">
      <c r="V280" s="177"/>
    </row>
    <row r="281">
      <c r="V281" s="177"/>
    </row>
    <row r="282">
      <c r="V282" s="177"/>
    </row>
    <row r="283">
      <c r="V283" s="177"/>
    </row>
  </sheetData>
  <mergeCells count="25">
    <mergeCell ref="U39:AC39"/>
    <mergeCell ref="AT39:BG39"/>
    <mergeCell ref="BK39:BX39"/>
    <mergeCell ref="U41:U57"/>
    <mergeCell ref="AE41:AE57"/>
    <mergeCell ref="AR43:AR52"/>
    <mergeCell ref="BI43:BI59"/>
    <mergeCell ref="U99:AC99"/>
    <mergeCell ref="AT99:BG99"/>
    <mergeCell ref="BK99:BX99"/>
    <mergeCell ref="AE101:AE117"/>
    <mergeCell ref="F103:F125"/>
    <mergeCell ref="AR103:AR112"/>
    <mergeCell ref="BI103:BI119"/>
    <mergeCell ref="U160:U176"/>
    <mergeCell ref="D166:D204"/>
    <mergeCell ref="BR187:BR203"/>
    <mergeCell ref="BR209:BR225"/>
    <mergeCell ref="U101:U117"/>
    <mergeCell ref="U158:AC158"/>
    <mergeCell ref="AT158:BG158"/>
    <mergeCell ref="BK158:BX158"/>
    <mergeCell ref="AE160:AE176"/>
    <mergeCell ref="AR162:AR171"/>
    <mergeCell ref="BI162:BI178"/>
  </mergeCells>
  <conditionalFormatting sqref="AT43:BG52 BK43:BX61 CE43:DH61 AY80:BL88 AG101:AP119 AT103:BG112 BK103:BX121 AG160:AP178 AT162:BG171 BK162:BX180">
    <cfRule type="colorScale" priority="1">
      <colorScale>
        <cfvo type="min"/>
        <cfvo type="formula" val="0"/>
        <cfvo type="max"/>
        <color rgb="FFE67C73"/>
        <color rgb="FFFFFFFF"/>
        <color rgb="FF57BB8A"/>
      </colorScale>
    </cfRule>
  </conditionalFormatting>
  <conditionalFormatting sqref="X38:AC38 AR38:BG38 BI38:BX38 CE38:DH38 X98:AC98 AR98:BG98 BI98:BX98 X157:AC157 AR157:BG157 BI157:BX157 AK201:AL201">
    <cfRule type="colorScale" priority="2">
      <colorScale>
        <cfvo type="min"/>
        <cfvo type="percentile" val="50"/>
        <cfvo type="max"/>
        <color rgb="FFE67C73"/>
        <color rgb="FFFFFFFF"/>
        <color rgb="FF57BB8A"/>
      </colorScale>
    </cfRule>
  </conditionalFormatting>
  <conditionalFormatting sqref="AT38 AV38 BK38 BM38 W98 AG98 AT98 AV98 BK98 BM98 BK118 W157 AG157 AT157 AV157 BK157 BM157 BK177 BT184">
    <cfRule type="colorScale" priority="3">
      <colorScale>
        <cfvo type="min"/>
        <cfvo type="percentile" val="50"/>
        <cfvo type="max"/>
        <color rgb="FF57BB8A"/>
        <color rgb="FFFFFFFF"/>
        <color rgb="FFE67C73"/>
      </colorScale>
    </cfRule>
  </conditionalFormatting>
  <conditionalFormatting sqref="F47:F48">
    <cfRule type="cellIs" dxfId="0" priority="4" operator="greaterThan">
      <formula>0</formula>
    </cfRule>
  </conditionalFormatting>
  <conditionalFormatting sqref="F47:F48">
    <cfRule type="cellIs" dxfId="1" priority="5" operator="lessThan">
      <formula>0</formula>
    </cfRule>
  </conditionalFormatting>
  <conditionalFormatting sqref="C28:C30">
    <cfRule type="cellIs" dxfId="0" priority="6" operator="equal">
      <formula>"Yes"</formula>
    </cfRule>
  </conditionalFormatting>
  <conditionalFormatting sqref="C28:C30">
    <cfRule type="cellIs" dxfId="1" priority="7" operator="equal">
      <formula>"No"</formula>
    </cfRule>
  </conditionalFormatting>
  <conditionalFormatting sqref="W101:AC119 W160:AC178">
    <cfRule type="colorScale" priority="8">
      <colorScale>
        <cfvo type="min"/>
        <cfvo type="max"/>
        <color rgb="FFFFFFFF"/>
        <color rgb="FF57BB8A"/>
      </colorScale>
    </cfRule>
  </conditionalFormatting>
  <conditionalFormatting sqref="AG101:AP119 AG160:AP178">
    <cfRule type="colorScale" priority="9">
      <colorScale>
        <cfvo type="min"/>
        <cfvo type="percentile" val="5"/>
        <cfvo type="max"/>
        <color rgb="FFE67C73"/>
        <color rgb="FFFFFFFF"/>
        <color rgb="FF57BB8A"/>
      </colorScale>
    </cfRule>
  </conditionalFormatting>
  <conditionalFormatting sqref="W101:AC117 W160:AC176">
    <cfRule type="colorScale" priority="10">
      <colorScale>
        <cfvo type="min"/>
        <cfvo type="max"/>
        <color rgb="FFFFFFFF"/>
        <color rgb="FF57BB8A"/>
      </colorScale>
    </cfRule>
  </conditionalFormatting>
  <conditionalFormatting sqref="AG41:AP59 AG101:AP119 AG160:AP178">
    <cfRule type="colorScale" priority="11">
      <colorScale>
        <cfvo type="min"/>
        <cfvo type="max"/>
        <color rgb="FFFFFFFF"/>
        <color rgb="FF57BB8A"/>
      </colorScale>
    </cfRule>
  </conditionalFormatting>
  <conditionalFormatting sqref="W41:AC59 W101:AC119 W160:AC178">
    <cfRule type="colorScale" priority="12">
      <colorScale>
        <cfvo type="min"/>
        <cfvo type="max"/>
        <color rgb="FFFFFFFF"/>
        <color rgb="FF57BB8A"/>
      </colorScale>
    </cfRule>
  </conditionalFormatting>
  <dataValidations>
    <dataValidation type="list" allowBlank="1" sqref="C28:C30">
      <formula1>"Yes,No"</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A2" s="9" t="s">
        <v>89</v>
      </c>
      <c r="B2" s="9">
        <v>1.0</v>
      </c>
      <c r="C2" s="9">
        <f t="shared" ref="C2:K2" si="1">B2+1</f>
        <v>2</v>
      </c>
      <c r="D2" s="9">
        <f t="shared" si="1"/>
        <v>3</v>
      </c>
      <c r="E2" s="9">
        <f t="shared" si="1"/>
        <v>4</v>
      </c>
      <c r="F2" s="9">
        <f t="shared" si="1"/>
        <v>5</v>
      </c>
      <c r="G2" s="9">
        <f t="shared" si="1"/>
        <v>6</v>
      </c>
      <c r="H2" s="9">
        <f t="shared" si="1"/>
        <v>7</v>
      </c>
      <c r="I2" s="9">
        <f t="shared" si="1"/>
        <v>8</v>
      </c>
      <c r="J2" s="9">
        <f t="shared" si="1"/>
        <v>9</v>
      </c>
      <c r="K2" s="9">
        <f t="shared" si="1"/>
        <v>10</v>
      </c>
      <c r="L2" s="9">
        <v>2.0</v>
      </c>
      <c r="M2" s="9">
        <v>2.0</v>
      </c>
      <c r="N2" s="9">
        <v>2.0</v>
      </c>
      <c r="O2" s="9">
        <v>2.0</v>
      </c>
      <c r="P2" s="9">
        <v>2.0</v>
      </c>
    </row>
    <row r="3">
      <c r="A3" s="9" t="s">
        <v>100</v>
      </c>
      <c r="B3" s="9">
        <v>32.0</v>
      </c>
    </row>
    <row r="4">
      <c r="A4" s="9" t="s">
        <v>101</v>
      </c>
      <c r="B4" s="9">
        <v>100000.0</v>
      </c>
    </row>
    <row r="5">
      <c r="A5" s="9" t="s">
        <v>102</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38"/>
    <col customWidth="1" min="2" max="2" width="36.63"/>
    <col customWidth="1" min="4" max="4" width="2.25"/>
    <col customWidth="1" min="5" max="5" width="35.25"/>
    <col customWidth="1" min="6" max="6" width="16.88"/>
    <col customWidth="1" min="7" max="8" width="2.38"/>
    <col customWidth="1" min="9" max="9" width="6.25"/>
    <col customWidth="1" min="10" max="20" width="2.38"/>
    <col customWidth="1" min="21" max="21" width="3.63"/>
    <col customWidth="1" min="22" max="22" width="10.75"/>
    <col customWidth="1" min="23" max="23" width="6.5"/>
    <col customWidth="1" min="24" max="24" width="8.13"/>
    <col customWidth="1" min="25" max="31" width="6.75"/>
    <col customWidth="1" min="32" max="32" width="9.38"/>
    <col customWidth="1" min="33" max="34" width="6.75"/>
    <col customWidth="1" min="35" max="35" width="10.0"/>
    <col customWidth="1" min="36" max="36" width="6.75"/>
    <col customWidth="1" min="37" max="37" width="10.75"/>
    <col customWidth="1" min="38" max="38" width="7.63"/>
    <col customWidth="1" min="39" max="39" width="6.75"/>
    <col customWidth="1" min="40" max="40" width="9.13"/>
    <col customWidth="1" min="41" max="41" width="6.75"/>
    <col customWidth="1" min="42" max="43" width="9.0"/>
    <col customWidth="1" min="44" max="44" width="6.75"/>
    <col customWidth="1" min="45" max="45" width="8.13"/>
    <col customWidth="1" min="46" max="47" width="6.75"/>
    <col customWidth="1" min="48" max="48" width="10.0"/>
    <col customWidth="1" min="49" max="53" width="6.75"/>
    <col customWidth="1" min="54" max="54" width="10.0"/>
    <col customWidth="1" min="55" max="80" width="6.75"/>
  </cols>
  <sheetData>
    <row r="1">
      <c r="A1" s="1" t="s">
        <v>0</v>
      </c>
      <c r="B1" s="1"/>
      <c r="C1" s="1"/>
      <c r="D1" s="1"/>
      <c r="E1" s="1"/>
      <c r="F1" s="1"/>
    </row>
    <row r="2">
      <c r="D2" s="2"/>
      <c r="E2" s="2"/>
      <c r="F2" s="2"/>
    </row>
    <row r="3">
      <c r="D3" s="2"/>
      <c r="E3" s="2"/>
      <c r="F3" s="2"/>
    </row>
    <row r="4">
      <c r="D4" s="2"/>
      <c r="E4" s="2"/>
      <c r="F4" s="2"/>
    </row>
    <row r="5">
      <c r="D5" s="2"/>
      <c r="E5" s="2"/>
      <c r="F5" s="2"/>
    </row>
    <row r="6">
      <c r="D6" s="2"/>
      <c r="E6" s="2"/>
      <c r="F6" s="2"/>
    </row>
    <row r="7">
      <c r="E7" s="8"/>
      <c r="F7" s="9"/>
    </row>
    <row r="8">
      <c r="E8" s="12" t="s">
        <v>2</v>
      </c>
      <c r="F8" s="13"/>
    </row>
    <row r="9" ht="2.25" customHeight="1">
      <c r="E9" s="15" t="s">
        <v>3</v>
      </c>
      <c r="F9" s="16">
        <f>C14/C13</f>
        <v>15625</v>
      </c>
    </row>
    <row r="10">
      <c r="B10" s="17" t="s">
        <v>4</v>
      </c>
      <c r="C10" s="18"/>
      <c r="E10" s="19" t="s">
        <v>5</v>
      </c>
      <c r="F10" s="20">
        <f>C14/C13/C19</f>
        <v>244.140625</v>
      </c>
    </row>
    <row r="11">
      <c r="B11" s="21" t="s">
        <v>6</v>
      </c>
      <c r="C11" s="22"/>
      <c r="D11" s="23"/>
      <c r="E11" s="15" t="s">
        <v>7</v>
      </c>
      <c r="F11" s="16">
        <f>(60*60*24*365.242)/(C20*C21)</f>
        <v>82179.45</v>
      </c>
      <c r="U11" s="70" t="s">
        <v>103</v>
      </c>
      <c r="V11" s="71"/>
      <c r="W11" s="71"/>
      <c r="X11" s="71"/>
      <c r="Y11" s="71"/>
      <c r="Z11" s="71"/>
      <c r="AA11" s="71"/>
      <c r="AB11" s="71"/>
      <c r="AC11" s="71"/>
      <c r="AD11" s="71"/>
      <c r="AE11" s="71"/>
      <c r="AF11" s="18"/>
      <c r="AG11" s="23"/>
      <c r="AH11" s="70" t="s">
        <v>104</v>
      </c>
      <c r="AI11" s="71"/>
      <c r="AJ11" s="71"/>
      <c r="AK11" s="71"/>
      <c r="AL11" s="71"/>
      <c r="AM11" s="71"/>
      <c r="AN11" s="71"/>
      <c r="AO11" s="71"/>
      <c r="AP11" s="71"/>
      <c r="AQ11" s="71"/>
      <c r="AR11" s="71"/>
      <c r="AS11" s="18"/>
      <c r="AU11" s="70" t="s">
        <v>105</v>
      </c>
      <c r="AV11" s="71"/>
      <c r="AW11" s="71"/>
      <c r="AX11" s="71"/>
      <c r="AY11" s="71"/>
      <c r="AZ11" s="71"/>
      <c r="BA11" s="71"/>
      <c r="BB11" s="71"/>
      <c r="BC11" s="71"/>
      <c r="BD11" s="71"/>
      <c r="BE11" s="71"/>
      <c r="BF11" s="18"/>
    </row>
    <row r="12">
      <c r="B12" s="15" t="s">
        <v>8</v>
      </c>
      <c r="C12" s="354">
        <v>190.0</v>
      </c>
      <c r="E12" s="15" t="s">
        <v>9</v>
      </c>
      <c r="F12" s="16">
        <f>32 * 10^9 * C22/ sqrt(C14 * 10^9) / F28</f>
        <v>22897.33609</v>
      </c>
      <c r="U12" s="380" t="s">
        <v>106</v>
      </c>
      <c r="V12" s="86"/>
      <c r="W12" s="86"/>
      <c r="X12" s="86" t="s">
        <v>73</v>
      </c>
      <c r="AF12" s="78"/>
      <c r="AG12" s="212"/>
      <c r="AH12" s="380" t="s">
        <v>106</v>
      </c>
      <c r="AI12" s="86"/>
      <c r="AJ12" s="86"/>
      <c r="AK12" s="86" t="s">
        <v>73</v>
      </c>
      <c r="AS12" s="78"/>
      <c r="AU12" s="380" t="s">
        <v>106</v>
      </c>
      <c r="AV12" s="86"/>
      <c r="AW12" s="86"/>
      <c r="AX12" s="86" t="s">
        <v>73</v>
      </c>
      <c r="BF12" s="78"/>
    </row>
    <row r="13">
      <c r="B13" s="15" t="s">
        <v>10</v>
      </c>
      <c r="C13" s="48">
        <v>32.0</v>
      </c>
      <c r="E13" s="15" t="s">
        <v>11</v>
      </c>
      <c r="F13" s="16">
        <f>F12*F29*C15 + 1*(0.125*F12*C15 + 0.875*F12*(C15+C15*(1 - C15)*(1 - F30)+C15*(1 - C15)^2*(1 - 2*F30)))</f>
        <v>84380.08231</v>
      </c>
      <c r="U13" s="381" t="s">
        <v>107</v>
      </c>
      <c r="V13" s="91">
        <f>$F$39</f>
        <v>0.2076589794</v>
      </c>
      <c r="W13" s="382">
        <f t="shared" ref="W13:Y13" si="1">X13-0.05</f>
        <v>0.7</v>
      </c>
      <c r="X13" s="382">
        <f t="shared" si="1"/>
        <v>0.75</v>
      </c>
      <c r="Y13" s="382">
        <f t="shared" si="1"/>
        <v>0.8</v>
      </c>
      <c r="Z13" s="383">
        <v>0.85</v>
      </c>
      <c r="AA13" s="384">
        <v>0.9</v>
      </c>
      <c r="AB13" s="382">
        <f t="shared" ref="AB13:AF13" si="2">AA13+0.02</f>
        <v>0.92</v>
      </c>
      <c r="AC13" s="382">
        <f t="shared" si="2"/>
        <v>0.94</v>
      </c>
      <c r="AD13" s="382">
        <f t="shared" si="2"/>
        <v>0.96</v>
      </c>
      <c r="AE13" s="382">
        <f t="shared" si="2"/>
        <v>0.98</v>
      </c>
      <c r="AF13" s="385">
        <f t="shared" si="2"/>
        <v>1</v>
      </c>
      <c r="AH13" s="381" t="s">
        <v>107</v>
      </c>
      <c r="AI13" s="239">
        <f>F17</f>
        <v>0.000779574103</v>
      </c>
      <c r="AJ13" s="386">
        <f t="shared" ref="AJ13:AL13" si="3">AK13-0.05</f>
        <v>0.7</v>
      </c>
      <c r="AK13" s="386">
        <f t="shared" si="3"/>
        <v>0.75</v>
      </c>
      <c r="AL13" s="386">
        <f t="shared" si="3"/>
        <v>0.8</v>
      </c>
      <c r="AM13" s="119">
        <v>0.85</v>
      </c>
      <c r="AN13" s="387">
        <v>0.9</v>
      </c>
      <c r="AO13" s="386">
        <f t="shared" ref="AO13:AS13" si="4">AN13+0.02</f>
        <v>0.92</v>
      </c>
      <c r="AP13" s="386">
        <f t="shared" si="4"/>
        <v>0.94</v>
      </c>
      <c r="AQ13" s="386">
        <f t="shared" si="4"/>
        <v>0.96</v>
      </c>
      <c r="AR13" s="386">
        <f t="shared" si="4"/>
        <v>0.98</v>
      </c>
      <c r="AS13" s="388">
        <f t="shared" si="4"/>
        <v>1</v>
      </c>
      <c r="AU13" s="381" t="s">
        <v>107</v>
      </c>
      <c r="AV13" s="239">
        <f>$F$23</f>
        <v>0.0004475377394</v>
      </c>
      <c r="AW13" s="382">
        <f t="shared" ref="AW13:AY13" si="5">AX13-0.05</f>
        <v>0.7</v>
      </c>
      <c r="AX13" s="382">
        <f t="shared" si="5"/>
        <v>0.75</v>
      </c>
      <c r="AY13" s="382">
        <f t="shared" si="5"/>
        <v>0.8</v>
      </c>
      <c r="AZ13" s="383">
        <v>0.85</v>
      </c>
      <c r="BA13" s="384">
        <v>0.9</v>
      </c>
      <c r="BB13" s="382">
        <f t="shared" ref="BB13:BF13" si="6">BA13+0.02</f>
        <v>0.92</v>
      </c>
      <c r="BC13" s="382">
        <f t="shared" si="6"/>
        <v>0.94</v>
      </c>
      <c r="BD13" s="382">
        <f t="shared" si="6"/>
        <v>0.96</v>
      </c>
      <c r="BE13" s="382">
        <f t="shared" si="6"/>
        <v>0.98</v>
      </c>
      <c r="BF13" s="385">
        <f t="shared" si="6"/>
        <v>1</v>
      </c>
    </row>
    <row r="14">
      <c r="B14" s="15" t="s">
        <v>12</v>
      </c>
      <c r="C14" s="26">
        <v>500000.0</v>
      </c>
      <c r="E14" s="15" t="s">
        <v>13</v>
      </c>
      <c r="F14" s="16">
        <f>F12*4</f>
        <v>91589.34436</v>
      </c>
      <c r="U14" s="110"/>
      <c r="V14" s="103">
        <v>1.0E7</v>
      </c>
      <c r="W14" s="14">
        <v>0.052263257559668</v>
      </c>
      <c r="X14" s="14">
        <v>0.05449972331916406</v>
      </c>
      <c r="Y14" s="14">
        <v>0.05670271636143199</v>
      </c>
      <c r="Z14" s="14">
        <v>0.058878790292160685</v>
      </c>
      <c r="AA14" s="288">
        <v>0.06103449871703899</v>
      </c>
      <c r="AB14" s="14">
        <v>0.06189254775302652</v>
      </c>
      <c r="AC14" s="14">
        <v>0.0627488063157523</v>
      </c>
      <c r="AD14" s="14">
        <v>0.06360369383598041</v>
      </c>
      <c r="AE14" s="14">
        <v>0.06445762974447496</v>
      </c>
      <c r="AF14" s="120">
        <v>0.06531103347200001</v>
      </c>
      <c r="AH14" s="110"/>
      <c r="AI14" s="103">
        <v>1.0E7</v>
      </c>
      <c r="AJ14" s="389">
        <v>0.0013521627402381803</v>
      </c>
      <c r="AK14" s="249">
        <v>0.0018775640498490754</v>
      </c>
      <c r="AL14" s="249">
        <v>0.00242122773442909</v>
      </c>
      <c r="AM14" s="249">
        <v>0.0029832047825915195</v>
      </c>
      <c r="AN14" s="248">
        <v>0.0035636677711813635</v>
      </c>
      <c r="AO14" s="249">
        <v>0.0038010908375495744</v>
      </c>
      <c r="AP14" s="249">
        <v>0.004041541632727938</v>
      </c>
      <c r="AQ14" s="249">
        <v>0.0042850475430928755</v>
      </c>
      <c r="AR14" s="249">
        <v>0.004531639067679542</v>
      </c>
      <c r="AS14" s="250">
        <v>0.004781349818181818</v>
      </c>
      <c r="AU14" s="110"/>
      <c r="AV14" s="103">
        <v>1.0E7</v>
      </c>
      <c r="AW14" s="249">
        <v>0.0010201263766018167</v>
      </c>
      <c r="AX14" s="249">
        <v>0.0015455276862127115</v>
      </c>
      <c r="AY14" s="249">
        <v>0.0020891913707927266</v>
      </c>
      <c r="AZ14" s="249">
        <v>0.002651168418955156</v>
      </c>
      <c r="BA14" s="248">
        <v>0.003231631407545</v>
      </c>
      <c r="BB14" s="249">
        <v>0.003469054473913211</v>
      </c>
      <c r="BC14" s="249">
        <v>0.003709505269091574</v>
      </c>
      <c r="BD14" s="249">
        <v>0.003953011179456512</v>
      </c>
      <c r="BE14" s="249">
        <v>0.004199602704043179</v>
      </c>
      <c r="BF14" s="250">
        <v>0.004449313454545454</v>
      </c>
    </row>
    <row r="15">
      <c r="B15" s="15" t="s">
        <v>14</v>
      </c>
      <c r="C15" s="27">
        <v>0.9</v>
      </c>
      <c r="E15" s="15" t="s">
        <v>15</v>
      </c>
      <c r="F15" s="16">
        <f>(F13*F9*C15 - F14*F9*(1-C15)) *F11  / 10^9</f>
        <v>85753.15133</v>
      </c>
      <c r="U15" s="110"/>
      <c r="V15" s="103">
        <f t="shared" ref="V15:V29" si="7">V14+2000000</f>
        <v>12000000</v>
      </c>
      <c r="W15" s="390">
        <v>0.04654759603000846</v>
      </c>
      <c r="X15" s="390">
        <v>0.04858920060594833</v>
      </c>
      <c r="Y15" s="390">
        <v>0.050600248911410135</v>
      </c>
      <c r="Z15" s="390">
        <v>0.052586723542508526</v>
      </c>
      <c r="AA15" s="391">
        <v>0.054554607095358164</v>
      </c>
      <c r="AB15" s="390">
        <v>0.055337895116118044</v>
      </c>
      <c r="AC15" s="390">
        <v>0.05611954866588782</v>
      </c>
      <c r="AD15" s="390">
        <v>0.05689995063081881</v>
      </c>
      <c r="AE15" s="390">
        <v>0.05767948389706234</v>
      </c>
      <c r="AF15" s="392">
        <v>0.05845853135076979</v>
      </c>
      <c r="AH15" s="110"/>
      <c r="AI15" s="103">
        <f t="shared" ref="AI15:AI29" si="8">AI14+2000000</f>
        <v>12000000</v>
      </c>
      <c r="AJ15" s="393">
        <v>0.0014812200684928992</v>
      </c>
      <c r="AK15" s="394">
        <v>0.0020567683665261853</v>
      </c>
      <c r="AL15" s="394">
        <v>0.00265232209400788</v>
      </c>
      <c r="AM15" s="394">
        <v>0.00326793710616534</v>
      </c>
      <c r="AN15" s="395">
        <v>0.0039038024514603826</v>
      </c>
      <c r="AO15" s="394">
        <v>0.0041638863897042145</v>
      </c>
      <c r="AP15" s="394">
        <v>0.004427287038682702</v>
      </c>
      <c r="AQ15" s="394">
        <v>0.004694034398668118</v>
      </c>
      <c r="AR15" s="394">
        <v>0.00496416187967953</v>
      </c>
      <c r="AS15" s="396">
        <v>0.005237706301482813</v>
      </c>
      <c r="AU15" s="110"/>
      <c r="AV15" s="103">
        <f t="shared" ref="AV15:AV29" si="9">AV14+2000000</f>
        <v>12000000</v>
      </c>
      <c r="AW15" s="394">
        <v>0.0011491837048565356</v>
      </c>
      <c r="AX15" s="394">
        <v>0.001724732002889822</v>
      </c>
      <c r="AY15" s="394">
        <v>0.0023202857303715164</v>
      </c>
      <c r="AZ15" s="394">
        <v>0.0029359007425289758</v>
      </c>
      <c r="BA15" s="395">
        <v>0.003571766087824019</v>
      </c>
      <c r="BB15" s="394">
        <v>0.0038318500260678505</v>
      </c>
      <c r="BC15" s="394">
        <v>0.004095250675046338</v>
      </c>
      <c r="BD15" s="394">
        <v>0.004361998035031754</v>
      </c>
      <c r="BE15" s="394">
        <v>0.0046321255160431665</v>
      </c>
      <c r="BF15" s="396">
        <v>0.004905669937846449</v>
      </c>
    </row>
    <row r="16">
      <c r="B16" s="15" t="s">
        <v>16</v>
      </c>
      <c r="C16" s="26">
        <v>0.0</v>
      </c>
      <c r="E16" s="15" t="s">
        <v>17</v>
      </c>
      <c r="F16" s="16">
        <f>F15/365</f>
        <v>234.9401406</v>
      </c>
      <c r="U16" s="110"/>
      <c r="V16" s="93">
        <f t="shared" si="7"/>
        <v>14000000</v>
      </c>
      <c r="W16" s="14">
        <v>0.04225857746407254</v>
      </c>
      <c r="X16" s="14">
        <v>0.044148736016265275</v>
      </c>
      <c r="Y16" s="14">
        <v>0.04601060495907536</v>
      </c>
      <c r="Z16" s="14">
        <v>0.047849723100234505</v>
      </c>
      <c r="AA16" s="288">
        <v>0.04967162924747453</v>
      </c>
      <c r="AB16" s="14">
        <v>0.05039681304100508</v>
      </c>
      <c r="AC16" s="14">
        <v>0.0511204836084405</v>
      </c>
      <c r="AD16" s="14">
        <v>0.0518429954334756</v>
      </c>
      <c r="AE16" s="14">
        <v>0.05256470299980522</v>
      </c>
      <c r="AF16" s="120">
        <v>0.053285960791124194</v>
      </c>
      <c r="AH16" s="110"/>
      <c r="AI16" s="93">
        <f t="shared" si="8"/>
        <v>14000000</v>
      </c>
      <c r="AJ16" s="389">
        <v>0.0015999005301967348</v>
      </c>
      <c r="AK16" s="249">
        <v>0.0022215637433573507</v>
      </c>
      <c r="AL16" s="249">
        <v>0.0028648352899872053</v>
      </c>
      <c r="AM16" s="249">
        <v>0.0035297755006271545</v>
      </c>
      <c r="AN16" s="248">
        <v>0.004216588570953947</v>
      </c>
      <c r="AO16" s="249">
        <v>0.004497511331550443</v>
      </c>
      <c r="AP16" s="249">
        <v>0.0047820165491874326</v>
      </c>
      <c r="AQ16" s="249">
        <v>0.0050701366278624906</v>
      </c>
      <c r="AR16" s="249">
        <v>0.005361907654520666</v>
      </c>
      <c r="AS16" s="250">
        <v>0.005657369399054496</v>
      </c>
      <c r="AU16" s="110"/>
      <c r="AV16" s="93">
        <f t="shared" si="9"/>
        <v>14000000</v>
      </c>
      <c r="AW16" s="249">
        <v>0.0012678641665603712</v>
      </c>
      <c r="AX16" s="249">
        <v>0.0018895273797209873</v>
      </c>
      <c r="AY16" s="249">
        <v>0.0025327989263508417</v>
      </c>
      <c r="AZ16" s="249">
        <v>0.003197739136990791</v>
      </c>
      <c r="BA16" s="248">
        <v>0.0038845522073175827</v>
      </c>
      <c r="BB16" s="249">
        <v>0.00416547496791408</v>
      </c>
      <c r="BC16" s="249">
        <v>0.004449980185551069</v>
      </c>
      <c r="BD16" s="249">
        <v>0.0047381002642261265</v>
      </c>
      <c r="BE16" s="249">
        <v>0.005029871290884303</v>
      </c>
      <c r="BF16" s="250">
        <v>0.005325333035418132</v>
      </c>
    </row>
    <row r="17">
      <c r="B17" s="15" t="s">
        <v>18</v>
      </c>
      <c r="C17" s="26">
        <v>100.0</v>
      </c>
      <c r="E17" s="29" t="s">
        <v>19</v>
      </c>
      <c r="F17" s="30">
        <f>F15/C18</f>
        <v>0.000779574103</v>
      </c>
      <c r="U17" s="110"/>
      <c r="V17" s="93">
        <f t="shared" si="7"/>
        <v>16000000</v>
      </c>
      <c r="W17" s="14">
        <v>0.03889883003114208</v>
      </c>
      <c r="X17" s="14">
        <v>0.04066691145838855</v>
      </c>
      <c r="Y17" s="14">
        <v>0.04240853037915613</v>
      </c>
      <c r="Z17" s="14">
        <v>0.04412886787366065</v>
      </c>
      <c r="AA17" s="288">
        <v>0.045833105022118015</v>
      </c>
      <c r="AB17" s="14">
        <v>0.04651145234657611</v>
      </c>
      <c r="AC17" s="14">
        <v>0.047188384177635025</v>
      </c>
      <c r="AD17" s="14">
        <v>0.047864232104428535</v>
      </c>
      <c r="AE17" s="14">
        <v>0.048539327716090507</v>
      </c>
      <c r="AF17" s="120">
        <v>0.04921400260175472</v>
      </c>
      <c r="AH17" s="110"/>
      <c r="AI17" s="93">
        <f t="shared" si="8"/>
        <v>16000000</v>
      </c>
      <c r="AJ17" s="389">
        <v>0.001710365610546903</v>
      </c>
      <c r="AK17" s="249">
        <v>0.0023749515401492003</v>
      </c>
      <c r="AL17" s="249">
        <v>0.0030626377499060843</v>
      </c>
      <c r="AM17" s="249">
        <v>0.003773488735878651</v>
      </c>
      <c r="AN17" s="248">
        <v>0.004507722792427547</v>
      </c>
      <c r="AO17" s="249">
        <v>0.004808041855941493</v>
      </c>
      <c r="AP17" s="249">
        <v>0.005112190727126398</v>
      </c>
      <c r="AQ17" s="249">
        <v>0.005420204047312803</v>
      </c>
      <c r="AR17" s="249">
        <v>0.005732120395067712</v>
      </c>
      <c r="AS17" s="250">
        <v>0.006047982286194602</v>
      </c>
      <c r="AU17" s="110"/>
      <c r="AV17" s="93">
        <f t="shared" si="9"/>
        <v>16000000</v>
      </c>
      <c r="AW17" s="249">
        <v>0.0013783292469105393</v>
      </c>
      <c r="AX17" s="249">
        <v>0.0020429151765128366</v>
      </c>
      <c r="AY17" s="249">
        <v>0.0027306013862697207</v>
      </c>
      <c r="AZ17" s="249">
        <v>0.0034414523722422876</v>
      </c>
      <c r="BA17" s="248">
        <v>0.004175686428791183</v>
      </c>
      <c r="BB17" s="249">
        <v>0.004476005492305129</v>
      </c>
      <c r="BC17" s="249">
        <v>0.004780154363490035</v>
      </c>
      <c r="BD17" s="249">
        <v>0.005088167683676439</v>
      </c>
      <c r="BE17" s="249">
        <v>0.005400084031431348</v>
      </c>
      <c r="BF17" s="250">
        <v>0.005715945922558238</v>
      </c>
    </row>
    <row r="18">
      <c r="B18" s="15" t="s">
        <v>20</v>
      </c>
      <c r="C18" s="26">
        <v>1.1E8</v>
      </c>
      <c r="U18" s="110"/>
      <c r="V18" s="93">
        <f t="shared" si="7"/>
        <v>18000000</v>
      </c>
      <c r="W18" s="14">
        <v>0.036181823746083266</v>
      </c>
      <c r="X18" s="14">
        <v>0.03784878690194457</v>
      </c>
      <c r="Y18" s="14">
        <v>0.03949080096743462</v>
      </c>
      <c r="Z18" s="14">
        <v>0.041112750711826136</v>
      </c>
      <c r="AA18" s="288">
        <v>0.042719520904391774</v>
      </c>
      <c r="AB18" s="14">
        <v>0.04335907289522387</v>
      </c>
      <c r="AC18" s="14">
        <v>0.04399729034608089</v>
      </c>
      <c r="AD18" s="14">
        <v>0.04463448588219633</v>
      </c>
      <c r="AE18" s="14">
        <v>0.04527097212880361</v>
      </c>
      <c r="AF18" s="120">
        <v>0.04590706171113617</v>
      </c>
      <c r="AH18" s="110"/>
      <c r="AI18" s="93">
        <f t="shared" si="8"/>
        <v>18000000</v>
      </c>
      <c r="AJ18" s="389">
        <v>0.001814116682288977</v>
      </c>
      <c r="AK18" s="249">
        <v>0.002519016508543402</v>
      </c>
      <c r="AL18" s="249">
        <v>0.0032484178819147517</v>
      </c>
      <c r="AM18" s="249">
        <v>0.004002389210806271</v>
      </c>
      <c r="AN18" s="248">
        <v>0.004781162031352018</v>
      </c>
      <c r="AO18" s="249">
        <v>0.005099698500847476</v>
      </c>
      <c r="AP18" s="249">
        <v>0.005422297094805094</v>
      </c>
      <c r="AQ18" s="249">
        <v>0.005748994555904478</v>
      </c>
      <c r="AR18" s="249">
        <v>0.006079831802895136</v>
      </c>
      <c r="AS18" s="250">
        <v>0.006414853930596483</v>
      </c>
      <c r="AU18" s="110"/>
      <c r="AV18" s="93">
        <f t="shared" si="9"/>
        <v>18000000</v>
      </c>
      <c r="AW18" s="249">
        <v>0.0014820803186526134</v>
      </c>
      <c r="AX18" s="249">
        <v>0.0021869801449070385</v>
      </c>
      <c r="AY18" s="249">
        <v>0.002916381518278388</v>
      </c>
      <c r="AZ18" s="249">
        <v>0.0036703528471699076</v>
      </c>
      <c r="BA18" s="248">
        <v>0.0044491256677156536</v>
      </c>
      <c r="BB18" s="249">
        <v>0.004767662137211112</v>
      </c>
      <c r="BC18" s="249">
        <v>0.005090260731168731</v>
      </c>
      <c r="BD18" s="249">
        <v>0.005416958192268114</v>
      </c>
      <c r="BE18" s="249">
        <v>0.005747795439258773</v>
      </c>
      <c r="BF18" s="250">
        <v>0.006082817566960119</v>
      </c>
    </row>
    <row r="19">
      <c r="B19" s="15" t="s">
        <v>21</v>
      </c>
      <c r="C19" s="48">
        <v>64.0</v>
      </c>
      <c r="U19" s="110"/>
      <c r="V19" s="93">
        <f t="shared" si="7"/>
        <v>20000000</v>
      </c>
      <c r="W19" s="14">
        <v>0.03392995659691734</v>
      </c>
      <c r="X19" s="14">
        <v>0.035511376701348525</v>
      </c>
      <c r="Y19" s="14">
        <v>0.03706912802044297</v>
      </c>
      <c r="Z19" s="14">
        <v>0.0386078446532245</v>
      </c>
      <c r="AA19" s="288">
        <v>0.04013216069871692</v>
      </c>
      <c r="AB19" s="14">
        <v>0.04073889299065428</v>
      </c>
      <c r="AC19" s="14">
        <v>0.04134435922680673</v>
      </c>
      <c r="AD19" s="14">
        <v>0.04194885598951178</v>
      </c>
      <c r="AE19" s="14">
        <v>0.042552679861106966</v>
      </c>
      <c r="AF19" s="120">
        <v>0.043156127423929797</v>
      </c>
      <c r="AH19" s="110"/>
      <c r="AI19" s="93">
        <f t="shared" si="8"/>
        <v>20000000</v>
      </c>
      <c r="AJ19" s="389">
        <v>0.0019122468857804028</v>
      </c>
      <c r="AK19" s="249">
        <v>0.0026552765435207152</v>
      </c>
      <c r="AL19" s="249">
        <v>0.003424133099623501</v>
      </c>
      <c r="AM19" s="249">
        <v>0.004218888662877207</v>
      </c>
      <c r="AN19" s="248">
        <v>0.005039787293796583</v>
      </c>
      <c r="AO19" s="249">
        <v>0.005375554214274714</v>
      </c>
      <c r="AP19" s="249">
        <v>0.005715602989899352</v>
      </c>
      <c r="AQ19" s="249">
        <v>0.006059972350855455</v>
      </c>
      <c r="AR19" s="249">
        <v>0.006408705429292176</v>
      </c>
      <c r="AS19" s="250">
        <v>0.0067618497593228575</v>
      </c>
      <c r="AU19" s="110"/>
      <c r="AV19" s="93">
        <f t="shared" si="9"/>
        <v>20000000</v>
      </c>
      <c r="AW19" s="249">
        <v>0.001580210522144039</v>
      </c>
      <c r="AX19" s="249">
        <v>0.0023232401798843516</v>
      </c>
      <c r="AY19" s="249">
        <v>0.0030920967359871375</v>
      </c>
      <c r="AZ19" s="249">
        <v>0.003886852299240843</v>
      </c>
      <c r="BA19" s="248">
        <v>0.00470775093016022</v>
      </c>
      <c r="BB19" s="249">
        <v>0.0050435178506383505</v>
      </c>
      <c r="BC19" s="249">
        <v>0.005383566626262989</v>
      </c>
      <c r="BD19" s="249">
        <v>0.005727935987219092</v>
      </c>
      <c r="BE19" s="249">
        <v>0.006076669065655812</v>
      </c>
      <c r="BF19" s="250">
        <v>0.006429813395686494</v>
      </c>
    </row>
    <row r="20">
      <c r="B20" s="15" t="s">
        <v>22</v>
      </c>
      <c r="C20" s="48">
        <v>12.0</v>
      </c>
      <c r="E20" s="31" t="s">
        <v>23</v>
      </c>
      <c r="F20" s="32"/>
      <c r="U20" s="110"/>
      <c r="V20" s="93">
        <f t="shared" si="7"/>
        <v>22000000</v>
      </c>
      <c r="W20" s="14">
        <v>0.032026818020693446</v>
      </c>
      <c r="X20" s="14">
        <v>0.03353464292814945</v>
      </c>
      <c r="Y20" s="14">
        <v>0.035019900534253974</v>
      </c>
      <c r="Z20" s="14">
        <v>0.0364870092790611</v>
      </c>
      <c r="AA20" s="288">
        <v>0.03794038760262492</v>
      </c>
      <c r="AB20" s="14">
        <v>0.038518884144674415</v>
      </c>
      <c r="AC20" s="14">
        <v>0.03909617354989712</v>
      </c>
      <c r="AD20" s="14">
        <v>0.03967253859845645</v>
      </c>
      <c r="AE20" s="14">
        <v>0.04024826207051589</v>
      </c>
      <c r="AF20" s="120">
        <v>0.040823626746238885</v>
      </c>
      <c r="AH20" s="110"/>
      <c r="AI20" s="93">
        <f t="shared" si="8"/>
        <v>22000000</v>
      </c>
      <c r="AJ20" s="389">
        <v>0.0020055814536923044</v>
      </c>
      <c r="AK20" s="249">
        <v>0.0027848775331831845</v>
      </c>
      <c r="AL20" s="249">
        <v>0.003591261092197416</v>
      </c>
      <c r="AM20" s="249">
        <v>0.004424807759070355</v>
      </c>
      <c r="AN20" s="248">
        <v>0.005285773506629361</v>
      </c>
      <c r="AO20" s="249">
        <v>0.005637928823749668</v>
      </c>
      <c r="AP20" s="249">
        <v>0.005994574988434214</v>
      </c>
      <c r="AQ20" s="249">
        <v>0.006355752621243675</v>
      </c>
      <c r="AR20" s="249">
        <v>0.006721506959557724</v>
      </c>
      <c r="AS20" s="250">
        <v>0.007091887857575024</v>
      </c>
      <c r="AU20" s="110"/>
      <c r="AV20" s="93">
        <f t="shared" si="9"/>
        <v>22000000</v>
      </c>
      <c r="AW20" s="249">
        <v>0.0016735450900559406</v>
      </c>
      <c r="AX20" s="249">
        <v>0.002452841169546821</v>
      </c>
      <c r="AY20" s="249">
        <v>0.0032592247285610524</v>
      </c>
      <c r="AZ20" s="249">
        <v>0.004092771395433992</v>
      </c>
      <c r="BA20" s="248">
        <v>0.004953737142992997</v>
      </c>
      <c r="BB20" s="249">
        <v>0.005305892460113305</v>
      </c>
      <c r="BC20" s="249">
        <v>0.0056625386247978506</v>
      </c>
      <c r="BD20" s="249">
        <v>0.0060237162576073115</v>
      </c>
      <c r="BE20" s="249">
        <v>0.006389470595921361</v>
      </c>
      <c r="BF20" s="250">
        <v>0.00675985149393866</v>
      </c>
    </row>
    <row r="21">
      <c r="B21" s="15" t="s">
        <v>24</v>
      </c>
      <c r="C21" s="48">
        <v>32.0</v>
      </c>
      <c r="E21" s="33" t="s">
        <v>25</v>
      </c>
      <c r="F21" s="34">
        <f>C17*365.24</f>
        <v>36524</v>
      </c>
      <c r="U21" s="110"/>
      <c r="V21" s="93">
        <f t="shared" si="7"/>
        <v>24000000</v>
      </c>
      <c r="W21" s="14">
        <v>0.030392664775398526</v>
      </c>
      <c r="X21" s="14">
        <v>0.031836297215547094</v>
      </c>
      <c r="Y21" s="14">
        <v>0.03325832310963285</v>
      </c>
      <c r="Z21" s="14">
        <v>0.03466297279193757</v>
      </c>
      <c r="AA21" s="288">
        <v>0.036054476596743025</v>
      </c>
      <c r="AB21" s="14">
        <v>0.03660834486784453</v>
      </c>
      <c r="AC21" s="14">
        <v>0.03716105739342526</v>
      </c>
      <c r="AD21" s="14">
        <v>0.03771288491487927</v>
      </c>
      <c r="AE21" s="14">
        <v>0.038264098173600575</v>
      </c>
      <c r="AF21" s="120">
        <v>0.03881496791098322</v>
      </c>
      <c r="AH21" s="110"/>
      <c r="AI21" s="93">
        <f t="shared" si="8"/>
        <v>24000000</v>
      </c>
      <c r="AJ21" s="389">
        <v>0.0020947615097218633</v>
      </c>
      <c r="AK21" s="249">
        <v>0.00290870971860129</v>
      </c>
      <c r="AL21" s="249">
        <v>0.003750949877127752</v>
      </c>
      <c r="AM21" s="249">
        <v>0.004621560976521309</v>
      </c>
      <c r="AN21" s="248">
        <v>0.005520810371680611</v>
      </c>
      <c r="AO21" s="249">
        <v>0.005888624604500442</v>
      </c>
      <c r="AP21" s="249">
        <v>0.006261129374623696</v>
      </c>
      <c r="AQ21" s="249">
        <v>0.006638367108842287</v>
      </c>
      <c r="AR21" s="249">
        <v>0.007020385056058309</v>
      </c>
      <c r="AS21" s="250">
        <v>0.0074072352872840185</v>
      </c>
      <c r="AU21" s="110"/>
      <c r="AV21" s="93">
        <f t="shared" si="9"/>
        <v>24000000</v>
      </c>
      <c r="AW21" s="249">
        <v>0.0017627251460854995</v>
      </c>
      <c r="AX21" s="249">
        <v>0.002576673354964926</v>
      </c>
      <c r="AY21" s="249">
        <v>0.0034189135134913883</v>
      </c>
      <c r="AZ21" s="249">
        <v>0.004289524612884945</v>
      </c>
      <c r="BA21" s="248">
        <v>0.005188774008044247</v>
      </c>
      <c r="BB21" s="249">
        <v>0.005556588240864078</v>
      </c>
      <c r="BC21" s="249">
        <v>0.005929093010987332</v>
      </c>
      <c r="BD21" s="249">
        <v>0.006306330745205924</v>
      </c>
      <c r="BE21" s="249">
        <v>0.0066883486924219455</v>
      </c>
      <c r="BF21" s="250">
        <v>0.0070751989236476544</v>
      </c>
    </row>
    <row r="22">
      <c r="B22" s="29" t="s">
        <v>26</v>
      </c>
      <c r="C22" s="355">
        <v>64.0</v>
      </c>
      <c r="E22" s="33" t="s">
        <v>27</v>
      </c>
      <c r="F22" s="36">
        <f>F15-F21</f>
        <v>49229.15133</v>
      </c>
      <c r="U22" s="110"/>
      <c r="V22" s="93">
        <f t="shared" si="7"/>
        <v>26000000</v>
      </c>
      <c r="W22" s="397">
        <v>0.028970884031708728</v>
      </c>
      <c r="X22" s="397">
        <v>0.030357881216193466</v>
      </c>
      <c r="Y22" s="397">
        <v>0.03172411950269135</v>
      </c>
      <c r="Z22" s="397">
        <v>0.03307366326491349</v>
      </c>
      <c r="AA22" s="398">
        <v>0.034410576876571</v>
      </c>
      <c r="AB22" s="397">
        <v>0.0349427162987872</v>
      </c>
      <c r="AC22" s="397">
        <v>0.035473745316624346</v>
      </c>
      <c r="AD22" s="397">
        <v>0.03600392404999994</v>
      </c>
      <c r="AE22" s="397">
        <v>0.03653351261883151</v>
      </c>
      <c r="AF22" s="399">
        <v>0.03706277114303656</v>
      </c>
      <c r="AH22" s="110"/>
      <c r="AI22" s="93">
        <f t="shared" si="8"/>
        <v>26000000</v>
      </c>
      <c r="AJ22" s="393">
        <v>0.002180296905889174</v>
      </c>
      <c r="AK22" s="394">
        <v>0.0030274810617645026</v>
      </c>
      <c r="AL22" s="394">
        <v>0.003904112412459255</v>
      </c>
      <c r="AM22" s="394">
        <v>0.004810273174641955</v>
      </c>
      <c r="AN22" s="395">
        <v>0.005746241620113755</v>
      </c>
      <c r="AO22" s="394">
        <v>0.006129074811404136</v>
      </c>
      <c r="AP22" s="394">
        <v>0.0065167900687064005</v>
      </c>
      <c r="AQ22" s="394">
        <v>0.006909431551225641</v>
      </c>
      <c r="AR22" s="394">
        <v>0.00730704843717836</v>
      </c>
      <c r="AS22" s="396">
        <v>0.007709694923792444</v>
      </c>
      <c r="AU22" s="110"/>
      <c r="AV22" s="93">
        <f t="shared" si="9"/>
        <v>26000000</v>
      </c>
      <c r="AW22" s="394">
        <v>0.0018482605422528104</v>
      </c>
      <c r="AX22" s="394">
        <v>0.002695444698128139</v>
      </c>
      <c r="AY22" s="394">
        <v>0.0035720760488228915</v>
      </c>
      <c r="AZ22" s="394">
        <v>0.004478236811005591</v>
      </c>
      <c r="BA22" s="395">
        <v>0.005414205256477391</v>
      </c>
      <c r="BB22" s="394">
        <v>0.0057970384477677725</v>
      </c>
      <c r="BC22" s="394">
        <v>0.0061847537050700365</v>
      </c>
      <c r="BD22" s="394">
        <v>0.006577395187589277</v>
      </c>
      <c r="BE22" s="394">
        <v>0.006975012073541996</v>
      </c>
      <c r="BF22" s="396">
        <v>0.00737765856015608</v>
      </c>
    </row>
    <row r="23">
      <c r="E23" s="33" t="s">
        <v>28</v>
      </c>
      <c r="F23" s="37">
        <f>F22/C18</f>
        <v>0.0004475377394</v>
      </c>
      <c r="M23" s="38"/>
      <c r="U23" s="110"/>
      <c r="V23" s="93">
        <f t="shared" si="7"/>
        <v>28000000</v>
      </c>
      <c r="W23" s="51">
        <v>0.02772007866641201</v>
      </c>
      <c r="X23" s="51">
        <v>0.029056622596185248</v>
      </c>
      <c r="Y23" s="51">
        <v>0.030373162751326874</v>
      </c>
      <c r="Z23" s="51">
        <v>0.031673615660343706</v>
      </c>
      <c r="AA23" s="400">
        <v>0.03296189785174258</v>
      </c>
      <c r="AB23" s="51">
        <v>0.03347468022975463</v>
      </c>
      <c r="AC23" s="51">
        <v>0.03398639259533332</v>
      </c>
      <c r="AD23" s="51">
        <v>0.034497285606303114</v>
      </c>
      <c r="AE23" s="51">
        <v>0.03500760992048843</v>
      </c>
      <c r="AF23" s="150">
        <v>0.035517616195713704</v>
      </c>
      <c r="AH23" s="110"/>
      <c r="AI23" s="93">
        <f t="shared" si="8"/>
        <v>28000000</v>
      </c>
      <c r="AJ23" s="389">
        <v>0.002262601028252129</v>
      </c>
      <c r="AK23" s="249">
        <v>0.0031417655755323066</v>
      </c>
      <c r="AL23" s="249">
        <v>0.0040514889210649645</v>
      </c>
      <c r="AM23" s="249">
        <v>0.004991856385119203</v>
      </c>
      <c r="AN23" s="248">
        <v>0.005963156743990459</v>
      </c>
      <c r="AO23" s="249">
        <v>0.006360441522005317</v>
      </c>
      <c r="AP23" s="249">
        <v>0.006762792659353453</v>
      </c>
      <c r="AQ23" s="249">
        <v>0.007170255982207722</v>
      </c>
      <c r="AR23" s="249">
        <v>0.0075828825252152385</v>
      </c>
      <c r="AS23" s="250">
        <v>0.008000728531497393</v>
      </c>
      <c r="AU23" s="110"/>
      <c r="AV23" s="93">
        <f t="shared" si="9"/>
        <v>28000000</v>
      </c>
      <c r="AW23" s="249">
        <v>0.001930564664615765</v>
      </c>
      <c r="AX23" s="249">
        <v>0.002809729211895943</v>
      </c>
      <c r="AY23" s="249">
        <v>0.003719452557428601</v>
      </c>
      <c r="AZ23" s="249">
        <v>0.004659820021482839</v>
      </c>
      <c r="BA23" s="248">
        <v>0.005631120380354096</v>
      </c>
      <c r="BB23" s="249">
        <v>0.006028405158368953</v>
      </c>
      <c r="BC23" s="249">
        <v>0.00643075629571709</v>
      </c>
      <c r="BD23" s="249">
        <v>0.006838219618571358</v>
      </c>
      <c r="BE23" s="249">
        <v>0.007250846161578875</v>
      </c>
      <c r="BF23" s="250">
        <v>0.00766869216786103</v>
      </c>
    </row>
    <row r="24">
      <c r="E24" s="39" t="s">
        <v>29</v>
      </c>
      <c r="F24" s="40">
        <f>F21/F22</f>
        <v>0.741918132</v>
      </c>
      <c r="U24" s="110"/>
      <c r="V24" s="93">
        <f t="shared" si="7"/>
        <v>30000000</v>
      </c>
      <c r="W24" s="51">
        <v>0.026609215994714972</v>
      </c>
      <c r="X24" s="51">
        <v>0.027900440102993397</v>
      </c>
      <c r="Y24" s="51">
        <v>0.029172338728969665</v>
      </c>
      <c r="Z24" s="51">
        <v>0.030428695598652404</v>
      </c>
      <c r="AA24" s="400">
        <v>0.03167329443805024</v>
      </c>
      <c r="AB24" s="51">
        <v>0.032168689279955545</v>
      </c>
      <c r="AC24" s="51">
        <v>0.0326630503916412</v>
      </c>
      <c r="AD24" s="51">
        <v>0.033156619931571735</v>
      </c>
      <c r="AE24" s="51">
        <v>0.03364964005821174</v>
      </c>
      <c r="AF24" s="150">
        <v>0.03414235293002577</v>
      </c>
      <c r="AH24" s="110"/>
      <c r="AI24" s="93">
        <f t="shared" si="8"/>
        <v>30000000</v>
      </c>
      <c r="AJ24" s="389">
        <v>0.002342014566194087</v>
      </c>
      <c r="AK24" s="249">
        <v>0.0032520363288033828</v>
      </c>
      <c r="AL24" s="249">
        <v>0.004193689452726068</v>
      </c>
      <c r="AM24" s="249">
        <v>0.005167062252830978</v>
      </c>
      <c r="AN24" s="248">
        <v>0.006172453640981862</v>
      </c>
      <c r="AO24" s="249">
        <v>0.006583682454820399</v>
      </c>
      <c r="AP24" s="249">
        <v>0.0070001554487896635</v>
      </c>
      <c r="AQ24" s="249">
        <v>0.007421920057485048</v>
      </c>
      <c r="AR24" s="249">
        <v>0.007849029106785022</v>
      </c>
      <c r="AS24" s="250">
        <v>0.008281540813851122</v>
      </c>
      <c r="AU24" s="110"/>
      <c r="AV24" s="93">
        <f t="shared" si="9"/>
        <v>30000000</v>
      </c>
      <c r="AW24" s="249">
        <v>0.002009978202557723</v>
      </c>
      <c r="AX24" s="249">
        <v>0.002919999965167019</v>
      </c>
      <c r="AY24" s="249">
        <v>0.0038616530890897044</v>
      </c>
      <c r="AZ24" s="249">
        <v>0.004835025889194615</v>
      </c>
      <c r="BA24" s="248">
        <v>0.005840417277345499</v>
      </c>
      <c r="BB24" s="249">
        <v>0.006251646091184035</v>
      </c>
      <c r="BC24" s="249">
        <v>0.0066681190851533</v>
      </c>
      <c r="BD24" s="249">
        <v>0.007089883693848685</v>
      </c>
      <c r="BE24" s="249">
        <v>0.007516992743148659</v>
      </c>
      <c r="BF24" s="250">
        <v>0.00794950445021476</v>
      </c>
    </row>
    <row r="25">
      <c r="E25" s="41" t="s">
        <v>30</v>
      </c>
      <c r="F25" s="42">
        <f>F22/F21</f>
        <v>1.34785761</v>
      </c>
      <c r="U25" s="110"/>
      <c r="V25" s="93">
        <f t="shared" si="7"/>
        <v>32000000</v>
      </c>
      <c r="W25" s="51">
        <v>0.02561453447622912</v>
      </c>
      <c r="X25" s="51">
        <v>0.02686475684312509</v>
      </c>
      <c r="Y25" s="51">
        <v>0.028096267392242632</v>
      </c>
      <c r="Z25" s="51">
        <v>0.029312729700536267</v>
      </c>
      <c r="AA25" s="400">
        <v>0.030517807344960495</v>
      </c>
      <c r="AB25" s="51">
        <v>0.03099747133808456</v>
      </c>
      <c r="AC25" s="51">
        <v>0.03147613442622734</v>
      </c>
      <c r="AD25" s="51">
        <v>0.031954031078313905</v>
      </c>
      <c r="AE25" s="51">
        <v>0.032431395763269366</v>
      </c>
      <c r="AF25" s="150">
        <v>0.032908462950018785</v>
      </c>
      <c r="AH25" s="110"/>
      <c r="AI25" s="93">
        <f t="shared" si="8"/>
        <v>32000000</v>
      </c>
      <c r="AJ25" s="389">
        <v>0.0024188222430519685</v>
      </c>
      <c r="AK25" s="249">
        <v>0.0033586886780578693</v>
      </c>
      <c r="AL25" s="249">
        <v>0.0043312238425530026</v>
      </c>
      <c r="AM25" s="249">
        <v>0.005336518947741696</v>
      </c>
      <c r="AN25" s="248">
        <v>0.006374882708469358</v>
      </c>
      <c r="AO25" s="249">
        <v>0.006799598001129966</v>
      </c>
      <c r="AP25" s="249">
        <v>0.007229729459740127</v>
      </c>
      <c r="AQ25" s="249">
        <v>0.007665326074539304</v>
      </c>
      <c r="AR25" s="249">
        <v>0.008106442403860182</v>
      </c>
      <c r="AS25" s="250">
        <v>0.008553138574128644</v>
      </c>
      <c r="AU25" s="110"/>
      <c r="AV25" s="93">
        <f t="shared" si="9"/>
        <v>32000000</v>
      </c>
      <c r="AW25" s="249">
        <v>0.002086785879415605</v>
      </c>
      <c r="AX25" s="249">
        <v>0.0030266523144215052</v>
      </c>
      <c r="AY25" s="249">
        <v>0.0039991874789166385</v>
      </c>
      <c r="AZ25" s="249">
        <v>0.005004482584105333</v>
      </c>
      <c r="BA25" s="248">
        <v>0.006042846344832995</v>
      </c>
      <c r="BB25" s="249">
        <v>0.006467561637493603</v>
      </c>
      <c r="BC25" s="249">
        <v>0.006897693096103764</v>
      </c>
      <c r="BD25" s="249">
        <v>0.0073332897109029405</v>
      </c>
      <c r="BE25" s="249">
        <v>0.007774406040223818</v>
      </c>
      <c r="BF25" s="250">
        <v>0.00822110221049228</v>
      </c>
    </row>
    <row r="26">
      <c r="U26" s="110"/>
      <c r="V26" s="93">
        <f t="shared" si="7"/>
        <v>34000000</v>
      </c>
      <c r="W26" s="51">
        <v>0.024717504108884795</v>
      </c>
      <c r="X26" s="51">
        <v>0.025930397961642863</v>
      </c>
      <c r="Y26" s="51">
        <v>0.027125138684719118</v>
      </c>
      <c r="Z26" s="51">
        <v>0.02830528046981965</v>
      </c>
      <c r="AA26" s="400">
        <v>0.029474377508650618</v>
      </c>
      <c r="AB26" s="51">
        <v>0.0299397199341697</v>
      </c>
      <c r="AC26" s="51">
        <v>0.03040409133922782</v>
      </c>
      <c r="AD26" s="51">
        <v>0.030867719192094165</v>
      </c>
      <c r="AE26" s="51">
        <v>0.03133083096103794</v>
      </c>
      <c r="AF26" s="150">
        <v>0.031793654114328336</v>
      </c>
      <c r="AH26" s="110"/>
      <c r="AI26" s="93">
        <f t="shared" si="8"/>
        <v>34000000</v>
      </c>
      <c r="AJ26" s="389">
        <v>0.002493264899424175</v>
      </c>
      <c r="AK26" s="249">
        <v>0.0034620570457996862</v>
      </c>
      <c r="AL26" s="249">
        <v>0.004464523347759907</v>
      </c>
      <c r="AM26" s="249">
        <v>0.005500757823662255</v>
      </c>
      <c r="AN26" s="248">
        <v>0.006571078689485687</v>
      </c>
      <c r="AO26" s="249">
        <v>0.007008865192599392</v>
      </c>
      <c r="AP26" s="249">
        <v>0.0074522345517870625</v>
      </c>
      <c r="AQ26" s="249">
        <v>0.007901237265031686</v>
      </c>
      <c r="AR26" s="249">
        <v>0.008355929569775366</v>
      </c>
      <c r="AS26" s="250">
        <v>0.008816373442919306</v>
      </c>
      <c r="AU26" s="110"/>
      <c r="AV26" s="93">
        <f t="shared" si="9"/>
        <v>34000000</v>
      </c>
      <c r="AW26" s="249">
        <v>0.0021612285357878115</v>
      </c>
      <c r="AX26" s="249">
        <v>0.0031300206821633226</v>
      </c>
      <c r="AY26" s="249">
        <v>0.004132486984123543</v>
      </c>
      <c r="AZ26" s="249">
        <v>0.005168721460025891</v>
      </c>
      <c r="BA26" s="248">
        <v>0.006239042325849323</v>
      </c>
      <c r="BB26" s="249">
        <v>0.006676828828963028</v>
      </c>
      <c r="BC26" s="249">
        <v>0.0071201981881506985</v>
      </c>
      <c r="BD26" s="249">
        <v>0.007569200901395323</v>
      </c>
      <c r="BE26" s="249">
        <v>0.008023893206139002</v>
      </c>
      <c r="BF26" s="250">
        <v>0.008484337079282943</v>
      </c>
    </row>
    <row r="27">
      <c r="B27" s="43" t="s">
        <v>31</v>
      </c>
      <c r="C27" s="44"/>
      <c r="E27" s="45" t="s">
        <v>32</v>
      </c>
      <c r="F27" s="46"/>
      <c r="U27" s="110"/>
      <c r="V27" s="93">
        <f t="shared" si="7"/>
        <v>36000000</v>
      </c>
      <c r="W27" s="51">
        <v>0.02390344224298361</v>
      </c>
      <c r="X27" s="51">
        <v>0.025082163194481262</v>
      </c>
      <c r="Y27" s="51">
        <v>0.026243242474992972</v>
      </c>
      <c r="Z27" s="51">
        <v>0.027390134137996</v>
      </c>
      <c r="AA27" s="400">
        <v>0.028526292236967565</v>
      </c>
      <c r="AB27" s="51">
        <v>0.0289785237866063</v>
      </c>
      <c r="AC27" s="51">
        <v>0.0294298116739789</v>
      </c>
      <c r="AD27" s="51">
        <v>0.029880376958507916</v>
      </c>
      <c r="AE27" s="51">
        <v>0.0303304406996159</v>
      </c>
      <c r="AF27" s="150">
        <v>0.030780223956725368</v>
      </c>
      <c r="AH27" s="110"/>
      <c r="AI27" s="93">
        <f t="shared" si="8"/>
        <v>36000000</v>
      </c>
      <c r="AJ27" s="389">
        <v>0.0025655484158203547</v>
      </c>
      <c r="AK27" s="249">
        <v>0.003562427310223802</v>
      </c>
      <c r="AL27" s="249">
        <v>0.004593956624859126</v>
      </c>
      <c r="AM27" s="249">
        <v>0.005660233103817978</v>
      </c>
      <c r="AN27" s="248">
        <v>0.006761584188641318</v>
      </c>
      <c r="AO27" s="249">
        <v>0.00721206278391224</v>
      </c>
      <c r="AP27" s="249">
        <v>0.007668286090689597</v>
      </c>
      <c r="AQ27" s="249">
        <v>0.008130306070969201</v>
      </c>
      <c r="AR27" s="249">
        <v>0.008598180592601569</v>
      </c>
      <c r="AS27" s="250">
        <v>0.009071973429291903</v>
      </c>
      <c r="AU27" s="110"/>
      <c r="AV27" s="93">
        <f t="shared" si="9"/>
        <v>36000000</v>
      </c>
      <c r="AW27" s="249">
        <v>0.002233512052183991</v>
      </c>
      <c r="AX27" s="249">
        <v>0.0032303909465874383</v>
      </c>
      <c r="AY27" s="249">
        <v>0.004261920261222762</v>
      </c>
      <c r="AZ27" s="249">
        <v>0.005328196740181615</v>
      </c>
      <c r="BA27" s="248">
        <v>0.006429547825004954</v>
      </c>
      <c r="BB27" s="249">
        <v>0.006880026420275877</v>
      </c>
      <c r="BC27" s="249">
        <v>0.007336249727053233</v>
      </c>
      <c r="BD27" s="249">
        <v>0.007798269707332838</v>
      </c>
      <c r="BE27" s="249">
        <v>0.008266144228965206</v>
      </c>
      <c r="BF27" s="250">
        <v>0.00873993706565554</v>
      </c>
    </row>
    <row r="28">
      <c r="B28" s="15" t="s">
        <v>33</v>
      </c>
      <c r="C28" s="47" t="s">
        <v>34</v>
      </c>
      <c r="E28" s="15" t="s">
        <v>35</v>
      </c>
      <c r="F28" s="48">
        <v>4.0</v>
      </c>
      <c r="U28" s="110"/>
      <c r="V28" s="93">
        <f t="shared" si="7"/>
        <v>38000000</v>
      </c>
      <c r="W28" s="51">
        <v>0.023160550345470803</v>
      </c>
      <c r="X28" s="51">
        <v>0.024307833072682125</v>
      </c>
      <c r="Y28" s="51">
        <v>0.025437944658262688</v>
      </c>
      <c r="Z28" s="51">
        <v>0.026554247030994932</v>
      </c>
      <c r="AA28" s="400">
        <v>0.027660102119661297</v>
      </c>
      <c r="AB28" s="51">
        <v>0.02810027198763666</v>
      </c>
      <c r="AC28" s="51">
        <v>0.02853952336220876</v>
      </c>
      <c r="AD28" s="51">
        <v>0.02897807140681966</v>
      </c>
      <c r="AE28" s="51">
        <v>0.02941613128491144</v>
      </c>
      <c r="AF28" s="150">
        <v>0.029853918159926184</v>
      </c>
      <c r="AH28" s="110"/>
      <c r="AI28" s="93">
        <f t="shared" si="8"/>
        <v>38000000</v>
      </c>
      <c r="AJ28" s="389">
        <v>0.0026358504299629766</v>
      </c>
      <c r="AK28" s="249">
        <v>0.003660046132617116</v>
      </c>
      <c r="AL28" s="249">
        <v>0.004719841757885615</v>
      </c>
      <c r="AM28" s="249">
        <v>0.005815336700874015</v>
      </c>
      <c r="AN28" s="248">
        <v>0.006946867375785697</v>
      </c>
      <c r="AO28" s="249">
        <v>0.007409690135906671</v>
      </c>
      <c r="AP28" s="249">
        <v>0.00787841502603653</v>
      </c>
      <c r="AQ28" s="249">
        <v>0.008353095432051037</v>
      </c>
      <c r="AR28" s="249">
        <v>0.008833790807514865</v>
      </c>
      <c r="AS28" s="250">
        <v>0.009320566673681582</v>
      </c>
      <c r="AU28" s="110"/>
      <c r="AV28" s="93">
        <f t="shared" si="9"/>
        <v>38000000</v>
      </c>
      <c r="AW28" s="249">
        <v>0.002303814066326613</v>
      </c>
      <c r="AX28" s="249">
        <v>0.0033280097689807526</v>
      </c>
      <c r="AY28" s="249">
        <v>0.004387805394249252</v>
      </c>
      <c r="AZ28" s="249">
        <v>0.005483300337237651</v>
      </c>
      <c r="BA28" s="248">
        <v>0.006614831012149333</v>
      </c>
      <c r="BB28" s="249">
        <v>0.007077653772270308</v>
      </c>
      <c r="BC28" s="249">
        <v>0.007546378662400167</v>
      </c>
      <c r="BD28" s="249">
        <v>0.008021059068414674</v>
      </c>
      <c r="BE28" s="249">
        <v>0.008501754443878502</v>
      </c>
      <c r="BF28" s="250">
        <v>0.008988530310045218</v>
      </c>
    </row>
    <row r="29">
      <c r="B29" s="15" t="s">
        <v>36</v>
      </c>
      <c r="C29" s="47" t="s">
        <v>34</v>
      </c>
      <c r="E29" s="15" t="s">
        <v>37</v>
      </c>
      <c r="F29" s="48">
        <v>3.0</v>
      </c>
      <c r="U29" s="110"/>
      <c r="V29" s="93">
        <f t="shared" si="7"/>
        <v>40000000</v>
      </c>
      <c r="W29" s="51">
        <v>0.022479228779834</v>
      </c>
      <c r="X29" s="51">
        <v>0.023597461659582035</v>
      </c>
      <c r="Y29" s="51">
        <v>0.024698958180715998</v>
      </c>
      <c r="Z29" s="51">
        <v>0.025786995146080346</v>
      </c>
      <c r="AA29" s="400">
        <v>0.0268648493585195</v>
      </c>
      <c r="AB29" s="51">
        <v>0.027293873876513264</v>
      </c>
      <c r="AC29" s="51">
        <v>0.027722003157876155</v>
      </c>
      <c r="AD29" s="51">
        <v>0.028149446917990206</v>
      </c>
      <c r="AE29" s="51">
        <v>0.028576414872237478</v>
      </c>
      <c r="AF29" s="150">
        <v>0.029003116736000006</v>
      </c>
      <c r="AH29" s="110"/>
      <c r="AI29" s="93">
        <f t="shared" si="8"/>
        <v>40000000</v>
      </c>
      <c r="AJ29" s="389">
        <v>0.0027043254804763606</v>
      </c>
      <c r="AK29" s="249">
        <v>0.0037551280996981507</v>
      </c>
      <c r="AL29" s="249">
        <v>0.00484245546885818</v>
      </c>
      <c r="AM29" s="249">
        <v>0.005966409565183039</v>
      </c>
      <c r="AN29" s="248">
        <v>0.007127335542362727</v>
      </c>
      <c r="AO29" s="249">
        <v>0.007602181675099149</v>
      </c>
      <c r="AP29" s="249">
        <v>0.008083083265455876</v>
      </c>
      <c r="AQ29" s="249">
        <v>0.008570095086185751</v>
      </c>
      <c r="AR29" s="249">
        <v>0.009063278135359084</v>
      </c>
      <c r="AS29" s="250">
        <v>0.009562699636363636</v>
      </c>
      <c r="AU29" s="110"/>
      <c r="AV29" s="93">
        <f t="shared" si="9"/>
        <v>40000000</v>
      </c>
      <c r="AW29" s="249">
        <v>0.002372289116839997</v>
      </c>
      <c r="AX29" s="249">
        <v>0.003423091736061787</v>
      </c>
      <c r="AY29" s="249">
        <v>0.004510419105221817</v>
      </c>
      <c r="AZ29" s="249">
        <v>0.005634373201546675</v>
      </c>
      <c r="BA29" s="248">
        <v>0.006795299178726364</v>
      </c>
      <c r="BB29" s="249">
        <v>0.007270145311462785</v>
      </c>
      <c r="BC29" s="249">
        <v>0.0077510469018195124</v>
      </c>
      <c r="BD29" s="249">
        <v>0.008238058722549388</v>
      </c>
      <c r="BE29" s="249">
        <v>0.008731241771722721</v>
      </c>
      <c r="BF29" s="250">
        <v>0.009230663272727273</v>
      </c>
    </row>
    <row r="30">
      <c r="B30" s="29" t="s">
        <v>38</v>
      </c>
      <c r="C30" s="49" t="s">
        <v>34</v>
      </c>
      <c r="E30" s="29" t="s">
        <v>39</v>
      </c>
      <c r="F30" s="50">
        <f>1/64</f>
        <v>0.015625</v>
      </c>
      <c r="U30" s="110"/>
      <c r="V30" s="93">
        <f t="shared" ref="V30:V36" si="10">V29+10000000</f>
        <v>50000000</v>
      </c>
      <c r="W30" s="401">
        <v>0.019761147580983292</v>
      </c>
      <c r="X30" s="401">
        <v>0.020761325474500072</v>
      </c>
      <c r="Y30" s="401">
        <v>0.021746533913794112</v>
      </c>
      <c r="Z30" s="401">
        <v>0.02271970376042902</v>
      </c>
      <c r="AA30" s="402">
        <v>0.023683765875968394</v>
      </c>
      <c r="AB30" s="401">
        <v>0.024067497070467656</v>
      </c>
      <c r="AC30" s="401">
        <v>0.024450427540981874</v>
      </c>
      <c r="AD30" s="401">
        <v>0.02483274486265114</v>
      </c>
      <c r="AE30" s="401">
        <v>0.025214636610615494</v>
      </c>
      <c r="AF30" s="403">
        <v>0.025596290360015032</v>
      </c>
      <c r="AH30" s="110"/>
      <c r="AI30" s="93">
        <f t="shared" ref="AI30:AI36" si="11">AI29+10000000</f>
        <v>50000000</v>
      </c>
      <c r="AJ30" s="393">
        <v>0.003023527803814962</v>
      </c>
      <c r="AK30" s="394">
        <v>0.004198360847572336</v>
      </c>
      <c r="AL30" s="394">
        <v>0.005414029803191254</v>
      </c>
      <c r="AM30" s="394">
        <v>0.006670648684677121</v>
      </c>
      <c r="AN30" s="395">
        <v>0.007968603385586694</v>
      </c>
      <c r="AO30" s="394">
        <v>0.00849949750141246</v>
      </c>
      <c r="AP30" s="394">
        <v>0.00903716182467516</v>
      </c>
      <c r="AQ30" s="394">
        <v>0.009581657593174133</v>
      </c>
      <c r="AR30" s="394">
        <v>0.010133053004825225</v>
      </c>
      <c r="AS30" s="396">
        <v>0.010691423217660806</v>
      </c>
      <c r="AU30" s="110"/>
      <c r="AV30" s="93">
        <f t="shared" ref="AV30:AV36" si="12">AV29+10000000</f>
        <v>50000000</v>
      </c>
      <c r="AW30" s="394">
        <v>0.0026914914401785983</v>
      </c>
      <c r="AX30" s="394">
        <v>0.0038663244839359724</v>
      </c>
      <c r="AY30" s="394">
        <v>0.00508199343955489</v>
      </c>
      <c r="AZ30" s="394">
        <v>0.006338612321040757</v>
      </c>
      <c r="BA30" s="395">
        <v>0.007636567021950331</v>
      </c>
      <c r="BB30" s="394">
        <v>0.008167461137776097</v>
      </c>
      <c r="BC30" s="394">
        <v>0.008705125461038795</v>
      </c>
      <c r="BD30" s="394">
        <v>0.009249621229537769</v>
      </c>
      <c r="BE30" s="394">
        <v>0.009801016641188862</v>
      </c>
      <c r="BF30" s="396">
        <v>0.010359386854024443</v>
      </c>
    </row>
    <row r="31">
      <c r="G31" s="52"/>
      <c r="H31" s="52"/>
      <c r="I31" s="52"/>
      <c r="J31" s="52"/>
      <c r="K31" s="52"/>
      <c r="L31" s="52"/>
      <c r="M31" s="52"/>
      <c r="N31" s="52"/>
      <c r="O31" s="52"/>
      <c r="P31" s="52"/>
      <c r="Q31" s="52"/>
      <c r="R31" s="52"/>
      <c r="S31" s="52"/>
      <c r="T31" s="52"/>
      <c r="U31" s="110"/>
      <c r="V31" s="93">
        <f t="shared" si="10"/>
        <v>60000000</v>
      </c>
      <c r="W31" s="51">
        <v>0.0178069746617795</v>
      </c>
      <c r="X31" s="51">
        <v>0.018720007984774738</v>
      </c>
      <c r="Y31" s="51">
        <v>0.019619376128184405</v>
      </c>
      <c r="Z31" s="51">
        <v>0.020507754590327373</v>
      </c>
      <c r="AA31" s="400">
        <v>0.02138781886952249</v>
      </c>
      <c r="AB31" s="51">
        <v>0.021738115921598567</v>
      </c>
      <c r="AC31" s="51">
        <v>0.02208768201602641</v>
      </c>
      <c r="AD31" s="51">
        <v>0.02243668838469843</v>
      </c>
      <c r="AE31" s="51">
        <v>0.022785306259507025</v>
      </c>
      <c r="AF31" s="150">
        <v>0.023133706872344614</v>
      </c>
      <c r="AH31" s="110"/>
      <c r="AI31" s="93">
        <f t="shared" si="11"/>
        <v>60000000</v>
      </c>
      <c r="AJ31" s="389">
        <v>0.0033121087627870165</v>
      </c>
      <c r="AK31" s="249">
        <v>0.004599073881523755</v>
      </c>
      <c r="AL31" s="249">
        <v>0.005930772500426208</v>
      </c>
      <c r="AM31" s="249">
        <v>0.007307329515579648</v>
      </c>
      <c r="AN31" s="248">
        <v>0.008729167652195741</v>
      </c>
      <c r="AO31" s="249">
        <v>0.0093107330179648</v>
      </c>
      <c r="AP31" s="249">
        <v>0.009899714774398265</v>
      </c>
      <c r="AQ31" s="249">
        <v>0.010496180004144259</v>
      </c>
      <c r="AR31" s="249">
        <v>0.011100203414276564</v>
      </c>
      <c r="AS31" s="250">
        <v>0.011711867336294578</v>
      </c>
      <c r="AU31" s="110"/>
      <c r="AV31" s="93">
        <f t="shared" si="12"/>
        <v>60000000</v>
      </c>
      <c r="AW31" s="249">
        <v>0.0029800723991506525</v>
      </c>
      <c r="AX31" s="249">
        <v>0.004267037517887392</v>
      </c>
      <c r="AY31" s="249">
        <v>0.005598736136789844</v>
      </c>
      <c r="AZ31" s="249">
        <v>0.006975293151943284</v>
      </c>
      <c r="BA31" s="248">
        <v>0.008397131288559376</v>
      </c>
      <c r="BB31" s="249">
        <v>0.008978696654328436</v>
      </c>
      <c r="BC31" s="249">
        <v>0.009567678410761902</v>
      </c>
      <c r="BD31" s="249">
        <v>0.010164143640507895</v>
      </c>
      <c r="BE31" s="249">
        <v>0.0107681670506402</v>
      </c>
      <c r="BF31" s="250">
        <v>0.011379830972658215</v>
      </c>
      <c r="BU31" s="52"/>
      <c r="BV31" s="52"/>
      <c r="BW31" s="52"/>
      <c r="BX31" s="52"/>
      <c r="BY31" s="52"/>
      <c r="BZ31" s="52"/>
      <c r="CA31" s="52"/>
      <c r="CB31" s="52"/>
    </row>
    <row r="32">
      <c r="B32" s="55" t="s">
        <v>40</v>
      </c>
      <c r="C32" s="56"/>
      <c r="E32" s="12" t="s">
        <v>41</v>
      </c>
      <c r="F32" s="57"/>
      <c r="U32" s="110"/>
      <c r="V32" s="93">
        <f t="shared" si="10"/>
        <v>70000000</v>
      </c>
      <c r="W32" s="397">
        <v>0.01631883055069553</v>
      </c>
      <c r="X32" s="397">
        <v>0.017164135152886638</v>
      </c>
      <c r="Y32" s="397">
        <v>0.017996788257150436</v>
      </c>
      <c r="Z32" s="397">
        <v>0.018819266893607425</v>
      </c>
      <c r="AA32" s="398">
        <v>0.01963404809237811</v>
      </c>
      <c r="AB32" s="397">
        <v>0.01995836014408121</v>
      </c>
      <c r="AC32" s="397">
        <v>0.020281995460501495</v>
      </c>
      <c r="AD32" s="397">
        <v>0.020605112571566678</v>
      </c>
      <c r="AE32" s="397">
        <v>0.020927870007204474</v>
      </c>
      <c r="AF32" s="399">
        <v>0.02125042629734259</v>
      </c>
      <c r="AH32" s="110"/>
      <c r="AI32" s="93">
        <f t="shared" si="11"/>
        <v>70000000</v>
      </c>
      <c r="AJ32" s="389">
        <v>0.003577486342757854</v>
      </c>
      <c r="AK32" s="249">
        <v>0.004967567546495932</v>
      </c>
      <c r="AL32" s="249">
        <v>0.006405966452751713</v>
      </c>
      <c r="AM32" s="249">
        <v>0.00789281796471567</v>
      </c>
      <c r="AN32" s="248">
        <v>0.00942857867780172</v>
      </c>
      <c r="AO32" s="249">
        <v>0.010056741066922387</v>
      </c>
      <c r="AP32" s="249">
        <v>0.010692914073512066</v>
      </c>
      <c r="AQ32" s="249">
        <v>0.01133717015511208</v>
      </c>
      <c r="AR32" s="249">
        <v>0.011989590004584666</v>
      </c>
      <c r="AS32" s="250">
        <v>0.012650262550112985</v>
      </c>
      <c r="AU32" s="110"/>
      <c r="AV32" s="93">
        <f t="shared" si="12"/>
        <v>70000000</v>
      </c>
      <c r="AW32" s="249">
        <v>0.0032454499791214906</v>
      </c>
      <c r="AX32" s="249">
        <v>0.004635531182859568</v>
      </c>
      <c r="AY32" s="249">
        <v>0.00607393008911535</v>
      </c>
      <c r="AZ32" s="249">
        <v>0.007560781601079306</v>
      </c>
      <c r="BA32" s="248">
        <v>0.009096542314165356</v>
      </c>
      <c r="BB32" s="249">
        <v>0.009724704703286024</v>
      </c>
      <c r="BC32" s="249">
        <v>0.010360877709875703</v>
      </c>
      <c r="BD32" s="249">
        <v>0.011005133791475715</v>
      </c>
      <c r="BE32" s="249">
        <v>0.011657553640948302</v>
      </c>
      <c r="BF32" s="250">
        <v>0.012318226186476622</v>
      </c>
    </row>
    <row r="33">
      <c r="B33" s="33" t="s">
        <v>42</v>
      </c>
      <c r="C33" s="58">
        <v>0.98</v>
      </c>
      <c r="E33" s="59" t="s">
        <v>43</v>
      </c>
      <c r="F33" s="60">
        <f>C13*C34</f>
        <v>32</v>
      </c>
      <c r="U33" s="110"/>
      <c r="V33" s="93">
        <f t="shared" si="10"/>
        <v>80000000</v>
      </c>
      <c r="W33" s="51">
        <v>0.015138778298458671</v>
      </c>
      <c r="X33" s="51">
        <v>0.015929488350674263</v>
      </c>
      <c r="Y33" s="51">
        <v>0.016708364010221483</v>
      </c>
      <c r="Z33" s="51">
        <v>0.01747772232661225</v>
      </c>
      <c r="AA33" s="400">
        <v>0.01823988034935846</v>
      </c>
      <c r="AB33" s="51">
        <v>0.01854324649532714</v>
      </c>
      <c r="AC33" s="51">
        <v>0.01884597961340336</v>
      </c>
      <c r="AD33" s="51">
        <v>0.01914822799475589</v>
      </c>
      <c r="AE33" s="51">
        <v>0.01945013993055348</v>
      </c>
      <c r="AF33" s="150">
        <v>0.019751863711964898</v>
      </c>
      <c r="AH33" s="110"/>
      <c r="AI33" s="93">
        <f t="shared" si="11"/>
        <v>80000000</v>
      </c>
      <c r="AJ33" s="389">
        <v>0.0038244937715608057</v>
      </c>
      <c r="AK33" s="249">
        <v>0.0053105530870414305</v>
      </c>
      <c r="AL33" s="249">
        <v>0.006848266199247002</v>
      </c>
      <c r="AM33" s="249">
        <v>0.008437777325754413</v>
      </c>
      <c r="AN33" s="248">
        <v>0.010079574587593166</v>
      </c>
      <c r="AO33" s="249">
        <v>0.010751108428549427</v>
      </c>
      <c r="AP33" s="249">
        <v>0.011431205979798704</v>
      </c>
      <c r="AQ33" s="249">
        <v>0.01211994470171091</v>
      </c>
      <c r="AR33" s="249">
        <v>0.012817410858584352</v>
      </c>
      <c r="AS33" s="250">
        <v>0.013523699518645715</v>
      </c>
      <c r="AU33" s="110"/>
      <c r="AV33" s="93">
        <f t="shared" si="12"/>
        <v>80000000</v>
      </c>
      <c r="AW33" s="249">
        <v>0.003492457407924442</v>
      </c>
      <c r="AX33" s="249">
        <v>0.004978516723405067</v>
      </c>
      <c r="AY33" s="249">
        <v>0.006516229835610639</v>
      </c>
      <c r="AZ33" s="249">
        <v>0.00810574096211805</v>
      </c>
      <c r="BA33" s="248">
        <v>0.009747538223956803</v>
      </c>
      <c r="BB33" s="249">
        <v>0.010419072064913064</v>
      </c>
      <c r="BC33" s="249">
        <v>0.01109916961616234</v>
      </c>
      <c r="BD33" s="249">
        <v>0.011787908338074547</v>
      </c>
      <c r="BE33" s="249">
        <v>0.012485374494947988</v>
      </c>
      <c r="BF33" s="250">
        <v>0.013191663155009352</v>
      </c>
    </row>
    <row r="34">
      <c r="B34" s="33" t="s">
        <v>44</v>
      </c>
      <c r="C34" s="61">
        <v>1.0</v>
      </c>
      <c r="E34" s="59" t="s">
        <v>45</v>
      </c>
      <c r="F34" s="62">
        <f>(F13*C33-F14*(1-C33))*F11/10^9/C13</f>
        <v>0.2076589794</v>
      </c>
      <c r="I34" s="63"/>
      <c r="U34" s="110"/>
      <c r="V34" s="93">
        <f t="shared" si="10"/>
        <v>90000000</v>
      </c>
      <c r="W34" s="51">
        <v>0.014174508075444887</v>
      </c>
      <c r="X34" s="51">
        <v>0.014919996661943576</v>
      </c>
      <c r="Y34" s="51">
        <v>0.01565432767603289</v>
      </c>
      <c r="Z34" s="51">
        <v>0.01637968565294245</v>
      </c>
      <c r="AA34" s="400">
        <v>0.01709825512790189</v>
      </c>
      <c r="AB34" s="51">
        <v>0.01738427147323107</v>
      </c>
      <c r="AC34" s="51">
        <v>0.017669690994139658</v>
      </c>
      <c r="AD34" s="51">
        <v>0.01795465350088236</v>
      </c>
      <c r="AE34" s="51">
        <v>0.018239298803713874</v>
      </c>
      <c r="AF34" s="150">
        <v>0.01852376671288889</v>
      </c>
      <c r="AH34" s="110"/>
      <c r="AI34" s="93">
        <f t="shared" si="11"/>
        <v>90000000</v>
      </c>
      <c r="AJ34" s="389">
        <v>0.004056488220714542</v>
      </c>
      <c r="AK34" s="249">
        <v>0.005632692149547227</v>
      </c>
      <c r="AL34" s="249">
        <v>0.007263683203287269</v>
      </c>
      <c r="AM34" s="249">
        <v>0.008949614347774559</v>
      </c>
      <c r="AN34" s="248">
        <v>0.010691003313544094</v>
      </c>
      <c r="AO34" s="249">
        <v>0.011403272512648725</v>
      </c>
      <c r="AP34" s="249">
        <v>0.012124624898183816</v>
      </c>
      <c r="AQ34" s="249">
        <v>0.012855142629278631</v>
      </c>
      <c r="AR34" s="249">
        <v>0.013594917203038629</v>
      </c>
      <c r="AS34" s="250">
        <v>0.014344049454545456</v>
      </c>
      <c r="AU34" s="110"/>
      <c r="AV34" s="93">
        <f t="shared" si="12"/>
        <v>90000000</v>
      </c>
      <c r="AW34" s="249">
        <v>0.003724451857078178</v>
      </c>
      <c r="AX34" s="249">
        <v>0.005300655785910864</v>
      </c>
      <c r="AY34" s="249">
        <v>0.006931646839650906</v>
      </c>
      <c r="AZ34" s="249">
        <v>0.008617577984138196</v>
      </c>
      <c r="BA34" s="248">
        <v>0.010358966949907731</v>
      </c>
      <c r="BB34" s="249">
        <v>0.011071236149012361</v>
      </c>
      <c r="BC34" s="249">
        <v>0.011792588534547453</v>
      </c>
      <c r="BD34" s="249">
        <v>0.012523106265642268</v>
      </c>
      <c r="BE34" s="249">
        <v>0.013262880839402264</v>
      </c>
      <c r="BF34" s="250">
        <v>0.014012013090909093</v>
      </c>
    </row>
    <row r="35">
      <c r="B35" s="33" t="s">
        <v>46</v>
      </c>
      <c r="C35" s="64">
        <v>225.0</v>
      </c>
      <c r="E35" s="59" t="s">
        <v>47</v>
      </c>
      <c r="F35" s="65">
        <f>F33*C12*F34</f>
        <v>1262.566595</v>
      </c>
      <c r="U35" s="110"/>
      <c r="V35" s="93">
        <f t="shared" si="10"/>
        <v>100000000</v>
      </c>
      <c r="W35" s="51">
        <v>0.013368092012456827</v>
      </c>
      <c r="X35" s="51">
        <v>0.014075324583355418</v>
      </c>
      <c r="Y35" s="51">
        <v>0.014771972151662444</v>
      </c>
      <c r="Z35" s="51">
        <v>0.015460107149464258</v>
      </c>
      <c r="AA35" s="400">
        <v>0.016141802008847208</v>
      </c>
      <c r="AB35" s="51">
        <v>0.016413140938630444</v>
      </c>
      <c r="AC35" s="51">
        <v>0.016683913671054002</v>
      </c>
      <c r="AD35" s="51">
        <v>0.016954252841771413</v>
      </c>
      <c r="AE35" s="51">
        <v>0.017224291086436198</v>
      </c>
      <c r="AF35" s="150">
        <v>0.01749416104070189</v>
      </c>
      <c r="AH35" s="110"/>
      <c r="AI35" s="93">
        <f t="shared" si="11"/>
        <v>100000000</v>
      </c>
      <c r="AJ35" s="389">
        <v>0.004275914026367256</v>
      </c>
      <c r="AK35" s="249">
        <v>0.0059373788503729995</v>
      </c>
      <c r="AL35" s="249">
        <v>0.007656594374765208</v>
      </c>
      <c r="AM35" s="249">
        <v>0.009433721839696629</v>
      </c>
      <c r="AN35" s="248">
        <v>0.011269306981068865</v>
      </c>
      <c r="AO35" s="249">
        <v>0.012020104639853731</v>
      </c>
      <c r="AP35" s="249">
        <v>0.012780476817815996</v>
      </c>
      <c r="AQ35" s="249">
        <v>0.013550510118282</v>
      </c>
      <c r="AR35" s="249">
        <v>0.014330300987669275</v>
      </c>
      <c r="AS35" s="250">
        <v>0.015119955715486504</v>
      </c>
      <c r="AU35" s="110"/>
      <c r="AV35" s="93">
        <f t="shared" si="12"/>
        <v>100000000</v>
      </c>
      <c r="AW35" s="249">
        <v>0.003943877662730893</v>
      </c>
      <c r="AX35" s="249">
        <v>0.0056053424867366355</v>
      </c>
      <c r="AY35" s="249">
        <v>0.0073245580111288445</v>
      </c>
      <c r="AZ35" s="249">
        <v>0.009101685476060266</v>
      </c>
      <c r="BA35" s="248">
        <v>0.0109372706174325</v>
      </c>
      <c r="BB35" s="249">
        <v>0.011688068276217368</v>
      </c>
      <c r="BC35" s="249">
        <v>0.012448440454179633</v>
      </c>
      <c r="BD35" s="249">
        <v>0.013218473754645636</v>
      </c>
      <c r="BE35" s="249">
        <v>0.013998264624032912</v>
      </c>
      <c r="BF35" s="250">
        <v>0.014787919351850141</v>
      </c>
    </row>
    <row r="36">
      <c r="B36" s="33" t="s">
        <v>48</v>
      </c>
      <c r="C36" s="61">
        <v>2.5</v>
      </c>
      <c r="E36" s="59" t="s">
        <v>49</v>
      </c>
      <c r="F36" s="66">
        <f>C16*365.24/C14</f>
        <v>0</v>
      </c>
      <c r="U36" s="146"/>
      <c r="V36" s="156">
        <f t="shared" si="10"/>
        <v>110000000</v>
      </c>
      <c r="W36" s="296">
        <v>0.012681150373631623</v>
      </c>
      <c r="X36" s="296">
        <v>0.013355470171879413</v>
      </c>
      <c r="Y36" s="296">
        <v>0.01401969756614908</v>
      </c>
      <c r="Z36" s="296">
        <v>0.014675808542903703</v>
      </c>
      <c r="AA36" s="404">
        <v>0.015325779088606373</v>
      </c>
      <c r="AB36" s="296">
        <v>0.015584490607160629</v>
      </c>
      <c r="AC36" s="296">
        <v>0.015842662277714303</v>
      </c>
      <c r="AD36" s="296">
        <v>0.016100420563401028</v>
      </c>
      <c r="AE36" s="296">
        <v>0.016357891927354453</v>
      </c>
      <c r="AF36" s="297">
        <v>0.016615202832708207</v>
      </c>
      <c r="AH36" s="146"/>
      <c r="AI36" s="156">
        <f t="shared" si="11"/>
        <v>110000000</v>
      </c>
      <c r="AJ36" s="405">
        <v>0.004484616464868837</v>
      </c>
      <c r="AK36" s="406">
        <v>0.006227175473209528</v>
      </c>
      <c r="AL36" s="406">
        <v>0.008030303927103563</v>
      </c>
      <c r="AM36" s="406">
        <v>0.009894170936649824</v>
      </c>
      <c r="AN36" s="407">
        <v>0.011819348874490687</v>
      </c>
      <c r="AO36" s="406">
        <v>0.012606792102209686</v>
      </c>
      <c r="AP36" s="406">
        <v>0.013404277170358917</v>
      </c>
      <c r="AQ36" s="406">
        <v>0.01421189490927333</v>
      </c>
      <c r="AR36" s="406">
        <v>0.015029746472809002</v>
      </c>
      <c r="AS36" s="408">
        <v>0.015857943338343106</v>
      </c>
      <c r="AU36" s="146"/>
      <c r="AV36" s="156">
        <f t="shared" si="12"/>
        <v>110000000</v>
      </c>
      <c r="AW36" s="406">
        <v>0.004152580101232474</v>
      </c>
      <c r="AX36" s="406">
        <v>0.005895139109573164</v>
      </c>
      <c r="AY36" s="406">
        <v>0.0076982675634672</v>
      </c>
      <c r="AZ36" s="406">
        <v>0.00956213457301346</v>
      </c>
      <c r="BA36" s="409">
        <v>0.011487312510854324</v>
      </c>
      <c r="BB36" s="406">
        <v>0.012274755738573322</v>
      </c>
      <c r="BC36" s="406">
        <v>0.013072240806722554</v>
      </c>
      <c r="BD36" s="406">
        <v>0.013879858545636966</v>
      </c>
      <c r="BE36" s="406">
        <v>0.014697710109172639</v>
      </c>
      <c r="BF36" s="408">
        <v>0.015525906974706741</v>
      </c>
    </row>
    <row r="37">
      <c r="B37" s="33" t="s">
        <v>50</v>
      </c>
      <c r="C37" s="67">
        <f>average(0.15,0.19,0.22,0.22,0.33,0.1936,0.11,0.2)</f>
        <v>0.2017</v>
      </c>
      <c r="E37" s="59" t="s">
        <v>51</v>
      </c>
      <c r="F37" s="65">
        <f>F36*F33*C12</f>
        <v>0</v>
      </c>
      <c r="V37" s="177"/>
      <c r="W37" s="51"/>
      <c r="X37" s="51"/>
      <c r="Y37" s="51"/>
      <c r="Z37" s="51"/>
      <c r="AA37" s="51"/>
      <c r="AB37" s="51"/>
      <c r="AC37" s="51"/>
      <c r="AD37" s="51"/>
      <c r="AE37" s="51"/>
      <c r="AF37" s="51"/>
      <c r="AI37" s="177"/>
      <c r="AJ37" s="178"/>
      <c r="AK37" s="178"/>
      <c r="AL37" s="178"/>
      <c r="AM37" s="178"/>
      <c r="AN37" s="178"/>
      <c r="AO37" s="178"/>
      <c r="AP37" s="178"/>
      <c r="AQ37" s="178"/>
      <c r="AR37" s="178"/>
      <c r="AS37" s="178"/>
      <c r="AV37" s="177"/>
      <c r="AW37" s="178"/>
      <c r="AX37" s="178"/>
      <c r="AY37" s="178"/>
      <c r="AZ37" s="178"/>
      <c r="BA37" s="178"/>
      <c r="BB37" s="178"/>
      <c r="BC37" s="178"/>
      <c r="BD37" s="178"/>
      <c r="BE37" s="178"/>
      <c r="BF37" s="178"/>
    </row>
    <row r="38">
      <c r="B38" s="33" t="s">
        <v>52</v>
      </c>
      <c r="C38" s="61">
        <v>10.0</v>
      </c>
      <c r="E38" s="68" t="s">
        <v>53</v>
      </c>
      <c r="F38" s="69">
        <f>sum(F35+F37)</f>
        <v>1262.566595</v>
      </c>
      <c r="U38" s="225"/>
      <c r="V38" s="177"/>
      <c r="W38" s="178"/>
      <c r="X38" s="178"/>
      <c r="Y38" s="178"/>
      <c r="Z38" s="178"/>
      <c r="AA38" s="178"/>
      <c r="AB38" s="178"/>
      <c r="AC38" s="178"/>
      <c r="AE38" s="178"/>
      <c r="AF38" s="178"/>
      <c r="AH38" s="225"/>
      <c r="AI38" s="410"/>
      <c r="AJ38" s="178"/>
      <c r="AK38" s="178"/>
      <c r="AL38" s="178"/>
      <c r="AM38" s="178"/>
      <c r="AN38" s="178"/>
      <c r="AO38" s="178"/>
      <c r="AP38" s="178"/>
      <c r="AQ38" s="178"/>
      <c r="AR38" s="178"/>
      <c r="AS38" s="178"/>
      <c r="AU38" s="225"/>
      <c r="AV38" s="410"/>
      <c r="AW38" s="178"/>
      <c r="AX38" s="178"/>
      <c r="AY38" s="178"/>
      <c r="AZ38" s="178"/>
      <c r="BA38" s="178"/>
      <c r="BB38" s="178"/>
      <c r="BC38" s="178"/>
      <c r="BD38" s="178"/>
      <c r="BE38" s="178"/>
      <c r="BF38" s="178"/>
    </row>
    <row r="39">
      <c r="B39" s="33" t="s">
        <v>55</v>
      </c>
      <c r="C39" s="61">
        <v>40.0</v>
      </c>
      <c r="E39" s="21" t="s">
        <v>56</v>
      </c>
      <c r="F39" s="76">
        <f>(F38)/((C13*C12)*C34)</f>
        <v>0.2076589794</v>
      </c>
      <c r="U39" s="225"/>
      <c r="V39" s="177"/>
      <c r="W39" s="23"/>
      <c r="X39" s="23"/>
      <c r="Y39" s="23"/>
      <c r="Z39" s="23"/>
      <c r="AA39" s="23"/>
      <c r="AB39" s="23"/>
      <c r="AC39" s="23"/>
      <c r="AD39" s="23"/>
      <c r="AE39" s="23"/>
      <c r="AF39" s="23"/>
      <c r="AH39" s="225"/>
      <c r="AU39" s="225"/>
    </row>
    <row r="40">
      <c r="B40" s="33" t="s">
        <v>60</v>
      </c>
      <c r="C40" s="67">
        <f>average(31.14,36.68,37.15,39.58,67.69,72.68,57.66, 68.78)</f>
        <v>51.42</v>
      </c>
      <c r="E40" s="88" t="s">
        <v>61</v>
      </c>
      <c r="F40" s="89">
        <f>IF(C30="Yes",0,C45*8760/1000*C37)</f>
        <v>0</v>
      </c>
      <c r="I40" s="9" t="s">
        <v>62</v>
      </c>
      <c r="U40" s="70" t="s">
        <v>103</v>
      </c>
      <c r="V40" s="71"/>
      <c r="W40" s="71"/>
      <c r="X40" s="71"/>
      <c r="Y40" s="71"/>
      <c r="Z40" s="71"/>
      <c r="AA40" s="71"/>
      <c r="AB40" s="71"/>
      <c r="AC40" s="18"/>
      <c r="AE40" s="70" t="s">
        <v>104</v>
      </c>
      <c r="AF40" s="71"/>
      <c r="AG40" s="71"/>
      <c r="AH40" s="71"/>
      <c r="AI40" s="71"/>
      <c r="AJ40" s="71"/>
      <c r="AK40" s="71"/>
      <c r="AL40" s="71"/>
      <c r="AM40" s="18"/>
      <c r="AO40" s="70" t="s">
        <v>105</v>
      </c>
      <c r="AP40" s="71"/>
      <c r="AQ40" s="71"/>
      <c r="AR40" s="71"/>
      <c r="AS40" s="71"/>
      <c r="AT40" s="71"/>
      <c r="AU40" s="71"/>
      <c r="AV40" s="71"/>
      <c r="AW40" s="18"/>
    </row>
    <row r="41">
      <c r="B41" s="33" t="s">
        <v>64</v>
      </c>
      <c r="C41" s="64">
        <v>90.0</v>
      </c>
      <c r="E41" s="88" t="s">
        <v>65</v>
      </c>
      <c r="F41" s="101">
        <f>if(C30="Yes",0,C35/C36*C44)</f>
        <v>0</v>
      </c>
      <c r="U41" s="411" t="s">
        <v>26</v>
      </c>
      <c r="AC41" s="78"/>
      <c r="AE41" s="77" t="s">
        <v>26</v>
      </c>
      <c r="AM41" s="78"/>
      <c r="AO41" s="77" t="s">
        <v>26</v>
      </c>
      <c r="AW41" s="78"/>
    </row>
    <row r="42">
      <c r="B42" s="33" t="s">
        <v>69</v>
      </c>
      <c r="C42" s="64">
        <v>20.0</v>
      </c>
      <c r="E42" s="88" t="s">
        <v>70</v>
      </c>
      <c r="F42" s="89">
        <f>IF(C28="Yes",0,C40*12)</f>
        <v>0</v>
      </c>
      <c r="U42" s="90"/>
      <c r="V42" s="91">
        <f>$F$39</f>
        <v>0.2076589794</v>
      </c>
      <c r="W42" s="240">
        <v>64.0</v>
      </c>
      <c r="X42" s="241">
        <f t="shared" ref="X42:AC42" si="13">W42+10</f>
        <v>74</v>
      </c>
      <c r="Y42" s="241">
        <f t="shared" si="13"/>
        <v>84</v>
      </c>
      <c r="Z42" s="93">
        <f t="shared" si="13"/>
        <v>94</v>
      </c>
      <c r="AA42" s="93">
        <f t="shared" si="13"/>
        <v>104</v>
      </c>
      <c r="AB42" s="93">
        <f t="shared" si="13"/>
        <v>114</v>
      </c>
      <c r="AC42" s="94">
        <f t="shared" si="13"/>
        <v>124</v>
      </c>
      <c r="AD42" s="178"/>
      <c r="AE42" s="90"/>
      <c r="AF42" s="239">
        <f>F17</f>
        <v>0.000779574103</v>
      </c>
      <c r="AG42" s="240">
        <v>64.0</v>
      </c>
      <c r="AH42" s="241">
        <f t="shared" ref="AH42:AM42" si="14">AG42+10</f>
        <v>74</v>
      </c>
      <c r="AI42" s="241">
        <f t="shared" si="14"/>
        <v>84</v>
      </c>
      <c r="AJ42" s="93">
        <f t="shared" si="14"/>
        <v>94</v>
      </c>
      <c r="AK42" s="93">
        <f t="shared" si="14"/>
        <v>104</v>
      </c>
      <c r="AL42" s="93">
        <f t="shared" si="14"/>
        <v>114</v>
      </c>
      <c r="AM42" s="94">
        <f t="shared" si="14"/>
        <v>124</v>
      </c>
      <c r="AN42" s="178"/>
      <c r="AO42" s="90"/>
      <c r="AP42" s="239">
        <f>F23</f>
        <v>0.0004475377394</v>
      </c>
      <c r="AQ42" s="240">
        <v>64.0</v>
      </c>
      <c r="AR42" s="241">
        <f t="shared" ref="AR42:AW42" si="15">AQ42+10</f>
        <v>74</v>
      </c>
      <c r="AS42" s="241">
        <f t="shared" si="15"/>
        <v>84</v>
      </c>
      <c r="AT42" s="93">
        <f t="shared" si="15"/>
        <v>94</v>
      </c>
      <c r="AU42" s="93">
        <f t="shared" si="15"/>
        <v>104</v>
      </c>
      <c r="AV42" s="93">
        <f t="shared" si="15"/>
        <v>114</v>
      </c>
      <c r="AW42" s="94">
        <f t="shared" si="15"/>
        <v>124</v>
      </c>
      <c r="AY42" s="178"/>
      <c r="AZ42" s="23"/>
      <c r="BA42" s="225"/>
      <c r="BB42" s="410"/>
      <c r="BC42" s="178"/>
      <c r="BD42" s="178"/>
      <c r="BE42" s="178"/>
      <c r="BF42" s="178"/>
      <c r="BG42" s="178"/>
      <c r="BH42" s="178"/>
      <c r="BI42" s="178"/>
      <c r="BJ42" s="178"/>
      <c r="BK42" s="178"/>
      <c r="BL42" s="178"/>
      <c r="BM42" s="178"/>
      <c r="BN42" s="178"/>
      <c r="BO42" s="178"/>
    </row>
    <row r="43">
      <c r="B43" s="33" t="s">
        <v>71</v>
      </c>
      <c r="C43" s="64">
        <v>25.0</v>
      </c>
      <c r="E43" s="116" t="s">
        <v>72</v>
      </c>
      <c r="F43" s="117">
        <f>if(C29="yes",0,C41)</f>
        <v>0</v>
      </c>
      <c r="U43" s="381" t="s">
        <v>107</v>
      </c>
      <c r="V43" s="103">
        <v>1.0E7</v>
      </c>
      <c r="W43" s="288">
        <v>0.06103449871703899</v>
      </c>
      <c r="X43" s="14">
        <v>0.06828838914157635</v>
      </c>
      <c r="Y43" s="14">
        <v>0.07554227956611367</v>
      </c>
      <c r="Z43" s="14">
        <v>0.08279616999065104</v>
      </c>
      <c r="AA43" s="14">
        <v>0.09005006041518838</v>
      </c>
      <c r="AB43" s="14">
        <v>0.09730395083972572</v>
      </c>
      <c r="AC43" s="120">
        <v>0.10455784126426308</v>
      </c>
      <c r="AD43" s="178"/>
      <c r="AE43" s="381" t="s">
        <v>107</v>
      </c>
      <c r="AF43" s="103">
        <v>1.0E7</v>
      </c>
      <c r="AG43" s="412">
        <v>0.0035636677711813635</v>
      </c>
      <c r="AH43" s="178">
        <v>0.004120490860428452</v>
      </c>
      <c r="AI43" s="178">
        <v>0.00467731394967554</v>
      </c>
      <c r="AJ43" s="178">
        <v>0.00523413703892263</v>
      </c>
      <c r="AK43" s="178">
        <v>0.005790960128169717</v>
      </c>
      <c r="AL43" s="178">
        <v>0.006347783217416803</v>
      </c>
      <c r="AM43" s="413">
        <v>0.006904606306663893</v>
      </c>
      <c r="AN43" s="178"/>
      <c r="AO43" s="381" t="s">
        <v>107</v>
      </c>
      <c r="AP43" s="103">
        <f t="shared" ref="AP43:AP65" si="16">AF43</f>
        <v>10000000</v>
      </c>
      <c r="AQ43" s="412">
        <v>0.003231631407545</v>
      </c>
      <c r="AR43" s="178">
        <v>0.0037884544967920885</v>
      </c>
      <c r="AS43" s="178">
        <v>0.004345277586039177</v>
      </c>
      <c r="AT43" s="178">
        <v>0.004902100675286266</v>
      </c>
      <c r="AU43" s="178">
        <v>0.005458923764533353</v>
      </c>
      <c r="AV43" s="178">
        <v>0.006015746853780439</v>
      </c>
      <c r="AW43" s="413">
        <v>0.00657256994302753</v>
      </c>
      <c r="AY43" s="178"/>
      <c r="AZ43" s="23"/>
      <c r="BA43" s="225"/>
      <c r="BB43" s="410"/>
      <c r="BC43" s="178"/>
      <c r="BD43" s="178"/>
      <c r="BE43" s="178"/>
      <c r="BF43" s="178"/>
      <c r="BG43" s="178"/>
      <c r="BH43" s="178"/>
      <c r="BI43" s="178"/>
      <c r="BJ43" s="178"/>
      <c r="BK43" s="178"/>
      <c r="BL43" s="178"/>
      <c r="BM43" s="178"/>
      <c r="BN43" s="178"/>
      <c r="BO43" s="178"/>
    </row>
    <row r="44">
      <c r="B44" s="121" t="s">
        <v>74</v>
      </c>
      <c r="C44" s="122">
        <f>CEILING(1024*(1-(1023/1024)^C34)/16,1)</f>
        <v>1</v>
      </c>
      <c r="E44" s="116" t="s">
        <v>75</v>
      </c>
      <c r="F44" s="117">
        <f>if(C30="Yes",12*C42*C44,0)</f>
        <v>240</v>
      </c>
      <c r="U44" s="110"/>
      <c r="V44" s="103">
        <f t="shared" ref="V44:V58" si="17">V43+2000000</f>
        <v>12000000</v>
      </c>
      <c r="W44" s="391">
        <v>0.054554607095358164</v>
      </c>
      <c r="X44" s="390">
        <v>0.06117647278734121</v>
      </c>
      <c r="Y44" s="390">
        <v>0.06779833847932427</v>
      </c>
      <c r="Z44" s="390">
        <v>0.0744202041713073</v>
      </c>
      <c r="AA44" s="390">
        <v>0.08104206986329038</v>
      </c>
      <c r="AB44" s="390">
        <v>0.08766393555527341</v>
      </c>
      <c r="AC44" s="392">
        <v>0.09428580124725648</v>
      </c>
      <c r="AD44" s="178"/>
      <c r="AE44" s="110"/>
      <c r="AF44" s="103">
        <f t="shared" ref="AF44:AF58" si="18">AF43+2000000</f>
        <v>12000000</v>
      </c>
      <c r="AG44" s="414">
        <v>0.0039038024514603826</v>
      </c>
      <c r="AH44" s="415">
        <v>0.004513771584501067</v>
      </c>
      <c r="AI44" s="415">
        <v>0.005123740717541753</v>
      </c>
      <c r="AJ44" s="415">
        <v>0.005733709850582437</v>
      </c>
      <c r="AK44" s="415">
        <v>0.006343678983623124</v>
      </c>
      <c r="AL44" s="415">
        <v>0.006953648116663806</v>
      </c>
      <c r="AM44" s="416">
        <v>0.007563617249704494</v>
      </c>
      <c r="AO44" s="110"/>
      <c r="AP44" s="103">
        <f t="shared" si="16"/>
        <v>12000000</v>
      </c>
      <c r="AQ44" s="414">
        <v>0.003571766087824019</v>
      </c>
      <c r="AR44" s="415">
        <v>0.004181735220864704</v>
      </c>
      <c r="AS44" s="415">
        <v>0.00479170435390539</v>
      </c>
      <c r="AT44" s="415">
        <v>0.005401673486946074</v>
      </c>
      <c r="AU44" s="415">
        <v>0.00601164261998676</v>
      </c>
      <c r="AV44" s="415">
        <v>0.006621611753027443</v>
      </c>
      <c r="AW44" s="416">
        <v>0.007231580886068131</v>
      </c>
    </row>
    <row r="45" ht="19.5" customHeight="1">
      <c r="B45" s="33" t="s">
        <v>76</v>
      </c>
      <c r="C45" s="125">
        <f>C44*C39+1024*(1-(1023/1024)^C34)*C38</f>
        <v>50</v>
      </c>
      <c r="E45" s="116" t="s">
        <v>77</v>
      </c>
      <c r="F45" s="117">
        <f>C43*C44</f>
        <v>25</v>
      </c>
      <c r="U45" s="110"/>
      <c r="V45" s="93">
        <f t="shared" si="17"/>
        <v>14000000</v>
      </c>
      <c r="W45" s="288">
        <v>0.04967162924747453</v>
      </c>
      <c r="X45" s="14">
        <v>0.05580228560310671</v>
      </c>
      <c r="Y45" s="14">
        <v>0.06193294195873889</v>
      </c>
      <c r="Z45" s="14">
        <v>0.06806359831437107</v>
      </c>
      <c r="AA45" s="14">
        <v>0.07419425467000325</v>
      </c>
      <c r="AB45" s="14">
        <v>0.08032491102563544</v>
      </c>
      <c r="AC45" s="120">
        <v>0.08645556738126761</v>
      </c>
      <c r="AD45" s="23"/>
      <c r="AE45" s="110"/>
      <c r="AF45" s="93">
        <f t="shared" si="18"/>
        <v>14000000</v>
      </c>
      <c r="AG45" s="412">
        <v>0.004216588570953947</v>
      </c>
      <c r="AH45" s="178">
        <v>0.004875430535165501</v>
      </c>
      <c r="AI45" s="178">
        <v>0.005534272499377057</v>
      </c>
      <c r="AJ45" s="178">
        <v>0.006193114463588609</v>
      </c>
      <c r="AK45" s="178">
        <v>0.0068519564278001635</v>
      </c>
      <c r="AL45" s="178">
        <v>0.007510798392011718</v>
      </c>
      <c r="AM45" s="413">
        <v>0.008169640356223272</v>
      </c>
      <c r="AN45" s="23"/>
      <c r="AO45" s="110"/>
      <c r="AP45" s="103">
        <f t="shared" si="16"/>
        <v>14000000</v>
      </c>
      <c r="AQ45" s="412">
        <v>0.0038845522073175827</v>
      </c>
      <c r="AR45" s="178">
        <v>0.004543394171529137</v>
      </c>
      <c r="AS45" s="178">
        <v>0.005202236135740694</v>
      </c>
      <c r="AT45" s="178">
        <v>0.005861078099952246</v>
      </c>
      <c r="AU45" s="178">
        <v>0.0065199200641637995</v>
      </c>
      <c r="AV45" s="178">
        <v>0.007178762028375355</v>
      </c>
      <c r="AW45" s="413">
        <v>0.007837603992586909</v>
      </c>
      <c r="BA45" s="23"/>
      <c r="BB45" s="23"/>
      <c r="BC45" s="23"/>
      <c r="BD45" s="23"/>
      <c r="BE45" s="23"/>
      <c r="BF45" s="23"/>
      <c r="BG45" s="23"/>
      <c r="BH45" s="23"/>
      <c r="BI45" s="23"/>
      <c r="BJ45" s="23"/>
      <c r="BK45" s="23"/>
      <c r="BL45" s="23"/>
      <c r="BM45" s="23"/>
    </row>
    <row r="46">
      <c r="B46" s="126" t="s">
        <v>78</v>
      </c>
      <c r="C46" s="127">
        <f>F33*C12</f>
        <v>6080</v>
      </c>
      <c r="E46" s="128" t="s">
        <v>79</v>
      </c>
      <c r="F46" s="129">
        <f>sum(F40:F45)</f>
        <v>265</v>
      </c>
      <c r="U46" s="110"/>
      <c r="V46" s="93">
        <f t="shared" si="17"/>
        <v>16000000</v>
      </c>
      <c r="W46" s="288">
        <v>0.045833105022118015</v>
      </c>
      <c r="X46" s="14">
        <v>0.05156780893182397</v>
      </c>
      <c r="Y46" s="14">
        <v>0.05730251284152989</v>
      </c>
      <c r="Z46" s="14">
        <v>0.06303721675123584</v>
      </c>
      <c r="AA46" s="14">
        <v>0.06877192066094179</v>
      </c>
      <c r="AB46" s="14">
        <v>0.07450662457064772</v>
      </c>
      <c r="AC46" s="120">
        <v>0.08024132848035367</v>
      </c>
      <c r="AD46" s="23"/>
      <c r="AE46" s="110"/>
      <c r="AF46" s="93">
        <f t="shared" si="18"/>
        <v>16000000</v>
      </c>
      <c r="AG46" s="412">
        <v>0.004507722792427547</v>
      </c>
      <c r="AH46" s="178">
        <v>0.005212054478744352</v>
      </c>
      <c r="AI46" s="178">
        <v>0.005916386165061155</v>
      </c>
      <c r="AJ46" s="178">
        <v>0.00662071785137796</v>
      </c>
      <c r="AK46" s="178">
        <v>0.007325049537694762</v>
      </c>
      <c r="AL46" s="178">
        <v>0.008029381224011567</v>
      </c>
      <c r="AM46" s="413">
        <v>0.008733712910328371</v>
      </c>
      <c r="AN46" s="225"/>
      <c r="AO46" s="110"/>
      <c r="AP46" s="103">
        <f t="shared" si="16"/>
        <v>16000000</v>
      </c>
      <c r="AQ46" s="412">
        <v>0.004175686428791183</v>
      </c>
      <c r="AR46" s="178">
        <v>0.004880018115107988</v>
      </c>
      <c r="AS46" s="178">
        <v>0.005584349801424791</v>
      </c>
      <c r="AT46" s="178">
        <v>0.006288681487741596</v>
      </c>
      <c r="AU46" s="178">
        <v>0.006993013174058399</v>
      </c>
      <c r="AV46" s="178">
        <v>0.0076973448603752034</v>
      </c>
      <c r="AW46" s="413">
        <v>0.008401676546692006</v>
      </c>
      <c r="BA46" s="212"/>
      <c r="BB46" s="212"/>
      <c r="BC46" s="212"/>
      <c r="BD46" s="212"/>
      <c r="BE46" s="225"/>
      <c r="BF46" s="225"/>
      <c r="BG46" s="225"/>
      <c r="BH46" s="225"/>
      <c r="BI46" s="225"/>
      <c r="BJ46" s="225"/>
      <c r="BK46" s="225"/>
      <c r="BL46" s="225"/>
      <c r="BM46" s="225"/>
    </row>
    <row r="47" ht="18.0" customHeight="1">
      <c r="B47" s="130" t="s">
        <v>80</v>
      </c>
      <c r="C47" s="131">
        <f>(C35*C44)+C41+(F33*C12)+(C43*C34)</f>
        <v>6420</v>
      </c>
      <c r="E47" s="132" t="s">
        <v>81</v>
      </c>
      <c r="F47" s="133">
        <f>F38-F46</f>
        <v>997.5665949</v>
      </c>
      <c r="U47" s="110"/>
      <c r="V47" s="93">
        <f t="shared" si="17"/>
        <v>18000000</v>
      </c>
      <c r="W47" s="288">
        <v>0.042719520904391774</v>
      </c>
      <c r="X47" s="14">
        <v>0.04812625160125854</v>
      </c>
      <c r="Y47" s="14">
        <v>0.053532982298125295</v>
      </c>
      <c r="Z47" s="14">
        <v>0.05893971299499209</v>
      </c>
      <c r="AA47" s="14">
        <v>0.06434644369185885</v>
      </c>
      <c r="AB47" s="14">
        <v>0.06975317438872561</v>
      </c>
      <c r="AC47" s="120">
        <v>0.07515990508559238</v>
      </c>
      <c r="AD47" s="177"/>
      <c r="AE47" s="110"/>
      <c r="AF47" s="93">
        <f t="shared" si="18"/>
        <v>18000000</v>
      </c>
      <c r="AG47" s="412">
        <v>0.004781162031352018</v>
      </c>
      <c r="AH47" s="178">
        <v>0.005528218598750768</v>
      </c>
      <c r="AI47" s="178">
        <v>0.00627527516614952</v>
      </c>
      <c r="AJ47" s="178">
        <v>0.007022331733548275</v>
      </c>
      <c r="AK47" s="178">
        <v>0.007769388300947027</v>
      </c>
      <c r="AL47" s="178">
        <v>0.008516444868345779</v>
      </c>
      <c r="AM47" s="413">
        <v>0.009263501435744533</v>
      </c>
      <c r="AN47" s="177"/>
      <c r="AO47" s="110"/>
      <c r="AP47" s="103">
        <f t="shared" si="16"/>
        <v>18000000</v>
      </c>
      <c r="AQ47" s="412">
        <v>0.0044491256677156536</v>
      </c>
      <c r="AR47" s="178">
        <v>0.005196182235114404</v>
      </c>
      <c r="AS47" s="178">
        <v>0.005943238802513157</v>
      </c>
      <c r="AT47" s="178">
        <v>0.006690295369911912</v>
      </c>
      <c r="AU47" s="178">
        <v>0.007437351937310663</v>
      </c>
      <c r="AV47" s="178">
        <v>0.008184408504709416</v>
      </c>
      <c r="AW47" s="413">
        <v>0.00893146507210817</v>
      </c>
      <c r="BA47" s="177"/>
      <c r="BB47" s="177"/>
      <c r="BC47" s="177"/>
      <c r="BD47" s="177"/>
      <c r="BE47" s="177"/>
      <c r="BF47" s="177"/>
      <c r="BG47" s="177"/>
      <c r="BH47" s="177"/>
      <c r="BI47" s="177"/>
      <c r="BJ47" s="177"/>
      <c r="BK47" s="177"/>
      <c r="BL47" s="177"/>
      <c r="BM47" s="177"/>
    </row>
    <row r="48">
      <c r="E48" s="137" t="s">
        <v>82</v>
      </c>
      <c r="F48" s="138">
        <f>F47/(F33*C12)</f>
        <v>0.1640734531</v>
      </c>
      <c r="U48" s="110"/>
      <c r="V48" s="93">
        <f t="shared" si="17"/>
        <v>20000000</v>
      </c>
      <c r="W48" s="288">
        <v>0.04013216069871692</v>
      </c>
      <c r="X48" s="14">
        <v>0.045261435807891444</v>
      </c>
      <c r="Y48" s="14">
        <v>0.050390710917065956</v>
      </c>
      <c r="Z48" s="14">
        <v>0.055519986026240496</v>
      </c>
      <c r="AA48" s="14">
        <v>0.060649261135415</v>
      </c>
      <c r="AB48" s="14">
        <v>0.06577853624458953</v>
      </c>
      <c r="AC48" s="120">
        <v>0.07090781135376406</v>
      </c>
      <c r="AD48" s="51"/>
      <c r="AE48" s="110"/>
      <c r="AF48" s="93">
        <f t="shared" si="18"/>
        <v>20000000</v>
      </c>
      <c r="AG48" s="412">
        <v>0.005039787293796583</v>
      </c>
      <c r="AH48" s="178">
        <v>0.0058272540584523</v>
      </c>
      <c r="AI48" s="178">
        <v>0.006614720823108018</v>
      </c>
      <c r="AJ48" s="178">
        <v>0.007402187587763733</v>
      </c>
      <c r="AK48" s="178">
        <v>0.008189654352419447</v>
      </c>
      <c r="AL48" s="178">
        <v>0.008977121117075165</v>
      </c>
      <c r="AM48" s="413">
        <v>0.009764587881730883</v>
      </c>
      <c r="AN48" s="51"/>
      <c r="AO48" s="110"/>
      <c r="AP48" s="103">
        <f t="shared" si="16"/>
        <v>20000000</v>
      </c>
      <c r="AQ48" s="412">
        <v>0.00470775093016022</v>
      </c>
      <c r="AR48" s="178">
        <v>0.005495217694815936</v>
      </c>
      <c r="AS48" s="178">
        <v>0.006282684459471654</v>
      </c>
      <c r="AT48" s="178">
        <v>0.00707015122412737</v>
      </c>
      <c r="AU48" s="178">
        <v>0.007857617988783084</v>
      </c>
      <c r="AV48" s="178">
        <v>0.008645084753438802</v>
      </c>
      <c r="AW48" s="413">
        <v>0.009432551518094518</v>
      </c>
      <c r="BA48" s="14"/>
      <c r="BB48" s="14"/>
      <c r="BC48" s="14"/>
      <c r="BD48" s="14"/>
      <c r="BE48" s="14"/>
      <c r="BF48" s="14"/>
      <c r="BG48" s="14"/>
      <c r="BH48" s="14"/>
      <c r="BI48" s="14"/>
      <c r="BJ48" s="14"/>
      <c r="BK48" s="14"/>
      <c r="BL48" s="14"/>
      <c r="BM48" s="14"/>
      <c r="BN48" s="23"/>
      <c r="BO48" s="23"/>
    </row>
    <row r="49">
      <c r="B49" s="139"/>
      <c r="C49" s="140"/>
      <c r="U49" s="110"/>
      <c r="V49" s="93">
        <f t="shared" si="17"/>
        <v>22000000</v>
      </c>
      <c r="W49" s="288">
        <v>0.03794038760262492</v>
      </c>
      <c r="X49" s="14">
        <v>0.04283095952917141</v>
      </c>
      <c r="Y49" s="14">
        <v>0.047721531455717905</v>
      </c>
      <c r="Z49" s="14">
        <v>0.05261210338226442</v>
      </c>
      <c r="AA49" s="14">
        <v>0.057502675308810924</v>
      </c>
      <c r="AB49" s="14">
        <v>0.06239324723535742</v>
      </c>
      <c r="AC49" s="120">
        <v>0.06728381916190394</v>
      </c>
      <c r="AD49" s="417"/>
      <c r="AE49" s="110"/>
      <c r="AF49" s="93">
        <f t="shared" si="18"/>
        <v>22000000</v>
      </c>
      <c r="AG49" s="412">
        <v>0.005285773506629361</v>
      </c>
      <c r="AH49" s="178">
        <v>0.006111675617040197</v>
      </c>
      <c r="AI49" s="178">
        <v>0.006937577727451034</v>
      </c>
      <c r="AJ49" s="178">
        <v>0.007763479837861873</v>
      </c>
      <c r="AK49" s="178">
        <v>0.008589381948272712</v>
      </c>
      <c r="AL49" s="178">
        <v>0.009415284058683545</v>
      </c>
      <c r="AM49" s="413">
        <v>0.010241186169094387</v>
      </c>
      <c r="AN49" s="417"/>
      <c r="AO49" s="110"/>
      <c r="AP49" s="103">
        <f t="shared" si="16"/>
        <v>22000000</v>
      </c>
      <c r="AQ49" s="412">
        <v>0.004953737142992997</v>
      </c>
      <c r="AR49" s="178">
        <v>0.005779639253403834</v>
      </c>
      <c r="AS49" s="178">
        <v>0.00660554136381467</v>
      </c>
      <c r="AT49" s="178">
        <v>0.00743144347422551</v>
      </c>
      <c r="AU49" s="178">
        <v>0.008257345584636349</v>
      </c>
      <c r="AV49" s="178">
        <v>0.009083247695047182</v>
      </c>
      <c r="AW49" s="413">
        <v>0.009909149805458024</v>
      </c>
      <c r="BA49" s="418"/>
      <c r="BB49" s="418"/>
      <c r="BC49" s="418"/>
      <c r="BD49" s="418"/>
      <c r="BE49" s="418"/>
      <c r="BF49" s="418"/>
      <c r="BG49" s="418"/>
      <c r="BH49" s="418"/>
      <c r="BI49" s="418"/>
      <c r="BJ49" s="418"/>
      <c r="BK49" s="418"/>
      <c r="BL49" s="418"/>
      <c r="BM49" s="418"/>
      <c r="BN49" s="23"/>
      <c r="BO49" s="23"/>
    </row>
    <row r="50">
      <c r="B50" s="141"/>
      <c r="C50" s="142"/>
      <c r="U50" s="110"/>
      <c r="V50" s="93">
        <f t="shared" si="17"/>
        <v>24000000</v>
      </c>
      <c r="W50" s="288">
        <v>0.036054476596743025</v>
      </c>
      <c r="X50" s="14">
        <v>0.04073684273165079</v>
      </c>
      <c r="Y50" s="14">
        <v>0.045419208866558536</v>
      </c>
      <c r="Z50" s="14">
        <v>0.0501015750014663</v>
      </c>
      <c r="AA50" s="14">
        <v>0.05478394113637408</v>
      </c>
      <c r="AB50" s="14">
        <v>0.059466307271281854</v>
      </c>
      <c r="AC50" s="120">
        <v>0.0641486734061896</v>
      </c>
      <c r="AD50" s="51"/>
      <c r="AE50" s="110"/>
      <c r="AF50" s="93">
        <f t="shared" si="18"/>
        <v>24000000</v>
      </c>
      <c r="AG50" s="412">
        <v>0.005520810371680611</v>
      </c>
      <c r="AH50" s="178">
        <v>0.006383436992255707</v>
      </c>
      <c r="AI50" s="178">
        <v>0.007246063612830799</v>
      </c>
      <c r="AJ50" s="178">
        <v>0.008108690233405897</v>
      </c>
      <c r="AK50" s="178">
        <v>0.008971316853980992</v>
      </c>
      <c r="AL50" s="178">
        <v>0.009833943474556087</v>
      </c>
      <c r="AM50" s="413">
        <v>0.010696570095131185</v>
      </c>
      <c r="AN50" s="51"/>
      <c r="AO50" s="110"/>
      <c r="AP50" s="103">
        <f t="shared" si="16"/>
        <v>24000000</v>
      </c>
      <c r="AQ50" s="412">
        <v>0.005188774008044247</v>
      </c>
      <c r="AR50" s="178">
        <v>0.006051400628619343</v>
      </c>
      <c r="AS50" s="178">
        <v>0.006914027249194435</v>
      </c>
      <c r="AT50" s="178">
        <v>0.007776653869769533</v>
      </c>
      <c r="AU50" s="178">
        <v>0.008639280490344629</v>
      </c>
      <c r="AV50" s="178">
        <v>0.009501907110919723</v>
      </c>
      <c r="AW50" s="413">
        <v>0.01036453373149482</v>
      </c>
      <c r="BA50" s="14"/>
      <c r="BB50" s="14"/>
      <c r="BC50" s="14"/>
      <c r="BD50" s="14"/>
      <c r="BE50" s="14"/>
      <c r="BF50" s="14"/>
      <c r="BG50" s="14"/>
      <c r="BH50" s="14"/>
      <c r="BI50" s="14"/>
      <c r="BJ50" s="14"/>
      <c r="BK50" s="14"/>
      <c r="BL50" s="14"/>
      <c r="BM50" s="14"/>
      <c r="BN50" s="23"/>
      <c r="BO50" s="23"/>
    </row>
    <row r="51">
      <c r="B51" s="143"/>
      <c r="C51" s="143"/>
      <c r="U51" s="110"/>
      <c r="V51" s="93">
        <f t="shared" si="17"/>
        <v>26000000</v>
      </c>
      <c r="W51" s="398">
        <v>0.034410576876571</v>
      </c>
      <c r="X51" s="397">
        <v>0.03890924874430446</v>
      </c>
      <c r="Y51" s="397">
        <v>0.04340792061203791</v>
      </c>
      <c r="Z51" s="397">
        <v>0.04790659247977135</v>
      </c>
      <c r="AA51" s="397">
        <v>0.0524052643475048</v>
      </c>
      <c r="AB51" s="397">
        <v>0.056903936215238246</v>
      </c>
      <c r="AC51" s="399">
        <v>0.06140260808297171</v>
      </c>
      <c r="AD51" s="51"/>
      <c r="AE51" s="110"/>
      <c r="AF51" s="93">
        <f t="shared" si="18"/>
        <v>26000000</v>
      </c>
      <c r="AG51" s="419">
        <v>0.005746241620113755</v>
      </c>
      <c r="AH51" s="420">
        <v>0.006644091873256529</v>
      </c>
      <c r="AI51" s="420">
        <v>0.007541942126399303</v>
      </c>
      <c r="AJ51" s="420">
        <v>0.008439792379542078</v>
      </c>
      <c r="AK51" s="420">
        <v>0.009337642632684849</v>
      </c>
      <c r="AL51" s="420">
        <v>0.010235492885827625</v>
      </c>
      <c r="AM51" s="421">
        <v>0.011133343138970398</v>
      </c>
      <c r="AN51" s="51"/>
      <c r="AO51" s="110"/>
      <c r="AP51" s="103">
        <f t="shared" si="16"/>
        <v>26000000</v>
      </c>
      <c r="AQ51" s="419">
        <v>0.005414205256477391</v>
      </c>
      <c r="AR51" s="420">
        <v>0.006312055509620165</v>
      </c>
      <c r="AS51" s="420">
        <v>0.00720990576276294</v>
      </c>
      <c r="AT51" s="420">
        <v>0.008107756015905715</v>
      </c>
      <c r="AU51" s="420">
        <v>0.009005606269048486</v>
      </c>
      <c r="AV51" s="420">
        <v>0.00990345652219126</v>
      </c>
      <c r="AW51" s="421">
        <v>0.010801306775334035</v>
      </c>
      <c r="BA51" s="14"/>
      <c r="BB51" s="14"/>
      <c r="BC51" s="14"/>
      <c r="BD51" s="14"/>
      <c r="BE51" s="14"/>
      <c r="BF51" s="14"/>
      <c r="BG51" s="14"/>
      <c r="BH51" s="14"/>
      <c r="BI51" s="14"/>
      <c r="BJ51" s="14"/>
      <c r="BK51" s="14"/>
      <c r="BL51" s="14"/>
      <c r="BM51" s="14"/>
      <c r="BN51" s="23"/>
      <c r="BO51" s="23"/>
    </row>
    <row r="52">
      <c r="U52" s="110"/>
      <c r="V52" s="93">
        <f t="shared" si="17"/>
        <v>28000000</v>
      </c>
      <c r="W52" s="288">
        <v>0.03296189785174258</v>
      </c>
      <c r="X52" s="14">
        <v>0.03729692653393451</v>
      </c>
      <c r="Y52" s="14">
        <v>0.04163195521612642</v>
      </c>
      <c r="Z52" s="14">
        <v>0.04596698389831835</v>
      </c>
      <c r="AA52" s="14">
        <v>0.050302012580510265</v>
      </c>
      <c r="AB52" s="14">
        <v>0.05463704126270219</v>
      </c>
      <c r="AC52" s="120">
        <v>0.058972069944894095</v>
      </c>
      <c r="AD52" s="51"/>
      <c r="AE52" s="110"/>
      <c r="AF52" s="93">
        <f t="shared" si="18"/>
        <v>28000000</v>
      </c>
      <c r="AG52" s="412">
        <v>0.005963156743990459</v>
      </c>
      <c r="AH52" s="178">
        <v>0.006894899985238969</v>
      </c>
      <c r="AI52" s="178">
        <v>0.007826643226487478</v>
      </c>
      <c r="AJ52" s="178">
        <v>0.008758386467735989</v>
      </c>
      <c r="AK52" s="178">
        <v>0.009690129708984495</v>
      </c>
      <c r="AL52" s="178">
        <v>0.010621872950233004</v>
      </c>
      <c r="AM52" s="413">
        <v>0.01155361619148151</v>
      </c>
      <c r="AN52" s="51"/>
      <c r="AO52" s="110"/>
      <c r="AP52" s="103">
        <f t="shared" si="16"/>
        <v>28000000</v>
      </c>
      <c r="AQ52" s="412">
        <v>0.005631120380354096</v>
      </c>
      <c r="AR52" s="178">
        <v>0.006562863621602606</v>
      </c>
      <c r="AS52" s="178">
        <v>0.0074946068628511135</v>
      </c>
      <c r="AT52" s="178">
        <v>0.008426350104099624</v>
      </c>
      <c r="AU52" s="178">
        <v>0.00935809334534813</v>
      </c>
      <c r="AV52" s="178">
        <v>0.010289836586596641</v>
      </c>
      <c r="AW52" s="413">
        <v>0.011221579827845147</v>
      </c>
      <c r="BA52" s="14"/>
      <c r="BB52" s="14"/>
      <c r="BC52" s="14"/>
      <c r="BD52" s="14"/>
      <c r="BE52" s="14"/>
      <c r="BF52" s="14"/>
      <c r="BG52" s="14"/>
      <c r="BH52" s="14"/>
      <c r="BI52" s="14"/>
      <c r="BJ52" s="14"/>
      <c r="BK52" s="14"/>
      <c r="BL52" s="14"/>
      <c r="BM52" s="14"/>
      <c r="BN52" s="23"/>
      <c r="BO52" s="23"/>
    </row>
    <row r="53">
      <c r="B53" s="151"/>
      <c r="C53" s="23"/>
      <c r="U53" s="110"/>
      <c r="V53" s="93">
        <f t="shared" si="17"/>
        <v>30000000</v>
      </c>
      <c r="W53" s="288">
        <v>0.03167329443805024</v>
      </c>
      <c r="X53" s="14">
        <v>0.03586133002732893</v>
      </c>
      <c r="Y53" s="14">
        <v>0.04004936561660761</v>
      </c>
      <c r="Z53" s="14">
        <v>0.0442374012058863</v>
      </c>
      <c r="AA53" s="14">
        <v>0.048425436795164985</v>
      </c>
      <c r="AB53" s="14">
        <v>0.05261347238444368</v>
      </c>
      <c r="AC53" s="120">
        <v>0.05680150797372235</v>
      </c>
      <c r="AD53" s="51"/>
      <c r="AE53" s="110"/>
      <c r="AF53" s="93">
        <f t="shared" si="18"/>
        <v>30000000</v>
      </c>
      <c r="AG53" s="412">
        <v>0.006172453640981862</v>
      </c>
      <c r="AH53" s="178">
        <v>0.007136899522385279</v>
      </c>
      <c r="AI53" s="178">
        <v>0.008101345403788693</v>
      </c>
      <c r="AJ53" s="178">
        <v>0.00906579128519211</v>
      </c>
      <c r="AK53" s="178">
        <v>0.010030237166595526</v>
      </c>
      <c r="AL53" s="178">
        <v>0.01099468304799894</v>
      </c>
      <c r="AM53" s="413">
        <v>0.011959128929402358</v>
      </c>
      <c r="AN53" s="51"/>
      <c r="AO53" s="110"/>
      <c r="AP53" s="103">
        <f t="shared" si="16"/>
        <v>30000000</v>
      </c>
      <c r="AQ53" s="412">
        <v>0.005840417277345499</v>
      </c>
      <c r="AR53" s="178">
        <v>0.006804863158748915</v>
      </c>
      <c r="AS53" s="178">
        <v>0.007769309040152329</v>
      </c>
      <c r="AT53" s="178">
        <v>0.008733754921555746</v>
      </c>
      <c r="AU53" s="178">
        <v>0.009698200802959163</v>
      </c>
      <c r="AV53" s="178">
        <v>0.010662646684362577</v>
      </c>
      <c r="AW53" s="413">
        <v>0.011627092565765993</v>
      </c>
      <c r="BA53" s="14"/>
      <c r="BB53" s="14"/>
      <c r="BC53" s="14"/>
      <c r="BD53" s="14"/>
      <c r="BE53" s="14"/>
      <c r="BF53" s="14"/>
      <c r="BG53" s="14"/>
      <c r="BH53" s="14"/>
      <c r="BI53" s="14"/>
      <c r="BJ53" s="14"/>
      <c r="BK53" s="14"/>
      <c r="BL53" s="14"/>
      <c r="BM53" s="14"/>
      <c r="BN53" s="23"/>
      <c r="BO53" s="23"/>
    </row>
    <row r="54">
      <c r="B54" s="152"/>
      <c r="C54" s="153"/>
      <c r="U54" s="110"/>
      <c r="V54" s="93">
        <f t="shared" si="17"/>
        <v>32000000</v>
      </c>
      <c r="W54" s="288">
        <v>0.030517807344960495</v>
      </c>
      <c r="X54" s="14">
        <v>0.03457285536761057</v>
      </c>
      <c r="Y54" s="14">
        <v>0.03862790339026064</v>
      </c>
      <c r="Z54" s="14">
        <v>0.04268295141291072</v>
      </c>
      <c r="AA54" s="14">
        <v>0.04673799943556079</v>
      </c>
      <c r="AB54" s="14">
        <v>0.050793047458210894</v>
      </c>
      <c r="AC54" s="120">
        <v>0.05484809548086095</v>
      </c>
      <c r="AD54" s="51"/>
      <c r="AE54" s="110"/>
      <c r="AF54" s="93">
        <f t="shared" si="18"/>
        <v>32000000</v>
      </c>
      <c r="AG54" s="412">
        <v>0.006374882708469358</v>
      </c>
      <c r="AH54" s="178">
        <v>0.0073709581316676945</v>
      </c>
      <c r="AI54" s="178">
        <v>0.00836703355486603</v>
      </c>
      <c r="AJ54" s="178">
        <v>0.009363108978064368</v>
      </c>
      <c r="AK54" s="178">
        <v>0.010359184401262702</v>
      </c>
      <c r="AL54" s="178">
        <v>0.01135525982446104</v>
      </c>
      <c r="AM54" s="413">
        <v>0.012351335247659377</v>
      </c>
      <c r="AN54" s="51"/>
      <c r="AO54" s="110"/>
      <c r="AP54" s="103">
        <f t="shared" si="16"/>
        <v>32000000</v>
      </c>
      <c r="AQ54" s="412">
        <v>0.006042846344832995</v>
      </c>
      <c r="AR54" s="178">
        <v>0.0070389217680313304</v>
      </c>
      <c r="AS54" s="178">
        <v>0.008034997191229666</v>
      </c>
      <c r="AT54" s="178">
        <v>0.009031072614428003</v>
      </c>
      <c r="AU54" s="178">
        <v>0.010027148037626337</v>
      </c>
      <c r="AV54" s="178">
        <v>0.011023223460824677</v>
      </c>
      <c r="AW54" s="413">
        <v>0.012019298884023012</v>
      </c>
      <c r="BA54" s="14"/>
      <c r="BB54" s="14"/>
      <c r="BC54" s="14"/>
      <c r="BD54" s="14"/>
      <c r="BE54" s="14"/>
      <c r="BF54" s="14"/>
      <c r="BG54" s="14"/>
      <c r="BH54" s="14"/>
      <c r="BI54" s="14"/>
      <c r="BJ54" s="14"/>
      <c r="BK54" s="14"/>
      <c r="BL54" s="14"/>
      <c r="BM54" s="14"/>
      <c r="BN54" s="181"/>
      <c r="BO54" s="23"/>
    </row>
    <row r="55">
      <c r="B55" s="152"/>
      <c r="C55" s="153"/>
      <c r="U55" s="110"/>
      <c r="V55" s="93">
        <f t="shared" si="17"/>
        <v>34000000</v>
      </c>
      <c r="W55" s="288">
        <v>0.029474377508650618</v>
      </c>
      <c r="X55" s="14">
        <v>0.03340835193555375</v>
      </c>
      <c r="Y55" s="14">
        <v>0.03734232636245688</v>
      </c>
      <c r="Z55" s="14">
        <v>0.04127630078936</v>
      </c>
      <c r="AA55" s="14">
        <v>0.045210275216263154</v>
      </c>
      <c r="AB55" s="14">
        <v>0.04914424964316628</v>
      </c>
      <c r="AC55" s="120">
        <v>0.05307822407006941</v>
      </c>
      <c r="AD55" s="51"/>
      <c r="AE55" s="110"/>
      <c r="AF55" s="93">
        <f t="shared" si="18"/>
        <v>34000000</v>
      </c>
      <c r="AG55" s="412">
        <v>0.006571078689485687</v>
      </c>
      <c r="AH55" s="178">
        <v>0.007597809734717827</v>
      </c>
      <c r="AI55" s="178">
        <v>0.008624540779949966</v>
      </c>
      <c r="AJ55" s="178">
        <v>0.009651271825182101</v>
      </c>
      <c r="AK55" s="178">
        <v>0.010678002870414243</v>
      </c>
      <c r="AL55" s="178">
        <v>0.011704733915646384</v>
      </c>
      <c r="AM55" s="413">
        <v>0.012731464960878522</v>
      </c>
      <c r="AN55" s="51"/>
      <c r="AO55" s="110"/>
      <c r="AP55" s="103">
        <f t="shared" si="16"/>
        <v>34000000</v>
      </c>
      <c r="AQ55" s="412">
        <v>0.006239042325849323</v>
      </c>
      <c r="AR55" s="178">
        <v>0.007265773371081464</v>
      </c>
      <c r="AS55" s="178">
        <v>0.008292504416313603</v>
      </c>
      <c r="AT55" s="178">
        <v>0.009319235461545738</v>
      </c>
      <c r="AU55" s="178">
        <v>0.01034596650677788</v>
      </c>
      <c r="AV55" s="178">
        <v>0.011372697552010019</v>
      </c>
      <c r="AW55" s="413">
        <v>0.012399428597242159</v>
      </c>
      <c r="BA55" s="14"/>
      <c r="BB55" s="14"/>
      <c r="BC55" s="14"/>
      <c r="BD55" s="14"/>
      <c r="BE55" s="14"/>
      <c r="BF55" s="14"/>
      <c r="BG55" s="14"/>
      <c r="BH55" s="14"/>
      <c r="BI55" s="14"/>
      <c r="BJ55" s="14"/>
      <c r="BK55" s="14"/>
      <c r="BL55" s="14"/>
      <c r="BM55" s="14"/>
      <c r="BN55" s="115"/>
      <c r="BO55" s="23"/>
    </row>
    <row r="56">
      <c r="B56" s="23"/>
      <c r="C56" s="23"/>
      <c r="U56" s="110"/>
      <c r="V56" s="93">
        <f t="shared" si="17"/>
        <v>36000000</v>
      </c>
      <c r="W56" s="288">
        <v>0.028526292236967565</v>
      </c>
      <c r="X56" s="14">
        <v>0.03234942817677152</v>
      </c>
      <c r="Y56" s="14">
        <v>0.03617256411657549</v>
      </c>
      <c r="Z56" s="14">
        <v>0.039995700056379445</v>
      </c>
      <c r="AA56" s="14">
        <v>0.04381883599618339</v>
      </c>
      <c r="AB56" s="14">
        <v>0.04764197193598736</v>
      </c>
      <c r="AC56" s="120">
        <v>0.05146510787579133</v>
      </c>
      <c r="AD56" s="227"/>
      <c r="AE56" s="110"/>
      <c r="AF56" s="93">
        <f t="shared" si="18"/>
        <v>36000000</v>
      </c>
      <c r="AG56" s="412">
        <v>0.006761584188641318</v>
      </c>
      <c r="AH56" s="178">
        <v>0.007818081718116527</v>
      </c>
      <c r="AI56" s="178">
        <v>0.008874579247591734</v>
      </c>
      <c r="AJ56" s="178">
        <v>0.009931076777066936</v>
      </c>
      <c r="AK56" s="178">
        <v>0.010987574306542144</v>
      </c>
      <c r="AL56" s="178">
        <v>0.012044071836017349</v>
      </c>
      <c r="AM56" s="413">
        <v>0.013100569365492554</v>
      </c>
      <c r="AN56" s="227"/>
      <c r="AO56" s="110"/>
      <c r="AP56" s="103">
        <f t="shared" si="16"/>
        <v>36000000</v>
      </c>
      <c r="AQ56" s="412">
        <v>0.006429547825004954</v>
      </c>
      <c r="AR56" s="178">
        <v>0.007486045354480163</v>
      </c>
      <c r="AS56" s="178">
        <v>0.008542542883955371</v>
      </c>
      <c r="AT56" s="178">
        <v>0.009599040413430572</v>
      </c>
      <c r="AU56" s="178">
        <v>0.010655537942905781</v>
      </c>
      <c r="AV56" s="178">
        <v>0.011712035472380986</v>
      </c>
      <c r="AW56" s="413">
        <v>0.01276853300185619</v>
      </c>
      <c r="BA56" s="227"/>
      <c r="BB56" s="227"/>
      <c r="BC56" s="227"/>
      <c r="BD56" s="227"/>
      <c r="BE56" s="227"/>
      <c r="BF56" s="227"/>
      <c r="BG56" s="227"/>
      <c r="BH56" s="227"/>
      <c r="BI56" s="227"/>
      <c r="BJ56" s="227"/>
      <c r="BK56" s="227"/>
      <c r="BL56" s="227"/>
      <c r="BM56" s="227"/>
      <c r="BN56" s="171"/>
      <c r="BO56" s="23"/>
    </row>
    <row r="57">
      <c r="B57" s="151"/>
      <c r="C57" s="23"/>
      <c r="U57" s="110"/>
      <c r="V57" s="93">
        <f t="shared" si="17"/>
        <v>38000000</v>
      </c>
      <c r="W57" s="288">
        <v>0.027660102119661297</v>
      </c>
      <c r="X57" s="14">
        <v>0.03138126939164784</v>
      </c>
      <c r="Y57" s="14">
        <v>0.03510243666363439</v>
      </c>
      <c r="Z57" s="14">
        <v>0.03882360393562095</v>
      </c>
      <c r="AA57" s="14">
        <v>0.042544771207607496</v>
      </c>
      <c r="AB57" s="14">
        <v>0.04626593847959405</v>
      </c>
      <c r="AC57" s="120">
        <v>0.0499871057515806</v>
      </c>
      <c r="AD57" s="51"/>
      <c r="AE57" s="110"/>
      <c r="AF57" s="93">
        <f t="shared" si="18"/>
        <v>38000000</v>
      </c>
      <c r="AG57" s="412">
        <v>0.006946867375785697</v>
      </c>
      <c r="AH57" s="178">
        <v>0.008032315403252211</v>
      </c>
      <c r="AI57" s="178">
        <v>0.009117763430718726</v>
      </c>
      <c r="AJ57" s="178">
        <v>0.010203211458185242</v>
      </c>
      <c r="AK57" s="178">
        <v>0.011288659485651754</v>
      </c>
      <c r="AL57" s="178">
        <v>0.01237410751311827</v>
      </c>
      <c r="AM57" s="413">
        <v>0.013459555540584783</v>
      </c>
      <c r="AN57" s="51"/>
      <c r="AO57" s="110"/>
      <c r="AP57" s="103">
        <f t="shared" si="16"/>
        <v>38000000</v>
      </c>
      <c r="AQ57" s="412">
        <v>0.006614831012149333</v>
      </c>
      <c r="AR57" s="178">
        <v>0.007700279039615847</v>
      </c>
      <c r="AS57" s="178">
        <v>0.008785727067082362</v>
      </c>
      <c r="AT57" s="178">
        <v>0.009871175094548877</v>
      </c>
      <c r="AU57" s="178">
        <v>0.01095662312201539</v>
      </c>
      <c r="AV57" s="178">
        <v>0.012042071149481907</v>
      </c>
      <c r="AW57" s="413">
        <v>0.01312751917694842</v>
      </c>
      <c r="BA57" s="51"/>
      <c r="BB57" s="51"/>
      <c r="BC57" s="51"/>
      <c r="BD57" s="51"/>
      <c r="BE57" s="51"/>
      <c r="BF57" s="51"/>
      <c r="BG57" s="51"/>
      <c r="BH57" s="51"/>
      <c r="BI57" s="51"/>
      <c r="BJ57" s="51"/>
      <c r="BK57" s="51"/>
      <c r="BL57" s="51"/>
      <c r="BM57" s="51"/>
      <c r="BN57" s="171"/>
      <c r="BO57" s="23"/>
    </row>
    <row r="58">
      <c r="B58" s="152"/>
      <c r="C58" s="23"/>
      <c r="U58" s="110"/>
      <c r="V58" s="93">
        <f t="shared" si="17"/>
        <v>40000000</v>
      </c>
      <c r="W58" s="288">
        <v>0.0268648493585195</v>
      </c>
      <c r="X58" s="14">
        <v>0.030491794570788176</v>
      </c>
      <c r="Y58" s="14">
        <v>0.034118739783056844</v>
      </c>
      <c r="Z58" s="14">
        <v>0.03774568499532552</v>
      </c>
      <c r="AA58" s="14">
        <v>0.041372630207594185</v>
      </c>
      <c r="AB58" s="14">
        <v>0.04499957541986285</v>
      </c>
      <c r="AC58" s="120">
        <v>0.048626520632131534</v>
      </c>
      <c r="AD58" s="51"/>
      <c r="AE58" s="110"/>
      <c r="AF58" s="93">
        <f t="shared" si="18"/>
        <v>40000000</v>
      </c>
      <c r="AG58" s="412">
        <v>0.007127335542362727</v>
      </c>
      <c r="AH58" s="178">
        <v>0.008240981720856903</v>
      </c>
      <c r="AI58" s="178">
        <v>0.00935462789935108</v>
      </c>
      <c r="AJ58" s="178">
        <v>0.01046827407784526</v>
      </c>
      <c r="AK58" s="178">
        <v>0.011581920256339435</v>
      </c>
      <c r="AL58" s="178">
        <v>0.012695566434833607</v>
      </c>
      <c r="AM58" s="413">
        <v>0.013809212613327786</v>
      </c>
      <c r="AN58" s="51"/>
      <c r="AO58" s="110"/>
      <c r="AP58" s="103">
        <f t="shared" si="16"/>
        <v>40000000</v>
      </c>
      <c r="AQ58" s="412">
        <v>0.006795299178726364</v>
      </c>
      <c r="AR58" s="178">
        <v>0.00790894535722054</v>
      </c>
      <c r="AS58" s="178">
        <v>0.009022591535714717</v>
      </c>
      <c r="AT58" s="178">
        <v>0.010136237714208894</v>
      </c>
      <c r="AU58" s="178">
        <v>0.011249883892703072</v>
      </c>
      <c r="AV58" s="178">
        <v>0.012363530071197244</v>
      </c>
      <c r="AW58" s="413">
        <v>0.013477176249691422</v>
      </c>
      <c r="BA58" s="51"/>
      <c r="BB58" s="51"/>
      <c r="BC58" s="51"/>
      <c r="BD58" s="51"/>
      <c r="BE58" s="51"/>
      <c r="BF58" s="51"/>
      <c r="BG58" s="51"/>
      <c r="BH58" s="51"/>
      <c r="BI58" s="51"/>
      <c r="BJ58" s="51"/>
      <c r="BK58" s="51"/>
      <c r="BL58" s="51"/>
      <c r="BM58" s="51"/>
      <c r="BN58" s="171"/>
      <c r="BO58" s="23"/>
    </row>
    <row r="59">
      <c r="B59" s="152"/>
      <c r="C59" s="23"/>
      <c r="U59" s="110"/>
      <c r="V59" s="93">
        <f t="shared" ref="V59:V65" si="19">V58+10000000</f>
        <v>50000000</v>
      </c>
      <c r="W59" s="402">
        <v>0.023683765875968394</v>
      </c>
      <c r="X59" s="401">
        <v>0.02692780429408846</v>
      </c>
      <c r="Y59" s="401">
        <v>0.03017184271220852</v>
      </c>
      <c r="Z59" s="401">
        <v>0.03341588113032858</v>
      </c>
      <c r="AA59" s="401">
        <v>0.03665991954844864</v>
      </c>
      <c r="AB59" s="401">
        <v>0.03990395796656871</v>
      </c>
      <c r="AC59" s="403">
        <v>0.043147996384688775</v>
      </c>
      <c r="AD59" s="51"/>
      <c r="AE59" s="110"/>
      <c r="AF59" s="93">
        <f t="shared" ref="AF59:AF65" si="20">AF58+10000000</f>
        <v>50000000</v>
      </c>
      <c r="AG59" s="422">
        <v>0.007968603385586694</v>
      </c>
      <c r="AH59" s="423">
        <v>0.009213697664584618</v>
      </c>
      <c r="AI59" s="423">
        <v>0.010458791943582539</v>
      </c>
      <c r="AJ59" s="423">
        <v>0.011703886222580461</v>
      </c>
      <c r="AK59" s="423">
        <v>0.01294898050157838</v>
      </c>
      <c r="AL59" s="423">
        <v>0.0141940747805763</v>
      </c>
      <c r="AM59" s="424">
        <v>0.015439169059574225</v>
      </c>
      <c r="AN59" s="51"/>
      <c r="AO59" s="110"/>
      <c r="AP59" s="103">
        <f t="shared" si="16"/>
        <v>50000000</v>
      </c>
      <c r="AQ59" s="422">
        <v>0.007636567021950331</v>
      </c>
      <c r="AR59" s="423">
        <v>0.008881661300948255</v>
      </c>
      <c r="AS59" s="423">
        <v>0.010126755579946176</v>
      </c>
      <c r="AT59" s="423">
        <v>0.011371849858944096</v>
      </c>
      <c r="AU59" s="423">
        <v>0.012616944137942017</v>
      </c>
      <c r="AV59" s="423">
        <v>0.013862038416939938</v>
      </c>
      <c r="AW59" s="424">
        <v>0.015107132695937862</v>
      </c>
      <c r="BA59" s="51"/>
      <c r="BB59" s="51"/>
      <c r="BC59" s="51"/>
      <c r="BD59" s="51"/>
      <c r="BE59" s="51"/>
      <c r="BF59" s="51"/>
      <c r="BG59" s="51"/>
      <c r="BH59" s="51"/>
      <c r="BI59" s="51"/>
      <c r="BJ59" s="51"/>
      <c r="BK59" s="51"/>
      <c r="BL59" s="51"/>
      <c r="BM59" s="51"/>
      <c r="BN59" s="171"/>
      <c r="BO59" s="23"/>
    </row>
    <row r="60">
      <c r="B60" s="152"/>
      <c r="C60" s="23"/>
      <c r="U60" s="110"/>
      <c r="V60" s="93">
        <f t="shared" si="19"/>
        <v>60000000</v>
      </c>
      <c r="W60" s="288">
        <v>0.02138781886952249</v>
      </c>
      <c r="X60" s="14">
        <v>0.024349207234552056</v>
      </c>
      <c r="Y60" s="14">
        <v>0.027310595599581603</v>
      </c>
      <c r="Z60" s="14">
        <v>0.030271983964611164</v>
      </c>
      <c r="AA60" s="14">
        <v>0.03323337232964072</v>
      </c>
      <c r="AB60" s="14">
        <v>0.03619476069467027</v>
      </c>
      <c r="AC60" s="120">
        <v>0.039156149059699816</v>
      </c>
      <c r="AD60" s="51"/>
      <c r="AE60" s="110"/>
      <c r="AF60" s="93">
        <f t="shared" si="20"/>
        <v>60000000</v>
      </c>
      <c r="AG60" s="412">
        <v>0.008729167652195741</v>
      </c>
      <c r="AH60" s="178">
        <v>0.010093100097851328</v>
      </c>
      <c r="AI60" s="178">
        <v>0.011457032543506912</v>
      </c>
      <c r="AJ60" s="178">
        <v>0.012820964989162494</v>
      </c>
      <c r="AK60" s="178">
        <v>0.014184897434818078</v>
      </c>
      <c r="AL60" s="178">
        <v>0.015548829880473661</v>
      </c>
      <c r="AM60" s="413">
        <v>0.01691276232612925</v>
      </c>
      <c r="AN60" s="51"/>
      <c r="AO60" s="110"/>
      <c r="AP60" s="103">
        <f t="shared" si="16"/>
        <v>60000000</v>
      </c>
      <c r="AQ60" s="412">
        <v>0.008397131288559376</v>
      </c>
      <c r="AR60" s="178">
        <v>0.009761063734214965</v>
      </c>
      <c r="AS60" s="178">
        <v>0.011124996179870547</v>
      </c>
      <c r="AT60" s="178">
        <v>0.01248892862552613</v>
      </c>
      <c r="AU60" s="178">
        <v>0.013852861071181714</v>
      </c>
      <c r="AV60" s="178">
        <v>0.015216793516837298</v>
      </c>
      <c r="AW60" s="413">
        <v>0.016580725962492885</v>
      </c>
      <c r="BA60" s="51"/>
      <c r="BB60" s="51"/>
      <c r="BC60" s="51"/>
      <c r="BD60" s="51"/>
      <c r="BE60" s="51"/>
      <c r="BF60" s="51"/>
      <c r="BG60" s="51"/>
      <c r="BH60" s="51"/>
      <c r="BI60" s="51"/>
      <c r="BJ60" s="51"/>
      <c r="BK60" s="51"/>
      <c r="BL60" s="51"/>
      <c r="BM60" s="51"/>
      <c r="BN60" s="171"/>
      <c r="BO60" s="23"/>
    </row>
    <row r="61">
      <c r="B61" s="152"/>
      <c r="C61" s="23"/>
      <c r="U61" s="110"/>
      <c r="V61" s="93">
        <f t="shared" si="19"/>
        <v>70000000</v>
      </c>
      <c r="W61" s="288">
        <v>0.01963404809237811</v>
      </c>
      <c r="X61" s="14">
        <v>0.02237576096395505</v>
      </c>
      <c r="Y61" s="14">
        <v>0.025117473835531985</v>
      </c>
      <c r="Z61" s="14">
        <v>0.027859186707108925</v>
      </c>
      <c r="AA61" s="14">
        <v>0.030600899578685854</v>
      </c>
      <c r="AB61" s="14">
        <v>0.03334261245026279</v>
      </c>
      <c r="AC61" s="120">
        <v>0.03608432532183973</v>
      </c>
      <c r="AD61" s="51"/>
      <c r="AE61" s="110"/>
      <c r="AF61" s="93">
        <f t="shared" si="20"/>
        <v>70000000</v>
      </c>
      <c r="AG61" s="412">
        <v>0.00942857867780172</v>
      </c>
      <c r="AH61" s="178">
        <v>0.01090179409620824</v>
      </c>
      <c r="AI61" s="178">
        <v>0.01237500951461476</v>
      </c>
      <c r="AJ61" s="178">
        <v>0.013848224933021283</v>
      </c>
      <c r="AK61" s="178">
        <v>0.015321440351427795</v>
      </c>
      <c r="AL61" s="178">
        <v>0.01679465576983432</v>
      </c>
      <c r="AM61" s="413">
        <v>0.018267871188240834</v>
      </c>
      <c r="AN61" s="51"/>
      <c r="AO61" s="110"/>
      <c r="AP61" s="103">
        <f t="shared" si="16"/>
        <v>70000000</v>
      </c>
      <c r="AQ61" s="412">
        <v>0.009096542314165356</v>
      </c>
      <c r="AR61" s="178">
        <v>0.010569757732571877</v>
      </c>
      <c r="AS61" s="178">
        <v>0.012042973150978397</v>
      </c>
      <c r="AT61" s="178">
        <v>0.01351618856938492</v>
      </c>
      <c r="AU61" s="178">
        <v>0.014989403987791432</v>
      </c>
      <c r="AV61" s="178">
        <v>0.016462619406197955</v>
      </c>
      <c r="AW61" s="413">
        <v>0.017935834824604473</v>
      </c>
      <c r="BA61" s="51"/>
      <c r="BB61" s="51"/>
      <c r="BC61" s="51"/>
      <c r="BD61" s="51"/>
      <c r="BE61" s="51"/>
      <c r="BF61" s="51"/>
      <c r="BG61" s="51"/>
      <c r="BH61" s="51"/>
      <c r="BI61" s="51"/>
      <c r="BJ61" s="51"/>
      <c r="BK61" s="51"/>
      <c r="BL61" s="51"/>
      <c r="BM61" s="51"/>
      <c r="BN61" s="171"/>
      <c r="BO61" s="23"/>
    </row>
    <row r="62">
      <c r="B62" s="23"/>
      <c r="C62" s="23"/>
      <c r="U62" s="110"/>
      <c r="V62" s="93">
        <f t="shared" si="19"/>
        <v>80000000</v>
      </c>
      <c r="W62" s="425">
        <v>0.01823988034935846</v>
      </c>
      <c r="X62" s="426">
        <v>0.020804517903945722</v>
      </c>
      <c r="Y62" s="426">
        <v>0.023369155458532978</v>
      </c>
      <c r="Z62" s="426">
        <v>0.025933793013120245</v>
      </c>
      <c r="AA62" s="426">
        <v>0.028498430567707497</v>
      </c>
      <c r="AB62" s="426">
        <v>0.03106306812229476</v>
      </c>
      <c r="AC62" s="427">
        <v>0.03362770567688202</v>
      </c>
      <c r="AD62" s="51"/>
      <c r="AE62" s="110"/>
      <c r="AF62" s="93">
        <f t="shared" si="20"/>
        <v>80000000</v>
      </c>
      <c r="AG62" s="419">
        <v>0.010079574587593166</v>
      </c>
      <c r="AH62" s="420">
        <v>0.0116545081169046</v>
      </c>
      <c r="AI62" s="420">
        <v>0.013229441646216035</v>
      </c>
      <c r="AJ62" s="420">
        <v>0.014804375175527466</v>
      </c>
      <c r="AK62" s="420">
        <v>0.016379308704838894</v>
      </c>
      <c r="AL62" s="420">
        <v>0.01795424223415033</v>
      </c>
      <c r="AM62" s="421">
        <v>0.019529175763461765</v>
      </c>
      <c r="AN62" s="51"/>
      <c r="AO62" s="110"/>
      <c r="AP62" s="103">
        <f t="shared" si="16"/>
        <v>80000000</v>
      </c>
      <c r="AQ62" s="419">
        <v>0.009747538223956803</v>
      </c>
      <c r="AR62" s="420">
        <v>0.011322471753268237</v>
      </c>
      <c r="AS62" s="420">
        <v>0.012897405282579672</v>
      </c>
      <c r="AT62" s="420">
        <v>0.014472338811891102</v>
      </c>
      <c r="AU62" s="420">
        <v>0.016047272341202533</v>
      </c>
      <c r="AV62" s="420">
        <v>0.01762220587051397</v>
      </c>
      <c r="AW62" s="421">
        <v>0.0191971393998254</v>
      </c>
      <c r="BA62" s="51"/>
      <c r="BB62" s="51"/>
      <c r="BC62" s="51"/>
      <c r="BD62" s="51"/>
      <c r="BE62" s="51"/>
      <c r="BF62" s="51"/>
      <c r="BG62" s="51"/>
      <c r="BH62" s="51"/>
      <c r="BI62" s="51"/>
      <c r="BJ62" s="51"/>
      <c r="BK62" s="51"/>
      <c r="BL62" s="51"/>
      <c r="BM62" s="51"/>
      <c r="BN62" s="171"/>
      <c r="BO62" s="23"/>
    </row>
    <row r="63">
      <c r="B63" s="23"/>
      <c r="C63" s="23"/>
      <c r="U63" s="110"/>
      <c r="V63" s="93">
        <f t="shared" si="19"/>
        <v>90000000</v>
      </c>
      <c r="W63" s="288">
        <v>0.01709825512790189</v>
      </c>
      <c r="X63" s="14">
        <v>0.01951621860274767</v>
      </c>
      <c r="Y63" s="14">
        <v>0.021934182077593446</v>
      </c>
      <c r="Z63" s="14">
        <v>0.02435214555243923</v>
      </c>
      <c r="AA63" s="14">
        <v>0.026770109027285015</v>
      </c>
      <c r="AB63" s="14">
        <v>0.029188072502130798</v>
      </c>
      <c r="AC63" s="120">
        <v>0.031606035976976574</v>
      </c>
      <c r="AD63" s="51"/>
      <c r="AE63" s="110"/>
      <c r="AF63" s="93">
        <f t="shared" si="20"/>
        <v>90000000</v>
      </c>
      <c r="AG63" s="412">
        <v>0.010691003313544094</v>
      </c>
      <c r="AH63" s="178">
        <v>0.012361472581285355</v>
      </c>
      <c r="AI63" s="178">
        <v>0.014031941849026617</v>
      </c>
      <c r="AJ63" s="178">
        <v>0.015702411116767883</v>
      </c>
      <c r="AK63" s="178">
        <v>0.01737288038450915</v>
      </c>
      <c r="AL63" s="178">
        <v>0.01904334965225041</v>
      </c>
      <c r="AM63" s="413">
        <v>0.02071381891999167</v>
      </c>
      <c r="AN63" s="51"/>
      <c r="AO63" s="110"/>
      <c r="AP63" s="103">
        <f t="shared" si="16"/>
        <v>90000000</v>
      </c>
      <c r="AQ63" s="412">
        <v>0.010358966949907731</v>
      </c>
      <c r="AR63" s="178">
        <v>0.012029436217648992</v>
      </c>
      <c r="AS63" s="178">
        <v>0.013699905485390254</v>
      </c>
      <c r="AT63" s="178">
        <v>0.01537037475313152</v>
      </c>
      <c r="AU63" s="178">
        <v>0.017040844020872786</v>
      </c>
      <c r="AV63" s="178">
        <v>0.01871131328861405</v>
      </c>
      <c r="AW63" s="413">
        <v>0.02038178255635531</v>
      </c>
      <c r="BA63" s="51"/>
      <c r="BB63" s="51"/>
      <c r="BC63" s="51"/>
      <c r="BD63" s="51"/>
      <c r="BE63" s="51"/>
      <c r="BF63" s="51"/>
      <c r="BG63" s="51"/>
      <c r="BH63" s="51"/>
      <c r="BI63" s="51"/>
      <c r="BJ63" s="51"/>
      <c r="BK63" s="51"/>
      <c r="BL63" s="51"/>
      <c r="BM63" s="51"/>
      <c r="BN63" s="171"/>
      <c r="BO63" s="23"/>
    </row>
    <row r="64">
      <c r="B64" s="23"/>
      <c r="C64" s="23"/>
      <c r="U64" s="110"/>
      <c r="V64" s="93">
        <f t="shared" si="19"/>
        <v>100000000</v>
      </c>
      <c r="W64" s="288">
        <v>0.016141802008847208</v>
      </c>
      <c r="X64" s="14">
        <v>0.018435683572729587</v>
      </c>
      <c r="Y64" s="14">
        <v>0.020729565136611956</v>
      </c>
      <c r="Z64" s="14">
        <v>0.02302344670049434</v>
      </c>
      <c r="AA64" s="14">
        <v>0.02531732826437672</v>
      </c>
      <c r="AB64" s="14">
        <v>0.02761120982825908</v>
      </c>
      <c r="AC64" s="120">
        <v>0.029905091392141467</v>
      </c>
      <c r="AD64" s="428"/>
      <c r="AE64" s="110"/>
      <c r="AF64" s="93">
        <f t="shared" si="20"/>
        <v>100000000</v>
      </c>
      <c r="AG64" s="412">
        <v>0.011269306981068865</v>
      </c>
      <c r="AH64" s="178">
        <v>0.013030136196860876</v>
      </c>
      <c r="AI64" s="178">
        <v>0.014790965412652884</v>
      </c>
      <c r="AJ64" s="178">
        <v>0.016551794628444895</v>
      </c>
      <c r="AK64" s="178">
        <v>0.018312623844236913</v>
      </c>
      <c r="AL64" s="178">
        <v>0.020073453060028914</v>
      </c>
      <c r="AM64" s="413">
        <v>0.021834282275820925</v>
      </c>
      <c r="AN64" s="428"/>
      <c r="AO64" s="110"/>
      <c r="AP64" s="103">
        <f t="shared" si="16"/>
        <v>100000000</v>
      </c>
      <c r="AQ64" s="412">
        <v>0.0109372706174325</v>
      </c>
      <c r="AR64" s="178">
        <v>0.012698099833224513</v>
      </c>
      <c r="AS64" s="178">
        <v>0.01445892904901652</v>
      </c>
      <c r="AT64" s="178">
        <v>0.016219758264808534</v>
      </c>
      <c r="AU64" s="178">
        <v>0.01798058748060055</v>
      </c>
      <c r="AV64" s="178">
        <v>0.01974141669639255</v>
      </c>
      <c r="AW64" s="413">
        <v>0.021502245912184564</v>
      </c>
      <c r="BA64" s="428"/>
      <c r="BB64" s="428"/>
      <c r="BC64" s="428"/>
      <c r="BD64" s="428"/>
      <c r="BE64" s="428"/>
      <c r="BF64" s="428"/>
      <c r="BG64" s="428"/>
      <c r="BH64" s="428"/>
      <c r="BI64" s="428"/>
      <c r="BJ64" s="428"/>
      <c r="BK64" s="428"/>
      <c r="BL64" s="428"/>
      <c r="BM64" s="428"/>
      <c r="BN64" s="171"/>
      <c r="BO64" s="23"/>
    </row>
    <row r="65">
      <c r="B65" s="23"/>
      <c r="C65" s="23"/>
      <c r="U65" s="146"/>
      <c r="V65" s="156">
        <f t="shared" si="19"/>
        <v>110000000</v>
      </c>
      <c r="W65" s="404">
        <v>0.015325779088606373</v>
      </c>
      <c r="X65" s="296">
        <v>0.017512909343928396</v>
      </c>
      <c r="Y65" s="296">
        <v>0.019700039599250416</v>
      </c>
      <c r="Z65" s="296">
        <v>0.021887169854572435</v>
      </c>
      <c r="AA65" s="296">
        <v>0.024074300109894448</v>
      </c>
      <c r="AB65" s="296">
        <v>0.02626143036521647</v>
      </c>
      <c r="AC65" s="297">
        <v>0.02844856062053849</v>
      </c>
      <c r="AD65" s="51"/>
      <c r="AE65" s="146"/>
      <c r="AF65" s="156">
        <f t="shared" si="20"/>
        <v>110000000</v>
      </c>
      <c r="AG65" s="429">
        <v>0.011819348874490687</v>
      </c>
      <c r="AH65" s="430">
        <v>0.013666122136129853</v>
      </c>
      <c r="AI65" s="430">
        <v>0.015512895397769028</v>
      </c>
      <c r="AJ65" s="430">
        <v>0.017359668659408196</v>
      </c>
      <c r="AK65" s="430">
        <v>0.01920644192104736</v>
      </c>
      <c r="AL65" s="430">
        <v>0.021053215182686536</v>
      </c>
      <c r="AM65" s="431">
        <v>0.022899988444325704</v>
      </c>
      <c r="AN65" s="51"/>
      <c r="AO65" s="146"/>
      <c r="AP65" s="279">
        <f t="shared" si="16"/>
        <v>110000000</v>
      </c>
      <c r="AQ65" s="429">
        <v>0.011487312510854324</v>
      </c>
      <c r="AR65" s="430">
        <v>0.01333408577249349</v>
      </c>
      <c r="AS65" s="430">
        <v>0.015180859034132665</v>
      </c>
      <c r="AT65" s="430">
        <v>0.01702763229577183</v>
      </c>
      <c r="AU65" s="430">
        <v>0.018874405557411</v>
      </c>
      <c r="AV65" s="430">
        <v>0.020721178819050175</v>
      </c>
      <c r="AW65" s="431">
        <v>0.02256795208068934</v>
      </c>
      <c r="BA65" s="14"/>
      <c r="BB65" s="14"/>
      <c r="BC65" s="14"/>
      <c r="BD65" s="14"/>
      <c r="BE65" s="14"/>
      <c r="BF65" s="14"/>
      <c r="BG65" s="14"/>
      <c r="BH65" s="14"/>
      <c r="BI65" s="14"/>
      <c r="BJ65" s="14"/>
      <c r="BK65" s="14"/>
      <c r="BL65" s="14"/>
      <c r="BM65" s="14"/>
      <c r="BN65" s="171"/>
      <c r="BO65" s="23"/>
    </row>
    <row r="66">
      <c r="B66" s="23"/>
      <c r="C66" s="23"/>
      <c r="U66" s="225"/>
      <c r="V66" s="177"/>
      <c r="W66" s="51"/>
      <c r="X66" s="51"/>
      <c r="Y66" s="51"/>
      <c r="Z66" s="51"/>
      <c r="AA66" s="51"/>
      <c r="AB66" s="51"/>
      <c r="AC66" s="51"/>
      <c r="AD66" s="51"/>
      <c r="AE66" s="225"/>
      <c r="AF66" s="177"/>
      <c r="AG66" s="51"/>
      <c r="AH66" s="51"/>
      <c r="AI66" s="51"/>
      <c r="AJ66" s="51"/>
      <c r="AK66" s="51"/>
      <c r="AL66" s="51"/>
      <c r="AM66" s="51"/>
      <c r="AN66" s="51"/>
      <c r="AO66" s="51"/>
      <c r="AP66" s="225"/>
      <c r="AQ66" s="115" t="str">
        <f t="shared" ref="AQ66:AQ67" si="21">AF66</f>
        <v/>
      </c>
      <c r="AR66" s="51"/>
      <c r="AS66" s="51"/>
      <c r="AT66" s="51"/>
      <c r="AU66" s="51"/>
      <c r="AV66" s="51"/>
      <c r="AW66" s="51"/>
      <c r="AX66" s="51"/>
      <c r="BA66" s="14"/>
      <c r="BB66" s="14"/>
      <c r="BC66" s="14"/>
      <c r="BD66" s="14"/>
      <c r="BE66" s="14"/>
      <c r="BF66" s="14"/>
      <c r="BG66" s="14"/>
      <c r="BH66" s="14"/>
      <c r="BI66" s="14"/>
      <c r="BJ66" s="14"/>
      <c r="BK66" s="14"/>
      <c r="BL66" s="14"/>
      <c r="BM66" s="14"/>
      <c r="BN66" s="171"/>
      <c r="BO66" s="23"/>
    </row>
    <row r="67">
      <c r="B67" s="151"/>
      <c r="C67" s="23"/>
      <c r="U67" s="225"/>
      <c r="V67" s="177"/>
      <c r="W67" s="178"/>
      <c r="X67" s="178"/>
      <c r="Y67" s="178"/>
      <c r="Z67" s="178"/>
      <c r="AA67" s="178"/>
      <c r="AB67" s="178"/>
      <c r="AC67" s="178"/>
      <c r="AD67" s="227"/>
      <c r="AE67" s="225"/>
      <c r="AF67" s="177">
        <f>AF66+10000000</f>
        <v>10000000</v>
      </c>
      <c r="AG67" s="178"/>
      <c r="AH67" s="178"/>
      <c r="AI67" s="178"/>
      <c r="AJ67" s="178"/>
      <c r="AK67" s="178"/>
      <c r="AL67" s="178"/>
      <c r="AM67" s="178"/>
      <c r="AN67" s="227"/>
      <c r="AO67" s="227"/>
      <c r="AP67" s="225"/>
      <c r="AQ67" s="115">
        <f t="shared" si="21"/>
        <v>10000000</v>
      </c>
      <c r="AR67" s="178"/>
      <c r="AS67" s="178"/>
      <c r="AT67" s="178"/>
      <c r="AU67" s="178"/>
      <c r="AV67" s="178"/>
      <c r="AW67" s="178"/>
      <c r="AX67" s="178"/>
      <c r="BA67" s="432"/>
      <c r="BB67" s="432"/>
      <c r="BC67" s="432"/>
      <c r="BD67" s="432"/>
      <c r="BE67" s="432"/>
      <c r="BF67" s="432"/>
      <c r="BG67" s="432"/>
      <c r="BH67" s="432"/>
      <c r="BI67" s="432"/>
      <c r="BJ67" s="432"/>
      <c r="BK67" s="432"/>
      <c r="BL67" s="432"/>
      <c r="BM67" s="432"/>
      <c r="BN67" s="171"/>
      <c r="BO67" s="23"/>
    </row>
    <row r="68">
      <c r="B68" s="152"/>
      <c r="C68" s="153"/>
      <c r="AD68" s="51"/>
      <c r="AE68" s="51"/>
      <c r="AF68" s="51"/>
      <c r="AG68" s="51"/>
      <c r="AH68" s="51"/>
      <c r="AI68" s="51"/>
      <c r="AJ68" s="51"/>
      <c r="AK68" s="51"/>
      <c r="AL68" s="51"/>
      <c r="AM68" s="51"/>
      <c r="AN68" s="51"/>
      <c r="AO68" s="51"/>
      <c r="AP68" s="51"/>
      <c r="BA68" s="14"/>
      <c r="BB68" s="14"/>
      <c r="BC68" s="14"/>
      <c r="BD68" s="14"/>
      <c r="BE68" s="14"/>
      <c r="BF68" s="14"/>
      <c r="BG68" s="14"/>
      <c r="BH68" s="14"/>
      <c r="BI68" s="14"/>
      <c r="BJ68" s="14"/>
      <c r="BK68" s="14"/>
      <c r="BL68" s="14"/>
      <c r="BM68" s="14"/>
      <c r="BN68" s="171"/>
      <c r="BO68" s="23"/>
    </row>
    <row r="69">
      <c r="B69" s="152"/>
      <c r="C69" s="153"/>
      <c r="AD69" s="51"/>
      <c r="AE69" s="51"/>
      <c r="AF69" s="51"/>
      <c r="AG69" s="51"/>
      <c r="AH69" s="51"/>
      <c r="AI69" s="51"/>
      <c r="AJ69" s="51"/>
      <c r="AK69" s="51"/>
      <c r="AL69" s="51"/>
      <c r="AM69" s="51"/>
      <c r="AN69" s="51"/>
      <c r="AO69" s="51"/>
      <c r="AP69" s="51"/>
      <c r="BA69" s="14"/>
      <c r="BB69" s="14"/>
      <c r="BC69" s="14"/>
      <c r="BD69" s="14"/>
      <c r="BE69" s="14"/>
      <c r="BF69" s="14"/>
      <c r="BG69" s="14"/>
      <c r="BH69" s="14"/>
      <c r="BI69" s="14"/>
      <c r="BJ69" s="14"/>
      <c r="BK69" s="14"/>
      <c r="BL69" s="14"/>
      <c r="BM69" s="14"/>
      <c r="BN69" s="171"/>
      <c r="BO69" s="23"/>
    </row>
    <row r="70">
      <c r="B70" s="152"/>
      <c r="C70" s="153"/>
      <c r="U70" s="70" t="s">
        <v>54</v>
      </c>
      <c r="V70" s="71"/>
      <c r="W70" s="71"/>
      <c r="X70" s="71"/>
      <c r="Y70" s="71"/>
      <c r="Z70" s="71"/>
      <c r="AA70" s="71"/>
      <c r="AB70" s="71"/>
      <c r="AC70" s="18"/>
      <c r="AD70" s="51"/>
      <c r="AE70" s="51"/>
      <c r="AF70" s="51"/>
      <c r="AG70" s="51"/>
      <c r="AH70" s="51"/>
      <c r="AI70" s="51"/>
      <c r="AJ70" s="433" t="s">
        <v>54</v>
      </c>
      <c r="AK70" s="434"/>
      <c r="AL70" s="434"/>
      <c r="AM70" s="434"/>
      <c r="AN70" s="434"/>
      <c r="AO70" s="434"/>
      <c r="AP70" s="73"/>
      <c r="AQ70" s="74"/>
      <c r="AR70" s="74"/>
      <c r="AS70" s="74"/>
      <c r="AT70" s="74"/>
      <c r="AU70" s="75"/>
      <c r="BA70" s="14"/>
      <c r="BB70" s="14"/>
      <c r="BC70" s="14"/>
      <c r="BD70" s="14"/>
      <c r="BE70" s="14"/>
      <c r="BF70" s="14"/>
      <c r="BG70" s="14"/>
      <c r="BH70" s="14"/>
      <c r="BI70" s="14"/>
      <c r="BJ70" s="14"/>
      <c r="BK70" s="14"/>
      <c r="BL70" s="14"/>
      <c r="BM70" s="14"/>
      <c r="BN70" s="171"/>
      <c r="BO70" s="23"/>
    </row>
    <row r="71">
      <c r="B71" s="152"/>
      <c r="C71" s="153"/>
      <c r="U71" s="77" t="s">
        <v>57</v>
      </c>
      <c r="AC71" s="78"/>
      <c r="AD71" s="51"/>
      <c r="AE71" s="51"/>
      <c r="AF71" s="51"/>
      <c r="AG71" s="51"/>
      <c r="AH71" s="51"/>
      <c r="AI71" s="51"/>
      <c r="AJ71" s="435" t="s">
        <v>58</v>
      </c>
      <c r="AK71" s="80"/>
      <c r="AL71" s="80"/>
      <c r="AM71" s="80"/>
      <c r="AN71" s="436" t="s">
        <v>59</v>
      </c>
      <c r="AO71" s="437"/>
      <c r="AP71" s="437"/>
      <c r="AQ71" s="438"/>
      <c r="AR71" s="83"/>
      <c r="AS71" s="83"/>
      <c r="AT71" s="83"/>
      <c r="AU71" s="84"/>
      <c r="BA71" s="14"/>
      <c r="BB71" s="14"/>
      <c r="BC71" s="14"/>
      <c r="BD71" s="14"/>
      <c r="BE71" s="14"/>
      <c r="BF71" s="14"/>
      <c r="BG71" s="14"/>
      <c r="BH71" s="14"/>
      <c r="BI71" s="14"/>
      <c r="BJ71" s="14"/>
      <c r="BK71" s="14"/>
      <c r="BL71" s="14"/>
      <c r="BM71" s="14"/>
      <c r="BN71" s="171"/>
      <c r="BO71" s="23"/>
    </row>
    <row r="72">
      <c r="B72" s="152"/>
      <c r="C72" s="153"/>
      <c r="U72" s="90"/>
      <c r="V72" s="91">
        <f>$F$39</f>
        <v>0.2076589794</v>
      </c>
      <c r="W72" s="92">
        <v>64.0</v>
      </c>
      <c r="X72" s="93">
        <f t="shared" ref="X72:AC72" si="22">W72+10</f>
        <v>74</v>
      </c>
      <c r="Y72" s="93">
        <f t="shared" si="22"/>
        <v>84</v>
      </c>
      <c r="Z72" s="93">
        <f t="shared" si="22"/>
        <v>94</v>
      </c>
      <c r="AA72" s="93">
        <f t="shared" si="22"/>
        <v>104</v>
      </c>
      <c r="AB72" s="93">
        <f t="shared" si="22"/>
        <v>114</v>
      </c>
      <c r="AC72" s="94">
        <f t="shared" si="22"/>
        <v>124</v>
      </c>
      <c r="AD72" s="51"/>
      <c r="AE72" s="51"/>
      <c r="AF72" s="51"/>
      <c r="AG72" s="51"/>
      <c r="AH72" s="51"/>
      <c r="AI72" s="51"/>
      <c r="AJ72" s="95"/>
      <c r="AK72" s="439">
        <f>$F$39</f>
        <v>0.2076589794</v>
      </c>
      <c r="AL72" s="440">
        <f t="shared" ref="AL72:AN72" si="23">AM72-0.05</f>
        <v>0.7</v>
      </c>
      <c r="AM72" s="440">
        <f t="shared" si="23"/>
        <v>0.75</v>
      </c>
      <c r="AN72" s="440">
        <f t="shared" si="23"/>
        <v>0.8</v>
      </c>
      <c r="AO72" s="440">
        <v>0.85</v>
      </c>
      <c r="AP72" s="440">
        <v>0.9</v>
      </c>
      <c r="AQ72" s="440">
        <f t="shared" ref="AQ72:AU72" si="24">AP72+0.02</f>
        <v>0.92</v>
      </c>
      <c r="AR72" s="440">
        <f t="shared" si="24"/>
        <v>0.94</v>
      </c>
      <c r="AS72" s="440">
        <f t="shared" si="24"/>
        <v>0.96</v>
      </c>
      <c r="AT72" s="440">
        <f t="shared" si="24"/>
        <v>0.98</v>
      </c>
      <c r="AU72" s="441">
        <f t="shared" si="24"/>
        <v>1</v>
      </c>
      <c r="BA72" s="14"/>
      <c r="BB72" s="14"/>
      <c r="BC72" s="14"/>
      <c r="BD72" s="14"/>
      <c r="BE72" s="14"/>
      <c r="BF72" s="14"/>
      <c r="BG72" s="14"/>
      <c r="BH72" s="14"/>
      <c r="BI72" s="14"/>
      <c r="BJ72" s="14"/>
      <c r="BK72" s="14"/>
      <c r="BL72" s="14"/>
      <c r="BM72" s="14"/>
      <c r="BN72" s="171"/>
      <c r="BO72" s="23"/>
    </row>
    <row r="73">
      <c r="B73" s="152"/>
      <c r="C73" s="153"/>
      <c r="U73" s="102" t="s">
        <v>66</v>
      </c>
      <c r="V73" s="103">
        <v>2000000.0</v>
      </c>
      <c r="W73" s="288">
        <v>0.10380922937984198</v>
      </c>
      <c r="X73" s="14">
        <v>0.12002942147044227</v>
      </c>
      <c r="Y73" s="14">
        <v>0.13624961356104257</v>
      </c>
      <c r="Z73" s="14">
        <v>0.1524698056516429</v>
      </c>
      <c r="AA73" s="14">
        <v>0.16868999774224316</v>
      </c>
      <c r="AB73" s="14">
        <v>0.18491018983284355</v>
      </c>
      <c r="AC73" s="120">
        <v>0.20113038192344376</v>
      </c>
      <c r="AD73" s="51"/>
      <c r="AE73" s="51"/>
      <c r="AF73" s="51"/>
      <c r="AG73" s="51"/>
      <c r="AH73" s="51"/>
      <c r="AI73" s="51"/>
      <c r="AJ73" s="102" t="s">
        <v>66</v>
      </c>
      <c r="AK73" s="442">
        <v>2000000.0</v>
      </c>
      <c r="AL73" s="443">
        <v>0.08419613790491648</v>
      </c>
      <c r="AM73" s="443">
        <v>0.08919702737250035</v>
      </c>
      <c r="AN73" s="443">
        <v>0.09412306956897053</v>
      </c>
      <c r="AO73" s="443">
        <v>0.09898891880214508</v>
      </c>
      <c r="AP73" s="443">
        <v>0.10380922937984198</v>
      </c>
      <c r="AQ73" s="443">
        <v>0.10572788535233825</v>
      </c>
      <c r="AR73" s="443">
        <v>0.10764253770490936</v>
      </c>
      <c r="AS73" s="443">
        <v>0.10955412431325562</v>
      </c>
      <c r="AT73" s="443">
        <v>0.11146358305307746</v>
      </c>
      <c r="AU73" s="444">
        <v>0.11337185180007514</v>
      </c>
      <c r="BA73" s="14"/>
      <c r="BB73" s="14"/>
      <c r="BC73" s="14"/>
      <c r="BD73" s="14"/>
      <c r="BE73" s="14"/>
      <c r="BF73" s="14"/>
      <c r="BG73" s="14"/>
      <c r="BH73" s="14"/>
      <c r="BI73" s="14"/>
      <c r="BJ73" s="14"/>
      <c r="BK73" s="14"/>
      <c r="BL73" s="14"/>
      <c r="BM73" s="14"/>
      <c r="BN73" s="171"/>
      <c r="BO73" s="23"/>
    </row>
    <row r="74">
      <c r="B74" s="152"/>
      <c r="C74" s="153"/>
      <c r="U74" s="110"/>
      <c r="V74" s="93">
        <f t="shared" ref="V74:V77" si="25">V73+500000</f>
        <v>2500000</v>
      </c>
      <c r="W74" s="288">
        <v>0.092849797434078</v>
      </c>
      <c r="X74" s="14">
        <v>0.10735757828315269</v>
      </c>
      <c r="Y74" s="14">
        <v>0.12186535913222736</v>
      </c>
      <c r="Z74" s="14">
        <v>0.13637313998130207</v>
      </c>
      <c r="AA74" s="14">
        <v>0.15088092083037674</v>
      </c>
      <c r="AB74" s="14">
        <v>0.16538870167945144</v>
      </c>
      <c r="AC74" s="120">
        <v>0.1798964825285261</v>
      </c>
      <c r="AD74" s="51"/>
      <c r="AE74" s="51"/>
      <c r="AF74" s="51"/>
      <c r="AG74" s="51"/>
      <c r="AH74" s="51"/>
      <c r="AI74" s="51"/>
      <c r="AJ74" s="110"/>
      <c r="AK74" s="301">
        <f t="shared" ref="AK74:AK77" si="26">AK73+500000</f>
        <v>2500000</v>
      </c>
      <c r="AL74" s="111">
        <v>0.075307315119336</v>
      </c>
      <c r="AM74" s="111">
        <v>0.07978024663832813</v>
      </c>
      <c r="AN74" s="111">
        <v>0.08418623272286399</v>
      </c>
      <c r="AO74" s="111">
        <v>0.08853838058432137</v>
      </c>
      <c r="AP74" s="111">
        <v>0.092849797434078</v>
      </c>
      <c r="AQ74" s="111">
        <v>0.09456589550605304</v>
      </c>
      <c r="AR74" s="111">
        <v>0.0962784126315046</v>
      </c>
      <c r="AS74" s="111">
        <v>0.09798818767196081</v>
      </c>
      <c r="AT74" s="111">
        <v>0.09969605948894991</v>
      </c>
      <c r="AU74" s="113">
        <v>0.10140286694400001</v>
      </c>
      <c r="BA74" s="14"/>
      <c r="BB74" s="14"/>
      <c r="BC74" s="14"/>
      <c r="BD74" s="14"/>
      <c r="BE74" s="14"/>
      <c r="BF74" s="14"/>
      <c r="BG74" s="14"/>
      <c r="BH74" s="14"/>
      <c r="BI74" s="14"/>
      <c r="BJ74" s="14"/>
      <c r="BK74" s="14"/>
      <c r="BL74" s="14"/>
      <c r="BM74" s="14"/>
      <c r="BN74" s="171"/>
      <c r="BO74" s="23"/>
    </row>
    <row r="75">
      <c r="B75" s="152"/>
      <c r="C75" s="153"/>
      <c r="U75" s="110"/>
      <c r="V75" s="93">
        <f t="shared" si="25"/>
        <v>3000000</v>
      </c>
      <c r="W75" s="288">
        <v>0.084759880857383</v>
      </c>
      <c r="X75" s="14">
        <v>0.0980036122413491</v>
      </c>
      <c r="Y75" s="14">
        <v>0.11124734362531523</v>
      </c>
      <c r="Z75" s="14">
        <v>0.12449107500928129</v>
      </c>
      <c r="AA75" s="14">
        <v>0.13773480639324742</v>
      </c>
      <c r="AB75" s="14">
        <v>0.15097853777721348</v>
      </c>
      <c r="AC75" s="120">
        <v>0.16422226916117963</v>
      </c>
      <c r="AD75" s="51"/>
      <c r="AE75" s="51"/>
      <c r="AF75" s="51"/>
      <c r="AG75" s="51"/>
      <c r="AH75" s="51"/>
      <c r="AI75" s="51"/>
      <c r="AJ75" s="110"/>
      <c r="AK75" s="301">
        <f t="shared" si="26"/>
        <v>3000000</v>
      </c>
      <c r="AL75" s="107">
        <v>0.0687458587266836</v>
      </c>
      <c r="AM75" s="107">
        <v>0.07282906787856333</v>
      </c>
      <c r="AN75" s="107">
        <v>0.07685116448948694</v>
      </c>
      <c r="AO75" s="107">
        <v>0.08082411375168373</v>
      </c>
      <c r="AP75" s="107">
        <v>0.084759880857383</v>
      </c>
      <c r="AQ75" s="107">
        <v>0.08632645689890277</v>
      </c>
      <c r="AR75" s="107">
        <v>0.08788976399844232</v>
      </c>
      <c r="AS75" s="107">
        <v>0.0894505679283043</v>
      </c>
      <c r="AT75" s="107">
        <v>0.09100963446079136</v>
      </c>
      <c r="AU75" s="109">
        <v>0.09256772936820624</v>
      </c>
      <c r="BA75" s="14"/>
      <c r="BB75" s="14"/>
      <c r="BC75" s="14"/>
      <c r="BD75" s="14"/>
      <c r="BE75" s="14"/>
      <c r="BF75" s="14"/>
      <c r="BG75" s="14"/>
      <c r="BH75" s="14"/>
      <c r="BI75" s="14"/>
      <c r="BJ75" s="14"/>
      <c r="BK75" s="14"/>
      <c r="BL75" s="14"/>
      <c r="BM75" s="14"/>
      <c r="BN75" s="171"/>
      <c r="BO75" s="23"/>
    </row>
    <row r="76">
      <c r="B76" s="152"/>
      <c r="C76" s="153"/>
      <c r="U76" s="110"/>
      <c r="V76" s="93">
        <f t="shared" si="25"/>
        <v>3500000</v>
      </c>
      <c r="W76" s="288">
        <v>0.07847240135209191</v>
      </c>
      <c r="X76" s="14">
        <v>0.09073371406335627</v>
      </c>
      <c r="Y76" s="14">
        <v>0.10299502677462065</v>
      </c>
      <c r="Z76" s="14">
        <v>0.11525633948588501</v>
      </c>
      <c r="AA76" s="14">
        <v>0.12751765219714936</v>
      </c>
      <c r="AB76" s="14">
        <v>0.13977896490841374</v>
      </c>
      <c r="AC76" s="120">
        <v>0.1520402776196781</v>
      </c>
      <c r="AD76" s="51"/>
      <c r="AE76" s="51"/>
      <c r="AF76" s="51"/>
      <c r="AG76" s="51"/>
      <c r="AH76" s="51"/>
      <c r="AI76" s="51"/>
      <c r="AJ76" s="110"/>
      <c r="AK76" s="301">
        <f t="shared" si="26"/>
        <v>3500000</v>
      </c>
      <c r="AL76" s="107">
        <v>0.06364629778528794</v>
      </c>
      <c r="AM76" s="107">
        <v>0.06742661488967341</v>
      </c>
      <c r="AN76" s="107">
        <v>0.07115035277529357</v>
      </c>
      <c r="AO76" s="107">
        <v>0.07482858905761187</v>
      </c>
      <c r="AP76" s="107">
        <v>0.07847240135209191</v>
      </c>
      <c r="AQ76" s="107">
        <v>0.07992276893915302</v>
      </c>
      <c r="AR76" s="107">
        <v>0.08137011007402385</v>
      </c>
      <c r="AS76" s="107">
        <v>0.08281513372409406</v>
      </c>
      <c r="AT76" s="107">
        <v>0.0842585488567533</v>
      </c>
      <c r="AU76" s="109">
        <v>0.08570106443939124</v>
      </c>
      <c r="BA76" s="14"/>
      <c r="BB76" s="14"/>
      <c r="BC76" s="14"/>
      <c r="BD76" s="14"/>
      <c r="BE76" s="14"/>
      <c r="BF76" s="14"/>
      <c r="BG76" s="14"/>
      <c r="BH76" s="14"/>
      <c r="BI76" s="14"/>
      <c r="BJ76" s="14"/>
      <c r="BK76" s="14"/>
      <c r="BL76" s="14"/>
      <c r="BM76" s="14"/>
      <c r="BN76" s="171"/>
      <c r="BO76" s="23"/>
    </row>
    <row r="77">
      <c r="B77" s="152"/>
      <c r="C77" s="153"/>
      <c r="U77" s="110"/>
      <c r="V77" s="93">
        <f t="shared" si="25"/>
        <v>4000000</v>
      </c>
      <c r="W77" s="288">
        <v>0.07340421004423603</v>
      </c>
      <c r="X77" s="14">
        <v>0.08487361786364794</v>
      </c>
      <c r="Y77" s="14">
        <v>0.09634302568305977</v>
      </c>
      <c r="Z77" s="14">
        <v>0.1078124335024717</v>
      </c>
      <c r="AA77" s="14">
        <v>0.11928184132188359</v>
      </c>
      <c r="AB77" s="14">
        <v>0.13075124914129543</v>
      </c>
      <c r="AC77" s="120">
        <v>0.14222065696070735</v>
      </c>
      <c r="AD77" s="51"/>
      <c r="AE77" s="51"/>
      <c r="AF77" s="51"/>
      <c r="AG77" s="51"/>
      <c r="AH77" s="51"/>
      <c r="AI77" s="51"/>
      <c r="AJ77" s="110"/>
      <c r="AK77" s="301">
        <f t="shared" si="26"/>
        <v>4000000</v>
      </c>
      <c r="AL77" s="107">
        <v>0.059535660062284154</v>
      </c>
      <c r="AM77" s="107">
        <v>0.0630718229167771</v>
      </c>
      <c r="AN77" s="107">
        <v>0.06655506075831226</v>
      </c>
      <c r="AO77" s="107">
        <v>0.0699957357473213</v>
      </c>
      <c r="AP77" s="107">
        <v>0.07340421004423603</v>
      </c>
      <c r="AQ77" s="107">
        <v>0.07476090469315223</v>
      </c>
      <c r="AR77" s="107">
        <v>0.07611476835527005</v>
      </c>
      <c r="AS77" s="107">
        <v>0.07746646420885708</v>
      </c>
      <c r="AT77" s="107">
        <v>0.07881665543218101</v>
      </c>
      <c r="AU77" s="109">
        <v>0.08016600520350944</v>
      </c>
      <c r="BA77" s="14"/>
      <c r="BB77" s="14"/>
      <c r="BC77" s="14"/>
      <c r="BD77" s="14"/>
      <c r="BE77" s="14"/>
      <c r="BF77" s="14"/>
      <c r="BG77" s="14"/>
      <c r="BH77" s="14"/>
      <c r="BI77" s="14"/>
      <c r="BJ77" s="14"/>
      <c r="BK77" s="14"/>
      <c r="BL77" s="14"/>
      <c r="BM77" s="14"/>
      <c r="BN77" s="171"/>
      <c r="BO77" s="23"/>
    </row>
    <row r="78">
      <c r="B78" s="152"/>
      <c r="C78" s="153"/>
      <c r="U78" s="110"/>
      <c r="V78" s="103">
        <v>4200000.0</v>
      </c>
      <c r="W78" s="288">
        <v>0.07163517393689942</v>
      </c>
      <c r="X78" s="14">
        <v>0.08282816986453993</v>
      </c>
      <c r="Y78" s="14">
        <v>0.09402116579218046</v>
      </c>
      <c r="Z78" s="14">
        <v>0.105214161719821</v>
      </c>
      <c r="AA78" s="14">
        <v>0.11640715764746154</v>
      </c>
      <c r="AB78" s="14">
        <v>0.12760015357510207</v>
      </c>
      <c r="AC78" s="120">
        <v>0.13879314950274263</v>
      </c>
      <c r="AD78" s="51"/>
      <c r="AE78" s="51"/>
      <c r="AF78" s="51"/>
      <c r="AG78" s="51"/>
      <c r="AH78" s="51"/>
      <c r="AI78" s="51"/>
      <c r="AJ78" s="110"/>
      <c r="AK78" s="445">
        <v>4200000.0</v>
      </c>
      <c r="AL78" s="446">
        <v>0.058100854997822186</v>
      </c>
      <c r="AM78" s="446">
        <v>0.06155179658547975</v>
      </c>
      <c r="AN78" s="446">
        <v>0.06495108864913099</v>
      </c>
      <c r="AO78" s="446">
        <v>0.06830884362189711</v>
      </c>
      <c r="AP78" s="446">
        <v>0.07163517393689942</v>
      </c>
      <c r="AQ78" s="446">
        <v>0.0729591723437456</v>
      </c>
      <c r="AR78" s="446">
        <v>0.07428040799036874</v>
      </c>
      <c r="AS78" s="446">
        <v>0.07559952807248856</v>
      </c>
      <c r="AT78" s="446">
        <v>0.07691717978582487</v>
      </c>
      <c r="AU78" s="447">
        <v>0.07823401032609736</v>
      </c>
      <c r="BA78" s="14"/>
      <c r="BB78" s="14"/>
      <c r="BC78" s="14"/>
      <c r="BD78" s="14"/>
      <c r="BE78" s="14"/>
      <c r="BF78" s="14"/>
      <c r="BG78" s="14"/>
      <c r="BH78" s="14"/>
      <c r="BI78" s="14"/>
      <c r="BJ78" s="14"/>
      <c r="BK78" s="14"/>
      <c r="BL78" s="14"/>
      <c r="BM78" s="14"/>
      <c r="BN78" s="171"/>
      <c r="BO78" s="23"/>
    </row>
    <row r="79">
      <c r="B79" s="152"/>
      <c r="C79" s="153"/>
      <c r="U79" s="110"/>
      <c r="V79" s="103">
        <v>5000000.0</v>
      </c>
      <c r="W79" s="288">
        <v>0.06565472139743384</v>
      </c>
      <c r="X79" s="14">
        <v>0.07591327161578289</v>
      </c>
      <c r="Y79" s="14">
        <v>0.08617182183413191</v>
      </c>
      <c r="Z79" s="14">
        <v>0.09643037205248098</v>
      </c>
      <c r="AA79" s="14">
        <v>0.10668892227083</v>
      </c>
      <c r="AB79" s="14">
        <v>0.11694747248917904</v>
      </c>
      <c r="AC79" s="120">
        <v>0.1272060227075281</v>
      </c>
      <c r="AD79" s="51"/>
      <c r="AE79" s="51"/>
      <c r="AF79" s="51"/>
      <c r="AG79" s="51"/>
      <c r="AH79" s="51"/>
      <c r="AI79" s="51"/>
      <c r="AJ79" s="110"/>
      <c r="AK79" s="448">
        <v>5000000.0</v>
      </c>
      <c r="AL79" s="107">
        <v>0.053250313193834685</v>
      </c>
      <c r="AM79" s="107">
        <v>0.05641315340269705</v>
      </c>
      <c r="AN79" s="107">
        <v>0.05952865604088594</v>
      </c>
      <c r="AO79" s="107">
        <v>0.062606089306449</v>
      </c>
      <c r="AP79" s="107">
        <v>0.06565472139743384</v>
      </c>
      <c r="AQ79" s="107">
        <v>0.06686818598130856</v>
      </c>
      <c r="AR79" s="107">
        <v>0.06807911845361345</v>
      </c>
      <c r="AS79" s="107">
        <v>0.06928811197902356</v>
      </c>
      <c r="AT79" s="107">
        <v>0.07049575972221392</v>
      </c>
      <c r="AU79" s="109">
        <v>0.07170265484785959</v>
      </c>
      <c r="BA79" s="14"/>
      <c r="BB79" s="14"/>
      <c r="BC79" s="14"/>
      <c r="BD79" s="14"/>
      <c r="BE79" s="14"/>
      <c r="BF79" s="14"/>
      <c r="BG79" s="14"/>
      <c r="BH79" s="14"/>
      <c r="BI79" s="14"/>
      <c r="BJ79" s="14"/>
      <c r="BK79" s="14"/>
      <c r="BL79" s="14"/>
      <c r="BM79" s="14"/>
      <c r="BN79" s="171"/>
      <c r="BO79" s="23"/>
    </row>
    <row r="80">
      <c r="B80" s="152"/>
      <c r="C80" s="153"/>
      <c r="U80" s="110"/>
      <c r="V80" s="103">
        <v>5500000.0</v>
      </c>
      <c r="W80" s="288">
        <v>0.06259932065979529</v>
      </c>
      <c r="X80" s="14">
        <v>0.07238046451288828</v>
      </c>
      <c r="Y80" s="14">
        <v>0.08216160836598127</v>
      </c>
      <c r="Z80" s="14">
        <v>0.09194275221907429</v>
      </c>
      <c r="AA80" s="14">
        <v>0.10172389607216731</v>
      </c>
      <c r="AB80" s="14">
        <v>0.11150503992526029</v>
      </c>
      <c r="AC80" s="120">
        <v>0.12128618377835333</v>
      </c>
      <c r="AD80" s="51"/>
      <c r="AE80" s="51"/>
      <c r="AF80" s="51"/>
      <c r="AG80" s="51"/>
      <c r="AH80" s="51"/>
      <c r="AI80" s="51"/>
      <c r="AJ80" s="110"/>
      <c r="AK80" s="301">
        <f t="shared" ref="AK80:AK89" si="27">AK79+500000</f>
        <v>5500000</v>
      </c>
      <c r="AL80" s="107">
        <v>0.05077218149593236</v>
      </c>
      <c r="AM80" s="107">
        <v>0.05378783131084435</v>
      </c>
      <c r="AN80" s="107">
        <v>0.0567583465230534</v>
      </c>
      <c r="AO80" s="107">
        <v>0.05969256401266766</v>
      </c>
      <c r="AP80" s="107">
        <v>0.06259932065979529</v>
      </c>
      <c r="AQ80" s="107">
        <v>0.06375631374389429</v>
      </c>
      <c r="AR80" s="107">
        <v>0.06491089255433968</v>
      </c>
      <c r="AS80" s="107">
        <v>0.06606362265145835</v>
      </c>
      <c r="AT80" s="107">
        <v>0.06721506959557724</v>
      </c>
      <c r="AU80" s="109">
        <v>0.06836579894702323</v>
      </c>
      <c r="BA80" s="14"/>
      <c r="BB80" s="14"/>
      <c r="BC80" s="14"/>
      <c r="BD80" s="14"/>
      <c r="BE80" s="14"/>
      <c r="BF80" s="14"/>
      <c r="BG80" s="14"/>
      <c r="BH80" s="14"/>
      <c r="BI80" s="14"/>
      <c r="BJ80" s="14"/>
      <c r="BK80" s="14"/>
      <c r="BL80" s="14"/>
      <c r="BM80" s="14"/>
      <c r="BN80" s="171"/>
      <c r="BO80" s="23"/>
    </row>
    <row r="81">
      <c r="B81" s="152"/>
      <c r="C81" s="153"/>
      <c r="U81" s="110"/>
      <c r="V81" s="93">
        <f t="shared" ref="V81:V88" si="28">V80+500000</f>
        <v>6000000</v>
      </c>
      <c r="W81" s="288">
        <v>0.05993428652681938</v>
      </c>
      <c r="X81" s="14">
        <v>0.06929901879663491</v>
      </c>
      <c r="Y81" s="14">
        <v>0.07866375106645042</v>
      </c>
      <c r="Z81" s="14">
        <v>0.08802848333626595</v>
      </c>
      <c r="AA81" s="14">
        <v>0.0973932156060815</v>
      </c>
      <c r="AB81" s="14">
        <v>0.10675794787589706</v>
      </c>
      <c r="AC81" s="120">
        <v>0.11612268014571255</v>
      </c>
      <c r="AD81" s="51"/>
      <c r="AE81" s="51"/>
      <c r="AF81" s="51"/>
      <c r="AG81" s="51"/>
      <c r="AH81" s="51"/>
      <c r="AI81" s="51"/>
      <c r="AJ81" s="110"/>
      <c r="AK81" s="301">
        <f t="shared" si="27"/>
        <v>6000000</v>
      </c>
      <c r="AL81" s="111">
        <v>0.048610662884130386</v>
      </c>
      <c r="AM81" s="111">
        <v>0.05149792776442752</v>
      </c>
      <c r="AN81" s="111">
        <v>0.05434197955259902</v>
      </c>
      <c r="AO81" s="111">
        <v>0.057151278917208476</v>
      </c>
      <c r="AP81" s="111">
        <v>0.05993428652681938</v>
      </c>
      <c r="AQ81" s="111">
        <v>0.06104202306902239</v>
      </c>
      <c r="AR81" s="111">
        <v>0.06214744812018387</v>
      </c>
      <c r="AS81" s="111">
        <v>0.06325110316309188</v>
      </c>
      <c r="AT81" s="111">
        <v>0.06435352968053448</v>
      </c>
      <c r="AU81" s="113">
        <v>0.06545526915529977</v>
      </c>
      <c r="BA81" s="14"/>
      <c r="BB81" s="14"/>
      <c r="BC81" s="14"/>
      <c r="BD81" s="14"/>
      <c r="BE81" s="14"/>
      <c r="BF81" s="14"/>
      <c r="BG81" s="14"/>
      <c r="BH81" s="14"/>
      <c r="BI81" s="14"/>
      <c r="BJ81" s="14"/>
      <c r="BK81" s="14"/>
      <c r="BL81" s="14"/>
      <c r="BM81" s="14"/>
      <c r="BN81" s="171"/>
      <c r="BO81" s="23"/>
    </row>
    <row r="82">
      <c r="B82" s="152"/>
      <c r="C82" s="153"/>
      <c r="U82" s="110"/>
      <c r="V82" s="93">
        <f t="shared" si="28"/>
        <v>6500000</v>
      </c>
      <c r="W82" s="288">
        <v>0.05758299990698816</v>
      </c>
      <c r="X82" s="14">
        <v>0.06658034364245506</v>
      </c>
      <c r="Y82" s="14">
        <v>0.07557768737792196</v>
      </c>
      <c r="Z82" s="14">
        <v>0.08457503111338886</v>
      </c>
      <c r="AA82" s="14">
        <v>0.09357237484885574</v>
      </c>
      <c r="AB82" s="14">
        <v>0.10256971858432266</v>
      </c>
      <c r="AC82" s="120">
        <v>0.11156706231978955</v>
      </c>
      <c r="AD82" s="51"/>
      <c r="AE82" s="51"/>
      <c r="AF82" s="51"/>
      <c r="AG82" s="51"/>
      <c r="AH82" s="51"/>
      <c r="AI82" s="51"/>
      <c r="AJ82" s="110"/>
      <c r="AK82" s="301">
        <f t="shared" si="27"/>
        <v>6500000</v>
      </c>
      <c r="AL82" s="107">
        <v>0.046703614217263614</v>
      </c>
      <c r="AM82" s="107">
        <v>0.04947760858623309</v>
      </c>
      <c r="AN82" s="107">
        <v>0.052210085159228856</v>
      </c>
      <c r="AO82" s="107">
        <v>0.05490917268367313</v>
      </c>
      <c r="AP82" s="107">
        <v>0.05758299990698816</v>
      </c>
      <c r="AQ82" s="107">
        <v>0.058647278751420555</v>
      </c>
      <c r="AR82" s="107">
        <v>0.05970933678709484</v>
      </c>
      <c r="AS82" s="107">
        <v>0.06076969425384604</v>
      </c>
      <c r="AT82" s="107">
        <v>0.06182887139150918</v>
      </c>
      <c r="AU82" s="109">
        <v>0.06288738843991928</v>
      </c>
      <c r="BA82" s="14"/>
      <c r="BB82" s="14"/>
      <c r="BC82" s="14"/>
      <c r="BD82" s="14"/>
      <c r="BE82" s="14"/>
      <c r="BF82" s="14"/>
      <c r="BG82" s="14"/>
      <c r="BH82" s="14"/>
      <c r="BI82" s="14"/>
      <c r="BJ82" s="14"/>
      <c r="BK82" s="14"/>
      <c r="BL82" s="14"/>
      <c r="BM82" s="14"/>
      <c r="BN82" s="171"/>
      <c r="BO82" s="23"/>
    </row>
    <row r="83">
      <c r="B83" s="152"/>
      <c r="C83" s="153"/>
      <c r="U83" s="110"/>
      <c r="V83" s="93">
        <f t="shared" si="28"/>
        <v>7000000</v>
      </c>
      <c r="W83" s="288">
        <v>0.05548836713205659</v>
      </c>
      <c r="X83" s="14">
        <v>0.06415842449644045</v>
      </c>
      <c r="Y83" s="14">
        <v>0.07282848186082427</v>
      </c>
      <c r="Z83" s="14">
        <v>0.08149853922520814</v>
      </c>
      <c r="AA83" s="14">
        <v>0.09016859658959196</v>
      </c>
      <c r="AB83" s="14">
        <v>0.0988386539539758</v>
      </c>
      <c r="AC83" s="120">
        <v>0.10750871131835962</v>
      </c>
      <c r="AD83" s="51"/>
      <c r="AE83" s="51"/>
      <c r="AF83" s="51"/>
      <c r="AG83" s="51"/>
      <c r="AH83" s="51"/>
      <c r="AI83" s="51"/>
      <c r="AJ83" s="110"/>
      <c r="AK83" s="301">
        <f t="shared" si="27"/>
        <v>7000000</v>
      </c>
      <c r="AL83" s="107">
        <v>0.04500472876139545</v>
      </c>
      <c r="AM83" s="107">
        <v>0.047677816620941914</v>
      </c>
      <c r="AN83" s="107">
        <v>0.05031089693122518</v>
      </c>
      <c r="AO83" s="107">
        <v>0.05291180274925883</v>
      </c>
      <c r="AP83" s="107">
        <v>0.05548836713205659</v>
      </c>
      <c r="AQ83" s="107">
        <v>0.05651393188808069</v>
      </c>
      <c r="AR83" s="107">
        <v>0.057537356619238075</v>
      </c>
      <c r="AS83" s="107">
        <v>0.058559142641177654</v>
      </c>
      <c r="AT83" s="107">
        <v>0.05957979126954828</v>
      </c>
      <c r="AU83" s="109">
        <v>0.06059980381999883</v>
      </c>
      <c r="BA83" s="14"/>
      <c r="BB83" s="14"/>
      <c r="BC83" s="14"/>
      <c r="BD83" s="14"/>
      <c r="BE83" s="14"/>
      <c r="BF83" s="14"/>
      <c r="BG83" s="14"/>
      <c r="BH83" s="14"/>
      <c r="BI83" s="14"/>
      <c r="BJ83" s="14"/>
      <c r="BK83" s="14"/>
      <c r="BL83" s="14"/>
      <c r="BM83" s="14"/>
      <c r="BN83" s="171"/>
      <c r="BO83" s="23"/>
    </row>
    <row r="84">
      <c r="B84" s="152"/>
      <c r="C84" s="153"/>
      <c r="U84" s="110"/>
      <c r="V84" s="93">
        <f t="shared" si="28"/>
        <v>7500000</v>
      </c>
      <c r="W84" s="288">
        <v>0.053606855542767146</v>
      </c>
      <c r="X84" s="14">
        <v>0.06198292672132453</v>
      </c>
      <c r="Y84" s="14">
        <v>0.07035899789988188</v>
      </c>
      <c r="Z84" s="14">
        <v>0.07873506907843926</v>
      </c>
      <c r="AA84" s="14">
        <v>0.08711114025699664</v>
      </c>
      <c r="AB84" s="14">
        <v>0.09548721143555401</v>
      </c>
      <c r="AC84" s="120">
        <v>0.10386328261411136</v>
      </c>
      <c r="AD84" s="51"/>
      <c r="AE84" s="51"/>
      <c r="AF84" s="51"/>
      <c r="AG84" s="51"/>
      <c r="AH84" s="51"/>
      <c r="AI84" s="51"/>
      <c r="AJ84" s="110"/>
      <c r="AK84" s="301">
        <f t="shared" si="27"/>
        <v>7500000</v>
      </c>
      <c r="AL84" s="107">
        <v>0.04347869865609661</v>
      </c>
      <c r="AM84" s="107">
        <v>0.04606114687265347</v>
      </c>
      <c r="AN84" s="107">
        <v>0.048604944124606</v>
      </c>
      <c r="AO84" s="107">
        <v>0.051117657863971475</v>
      </c>
      <c r="AP84" s="107">
        <v>0.053606855542767146</v>
      </c>
      <c r="AQ84" s="107">
        <v>0.05459764522657775</v>
      </c>
      <c r="AR84" s="107">
        <v>0.05558636744994905</v>
      </c>
      <c r="AS84" s="107">
        <v>0.05657350652981014</v>
      </c>
      <c r="AT84" s="107">
        <v>0.05755954678309015</v>
      </c>
      <c r="AU84" s="109">
        <v>0.0585449725267182</v>
      </c>
      <c r="BA84" s="14"/>
      <c r="BB84" s="14"/>
      <c r="BC84" s="14"/>
      <c r="BD84" s="14"/>
      <c r="BE84" s="14"/>
      <c r="BF84" s="14"/>
      <c r="BG84" s="14"/>
      <c r="BH84" s="14"/>
      <c r="BI84" s="14"/>
      <c r="BJ84" s="14"/>
      <c r="BK84" s="14"/>
      <c r="BL84" s="14"/>
      <c r="BM84" s="14"/>
      <c r="BN84" s="171"/>
      <c r="BO84" s="23"/>
    </row>
    <row r="85">
      <c r="B85" s="152"/>
      <c r="C85" s="153"/>
      <c r="U85" s="110"/>
      <c r="V85" s="93">
        <f t="shared" si="28"/>
        <v>8000000</v>
      </c>
      <c r="W85" s="288">
        <v>0.05190461468992099</v>
      </c>
      <c r="X85" s="14">
        <v>0.06001471073522113</v>
      </c>
      <c r="Y85" s="14">
        <v>0.06812480678052128</v>
      </c>
      <c r="Z85" s="14">
        <v>0.07623490282582145</v>
      </c>
      <c r="AA85" s="14">
        <v>0.08434499887112158</v>
      </c>
      <c r="AB85" s="14">
        <v>0.09245509491642177</v>
      </c>
      <c r="AC85" s="120">
        <v>0.10056519096172188</v>
      </c>
      <c r="AD85" s="51"/>
      <c r="AE85" s="51"/>
      <c r="AF85" s="51"/>
      <c r="AG85" s="51"/>
      <c r="AH85" s="51"/>
      <c r="AI85" s="51"/>
      <c r="AJ85" s="110"/>
      <c r="AK85" s="301">
        <f t="shared" si="27"/>
        <v>8000000</v>
      </c>
      <c r="AL85" s="107">
        <v>0.04209806895245824</v>
      </c>
      <c r="AM85" s="107">
        <v>0.044598513686250174</v>
      </c>
      <c r="AN85" s="107">
        <v>0.047061534784485264</v>
      </c>
      <c r="AO85" s="107">
        <v>0.04949445940107254</v>
      </c>
      <c r="AP85" s="107">
        <v>0.05190461468992099</v>
      </c>
      <c r="AQ85" s="107">
        <v>0.052863942676169125</v>
      </c>
      <c r="AR85" s="107">
        <v>0.05382126885245468</v>
      </c>
      <c r="AS85" s="107">
        <v>0.05477706215662781</v>
      </c>
      <c r="AT85" s="107">
        <v>0.05573179152653873</v>
      </c>
      <c r="AU85" s="109">
        <v>0.05668592590003757</v>
      </c>
      <c r="BA85" s="14"/>
      <c r="BB85" s="14"/>
      <c r="BC85" s="14"/>
      <c r="BD85" s="14"/>
      <c r="BE85" s="14"/>
      <c r="BF85" s="14"/>
      <c r="BG85" s="14"/>
      <c r="BH85" s="14"/>
      <c r="BI85" s="14"/>
      <c r="BJ85" s="14"/>
      <c r="BK85" s="14"/>
      <c r="BL85" s="14"/>
      <c r="BM85" s="14"/>
      <c r="BN85" s="171"/>
      <c r="BO85" s="23"/>
    </row>
    <row r="86">
      <c r="B86" s="152"/>
      <c r="C86" s="153"/>
      <c r="U86" s="110"/>
      <c r="V86" s="93">
        <f t="shared" si="28"/>
        <v>8500000</v>
      </c>
      <c r="W86" s="288">
        <v>0.05035487266436006</v>
      </c>
      <c r="X86" s="14">
        <v>0.05822282151816632</v>
      </c>
      <c r="Y86" s="14">
        <v>0.06609077037197258</v>
      </c>
      <c r="Z86" s="14">
        <v>0.07395871922577883</v>
      </c>
      <c r="AA86" s="14">
        <v>0.08182666807958512</v>
      </c>
      <c r="AB86" s="14">
        <v>0.08969461693339137</v>
      </c>
      <c r="AC86" s="120">
        <v>0.09756256578719763</v>
      </c>
      <c r="AD86" s="51"/>
      <c r="AE86" s="51"/>
      <c r="AF86" s="51"/>
      <c r="AG86" s="51"/>
      <c r="AH86" s="51"/>
      <c r="AI86" s="51"/>
      <c r="AJ86" s="110"/>
      <c r="AK86" s="301">
        <f t="shared" si="27"/>
        <v>8500000</v>
      </c>
      <c r="AL86" s="107">
        <v>0.04084112586482841</v>
      </c>
      <c r="AM86" s="107">
        <v>0.04326691357034455</v>
      </c>
      <c r="AN86" s="107">
        <v>0.04565639501649705</v>
      </c>
      <c r="AO86" s="107">
        <v>0.04801667858669813</v>
      </c>
      <c r="AP86" s="107">
        <v>0.05035487266436006</v>
      </c>
      <c r="AQ86" s="107">
        <v>0.05128555751539823</v>
      </c>
      <c r="AR86" s="107">
        <v>0.05221430032551447</v>
      </c>
      <c r="AS86" s="107">
        <v>0.05314155603124716</v>
      </c>
      <c r="AT86" s="107">
        <v>0.054067779569134715</v>
      </c>
      <c r="AU86" s="109">
        <v>0.05499342587571549</v>
      </c>
      <c r="BA86" s="14"/>
      <c r="BB86" s="14"/>
      <c r="BC86" s="14"/>
      <c r="BD86" s="14"/>
      <c r="BE86" s="14"/>
      <c r="BF86" s="14"/>
      <c r="BG86" s="14"/>
      <c r="BH86" s="14"/>
      <c r="BI86" s="14"/>
      <c r="BJ86" s="14"/>
      <c r="BK86" s="14"/>
      <c r="BL86" s="14"/>
      <c r="BM86" s="14"/>
      <c r="BN86" s="171"/>
      <c r="BO86" s="23"/>
    </row>
    <row r="87">
      <c r="B87" s="152"/>
      <c r="C87" s="153"/>
      <c r="U87" s="110"/>
      <c r="V87" s="93">
        <f t="shared" si="28"/>
        <v>9000000</v>
      </c>
      <c r="W87" s="288">
        <v>0.04893614002949068</v>
      </c>
      <c r="X87" s="14">
        <v>0.0565824119090986</v>
      </c>
      <c r="Y87" s="14">
        <v>0.06422868378870654</v>
      </c>
      <c r="Z87" s="14">
        <v>0.07187495566831444</v>
      </c>
      <c r="AA87" s="14">
        <v>0.07952122754792236</v>
      </c>
      <c r="AB87" s="14">
        <v>0.0871674994275303</v>
      </c>
      <c r="AC87" s="120">
        <v>0.09481377130713822</v>
      </c>
      <c r="AD87" s="51"/>
      <c r="AE87" s="51"/>
      <c r="AF87" s="51"/>
      <c r="AG87" s="51"/>
      <c r="AH87" s="51"/>
      <c r="AI87" s="51"/>
      <c r="AJ87" s="110"/>
      <c r="AK87" s="301">
        <f t="shared" si="27"/>
        <v>9000000</v>
      </c>
      <c r="AL87" s="107">
        <v>0.03969044004152277</v>
      </c>
      <c r="AM87" s="107">
        <v>0.04204788194451808</v>
      </c>
      <c r="AN87" s="107">
        <v>0.0443700405055415</v>
      </c>
      <c r="AO87" s="107">
        <v>0.04666382383154755</v>
      </c>
      <c r="AP87" s="107">
        <v>0.04893614002949068</v>
      </c>
      <c r="AQ87" s="107">
        <v>0.04984060312876816</v>
      </c>
      <c r="AR87" s="107">
        <v>0.050743178903513354</v>
      </c>
      <c r="AS87" s="107">
        <v>0.051644309472571384</v>
      </c>
      <c r="AT87" s="107">
        <v>0.05254443695478735</v>
      </c>
      <c r="AU87" s="109">
        <v>0.0534440034690063</v>
      </c>
      <c r="BA87" s="14"/>
      <c r="BB87" s="14"/>
      <c r="BC87" s="14"/>
      <c r="BD87" s="14"/>
      <c r="BE87" s="14"/>
      <c r="BF87" s="14"/>
      <c r="BG87" s="14"/>
      <c r="BH87" s="14"/>
      <c r="BI87" s="14"/>
      <c r="BJ87" s="14"/>
      <c r="BK87" s="14"/>
      <c r="BL87" s="14"/>
      <c r="BM87" s="14"/>
      <c r="BN87" s="171"/>
      <c r="BO87" s="23"/>
    </row>
    <row r="88">
      <c r="B88" s="152"/>
      <c r="C88" s="153"/>
      <c r="U88" s="110"/>
      <c r="V88" s="93">
        <f t="shared" si="28"/>
        <v>9500000</v>
      </c>
      <c r="W88" s="288">
        <v>0.04763094108142786</v>
      </c>
      <c r="X88" s="14">
        <v>0.05507327562540095</v>
      </c>
      <c r="Y88" s="14">
        <v>0.06251561016937406</v>
      </c>
      <c r="Z88" s="14">
        <v>0.06995794471334715</v>
      </c>
      <c r="AA88" s="14">
        <v>0.07740027925732025</v>
      </c>
      <c r="AB88" s="14">
        <v>0.08484261380129336</v>
      </c>
      <c r="AC88" s="120">
        <v>0.09228494834526646</v>
      </c>
      <c r="AD88" s="51"/>
      <c r="AE88" s="51"/>
      <c r="AF88" s="51"/>
      <c r="AG88" s="51"/>
      <c r="AH88" s="51"/>
      <c r="AI88" s="51"/>
      <c r="AJ88" s="110"/>
      <c r="AK88" s="301">
        <f t="shared" si="27"/>
        <v>9500000</v>
      </c>
      <c r="AL88" s="107">
        <v>0.038631837533046866</v>
      </c>
      <c r="AM88" s="107">
        <v>0.04092640298746951</v>
      </c>
      <c r="AN88" s="107">
        <v>0.043186626158630635</v>
      </c>
      <c r="AO88" s="107">
        <v>0.04541923090409512</v>
      </c>
      <c r="AP88" s="107">
        <v>0.04763094108142786</v>
      </c>
      <c r="AQ88" s="107">
        <v>0.048511280817378585</v>
      </c>
      <c r="AR88" s="107">
        <v>0.04938978356652279</v>
      </c>
      <c r="AS88" s="107">
        <v>0.050266879655744584</v>
      </c>
      <c r="AT88" s="107">
        <v>0.051142999411928146</v>
      </c>
      <c r="AU88" s="109">
        <v>0.05201857316195762</v>
      </c>
      <c r="BA88" s="14"/>
      <c r="BB88" s="14"/>
      <c r="BC88" s="14"/>
      <c r="BD88" s="14"/>
      <c r="BE88" s="14"/>
      <c r="BF88" s="14"/>
      <c r="BG88" s="14"/>
      <c r="BH88" s="14"/>
      <c r="BI88" s="14"/>
      <c r="BJ88" s="14"/>
      <c r="BK88" s="14"/>
      <c r="BL88" s="14"/>
      <c r="BM88" s="14"/>
      <c r="BN88" s="171"/>
      <c r="BO88" s="23"/>
    </row>
    <row r="89">
      <c r="B89" s="152"/>
      <c r="C89" s="153"/>
      <c r="U89" s="146"/>
      <c r="V89" s="279">
        <v>1.0E7</v>
      </c>
      <c r="W89" s="404">
        <v>0.046424898717039</v>
      </c>
      <c r="X89" s="296">
        <v>0.053678789141576345</v>
      </c>
      <c r="Y89" s="296">
        <v>0.06093267956611368</v>
      </c>
      <c r="Z89" s="296">
        <v>0.06818656999065104</v>
      </c>
      <c r="AA89" s="296">
        <v>0.07544046041518837</v>
      </c>
      <c r="AB89" s="296">
        <v>0.08269435083972572</v>
      </c>
      <c r="AC89" s="297">
        <v>0.08994824126426305</v>
      </c>
      <c r="AD89" s="51"/>
      <c r="AE89" s="51"/>
      <c r="AF89" s="51"/>
      <c r="AG89" s="51"/>
      <c r="AH89" s="51"/>
      <c r="AI89" s="51"/>
      <c r="AJ89" s="146"/>
      <c r="AK89" s="449">
        <f t="shared" si="27"/>
        <v>10000000</v>
      </c>
      <c r="AL89" s="160">
        <v>0.037653657559668</v>
      </c>
      <c r="AM89" s="160">
        <v>0.03989012331916406</v>
      </c>
      <c r="AN89" s="160">
        <v>0.042093116361431995</v>
      </c>
      <c r="AO89" s="160">
        <v>0.044269190292160684</v>
      </c>
      <c r="AP89" s="160">
        <v>0.046424898717039</v>
      </c>
      <c r="AQ89" s="160">
        <v>0.04728294775302652</v>
      </c>
      <c r="AR89" s="160">
        <v>0.0481392063157523</v>
      </c>
      <c r="AS89" s="160">
        <v>0.048994093835980405</v>
      </c>
      <c r="AT89" s="160">
        <v>0.049848029744474956</v>
      </c>
      <c r="AU89" s="162">
        <v>0.050701433472000006</v>
      </c>
      <c r="BA89" s="14"/>
      <c r="BB89" s="14"/>
      <c r="BC89" s="14"/>
      <c r="BD89" s="14"/>
      <c r="BE89" s="14"/>
      <c r="BF89" s="14"/>
      <c r="BG89" s="14"/>
      <c r="BH89" s="14"/>
      <c r="BI89" s="14"/>
      <c r="BJ89" s="14"/>
      <c r="BK89" s="14"/>
      <c r="BL89" s="14"/>
      <c r="BM89" s="14"/>
      <c r="BN89" s="171"/>
      <c r="BO89" s="23"/>
    </row>
    <row r="90">
      <c r="B90" s="152"/>
      <c r="C90" s="153"/>
      <c r="AD90" s="51"/>
      <c r="AE90" s="51"/>
      <c r="AF90" s="51"/>
      <c r="AG90" s="51"/>
      <c r="AH90" s="51"/>
      <c r="AI90" s="51"/>
      <c r="AJ90" s="51"/>
      <c r="AK90" s="51"/>
      <c r="AL90" s="51"/>
      <c r="AM90" s="51"/>
      <c r="AN90" s="51"/>
      <c r="AO90" s="51"/>
      <c r="AP90" s="51"/>
      <c r="BA90" s="14"/>
      <c r="BB90" s="14"/>
      <c r="BC90" s="14"/>
      <c r="BD90" s="14"/>
      <c r="BE90" s="14"/>
      <c r="BF90" s="14"/>
      <c r="BG90" s="14"/>
      <c r="BH90" s="14"/>
      <c r="BI90" s="14"/>
      <c r="BJ90" s="14"/>
      <c r="BK90" s="14"/>
      <c r="BL90" s="14"/>
      <c r="BM90" s="14"/>
      <c r="BN90" s="171"/>
      <c r="BO90" s="23"/>
    </row>
    <row r="91">
      <c r="AZ91" s="178"/>
      <c r="BA91" s="178"/>
      <c r="BB91" s="178"/>
      <c r="BC91" s="178"/>
      <c r="BD91" s="178"/>
      <c r="BE91" s="178"/>
      <c r="BF91" s="178"/>
      <c r="BG91" s="178"/>
      <c r="BH91" s="171"/>
      <c r="BI91" s="171"/>
      <c r="BJ91" s="171"/>
      <c r="BK91" s="171"/>
      <c r="BL91" s="171"/>
      <c r="BM91" s="171"/>
      <c r="BN91" s="171"/>
      <c r="BO91" s="23"/>
    </row>
    <row r="92" ht="24.0" customHeight="1">
      <c r="U92" s="70" t="s">
        <v>86</v>
      </c>
      <c r="V92" s="71"/>
      <c r="W92" s="71"/>
      <c r="X92" s="71"/>
      <c r="Y92" s="71"/>
      <c r="Z92" s="71"/>
      <c r="AA92" s="71"/>
      <c r="AB92" s="71"/>
      <c r="AC92" s="18"/>
      <c r="AD92" s="23"/>
      <c r="AE92" s="23"/>
      <c r="AF92" s="23"/>
      <c r="AG92" s="23"/>
      <c r="AH92" s="23"/>
      <c r="AI92" s="23"/>
      <c r="AJ92" s="70" t="s">
        <v>86</v>
      </c>
      <c r="AK92" s="71"/>
      <c r="AL92" s="71"/>
      <c r="AM92" s="71"/>
      <c r="AN92" s="71"/>
      <c r="AO92" s="71"/>
      <c r="AP92" s="71"/>
      <c r="AQ92" s="71"/>
      <c r="AR92" s="71"/>
      <c r="AS92" s="71"/>
      <c r="AT92" s="71"/>
      <c r="AU92" s="18"/>
      <c r="AV92" s="172"/>
      <c r="AW92" s="172"/>
      <c r="AX92" s="172"/>
      <c r="AY92" s="172"/>
      <c r="AZ92" s="172"/>
      <c r="BA92" s="172"/>
      <c r="BB92" s="172"/>
      <c r="BC92" s="172"/>
      <c r="BD92" s="172"/>
      <c r="BE92" s="172"/>
      <c r="BF92" s="172"/>
      <c r="BG92" s="172"/>
      <c r="BH92" s="172"/>
      <c r="BI92" s="172"/>
      <c r="BJ92" s="172"/>
      <c r="BK92" s="172"/>
      <c r="BL92" s="172"/>
      <c r="BM92" s="172"/>
      <c r="BN92" s="171"/>
      <c r="BO92" s="23"/>
    </row>
    <row r="93">
      <c r="U93" s="77" t="s">
        <v>57</v>
      </c>
      <c r="AC93" s="78"/>
      <c r="AD93" s="212"/>
      <c r="AE93" s="212"/>
      <c r="AF93" s="212"/>
      <c r="AG93" s="212"/>
      <c r="AH93" s="225"/>
      <c r="AI93" s="225"/>
      <c r="AJ93" s="85" t="s">
        <v>58</v>
      </c>
      <c r="AK93" s="182"/>
      <c r="AL93" s="182"/>
      <c r="AM93" s="182"/>
      <c r="AN93" s="183" t="s">
        <v>59</v>
      </c>
      <c r="AO93" s="183"/>
      <c r="AP93" s="183"/>
      <c r="AQ93" s="183"/>
      <c r="AR93" s="183"/>
      <c r="AS93" s="183"/>
      <c r="AT93" s="183"/>
      <c r="AU93" s="184"/>
      <c r="AV93" s="450"/>
      <c r="BE93" s="173"/>
      <c r="BF93" s="173"/>
      <c r="BG93" s="173"/>
      <c r="BH93" s="173"/>
      <c r="BI93" s="173"/>
      <c r="BJ93" s="173"/>
      <c r="BK93" s="173"/>
      <c r="BL93" s="173"/>
      <c r="BM93" s="173"/>
      <c r="BT93" s="179"/>
      <c r="BU93" s="179"/>
      <c r="BV93" s="179"/>
      <c r="BW93" s="179"/>
      <c r="BX93" s="179"/>
      <c r="BY93" s="179"/>
      <c r="BZ93" s="179"/>
      <c r="CA93" s="179"/>
      <c r="CB93" s="179"/>
    </row>
    <row r="94">
      <c r="U94" s="90"/>
      <c r="V94" s="239">
        <f>$F$48</f>
        <v>0.1640734531</v>
      </c>
      <c r="W94" s="240">
        <v>64.0</v>
      </c>
      <c r="X94" s="241">
        <f t="shared" ref="X94:AC94" si="29">W94+10</f>
        <v>74</v>
      </c>
      <c r="Y94" s="241">
        <f t="shared" si="29"/>
        <v>84</v>
      </c>
      <c r="Z94" s="241">
        <f t="shared" si="29"/>
        <v>94</v>
      </c>
      <c r="AA94" s="241">
        <f t="shared" si="29"/>
        <v>104</v>
      </c>
      <c r="AB94" s="241">
        <f t="shared" si="29"/>
        <v>114</v>
      </c>
      <c r="AC94" s="242">
        <f t="shared" si="29"/>
        <v>124</v>
      </c>
      <c r="AD94" s="177"/>
      <c r="AE94" s="177"/>
      <c r="AF94" s="177"/>
      <c r="AG94" s="177"/>
      <c r="AH94" s="177"/>
      <c r="AI94" s="177"/>
      <c r="AJ94" s="90"/>
      <c r="AK94" s="239">
        <f>$F$48</f>
        <v>0.1640734531</v>
      </c>
      <c r="AL94" s="386">
        <f t="shared" ref="AL94:AN94" si="30">AM94-0.05</f>
        <v>0.7</v>
      </c>
      <c r="AM94" s="386">
        <f t="shared" si="30"/>
        <v>0.75</v>
      </c>
      <c r="AN94" s="386">
        <f t="shared" si="30"/>
        <v>0.8</v>
      </c>
      <c r="AO94" s="119">
        <v>0.85</v>
      </c>
      <c r="AP94" s="387">
        <v>0.9</v>
      </c>
      <c r="AQ94" s="386">
        <f t="shared" ref="AQ94:AU94" si="31">AP94+0.02</f>
        <v>0.92</v>
      </c>
      <c r="AR94" s="386">
        <f t="shared" si="31"/>
        <v>0.94</v>
      </c>
      <c r="AS94" s="386">
        <f t="shared" si="31"/>
        <v>0.96</v>
      </c>
      <c r="AT94" s="386">
        <f t="shared" si="31"/>
        <v>0.98</v>
      </c>
      <c r="AU94" s="388">
        <f t="shared" si="31"/>
        <v>1</v>
      </c>
      <c r="AV94" s="451"/>
      <c r="AW94" s="451"/>
      <c r="AX94" s="451"/>
      <c r="AY94" s="451"/>
      <c r="AZ94" s="452"/>
      <c r="BA94" s="452"/>
      <c r="BB94" s="451"/>
      <c r="BC94" s="451"/>
      <c r="BD94" s="451"/>
      <c r="BE94" s="451"/>
      <c r="BF94" s="451"/>
      <c r="BG94" s="174"/>
      <c r="BH94" s="174"/>
      <c r="BI94" s="174"/>
      <c r="BJ94" s="174"/>
      <c r="BK94" s="174"/>
      <c r="BL94" s="174"/>
      <c r="BM94" s="174"/>
    </row>
    <row r="95">
      <c r="U95" s="102" t="s">
        <v>66</v>
      </c>
      <c r="V95" s="103">
        <v>2000000.0</v>
      </c>
      <c r="W95" s="288">
        <v>0.05815483828882262</v>
      </c>
      <c r="X95" s="14">
        <v>0.0743750303794229</v>
      </c>
      <c r="Y95" s="14">
        <v>0.0905952224700232</v>
      </c>
      <c r="Z95" s="14">
        <v>0.10681541456062353</v>
      </c>
      <c r="AA95" s="14">
        <v>0.1230356066512238</v>
      </c>
      <c r="AB95" s="14">
        <v>0.13925579874182417</v>
      </c>
      <c r="AC95" s="120">
        <v>0.15547599083242444</v>
      </c>
      <c r="AD95" s="51"/>
      <c r="AE95" s="51"/>
      <c r="AF95" s="51"/>
      <c r="AG95" s="51"/>
      <c r="AH95" s="51"/>
      <c r="AI95" s="51"/>
      <c r="AJ95" s="102" t="s">
        <v>66</v>
      </c>
      <c r="AK95" s="103">
        <v>2000000.0</v>
      </c>
      <c r="AL95" s="14">
        <v>0.038659736277290836</v>
      </c>
      <c r="AM95" s="14">
        <v>0.04366062574487471</v>
      </c>
      <c r="AN95" s="14">
        <v>0.04858666794134489</v>
      </c>
      <c r="AO95" s="14">
        <v>0.05345251717451943</v>
      </c>
      <c r="AP95" s="288">
        <v>0.05827282775221634</v>
      </c>
      <c r="AQ95" s="14">
        <v>0.06019148372471261</v>
      </c>
      <c r="AR95" s="14">
        <v>0.06210613607728372</v>
      </c>
      <c r="AS95" s="14">
        <v>0.06401772268562998</v>
      </c>
      <c r="AT95" s="14">
        <v>0.06592718142545183</v>
      </c>
      <c r="AU95" s="120">
        <v>0.0678354501724495</v>
      </c>
      <c r="AV95" s="453"/>
      <c r="AW95" s="453"/>
      <c r="AX95" s="453"/>
      <c r="AY95" s="453"/>
      <c r="AZ95" s="453"/>
      <c r="BA95" s="453"/>
      <c r="BB95" s="453"/>
      <c r="BC95" s="453"/>
      <c r="BD95" s="453"/>
      <c r="BE95" s="453"/>
      <c r="BF95" s="453"/>
      <c r="BG95" s="175"/>
      <c r="BH95" s="175"/>
      <c r="BI95" s="175"/>
      <c r="BJ95" s="175"/>
      <c r="BK95" s="175"/>
      <c r="BL95" s="175"/>
      <c r="BM95" s="175"/>
    </row>
    <row r="96">
      <c r="U96" s="110"/>
      <c r="V96" s="93">
        <f t="shared" ref="V96:V99" si="32">V95+500000</f>
        <v>2500000</v>
      </c>
      <c r="W96" s="454">
        <v>0.04719540634305863</v>
      </c>
      <c r="X96" s="123">
        <v>0.061703187192133344</v>
      </c>
      <c r="Y96" s="123">
        <v>0.07621096804120801</v>
      </c>
      <c r="Z96" s="123">
        <v>0.09071874889028272</v>
      </c>
      <c r="AA96" s="123">
        <v>0.10522652973935738</v>
      </c>
      <c r="AB96" s="123">
        <v>0.11973431058843209</v>
      </c>
      <c r="AC96" s="124">
        <v>0.1342420914375068</v>
      </c>
      <c r="AD96" s="144"/>
      <c r="AE96" s="144"/>
      <c r="AF96" s="144"/>
      <c r="AG96" s="144"/>
      <c r="AH96" s="144"/>
      <c r="AI96" s="144"/>
      <c r="AJ96" s="110"/>
      <c r="AK96" s="93">
        <f t="shared" ref="AK96:AK99" si="33">AK95+500000</f>
        <v>2500000</v>
      </c>
      <c r="AL96" s="123">
        <v>0.029770913491710356</v>
      </c>
      <c r="AM96" s="123">
        <v>0.03424384501070248</v>
      </c>
      <c r="AN96" s="123">
        <v>0.03864983109523835</v>
      </c>
      <c r="AO96" s="123">
        <v>0.04300197895669572</v>
      </c>
      <c r="AP96" s="454">
        <v>0.04731339580645236</v>
      </c>
      <c r="AQ96" s="123">
        <v>0.0490294938784274</v>
      </c>
      <c r="AR96" s="123">
        <v>0.05074201100387897</v>
      </c>
      <c r="AS96" s="123">
        <v>0.05245178604433516</v>
      </c>
      <c r="AT96" s="123">
        <v>0.05415965786132427</v>
      </c>
      <c r="AU96" s="124">
        <v>0.05586646531637436</v>
      </c>
      <c r="AV96" s="453"/>
      <c r="AW96" s="453"/>
      <c r="AX96" s="453"/>
      <c r="AY96" s="453"/>
      <c r="AZ96" s="453"/>
      <c r="BA96" s="453"/>
      <c r="BB96" s="453"/>
      <c r="BC96" s="453"/>
      <c r="BD96" s="453"/>
      <c r="BE96" s="453"/>
      <c r="BF96" s="453"/>
      <c r="BG96" s="175"/>
      <c r="BH96" s="175"/>
      <c r="BI96" s="175"/>
      <c r="BJ96" s="175"/>
      <c r="BK96" s="175"/>
      <c r="BL96" s="175"/>
      <c r="BM96" s="175"/>
    </row>
    <row r="97">
      <c r="U97" s="110"/>
      <c r="V97" s="93">
        <f t="shared" si="32"/>
        <v>3000000</v>
      </c>
      <c r="W97" s="288">
        <v>0.03910548976636364</v>
      </c>
      <c r="X97" s="14">
        <v>0.05234922115032974</v>
      </c>
      <c r="Y97" s="14">
        <v>0.06559295253429588</v>
      </c>
      <c r="Z97" s="14">
        <v>0.07883668391826194</v>
      </c>
      <c r="AA97" s="14">
        <v>0.09208041530222807</v>
      </c>
      <c r="AB97" s="14">
        <v>0.10532414668619412</v>
      </c>
      <c r="AC97" s="120">
        <v>0.11856787807016027</v>
      </c>
      <c r="AD97" s="51"/>
      <c r="AE97" s="51"/>
      <c r="AF97" s="51"/>
      <c r="AG97" s="51"/>
      <c r="AH97" s="51"/>
      <c r="AI97" s="51"/>
      <c r="AJ97" s="110"/>
      <c r="AK97" s="93">
        <f t="shared" si="33"/>
        <v>3000000</v>
      </c>
      <c r="AL97" s="14">
        <v>0.023209457099057952</v>
      </c>
      <c r="AM97" s="14">
        <v>0.027292666250937687</v>
      </c>
      <c r="AN97" s="14">
        <v>0.031314762861861294</v>
      </c>
      <c r="AO97" s="14">
        <v>0.03528771212405809</v>
      </c>
      <c r="AP97" s="288">
        <v>0.03922347922975736</v>
      </c>
      <c r="AQ97" s="14">
        <v>0.040790055271277124</v>
      </c>
      <c r="AR97" s="14">
        <v>0.042353362370816675</v>
      </c>
      <c r="AS97" s="14">
        <v>0.04391416630067866</v>
      </c>
      <c r="AT97" s="14">
        <v>0.045473232833165705</v>
      </c>
      <c r="AU97" s="120">
        <v>0.0470313277405806</v>
      </c>
      <c r="AV97" s="453"/>
      <c r="AW97" s="453"/>
      <c r="AX97" s="453"/>
      <c r="AY97" s="453"/>
      <c r="AZ97" s="453"/>
      <c r="BA97" s="453"/>
      <c r="BB97" s="453"/>
      <c r="BC97" s="453"/>
      <c r="BD97" s="453"/>
      <c r="BE97" s="453"/>
      <c r="BF97" s="453"/>
      <c r="BG97" s="175"/>
      <c r="BH97" s="175"/>
      <c r="BI97" s="175"/>
      <c r="BJ97" s="175"/>
      <c r="BK97" s="175"/>
      <c r="BL97" s="175"/>
      <c r="BM97" s="175"/>
    </row>
    <row r="98">
      <c r="U98" s="110"/>
      <c r="V98" s="93">
        <f t="shared" si="32"/>
        <v>3500000</v>
      </c>
      <c r="W98" s="288">
        <v>0.03281801026107256</v>
      </c>
      <c r="X98" s="14">
        <v>0.04507932297233693</v>
      </c>
      <c r="Y98" s="14">
        <v>0.057340635683601295</v>
      </c>
      <c r="Z98" s="14">
        <v>0.06960194839486565</v>
      </c>
      <c r="AA98" s="14">
        <v>0.08186326110613001</v>
      </c>
      <c r="AB98" s="14">
        <v>0.09412457381739438</v>
      </c>
      <c r="AC98" s="120">
        <v>0.10638588652865874</v>
      </c>
      <c r="AD98" s="51"/>
      <c r="AE98" s="51"/>
      <c r="AF98" s="51"/>
      <c r="AG98" s="51"/>
      <c r="AH98" s="51"/>
      <c r="AI98" s="51"/>
      <c r="AJ98" s="110"/>
      <c r="AK98" s="93">
        <f t="shared" si="33"/>
        <v>3500000</v>
      </c>
      <c r="AL98" s="14">
        <v>0.018109896157662293</v>
      </c>
      <c r="AM98" s="14">
        <v>0.021890213262047774</v>
      </c>
      <c r="AN98" s="14">
        <v>0.025613951147667922</v>
      </c>
      <c r="AO98" s="14">
        <v>0.02929218742998623</v>
      </c>
      <c r="AP98" s="288">
        <v>0.03293599972446627</v>
      </c>
      <c r="AQ98" s="14">
        <v>0.03438636731152739</v>
      </c>
      <c r="AR98" s="14">
        <v>0.03583370844639821</v>
      </c>
      <c r="AS98" s="14">
        <v>0.03727873209646842</v>
      </c>
      <c r="AT98" s="14">
        <v>0.03872214722912766</v>
      </c>
      <c r="AU98" s="120">
        <v>0.040164662811765596</v>
      </c>
      <c r="AV98" s="453"/>
      <c r="AW98" s="453"/>
      <c r="AX98" s="453"/>
      <c r="AY98" s="453"/>
      <c r="AZ98" s="453"/>
      <c r="BA98" s="453"/>
      <c r="BB98" s="453"/>
      <c r="BC98" s="453"/>
      <c r="BD98" s="453"/>
      <c r="BE98" s="453"/>
      <c r="BF98" s="453"/>
      <c r="BG98" s="175"/>
      <c r="BH98" s="175"/>
      <c r="BI98" s="175"/>
      <c r="BJ98" s="175"/>
      <c r="BK98" s="175"/>
      <c r="BL98" s="175"/>
      <c r="BM98" s="175"/>
    </row>
    <row r="99">
      <c r="U99" s="110"/>
      <c r="V99" s="93">
        <f t="shared" si="32"/>
        <v>4000000</v>
      </c>
      <c r="W99" s="288">
        <v>0.027749818953216675</v>
      </c>
      <c r="X99" s="14">
        <v>0.03921922677262859</v>
      </c>
      <c r="Y99" s="14">
        <v>0.05068863459204043</v>
      </c>
      <c r="Z99" s="14">
        <v>0.06215804241145234</v>
      </c>
      <c r="AA99" s="14">
        <v>0.07362745023086421</v>
      </c>
      <c r="AB99" s="14">
        <v>0.08509685805027609</v>
      </c>
      <c r="AC99" s="120">
        <v>0.09656626586968799</v>
      </c>
      <c r="AD99" s="51"/>
      <c r="AE99" s="51"/>
      <c r="AF99" s="51"/>
      <c r="AG99" s="51"/>
      <c r="AH99" s="51"/>
      <c r="AI99" s="51"/>
      <c r="AJ99" s="110"/>
      <c r="AK99" s="93">
        <f t="shared" si="33"/>
        <v>4000000</v>
      </c>
      <c r="AL99" s="14">
        <v>0.013999258434658513</v>
      </c>
      <c r="AM99" s="14">
        <v>0.01753542128915146</v>
      </c>
      <c r="AN99" s="14">
        <v>0.021018659130686616</v>
      </c>
      <c r="AO99" s="14">
        <v>0.024459334119695666</v>
      </c>
      <c r="AP99" s="288">
        <v>0.027867808416610382</v>
      </c>
      <c r="AQ99" s="14">
        <v>0.029224503065526593</v>
      </c>
      <c r="AR99" s="14">
        <v>0.03057836672764441</v>
      </c>
      <c r="AS99" s="14">
        <v>0.03193006258123144</v>
      </c>
      <c r="AT99" s="14">
        <v>0.03328025380455537</v>
      </c>
      <c r="AU99" s="120">
        <v>0.0346296035758838</v>
      </c>
      <c r="AV99" s="453"/>
      <c r="AW99" s="453"/>
      <c r="AX99" s="453"/>
      <c r="AY99" s="453"/>
      <c r="AZ99" s="453"/>
      <c r="BA99" s="453"/>
      <c r="BB99" s="453"/>
      <c r="BC99" s="453"/>
      <c r="BD99" s="453"/>
      <c r="BE99" s="453"/>
      <c r="BF99" s="453"/>
      <c r="BG99" s="175"/>
      <c r="BH99" s="175"/>
      <c r="BI99" s="175"/>
      <c r="BJ99" s="175"/>
      <c r="BK99" s="175"/>
      <c r="BL99" s="175"/>
      <c r="BM99" s="175"/>
    </row>
    <row r="100">
      <c r="U100" s="110"/>
      <c r="V100" s="103">
        <v>4200000.0</v>
      </c>
      <c r="W100" s="288">
        <v>0.025980782845880058</v>
      </c>
      <c r="X100" s="14">
        <v>0.03717377877352058</v>
      </c>
      <c r="Y100" s="14">
        <v>0.04836677470116111</v>
      </c>
      <c r="Z100" s="14">
        <v>0.05955977062880164</v>
      </c>
      <c r="AA100" s="14">
        <v>0.07075276655644219</v>
      </c>
      <c r="AB100" s="14">
        <v>0.08194576248408272</v>
      </c>
      <c r="AC100" s="120">
        <v>0.09313875841172328</v>
      </c>
      <c r="AD100" s="51"/>
      <c r="AE100" s="51"/>
      <c r="AF100" s="51"/>
      <c r="AG100" s="51"/>
      <c r="AH100" s="51"/>
      <c r="AI100" s="51"/>
      <c r="AJ100" s="110"/>
      <c r="AK100" s="103">
        <v>4200000.0</v>
      </c>
      <c r="AL100" s="14">
        <v>0.012564453370196545</v>
      </c>
      <c r="AM100" s="14">
        <v>0.016015394957854104</v>
      </c>
      <c r="AN100" s="14">
        <v>0.01941468702150535</v>
      </c>
      <c r="AO100" s="14">
        <v>0.022772441994271468</v>
      </c>
      <c r="AP100" s="288">
        <v>0.026098772309273776</v>
      </c>
      <c r="AQ100" s="14">
        <v>0.027422770716119958</v>
      </c>
      <c r="AR100" s="14">
        <v>0.0287440063627431</v>
      </c>
      <c r="AS100" s="14">
        <v>0.030063126444862916</v>
      </c>
      <c r="AT100" s="14">
        <v>0.03138077815819922</v>
      </c>
      <c r="AU100" s="120">
        <v>0.03269760869847173</v>
      </c>
      <c r="AV100" s="453"/>
      <c r="AW100" s="453"/>
      <c r="AX100" s="453"/>
      <c r="AY100" s="453"/>
      <c r="AZ100" s="453"/>
      <c r="BA100" s="453"/>
      <c r="BB100" s="453"/>
      <c r="BC100" s="453"/>
      <c r="BD100" s="453"/>
      <c r="BE100" s="453"/>
      <c r="BF100" s="453"/>
      <c r="BG100" s="175"/>
      <c r="BH100" s="175"/>
      <c r="BI100" s="175"/>
      <c r="BJ100" s="175"/>
      <c r="BK100" s="175"/>
      <c r="BL100" s="175"/>
      <c r="BM100" s="175"/>
    </row>
    <row r="101">
      <c r="U101" s="110"/>
      <c r="V101" s="103">
        <v>5000000.0</v>
      </c>
      <c r="W101" s="288">
        <v>0.02000033030641448</v>
      </c>
      <c r="X101" s="14">
        <v>0.030258880524763537</v>
      </c>
      <c r="Y101" s="14">
        <v>0.04051743074311256</v>
      </c>
      <c r="Z101" s="14">
        <v>0.05077598096146162</v>
      </c>
      <c r="AA101" s="14">
        <v>0.06103453117981065</v>
      </c>
      <c r="AB101" s="14">
        <v>0.07129308139815968</v>
      </c>
      <c r="AC101" s="120">
        <v>0.08155163161650875</v>
      </c>
      <c r="AD101" s="51"/>
      <c r="AE101" s="51"/>
      <c r="AF101" s="51"/>
      <c r="AG101" s="51"/>
      <c r="AH101" s="51"/>
      <c r="AI101" s="51"/>
      <c r="AJ101" s="110"/>
      <c r="AK101" s="103">
        <v>5000000.0</v>
      </c>
      <c r="AL101" s="14">
        <v>0.007713911566209042</v>
      </c>
      <c r="AM101" s="14">
        <v>0.010876751775071409</v>
      </c>
      <c r="AN101" s="14">
        <v>0.013992254413260295</v>
      </c>
      <c r="AO101" s="14">
        <v>0.017069687678823355</v>
      </c>
      <c r="AP101" s="288">
        <v>0.020118319769808192</v>
      </c>
      <c r="AQ101" s="14">
        <v>0.021331784353682912</v>
      </c>
      <c r="AR101" s="14">
        <v>0.022542716825987803</v>
      </c>
      <c r="AS101" s="14">
        <v>0.023751710351397917</v>
      </c>
      <c r="AT101" s="14">
        <v>0.024959358094588272</v>
      </c>
      <c r="AU101" s="120">
        <v>0.026166253220233953</v>
      </c>
      <c r="AV101" s="453"/>
      <c r="AW101" s="453"/>
      <c r="AX101" s="453"/>
      <c r="AY101" s="453"/>
      <c r="AZ101" s="453"/>
      <c r="BA101" s="453"/>
      <c r="BB101" s="453"/>
      <c r="BC101" s="453"/>
      <c r="BD101" s="453"/>
      <c r="BE101" s="453"/>
      <c r="BF101" s="453"/>
      <c r="BG101" s="175"/>
      <c r="BH101" s="175"/>
      <c r="BI101" s="175"/>
      <c r="BJ101" s="175"/>
      <c r="BK101" s="175"/>
      <c r="BL101" s="175"/>
      <c r="BM101" s="175"/>
    </row>
    <row r="102">
      <c r="U102" s="110"/>
      <c r="V102" s="103">
        <v>5500000.0</v>
      </c>
      <c r="W102" s="288">
        <v>0.01694492956877593</v>
      </c>
      <c r="X102" s="14">
        <v>0.026726073421868928</v>
      </c>
      <c r="Y102" s="14">
        <v>0.036507217274961916</v>
      </c>
      <c r="Z102" s="14">
        <v>0.04628836112805494</v>
      </c>
      <c r="AA102" s="14">
        <v>0.056069504981147954</v>
      </c>
      <c r="AB102" s="14">
        <v>0.06585064883424094</v>
      </c>
      <c r="AC102" s="120">
        <v>0.07563179268733398</v>
      </c>
      <c r="AD102" s="51"/>
      <c r="AE102" s="51"/>
      <c r="AF102" s="51"/>
      <c r="AG102" s="51"/>
      <c r="AH102" s="51"/>
      <c r="AI102" s="51"/>
      <c r="AJ102" s="110"/>
      <c r="AK102" s="103">
        <v>5500000.0</v>
      </c>
      <c r="AL102" s="14">
        <v>0.005235779868306712</v>
      </c>
      <c r="AM102" s="14">
        <v>0.008251429683218707</v>
      </c>
      <c r="AN102" s="14">
        <v>0.011221944895427759</v>
      </c>
      <c r="AO102" s="14">
        <v>0.014156162385042016</v>
      </c>
      <c r="AP102" s="288">
        <v>0.017062919032169645</v>
      </c>
      <c r="AQ102" s="14">
        <v>0.018219912116268642</v>
      </c>
      <c r="AR102" s="14">
        <v>0.01937449092671404</v>
      </c>
      <c r="AS102" s="14">
        <v>0.020527221023832705</v>
      </c>
      <c r="AT102" s="14">
        <v>0.021678667967951596</v>
      </c>
      <c r="AU102" s="120">
        <v>0.02282939731939759</v>
      </c>
      <c r="AV102" s="453"/>
      <c r="AW102" s="453"/>
      <c r="AX102" s="453"/>
      <c r="AY102" s="453"/>
      <c r="AZ102" s="453"/>
      <c r="BA102" s="453"/>
      <c r="BB102" s="453"/>
      <c r="BC102" s="453"/>
      <c r="BD102" s="453"/>
      <c r="BE102" s="453"/>
      <c r="BF102" s="453"/>
      <c r="BG102" s="175"/>
      <c r="BH102" s="175"/>
      <c r="BI102" s="175"/>
      <c r="BJ102" s="175"/>
      <c r="BK102" s="175"/>
      <c r="BL102" s="175"/>
      <c r="BM102" s="175"/>
    </row>
    <row r="103">
      <c r="F103" s="191"/>
      <c r="U103" s="110"/>
      <c r="V103" s="93">
        <f t="shared" ref="V103:V110" si="34">V102+500000</f>
        <v>6000000</v>
      </c>
      <c r="W103" s="455">
        <v>0.014279895435800029</v>
      </c>
      <c r="X103" s="144">
        <v>0.02364462770561556</v>
      </c>
      <c r="Y103" s="144">
        <v>0.033009359975431064</v>
      </c>
      <c r="Z103" s="144">
        <v>0.042374092245246596</v>
      </c>
      <c r="AA103" s="144">
        <v>0.05173882451506214</v>
      </c>
      <c r="AB103" s="144">
        <v>0.06110355678487768</v>
      </c>
      <c r="AC103" s="145">
        <v>0.07046828905469318</v>
      </c>
      <c r="AD103" s="144"/>
      <c r="AE103" s="144"/>
      <c r="AF103" s="144"/>
      <c r="AG103" s="144"/>
      <c r="AH103" s="144"/>
      <c r="AI103" s="144"/>
      <c r="AJ103" s="110"/>
      <c r="AK103" s="93">
        <f t="shared" ref="AK103:AK110" si="35">AK102+500000</f>
        <v>6000000</v>
      </c>
      <c r="AL103" s="144">
        <v>0.0030742612565047424</v>
      </c>
      <c r="AM103" s="144">
        <v>0.00596152613680188</v>
      </c>
      <c r="AN103" s="144">
        <v>0.00880557792497338</v>
      </c>
      <c r="AO103" s="144">
        <v>0.011614877289582836</v>
      </c>
      <c r="AP103" s="455">
        <v>0.014397884899193742</v>
      </c>
      <c r="AQ103" s="144">
        <v>0.015505621441396751</v>
      </c>
      <c r="AR103" s="144">
        <v>0.016611046492558224</v>
      </c>
      <c r="AS103" s="144">
        <v>0.01771470153546623</v>
      </c>
      <c r="AT103" s="144">
        <v>0.01881712805290884</v>
      </c>
      <c r="AU103" s="145">
        <v>0.01991886752767413</v>
      </c>
      <c r="AV103" s="453"/>
      <c r="AW103" s="453"/>
      <c r="AX103" s="453"/>
      <c r="AY103" s="453"/>
      <c r="AZ103" s="453"/>
      <c r="BA103" s="453"/>
      <c r="BB103" s="453"/>
      <c r="BC103" s="453"/>
      <c r="BD103" s="453"/>
      <c r="BE103" s="453"/>
      <c r="BF103" s="453"/>
      <c r="BG103" s="175"/>
      <c r="BH103" s="175"/>
      <c r="BI103" s="175"/>
      <c r="BJ103" s="175"/>
      <c r="BK103" s="175"/>
      <c r="BL103" s="175"/>
      <c r="BM103" s="175"/>
    </row>
    <row r="104">
      <c r="U104" s="110"/>
      <c r="V104" s="93">
        <f t="shared" si="34"/>
        <v>6500000</v>
      </c>
      <c r="W104" s="400">
        <v>0.011928608815968807</v>
      </c>
      <c r="X104" s="51">
        <v>0.02092595255143571</v>
      </c>
      <c r="Y104" s="51">
        <v>0.02992329628690261</v>
      </c>
      <c r="Z104" s="51">
        <v>0.03892064002236951</v>
      </c>
      <c r="AA104" s="51">
        <v>0.0479179837578364</v>
      </c>
      <c r="AB104" s="51">
        <v>0.0569153274933033</v>
      </c>
      <c r="AC104" s="150">
        <v>0.0659126712287702</v>
      </c>
      <c r="AD104" s="51"/>
      <c r="AE104" s="51"/>
      <c r="AF104" s="51"/>
      <c r="AG104" s="51"/>
      <c r="AH104" s="51"/>
      <c r="AI104" s="51"/>
      <c r="AJ104" s="110"/>
      <c r="AK104" s="93">
        <f t="shared" si="35"/>
        <v>6500000</v>
      </c>
      <c r="AL104" s="14">
        <v>0.0011672125896379723</v>
      </c>
      <c r="AM104" s="14">
        <v>0.003941206958607448</v>
      </c>
      <c r="AN104" s="14">
        <v>0.006673683531603211</v>
      </c>
      <c r="AO104" s="14">
        <v>0.00937277105604749</v>
      </c>
      <c r="AP104" s="288">
        <v>0.012046598279362516</v>
      </c>
      <c r="AQ104" s="14">
        <v>0.013110877123794914</v>
      </c>
      <c r="AR104" s="14">
        <v>0.014172935159469203</v>
      </c>
      <c r="AS104" s="14">
        <v>0.015233292626220396</v>
      </c>
      <c r="AT104" s="14">
        <v>0.016292469763883537</v>
      </c>
      <c r="AU104" s="120">
        <v>0.017350986812293644</v>
      </c>
      <c r="AV104" s="453"/>
      <c r="AW104" s="453"/>
      <c r="AX104" s="453"/>
      <c r="AY104" s="453"/>
      <c r="AZ104" s="453"/>
      <c r="BA104" s="453"/>
      <c r="BB104" s="453"/>
      <c r="BC104" s="453"/>
      <c r="BD104" s="453"/>
      <c r="BE104" s="453"/>
      <c r="BF104" s="453"/>
      <c r="BG104" s="175"/>
      <c r="BH104" s="175"/>
      <c r="BI104" s="175"/>
      <c r="BJ104" s="175"/>
      <c r="BK104" s="175"/>
      <c r="BL104" s="175"/>
      <c r="BM104" s="175"/>
    </row>
    <row r="105">
      <c r="U105" s="110"/>
      <c r="V105" s="93">
        <f t="shared" si="34"/>
        <v>7000000</v>
      </c>
      <c r="W105" s="400">
        <v>0.009833976041037229</v>
      </c>
      <c r="X105" s="51">
        <v>0.0185040334054211</v>
      </c>
      <c r="Y105" s="51">
        <v>0.02717409076980492</v>
      </c>
      <c r="Z105" s="51">
        <v>0.03584414813418879</v>
      </c>
      <c r="AA105" s="51">
        <v>0.04451420549857261</v>
      </c>
      <c r="AB105" s="51">
        <v>0.05318426286295646</v>
      </c>
      <c r="AC105" s="150">
        <v>0.06185432022734027</v>
      </c>
      <c r="AD105" s="51"/>
      <c r="AE105" s="51"/>
      <c r="AF105" s="51"/>
      <c r="AG105" s="51"/>
      <c r="AH105" s="51"/>
      <c r="AI105" s="51"/>
      <c r="AJ105" s="110"/>
      <c r="AK105" s="93">
        <f t="shared" si="35"/>
        <v>7000000</v>
      </c>
      <c r="AL105" s="14">
        <v>-5.316728662301984E-4</v>
      </c>
      <c r="AM105" s="14">
        <v>0.0021414149933162703</v>
      </c>
      <c r="AN105" s="14">
        <v>0.004774495303599536</v>
      </c>
      <c r="AO105" s="14">
        <v>0.007375401121633189</v>
      </c>
      <c r="AP105" s="288">
        <v>0.009951965504430947</v>
      </c>
      <c r="AQ105" s="14">
        <v>0.010977530260455047</v>
      </c>
      <c r="AR105" s="14">
        <v>0.012000954991612432</v>
      </c>
      <c r="AS105" s="14">
        <v>0.013022741013552013</v>
      </c>
      <c r="AT105" s="14">
        <v>0.014043389641922638</v>
      </c>
      <c r="AU105" s="120">
        <v>0.01506340219237319</v>
      </c>
      <c r="AV105" s="453"/>
      <c r="AW105" s="453"/>
      <c r="AX105" s="453"/>
      <c r="AY105" s="453"/>
      <c r="AZ105" s="453"/>
      <c r="BA105" s="453"/>
      <c r="BB105" s="453"/>
      <c r="BC105" s="453"/>
      <c r="BD105" s="453"/>
      <c r="BE105" s="453"/>
      <c r="BF105" s="453"/>
      <c r="BG105" s="175"/>
      <c r="BH105" s="175"/>
      <c r="BI105" s="175"/>
      <c r="BJ105" s="175"/>
      <c r="BK105" s="175"/>
      <c r="BL105" s="175"/>
      <c r="BM105" s="175"/>
    </row>
    <row r="106">
      <c r="U106" s="110"/>
      <c r="V106" s="93">
        <f t="shared" si="34"/>
        <v>7500000</v>
      </c>
      <c r="W106" s="400">
        <v>0.007952464451747791</v>
      </c>
      <c r="X106" s="51">
        <v>0.01632853563030517</v>
      </c>
      <c r="Y106" s="51">
        <v>0.024704606808862533</v>
      </c>
      <c r="Z106" s="51">
        <v>0.033080677987419906</v>
      </c>
      <c r="AA106" s="51">
        <v>0.04145674916597728</v>
      </c>
      <c r="AB106" s="51">
        <v>0.04983282034453466</v>
      </c>
      <c r="AC106" s="150">
        <v>0.05820889152309201</v>
      </c>
      <c r="AD106" s="51"/>
      <c r="AE106" s="51"/>
      <c r="AF106" s="51"/>
      <c r="AG106" s="51"/>
      <c r="AH106" s="51"/>
      <c r="AI106" s="51"/>
      <c r="AJ106" s="110"/>
      <c r="AK106" s="93">
        <f t="shared" si="35"/>
        <v>7500000</v>
      </c>
      <c r="AL106" s="14">
        <v>-0.0020577029715290315</v>
      </c>
      <c r="AM106" s="14">
        <v>5.247452450278263E-4</v>
      </c>
      <c r="AN106" s="14">
        <v>0.0030685424969803584</v>
      </c>
      <c r="AO106" s="14">
        <v>0.005581256236345834</v>
      </c>
      <c r="AP106" s="288">
        <v>0.008070453915141504</v>
      </c>
      <c r="AQ106" s="14">
        <v>0.009061243598952108</v>
      </c>
      <c r="AR106" s="14">
        <v>0.010049965822323408</v>
      </c>
      <c r="AS106" s="14">
        <v>0.011037104902184501</v>
      </c>
      <c r="AT106" s="14">
        <v>0.012023145155464512</v>
      </c>
      <c r="AU106" s="120">
        <v>0.013008570899092556</v>
      </c>
      <c r="AV106" s="453"/>
      <c r="AW106" s="453"/>
      <c r="AX106" s="453"/>
      <c r="AY106" s="453"/>
      <c r="AZ106" s="453"/>
      <c r="BA106" s="453"/>
      <c r="BB106" s="453"/>
      <c r="BC106" s="453"/>
      <c r="BD106" s="453"/>
      <c r="BE106" s="453"/>
      <c r="BF106" s="453"/>
      <c r="BG106" s="175"/>
      <c r="BH106" s="175"/>
      <c r="BI106" s="175"/>
      <c r="BJ106" s="175"/>
      <c r="BK106" s="175"/>
      <c r="BL106" s="175"/>
      <c r="BM106" s="175"/>
    </row>
    <row r="107">
      <c r="U107" s="110"/>
      <c r="V107" s="93">
        <f t="shared" si="34"/>
        <v>8000000</v>
      </c>
      <c r="W107" s="400">
        <v>0.0062502235989016315</v>
      </c>
      <c r="X107" s="51">
        <v>0.014360319644201775</v>
      </c>
      <c r="Y107" s="51">
        <v>0.02247041568950193</v>
      </c>
      <c r="Z107" s="51">
        <v>0.03058051173480209</v>
      </c>
      <c r="AA107" s="51">
        <v>0.03869060778010222</v>
      </c>
      <c r="AB107" s="51">
        <v>0.04680070382540241</v>
      </c>
      <c r="AC107" s="150">
        <v>0.05491079987070255</v>
      </c>
      <c r="AD107" s="51"/>
      <c r="AE107" s="51"/>
      <c r="AF107" s="51"/>
      <c r="AG107" s="51"/>
      <c r="AH107" s="51"/>
      <c r="AI107" s="51"/>
      <c r="AJ107" s="110"/>
      <c r="AK107" s="93">
        <f t="shared" si="35"/>
        <v>8000000</v>
      </c>
      <c r="AL107" s="14">
        <v>-0.0034383326751674026</v>
      </c>
      <c r="AM107" s="14">
        <v>-9.37887941375466E-4</v>
      </c>
      <c r="AN107" s="14">
        <v>0.001525133156859624</v>
      </c>
      <c r="AO107" s="14">
        <v>0.003958057773446895</v>
      </c>
      <c r="AP107" s="288">
        <v>0.006368213062295347</v>
      </c>
      <c r="AQ107" s="14">
        <v>0.007327541048543485</v>
      </c>
      <c r="AR107" s="14">
        <v>0.008284867224829039</v>
      </c>
      <c r="AS107" s="14">
        <v>0.009240660529002168</v>
      </c>
      <c r="AT107" s="14">
        <v>0.010195389898913092</v>
      </c>
      <c r="AU107" s="120">
        <v>0.01114952427241193</v>
      </c>
      <c r="AV107" s="453"/>
      <c r="AW107" s="453"/>
      <c r="AX107" s="453"/>
      <c r="AY107" s="453"/>
      <c r="AZ107" s="453"/>
      <c r="BA107" s="453"/>
      <c r="BB107" s="453"/>
      <c r="BC107" s="453"/>
      <c r="BD107" s="453"/>
      <c r="BE107" s="453"/>
      <c r="BF107" s="453"/>
      <c r="BG107" s="175"/>
      <c r="BH107" s="175"/>
      <c r="BI107" s="175"/>
      <c r="BJ107" s="175"/>
      <c r="BK107" s="175"/>
      <c r="BL107" s="175"/>
      <c r="BM107" s="175"/>
    </row>
    <row r="108">
      <c r="U108" s="110"/>
      <c r="V108" s="93">
        <f t="shared" si="34"/>
        <v>8500000</v>
      </c>
      <c r="W108" s="400">
        <v>0.00470048157334071</v>
      </c>
      <c r="X108" s="51">
        <v>0.012568430427146959</v>
      </c>
      <c r="Y108" s="51">
        <v>0.020436379280953227</v>
      </c>
      <c r="Z108" s="51">
        <v>0.028304328134759475</v>
      </c>
      <c r="AA108" s="51">
        <v>0.03617227698856576</v>
      </c>
      <c r="AB108" s="51">
        <v>0.04404022584237202</v>
      </c>
      <c r="AC108" s="150">
        <v>0.0519081746961783</v>
      </c>
      <c r="AD108" s="51"/>
      <c r="AE108" s="51"/>
      <c r="AF108" s="51"/>
      <c r="AG108" s="51"/>
      <c r="AH108" s="51"/>
      <c r="AI108" s="51"/>
      <c r="AJ108" s="110"/>
      <c r="AK108" s="93">
        <f t="shared" si="35"/>
        <v>8500000</v>
      </c>
      <c r="AL108" s="14">
        <v>-0.004695275762797231</v>
      </c>
      <c r="AM108" s="14">
        <v>-0.0022694880572810897</v>
      </c>
      <c r="AN108" s="14">
        <v>1.1999338887140978E-4</v>
      </c>
      <c r="AO108" s="14">
        <v>0.0024802769590724872</v>
      </c>
      <c r="AP108" s="288">
        <v>0.004818471036734417</v>
      </c>
      <c r="AQ108" s="14">
        <v>0.0057491558877725835</v>
      </c>
      <c r="AR108" s="14">
        <v>0.006677898697888822</v>
      </c>
      <c r="AS108" s="14">
        <v>0.007605154403621513</v>
      </c>
      <c r="AT108" s="14">
        <v>0.008531377941509074</v>
      </c>
      <c r="AU108" s="120">
        <v>0.009457024248089845</v>
      </c>
      <c r="AV108" s="453"/>
      <c r="AW108" s="453"/>
      <c r="AX108" s="453"/>
      <c r="AY108" s="453"/>
      <c r="AZ108" s="453"/>
      <c r="BA108" s="453"/>
      <c r="BB108" s="453"/>
      <c r="BC108" s="453"/>
      <c r="BD108" s="453"/>
      <c r="BE108" s="453"/>
      <c r="BF108" s="453"/>
      <c r="BG108" s="175"/>
      <c r="BH108" s="175"/>
      <c r="BI108" s="175"/>
      <c r="BJ108" s="175"/>
      <c r="BK108" s="175"/>
      <c r="BL108" s="175"/>
      <c r="BM108" s="175"/>
    </row>
    <row r="109">
      <c r="U109" s="110"/>
      <c r="V109" s="93">
        <f t="shared" si="34"/>
        <v>9000000</v>
      </c>
      <c r="W109" s="400">
        <v>0.00328174893847133</v>
      </c>
      <c r="X109" s="51">
        <v>0.01092802081807925</v>
      </c>
      <c r="Y109" s="51">
        <v>0.01857429269768718</v>
      </c>
      <c r="Z109" s="51">
        <v>0.02622056457729508</v>
      </c>
      <c r="AA109" s="51">
        <v>0.033866836456903006</v>
      </c>
      <c r="AB109" s="51">
        <v>0.041513108336510944</v>
      </c>
      <c r="AC109" s="150">
        <v>0.04915938021611885</v>
      </c>
      <c r="AD109" s="51"/>
      <c r="AE109" s="51"/>
      <c r="AF109" s="51"/>
      <c r="AG109" s="51"/>
      <c r="AH109" s="51"/>
      <c r="AI109" s="51"/>
      <c r="AJ109" s="110"/>
      <c r="AK109" s="93">
        <f t="shared" si="35"/>
        <v>9000000</v>
      </c>
      <c r="AL109" s="14">
        <v>-0.005845961586102869</v>
      </c>
      <c r="AM109" s="14">
        <v>-0.0034885196831075647</v>
      </c>
      <c r="AN109" s="14">
        <v>-0.001166361122084143</v>
      </c>
      <c r="AO109" s="14">
        <v>0.0011274222039219118</v>
      </c>
      <c r="AP109" s="288">
        <v>0.0033997384018650367</v>
      </c>
      <c r="AQ109" s="14">
        <v>0.004304201501142514</v>
      </c>
      <c r="AR109" s="14">
        <v>0.0052067772758877095</v>
      </c>
      <c r="AS109" s="14">
        <v>0.0061079078449457445</v>
      </c>
      <c r="AT109" s="14">
        <v>0.00700803532716171</v>
      </c>
      <c r="AU109" s="120">
        <v>0.007907601841380658</v>
      </c>
      <c r="AV109" s="453"/>
      <c r="AW109" s="453"/>
      <c r="AX109" s="453"/>
      <c r="AY109" s="453"/>
      <c r="AZ109" s="453"/>
      <c r="BA109" s="453"/>
      <c r="BB109" s="453"/>
      <c r="BC109" s="453"/>
      <c r="BD109" s="453"/>
      <c r="BE109" s="453"/>
      <c r="BF109" s="453"/>
      <c r="BG109" s="175"/>
      <c r="BH109" s="175"/>
      <c r="BI109" s="175"/>
      <c r="BJ109" s="175"/>
      <c r="BK109" s="175"/>
      <c r="BL109" s="175"/>
      <c r="BM109" s="175"/>
    </row>
    <row r="110">
      <c r="U110" s="110"/>
      <c r="V110" s="93">
        <f t="shared" si="34"/>
        <v>9500000</v>
      </c>
      <c r="W110" s="400">
        <v>0.001976549990408511</v>
      </c>
      <c r="X110" s="51">
        <v>0.009418884534381592</v>
      </c>
      <c r="Y110" s="51">
        <v>0.016861219078354705</v>
      </c>
      <c r="Z110" s="51">
        <v>0.024303553622327796</v>
      </c>
      <c r="AA110" s="51">
        <v>0.0317458881663009</v>
      </c>
      <c r="AB110" s="51">
        <v>0.03918822271027401</v>
      </c>
      <c r="AC110" s="150">
        <v>0.046630557254247106</v>
      </c>
      <c r="AD110" s="51"/>
      <c r="AE110" s="51"/>
      <c r="AF110" s="51"/>
      <c r="AG110" s="51"/>
      <c r="AH110" s="51"/>
      <c r="AI110" s="51"/>
      <c r="AJ110" s="110"/>
      <c r="AK110" s="93">
        <f t="shared" si="35"/>
        <v>9500000</v>
      </c>
      <c r="AL110" s="14">
        <v>-0.006904564094578778</v>
      </c>
      <c r="AM110" s="14">
        <v>-0.0046099986401561335</v>
      </c>
      <c r="AN110" s="14">
        <v>-0.0023497754689950057</v>
      </c>
      <c r="AO110" s="14">
        <v>-1.1717072353052258E-4</v>
      </c>
      <c r="AP110" s="288">
        <v>0.0020945394538022205</v>
      </c>
      <c r="AQ110" s="14">
        <v>0.0029748791897529422</v>
      </c>
      <c r="AR110" s="14">
        <v>0.003853381938897144</v>
      </c>
      <c r="AS110" s="14">
        <v>0.004730478028118939</v>
      </c>
      <c r="AT110" s="14">
        <v>0.0056065977843025</v>
      </c>
      <c r="AU110" s="120">
        <v>0.00648217153433198</v>
      </c>
      <c r="AV110" s="453"/>
      <c r="AW110" s="453"/>
      <c r="AX110" s="453"/>
      <c r="AY110" s="453"/>
      <c r="AZ110" s="453"/>
      <c r="BA110" s="453"/>
      <c r="BB110" s="453"/>
      <c r="BC110" s="453"/>
      <c r="BD110" s="453"/>
      <c r="BE110" s="453"/>
      <c r="BF110" s="453"/>
      <c r="BG110" s="175"/>
      <c r="BH110" s="175"/>
      <c r="BI110" s="175"/>
      <c r="BJ110" s="175"/>
      <c r="BK110" s="175"/>
      <c r="BL110" s="175"/>
      <c r="BM110" s="175"/>
    </row>
    <row r="111">
      <c r="U111" s="146"/>
      <c r="V111" s="279">
        <v>1.0E7</v>
      </c>
      <c r="W111" s="456">
        <v>7.705076260196389E-4</v>
      </c>
      <c r="X111" s="457">
        <v>0.008024398050556995</v>
      </c>
      <c r="Y111" s="457">
        <v>0.015278288475094331</v>
      </c>
      <c r="Z111" s="457">
        <v>0.022532178899631685</v>
      </c>
      <c r="AA111" s="457">
        <v>0.029786069324169013</v>
      </c>
      <c r="AB111" s="457">
        <v>0.037039959748706365</v>
      </c>
      <c r="AC111" s="458">
        <v>0.044293850173243714</v>
      </c>
      <c r="AD111" s="144"/>
      <c r="AE111" s="144"/>
      <c r="AF111" s="144"/>
      <c r="AG111" s="144"/>
      <c r="AH111" s="144"/>
      <c r="AI111" s="144"/>
      <c r="AJ111" s="146"/>
      <c r="AK111" s="279">
        <v>1.0E7</v>
      </c>
      <c r="AL111" s="457">
        <v>-0.007882744067957644</v>
      </c>
      <c r="AM111" s="457">
        <v>-0.005646278308461579</v>
      </c>
      <c r="AN111" s="457">
        <v>-0.003443285266193648</v>
      </c>
      <c r="AO111" s="457">
        <v>-0.0012672113354649617</v>
      </c>
      <c r="AP111" s="456">
        <v>8.884970894133558E-4</v>
      </c>
      <c r="AQ111" s="457">
        <v>0.0017465461254008805</v>
      </c>
      <c r="AR111" s="457">
        <v>0.002602804688126664</v>
      </c>
      <c r="AS111" s="457">
        <v>0.0034576922083547606</v>
      </c>
      <c r="AT111" s="457">
        <v>0.004311628116849315</v>
      </c>
      <c r="AU111" s="458">
        <v>0.005165031844374361</v>
      </c>
      <c r="AV111" s="453"/>
      <c r="AW111" s="453"/>
      <c r="AX111" s="453"/>
      <c r="AY111" s="453"/>
      <c r="AZ111" s="453"/>
      <c r="BA111" s="453"/>
      <c r="BB111" s="453"/>
      <c r="BC111" s="453"/>
      <c r="BD111" s="453"/>
      <c r="BE111" s="453"/>
      <c r="BF111" s="453"/>
      <c r="BG111" s="175"/>
      <c r="BH111" s="175"/>
      <c r="BI111" s="175"/>
      <c r="BJ111" s="175"/>
      <c r="BK111" s="175"/>
      <c r="BL111" s="175"/>
      <c r="BM111" s="175"/>
    </row>
    <row r="112">
      <c r="V112" s="177"/>
      <c r="W112" s="51"/>
      <c r="X112" s="51"/>
      <c r="Y112" s="51"/>
      <c r="Z112" s="51"/>
      <c r="AA112" s="51"/>
      <c r="AB112" s="51"/>
      <c r="AC112" s="51"/>
      <c r="AD112" s="51"/>
      <c r="AE112" s="51"/>
      <c r="AF112" s="51"/>
      <c r="AG112" s="51"/>
      <c r="AH112" s="51"/>
      <c r="AI112" s="51"/>
      <c r="AJ112" s="51"/>
      <c r="AK112" s="51"/>
      <c r="AL112" s="51"/>
      <c r="AM112" s="51"/>
      <c r="AN112" s="51"/>
      <c r="AO112" s="51"/>
      <c r="AP112" s="51"/>
    </row>
    <row r="113">
      <c r="U113" s="70" t="s">
        <v>88</v>
      </c>
      <c r="V113" s="71"/>
      <c r="W113" s="71"/>
      <c r="X113" s="71"/>
      <c r="Y113" s="71"/>
      <c r="Z113" s="71"/>
      <c r="AA113" s="71"/>
      <c r="AB113" s="71"/>
      <c r="AC113" s="18"/>
      <c r="AD113" s="23"/>
      <c r="AE113" s="23"/>
      <c r="AF113" s="23"/>
      <c r="AG113" s="23"/>
      <c r="AH113" s="23"/>
      <c r="AI113" s="51"/>
      <c r="AJ113" s="228" t="s">
        <v>88</v>
      </c>
      <c r="AK113" s="229"/>
      <c r="AL113" s="230"/>
      <c r="AM113" s="230"/>
      <c r="AN113" s="231"/>
      <c r="AO113" s="232"/>
      <c r="AP113" s="233"/>
      <c r="AQ113" s="233"/>
      <c r="AR113" s="233"/>
      <c r="AS113" s="233"/>
      <c r="AT113" s="233"/>
      <c r="AU113" s="234"/>
    </row>
    <row r="114">
      <c r="U114" s="85"/>
      <c r="V114" s="182"/>
      <c r="W114" s="182"/>
      <c r="X114" s="182"/>
      <c r="Y114" s="183"/>
      <c r="Z114" s="183"/>
      <c r="AA114" s="183"/>
      <c r="AB114" s="183"/>
      <c r="AC114" s="184"/>
      <c r="AD114" s="212"/>
      <c r="AE114" s="212"/>
      <c r="AF114" s="212"/>
      <c r="AG114" s="212"/>
      <c r="AH114" s="225"/>
      <c r="AI114" s="227"/>
      <c r="AJ114" s="85" t="s">
        <v>58</v>
      </c>
      <c r="AK114" s="235"/>
      <c r="AL114" s="236"/>
      <c r="AM114" s="236"/>
      <c r="AN114" s="237" t="s">
        <v>59</v>
      </c>
      <c r="AO114" s="237"/>
      <c r="AP114" s="237"/>
      <c r="AQ114" s="237"/>
      <c r="AR114" s="237"/>
      <c r="AS114" s="237"/>
      <c r="AT114" s="237"/>
      <c r="AU114" s="238"/>
    </row>
    <row r="115">
      <c r="U115" s="90"/>
      <c r="V115" s="239">
        <f>$F$17</f>
        <v>0.000779574103</v>
      </c>
      <c r="W115" s="240">
        <v>64.0</v>
      </c>
      <c r="X115" s="241">
        <f t="shared" ref="X115:AC115" si="36">W115+10</f>
        <v>74</v>
      </c>
      <c r="Y115" s="241">
        <f t="shared" si="36"/>
        <v>84</v>
      </c>
      <c r="Z115" s="241">
        <f t="shared" si="36"/>
        <v>94</v>
      </c>
      <c r="AA115" s="241">
        <f t="shared" si="36"/>
        <v>104</v>
      </c>
      <c r="AB115" s="241">
        <f t="shared" si="36"/>
        <v>114</v>
      </c>
      <c r="AC115" s="242">
        <f t="shared" si="36"/>
        <v>124</v>
      </c>
      <c r="AD115" s="177"/>
      <c r="AE115" s="177"/>
      <c r="AF115" s="177"/>
      <c r="AG115" s="177"/>
      <c r="AH115" s="177"/>
      <c r="AI115" s="51"/>
      <c r="AJ115" s="243"/>
      <c r="AK115" s="244">
        <f>$F$17</f>
        <v>0.000779574103</v>
      </c>
      <c r="AL115" s="245">
        <f t="shared" ref="AL115:AN115" si="37">AM115-0.05</f>
        <v>0.7</v>
      </c>
      <c r="AM115" s="245">
        <f t="shared" si="37"/>
        <v>0.75</v>
      </c>
      <c r="AN115" s="245">
        <f t="shared" si="37"/>
        <v>0.8</v>
      </c>
      <c r="AO115" s="245">
        <v>0.85</v>
      </c>
      <c r="AP115" s="246">
        <v>0.9</v>
      </c>
      <c r="AQ115" s="245">
        <f t="shared" ref="AQ115:AU115" si="38">AP115+0.02</f>
        <v>0.92</v>
      </c>
      <c r="AR115" s="245">
        <f t="shared" si="38"/>
        <v>0.94</v>
      </c>
      <c r="AS115" s="245">
        <f t="shared" si="38"/>
        <v>0.96</v>
      </c>
      <c r="AT115" s="245">
        <f t="shared" si="38"/>
        <v>0.98</v>
      </c>
      <c r="AU115" s="247">
        <f t="shared" si="38"/>
        <v>1</v>
      </c>
    </row>
    <row r="116">
      <c r="U116" s="102" t="s">
        <v>66</v>
      </c>
      <c r="V116" s="103">
        <v>2000000.0</v>
      </c>
      <c r="W116" s="248">
        <v>0.0015907843779627013</v>
      </c>
      <c r="X116" s="249">
        <v>0.0018393444370193733</v>
      </c>
      <c r="Y116" s="249">
        <v>0.0020879044960760455</v>
      </c>
      <c r="Z116" s="249">
        <v>0.0023364645551327175</v>
      </c>
      <c r="AA116" s="249">
        <v>0.0025850246141893886</v>
      </c>
      <c r="AB116" s="249">
        <v>0.0028335846732460614</v>
      </c>
      <c r="AC116" s="250">
        <v>0.003082144732302734</v>
      </c>
      <c r="AD116" s="178"/>
      <c r="AE116" s="178"/>
      <c r="AF116" s="178"/>
      <c r="AG116" s="178"/>
      <c r="AH116" s="178"/>
      <c r="AI116" s="51"/>
      <c r="AJ116" s="102" t="s">
        <v>66</v>
      </c>
      <c r="AK116" s="103">
        <v>2000000.0</v>
      </c>
      <c r="AL116" s="252">
        <v>5.88719043143297E-4</v>
      </c>
      <c r="AM116" s="253">
        <v>8.269278155446847E-4</v>
      </c>
      <c r="AN116" s="254">
        <v>0.001073525805285321</v>
      </c>
      <c r="AO116" s="255">
        <v>0.0013282367476597963</v>
      </c>
      <c r="AP116" s="256">
        <v>0.0015907843779627013</v>
      </c>
      <c r="AQ116" s="257">
        <v>0.0016979358194098122</v>
      </c>
      <c r="AR116" s="258">
        <v>0.001806279247631459</v>
      </c>
      <c r="AS116" s="259">
        <v>0.0019157969816864973</v>
      </c>
      <c r="AT116" s="259">
        <v>0.002026471340633781</v>
      </c>
      <c r="AU116" s="260">
        <v>0.002138284643532161</v>
      </c>
    </row>
    <row r="117">
      <c r="U117" s="110"/>
      <c r="V117" s="93">
        <f t="shared" ref="V117:V120" si="39">V116+500000</f>
        <v>2500000</v>
      </c>
      <c r="W117" s="261">
        <v>0.0017785510033346591</v>
      </c>
      <c r="X117" s="262">
        <v>0.0020564495976056994</v>
      </c>
      <c r="Y117" s="262">
        <v>0.0023343481918767406</v>
      </c>
      <c r="Z117" s="262">
        <v>0.0026122467861477805</v>
      </c>
      <c r="AA117" s="262">
        <v>0.0028901453804188212</v>
      </c>
      <c r="AB117" s="262">
        <v>0.003168043974689862</v>
      </c>
      <c r="AC117" s="263">
        <v>0.003445942568960902</v>
      </c>
      <c r="AD117" s="251"/>
      <c r="AE117" s="251"/>
      <c r="AF117" s="251"/>
      <c r="AG117" s="251"/>
      <c r="AH117" s="251"/>
      <c r="AI117" s="51"/>
      <c r="AJ117" s="110"/>
      <c r="AK117" s="93">
        <f t="shared" ref="AK117:AK120" si="40">AK116+500000</f>
        <v>2500000</v>
      </c>
      <c r="AL117" s="264">
        <v>6.582079000585219E-4</v>
      </c>
      <c r="AM117" s="264">
        <v>9.245334040216612E-4</v>
      </c>
      <c r="AN117" s="264">
        <v>0.0012002383381090904</v>
      </c>
      <c r="AO117" s="264">
        <v>0.0014850138289902697</v>
      </c>
      <c r="AP117" s="265">
        <v>0.0017785510033346591</v>
      </c>
      <c r="AQ117" s="264">
        <v>0.0018983499568160727</v>
      </c>
      <c r="AR117" s="264">
        <v>0.0020194815920255593</v>
      </c>
      <c r="AS117" s="264">
        <v>0.0021419261410699636</v>
      </c>
      <c r="AT117" s="264">
        <v>0.0022656638360561325</v>
      </c>
      <c r="AU117" s="266">
        <v>0.002390674909090909</v>
      </c>
    </row>
    <row r="118">
      <c r="U118" s="110"/>
      <c r="V118" s="93">
        <f t="shared" si="39"/>
        <v>3000000</v>
      </c>
      <c r="W118" s="248">
        <v>0.0019483050083996772</v>
      </c>
      <c r="X118" s="249">
        <v>0.0022527276659621265</v>
      </c>
      <c r="Y118" s="249">
        <v>0.0025571503235245776</v>
      </c>
      <c r="Z118" s="249">
        <v>0.0028615729810870256</v>
      </c>
      <c r="AA118" s="249">
        <v>0.0031659956386494766</v>
      </c>
      <c r="AB118" s="249">
        <v>0.0034704182962119255</v>
      </c>
      <c r="AC118" s="250">
        <v>0.003774840953774376</v>
      </c>
      <c r="AD118" s="178"/>
      <c r="AE118" s="178"/>
      <c r="AF118" s="178"/>
      <c r="AG118" s="178"/>
      <c r="AH118" s="178"/>
      <c r="AI118" s="51"/>
      <c r="AJ118" s="110"/>
      <c r="AK118" s="93">
        <f t="shared" si="40"/>
        <v>3000000</v>
      </c>
      <c r="AL118" s="267">
        <v>7.210306287803169E-4</v>
      </c>
      <c r="AM118" s="267">
        <v>0.0010127756010994025</v>
      </c>
      <c r="AN118" s="267">
        <v>0.0013147952243297229</v>
      </c>
      <c r="AO118" s="267">
        <v>0.00162675114469018</v>
      </c>
      <c r="AP118" s="268">
        <v>0.0019483050083996772</v>
      </c>
      <c r="AQ118" s="267">
        <v>0.0020795381867742425</v>
      </c>
      <c r="AR118" s="267">
        <v>0.0022122312448376873</v>
      </c>
      <c r="AS118" s="267">
        <v>0.002346362527948024</v>
      </c>
      <c r="AT118" s="267">
        <v>0.0024819103814632593</v>
      </c>
      <c r="AU118" s="269">
        <v>0.0026188531507414063</v>
      </c>
    </row>
    <row r="119">
      <c r="U119" s="110"/>
      <c r="V119" s="93">
        <f t="shared" si="39"/>
        <v>3500000</v>
      </c>
      <c r="W119" s="248">
        <v>0.0021044099268079427</v>
      </c>
      <c r="X119" s="249">
        <v>0.002433223977871684</v>
      </c>
      <c r="Y119" s="249">
        <v>0.002762038028935426</v>
      </c>
      <c r="Z119" s="249">
        <v>0.003090852079999166</v>
      </c>
      <c r="AA119" s="249">
        <v>0.0034196661310629066</v>
      </c>
      <c r="AB119" s="249">
        <v>0.003748480182126648</v>
      </c>
      <c r="AC119" s="250">
        <v>0.004077294233190389</v>
      </c>
      <c r="AD119" s="178"/>
      <c r="AE119" s="178"/>
      <c r="AF119" s="178"/>
      <c r="AG119" s="178"/>
      <c r="AH119" s="178"/>
      <c r="AI119" s="178"/>
      <c r="AJ119" s="110"/>
      <c r="AK119" s="93">
        <f t="shared" si="40"/>
        <v>3500000</v>
      </c>
      <c r="AL119" s="267">
        <v>7.788020901225349E-4</v>
      </c>
      <c r="AM119" s="267">
        <v>0.0010939226760665638</v>
      </c>
      <c r="AN119" s="267">
        <v>0.001420141153397654</v>
      </c>
      <c r="AO119" s="267">
        <v>0.0017570920582625368</v>
      </c>
      <c r="AP119" s="268">
        <v>0.0021044099268079427</v>
      </c>
      <c r="AQ119" s="267">
        <v>0.0022461579601535196</v>
      </c>
      <c r="AR119" s="267">
        <v>0.002389482843784847</v>
      </c>
      <c r="AS119" s="267">
        <v>0.002534361188015318</v>
      </c>
      <c r="AT119" s="267">
        <v>0.002680769603158321</v>
      </c>
      <c r="AU119" s="269">
        <v>0.002828684699527248</v>
      </c>
    </row>
    <row r="120">
      <c r="U120" s="110"/>
      <c r="V120" s="93">
        <f t="shared" si="39"/>
        <v>4000000</v>
      </c>
      <c r="W120" s="248">
        <v>0.0022497088421260998</v>
      </c>
      <c r="X120" s="249">
        <v>0.0026012258487083033</v>
      </c>
      <c r="Y120" s="249">
        <v>0.0029527428552905055</v>
      </c>
      <c r="Z120" s="249">
        <v>0.0033042598618727085</v>
      </c>
      <c r="AA120" s="249">
        <v>0.0036557768684549125</v>
      </c>
      <c r="AB120" s="249">
        <v>0.004007293875037116</v>
      </c>
      <c r="AC120" s="250">
        <v>0.004358810881619318</v>
      </c>
      <c r="AD120" s="178"/>
      <c r="AE120" s="178"/>
      <c r="AF120" s="178"/>
      <c r="AG120" s="178"/>
      <c r="AH120" s="178"/>
      <c r="AI120" s="178"/>
      <c r="AJ120" s="110"/>
      <c r="AK120" s="93">
        <f t="shared" si="40"/>
        <v>4000000</v>
      </c>
      <c r="AL120" s="267">
        <v>8.32574455240562E-4</v>
      </c>
      <c r="AM120" s="267">
        <v>0.0011694525318468505</v>
      </c>
      <c r="AN120" s="267">
        <v>0.0015181947533919994</v>
      </c>
      <c r="AO120" s="267">
        <v>0.0018784104225828145</v>
      </c>
      <c r="AP120" s="268">
        <v>0.0022497088421260998</v>
      </c>
      <c r="AQ120" s="267">
        <v>0.0024012438638484307</v>
      </c>
      <c r="AR120" s="267">
        <v>0.00255446460943348</v>
      </c>
      <c r="AS120" s="267">
        <v>0.0027093460742544854</v>
      </c>
      <c r="AT120" s="270">
        <v>0.0028658632536846806</v>
      </c>
      <c r="AU120" s="271">
        <v>0.003023991143097301</v>
      </c>
    </row>
    <row r="121">
      <c r="U121" s="110"/>
      <c r="V121" s="103">
        <v>4200000.0</v>
      </c>
      <c r="W121" s="248">
        <v>0.002386176566944052</v>
      </c>
      <c r="X121" s="249">
        <v>0.00275901665552906</v>
      </c>
      <c r="Y121" s="249">
        <v>0.003131856744114068</v>
      </c>
      <c r="Z121" s="249">
        <v>0.003504696832699076</v>
      </c>
      <c r="AA121" s="249">
        <v>0.003877536921284084</v>
      </c>
      <c r="AB121" s="249">
        <v>0.004250377009869093</v>
      </c>
      <c r="AC121" s="250">
        <v>0.0046232170984541006</v>
      </c>
      <c r="AD121" s="178"/>
      <c r="AE121" s="178"/>
      <c r="AF121" s="178"/>
      <c r="AG121" s="178"/>
      <c r="AH121" s="178"/>
      <c r="AI121" s="178"/>
      <c r="AJ121" s="110"/>
      <c r="AK121" s="103">
        <v>4200000.0</v>
      </c>
      <c r="AL121" s="267">
        <v>8.830785647149458E-4</v>
      </c>
      <c r="AM121" s="267">
        <v>0.001240391723317027</v>
      </c>
      <c r="AN121" s="267">
        <v>0.0016102887079279822</v>
      </c>
      <c r="AO121" s="267">
        <v>0.0019923551214896945</v>
      </c>
      <c r="AP121" s="268">
        <v>0.002386176566944052</v>
      </c>
      <c r="AQ121" s="267">
        <v>0.0025469037291147175</v>
      </c>
      <c r="AR121" s="267">
        <v>0.002709418871447188</v>
      </c>
      <c r="AS121" s="270">
        <v>0.0028736954725297453</v>
      </c>
      <c r="AT121" s="270">
        <v>0.0030397070109506705</v>
      </c>
      <c r="AU121" s="271">
        <v>0.0032074269652982417</v>
      </c>
    </row>
    <row r="122">
      <c r="U122" s="110"/>
      <c r="V122" s="103">
        <v>5000000.0</v>
      </c>
      <c r="W122" s="248">
        <v>0.0025152509502881504</v>
      </c>
      <c r="X122" s="249">
        <v>0.0029082589112706734</v>
      </c>
      <c r="Y122" s="249">
        <v>0.0033012668722531982</v>
      </c>
      <c r="Z122" s="249">
        <v>0.0036942748332357204</v>
      </c>
      <c r="AA122" s="249">
        <v>0.004087282794218244</v>
      </c>
      <c r="AB122" s="249">
        <v>0.004480290755200769</v>
      </c>
      <c r="AC122" s="250">
        <v>0.004873298716183292</v>
      </c>
      <c r="AD122" s="178"/>
      <c r="AE122" s="178"/>
      <c r="AF122" s="178"/>
      <c r="AG122" s="178"/>
      <c r="AH122" s="178"/>
      <c r="AJ122" s="110"/>
      <c r="AK122" s="103">
        <v>5000000.0</v>
      </c>
      <c r="AL122" s="267">
        <v>9.308465391238762E-4</v>
      </c>
      <c r="AM122" s="267">
        <v>0.0013074876788343973</v>
      </c>
      <c r="AN122" s="267">
        <v>0.0016973933358340198</v>
      </c>
      <c r="AO122" s="267">
        <v>0.002100126697269639</v>
      </c>
      <c r="AP122" s="268">
        <v>0.0025152509502881504</v>
      </c>
      <c r="AQ122" s="267">
        <v>0.002684672255059669</v>
      </c>
      <c r="AR122" s="270">
        <v>0.0028559782564053556</v>
      </c>
      <c r="AS122" s="270">
        <v>0.0030291409983026103</v>
      </c>
      <c r="AT122" s="270">
        <v>0.0032041325247288343</v>
      </c>
      <c r="AU122" s="271">
        <v>0.0033809248796614288</v>
      </c>
    </row>
    <row r="123">
      <c r="U123" s="110"/>
      <c r="V123" s="103">
        <v>5500000.0</v>
      </c>
      <c r="W123" s="248">
        <v>0.002638017452030595</v>
      </c>
      <c r="X123" s="249">
        <v>0.003050207678910375</v>
      </c>
      <c r="Y123" s="249">
        <v>0.003462397905790155</v>
      </c>
      <c r="Z123" s="249">
        <v>0.0038745881326699367</v>
      </c>
      <c r="AA123" s="249">
        <v>0.004286778359549716</v>
      </c>
      <c r="AB123" s="249">
        <v>0.0046989685864294965</v>
      </c>
      <c r="AC123" s="250">
        <v>0.005111158813309277</v>
      </c>
      <c r="AD123" s="178"/>
      <c r="AE123" s="178"/>
      <c r="AF123" s="178"/>
      <c r="AG123" s="178"/>
      <c r="AH123" s="178"/>
      <c r="AJ123" s="110"/>
      <c r="AK123" s="103">
        <v>5500000.0</v>
      </c>
      <c r="AL123" s="267">
        <v>9.76280086521685E-4</v>
      </c>
      <c r="AM123" s="267">
        <v>0.0013713046464349698</v>
      </c>
      <c r="AN123" s="267">
        <v>0.0017802411494477702</v>
      </c>
      <c r="AO123" s="267">
        <v>0.0022026314623747557</v>
      </c>
      <c r="AP123" s="268">
        <v>0.002638017452030595</v>
      </c>
      <c r="AQ123" s="270">
        <v>0.002815708015543496</v>
      </c>
      <c r="AR123" s="270">
        <v>0.0029953752654994998</v>
      </c>
      <c r="AS123" s="270">
        <v>0.0031769898813747443</v>
      </c>
      <c r="AT123" s="270">
        <v>0.0033605225426453695</v>
      </c>
      <c r="AU123" s="271">
        <v>0.003545943928787512</v>
      </c>
    </row>
    <row r="124">
      <c r="U124" s="110"/>
      <c r="V124" s="93">
        <f t="shared" ref="V124:V131" si="41">V123+500000</f>
        <v>6000000</v>
      </c>
      <c r="W124" s="272">
        <v>0.002755319366518252</v>
      </c>
      <c r="X124" s="251">
        <v>0.003185838017536727</v>
      </c>
      <c r="Y124" s="251">
        <v>0.003616356668555203</v>
      </c>
      <c r="Z124" s="251">
        <v>0.004046875319573681</v>
      </c>
      <c r="AA124" s="251">
        <v>0.004477393970592158</v>
      </c>
      <c r="AB124" s="251">
        <v>0.004907912621610635</v>
      </c>
      <c r="AC124" s="273">
        <v>0.005338431272629112</v>
      </c>
      <c r="AD124" s="251"/>
      <c r="AE124" s="251"/>
      <c r="AF124" s="251"/>
      <c r="AG124" s="251"/>
      <c r="AH124" s="251"/>
      <c r="AI124" s="178"/>
      <c r="AJ124" s="110"/>
      <c r="AK124" s="93">
        <f t="shared" ref="AK124:AK131" si="42">AK123+500000</f>
        <v>6000000</v>
      </c>
      <c r="AL124" s="264">
        <v>0.0010196912941075244</v>
      </c>
      <c r="AM124" s="264">
        <v>0.0014322809907153392</v>
      </c>
      <c r="AN124" s="264">
        <v>0.0018594012379904697</v>
      </c>
      <c r="AO124" s="264">
        <v>0.00230057353142681</v>
      </c>
      <c r="AP124" s="265">
        <v>0.002755319366518252</v>
      </c>
      <c r="AQ124" s="274">
        <v>0.002940911107208889</v>
      </c>
      <c r="AR124" s="274">
        <v>0.0031285674295549733</v>
      </c>
      <c r="AS124" s="274">
        <v>0.003318257709268116</v>
      </c>
      <c r="AT124" s="274">
        <v>0.003509951322059925</v>
      </c>
      <c r="AU124" s="275">
        <v>0.0037036176436420092</v>
      </c>
    </row>
    <row r="125">
      <c r="U125" s="110"/>
      <c r="V125" s="93">
        <f t="shared" si="41"/>
        <v>6500000</v>
      </c>
      <c r="W125" s="248">
        <v>0.002867827321475803</v>
      </c>
      <c r="X125" s="249">
        <v>0.0033159253404563974</v>
      </c>
      <c r="Y125" s="249">
        <v>0.003764023359436992</v>
      </c>
      <c r="Z125" s="249">
        <v>0.004212121378417586</v>
      </c>
      <c r="AA125" s="249">
        <v>0.00466021939739818</v>
      </c>
      <c r="AB125" s="249">
        <v>0.005108317416378775</v>
      </c>
      <c r="AC125" s="250">
        <v>0.005556415435359368</v>
      </c>
      <c r="AD125" s="178"/>
      <c r="AE125" s="178"/>
      <c r="AF125" s="178"/>
      <c r="AG125" s="178"/>
      <c r="AH125" s="178"/>
      <c r="AJ125" s="110"/>
      <c r="AK125" s="93">
        <f t="shared" si="42"/>
        <v>6500000</v>
      </c>
      <c r="AL125" s="267">
        <v>0.0010613283484476276</v>
      </c>
      <c r="AM125" s="267">
        <v>0.0014907653200268948</v>
      </c>
      <c r="AN125" s="267">
        <v>0.001935326168244998</v>
      </c>
      <c r="AO125" s="267">
        <v>0.00239451284982146</v>
      </c>
      <c r="AP125" s="276">
        <v>0.002867827321475803</v>
      </c>
      <c r="AQ125" s="270">
        <v>0.0030609973296645207</v>
      </c>
      <c r="AR125" s="270">
        <v>0.003256316222570872</v>
      </c>
      <c r="AS125" s="270">
        <v>0.003453752125424906</v>
      </c>
      <c r="AT125" s="270">
        <v>0.003653273163456674</v>
      </c>
      <c r="AU125" s="271">
        <v>0.003854847461896222</v>
      </c>
    </row>
    <row r="126">
      <c r="U126" s="110"/>
      <c r="V126" s="93">
        <f t="shared" si="41"/>
        <v>7000000</v>
      </c>
      <c r="W126" s="248">
        <v>0.002976085059284366</v>
      </c>
      <c r="X126" s="249">
        <v>0.0034410983497975478</v>
      </c>
      <c r="Y126" s="249">
        <v>0.0039061116403107292</v>
      </c>
      <c r="Z126" s="249">
        <v>0.0043711249308239115</v>
      </c>
      <c r="AA126" s="249">
        <v>0.004836138221337093</v>
      </c>
      <c r="AB126" s="249">
        <v>0.005301151511850276</v>
      </c>
      <c r="AC126" s="250">
        <v>0.005766164802363458</v>
      </c>
      <c r="AD126" s="178"/>
      <c r="AE126" s="178"/>
      <c r="AF126" s="178"/>
      <c r="AG126" s="178"/>
      <c r="AH126" s="178"/>
      <c r="AI126" s="23"/>
      <c r="AJ126" s="110"/>
      <c r="AK126" s="93">
        <f t="shared" si="42"/>
        <v>7000000</v>
      </c>
      <c r="AL126" s="267">
        <v>0.0011013924782558022</v>
      </c>
      <c r="AM126" s="267">
        <v>0.0015470402846808047</v>
      </c>
      <c r="AN126" s="267">
        <v>0.0020083828796191323</v>
      </c>
      <c r="AO126" s="267">
        <v>0.002484903419132936</v>
      </c>
      <c r="AP126" s="276">
        <v>0.002976085059284366</v>
      </c>
      <c r="AQ126" s="270">
        <v>0.003176547050481393</v>
      </c>
      <c r="AR126" s="270">
        <v>0.0033792390447383623</v>
      </c>
      <c r="AS126" s="270">
        <v>0.0035841279640432522</v>
      </c>
      <c r="AT126" s="270">
        <v>0.003791180730384039</v>
      </c>
      <c r="AU126" s="271">
        <v>0.004000364265748697</v>
      </c>
    </row>
    <row r="127">
      <c r="U127" s="110"/>
      <c r="V127" s="93">
        <f t="shared" si="41"/>
        <v>7500000</v>
      </c>
      <c r="W127" s="248">
        <v>0.0030805407016282335</v>
      </c>
      <c r="X127" s="249">
        <v>0.0035618751862576447</v>
      </c>
      <c r="Y127" s="249">
        <v>0.004043209670887056</v>
      </c>
      <c r="Z127" s="249">
        <v>0.004524544155516468</v>
      </c>
      <c r="AA127" s="249">
        <v>0.005005878640145879</v>
      </c>
      <c r="AB127" s="249">
        <v>0.005487213124775291</v>
      </c>
      <c r="AC127" s="250">
        <v>0.005968547609404701</v>
      </c>
      <c r="AD127" s="178"/>
      <c r="AE127" s="178"/>
      <c r="AF127" s="178"/>
      <c r="AG127" s="178"/>
      <c r="AH127" s="178"/>
      <c r="AI127" s="225"/>
      <c r="AJ127" s="110"/>
      <c r="AK127" s="93">
        <f t="shared" si="42"/>
        <v>7500000</v>
      </c>
      <c r="AL127" s="267">
        <v>0.001140049524844578</v>
      </c>
      <c r="AM127" s="267">
        <v>0.0016013388290601217</v>
      </c>
      <c r="AN127" s="267">
        <v>0.0020788737827969776</v>
      </c>
      <c r="AO127" s="270">
        <v>0.0025721194017535465</v>
      </c>
      <c r="AP127" s="276">
        <v>0.0030805407016282335</v>
      </c>
      <c r="AQ127" s="270">
        <v>0.0032880385757516227</v>
      </c>
      <c r="AR127" s="270">
        <v>0.0034978447223383514</v>
      </c>
      <c r="AS127" s="270">
        <v>0.0037099249023931193</v>
      </c>
      <c r="AT127" s="277">
        <v>0.003924244876920623</v>
      </c>
      <c r="AU127" s="278">
        <v>0.004140770406925561</v>
      </c>
      <c r="AV127" s="225"/>
      <c r="AW127" s="225"/>
      <c r="AX127" s="225"/>
      <c r="AY127" s="225"/>
      <c r="AZ127" s="225"/>
      <c r="BA127" s="225"/>
      <c r="BB127" s="225"/>
      <c r="BC127" s="225"/>
    </row>
    <row r="128">
      <c r="U128" s="110"/>
      <c r="V128" s="93">
        <f t="shared" si="41"/>
        <v>8000000</v>
      </c>
      <c r="W128" s="248">
        <v>0.0031815687559254026</v>
      </c>
      <c r="X128" s="249">
        <v>0.0036786888740387466</v>
      </c>
      <c r="Y128" s="249">
        <v>0.004175808992152091</v>
      </c>
      <c r="Z128" s="249">
        <v>0.004672929110265435</v>
      </c>
      <c r="AA128" s="249">
        <v>0.005170049228378777</v>
      </c>
      <c r="AB128" s="249">
        <v>0.005667169346492123</v>
      </c>
      <c r="AC128" s="250">
        <v>0.006164289464605468</v>
      </c>
      <c r="AD128" s="178"/>
      <c r="AE128" s="178"/>
      <c r="AF128" s="178"/>
      <c r="AG128" s="178"/>
      <c r="AH128" s="178"/>
      <c r="AI128" s="226"/>
      <c r="AJ128" s="110"/>
      <c r="AK128" s="93">
        <f t="shared" si="42"/>
        <v>8000000</v>
      </c>
      <c r="AL128" s="267">
        <v>0.001177438086286594</v>
      </c>
      <c r="AM128" s="267">
        <v>0.0016538556310893694</v>
      </c>
      <c r="AN128" s="267">
        <v>0.002147051610570642</v>
      </c>
      <c r="AO128" s="270">
        <v>0.0026564734953195925</v>
      </c>
      <c r="AP128" s="276">
        <v>0.0031815687559254026</v>
      </c>
      <c r="AQ128" s="270">
        <v>0.0033958716388196243</v>
      </c>
      <c r="AR128" s="270">
        <v>0.003612558495262918</v>
      </c>
      <c r="AS128" s="270">
        <v>0.0038315939633729946</v>
      </c>
      <c r="AT128" s="277">
        <v>0.004052942681267562</v>
      </c>
      <c r="AU128" s="278">
        <v>0.004276569287064322</v>
      </c>
      <c r="AV128" s="226"/>
      <c r="AW128" s="226"/>
      <c r="AX128" s="226"/>
      <c r="AY128" s="226"/>
      <c r="AZ128" s="226"/>
      <c r="BA128" s="226"/>
      <c r="BB128" s="23"/>
      <c r="BC128" s="225"/>
    </row>
    <row r="129">
      <c r="U129" s="110"/>
      <c r="V129" s="93">
        <f t="shared" si="41"/>
        <v>8500000</v>
      </c>
      <c r="W129" s="248">
        <v>0.003279486008961351</v>
      </c>
      <c r="X129" s="249">
        <v>0.0037919056978615636</v>
      </c>
      <c r="Y129" s="249">
        <v>0.004304325386761775</v>
      </c>
      <c r="Z129" s="249">
        <v>0.004816745075661985</v>
      </c>
      <c r="AA129" s="249">
        <v>0.0053291647645621965</v>
      </c>
      <c r="AB129" s="249">
        <v>0.0058415844534624095</v>
      </c>
      <c r="AC129" s="250">
        <v>0.006354004142362619</v>
      </c>
      <c r="AD129" s="178"/>
      <c r="AE129" s="178"/>
      <c r="AF129" s="178"/>
      <c r="AG129" s="178"/>
      <c r="AH129" s="178"/>
      <c r="AI129" s="177"/>
      <c r="AJ129" s="110"/>
      <c r="AK129" s="93">
        <f t="shared" si="42"/>
        <v>8500000</v>
      </c>
      <c r="AL129" s="267">
        <v>0.001213675399346187</v>
      </c>
      <c r="AM129" s="267">
        <v>0.0017047553641260061</v>
      </c>
      <c r="AN129" s="270">
        <v>0.0022131301435088188</v>
      </c>
      <c r="AO129" s="270">
        <v>0.0027382302032141056</v>
      </c>
      <c r="AP129" s="276">
        <v>0.003279486008961351</v>
      </c>
      <c r="AQ129" s="270">
        <v>0.003500384364473163</v>
      </c>
      <c r="AR129" s="270">
        <v>0.003723740063672853</v>
      </c>
      <c r="AS129" s="277">
        <v>0.003949516656366466</v>
      </c>
      <c r="AT129" s="277">
        <v>0.004177677692360051</v>
      </c>
      <c r="AU129" s="278">
        <v>0.004408186721459653</v>
      </c>
      <c r="AV129" s="115"/>
      <c r="AW129" s="115"/>
      <c r="AX129" s="115"/>
      <c r="AY129" s="177"/>
      <c r="AZ129" s="115"/>
      <c r="BA129" s="177"/>
      <c r="BB129" s="177"/>
      <c r="BC129" s="177"/>
    </row>
    <row r="130">
      <c r="U130" s="110"/>
      <c r="V130" s="93">
        <f t="shared" si="41"/>
        <v>9000000</v>
      </c>
      <c r="W130" s="248">
        <v>0.0033745632631891503</v>
      </c>
      <c r="X130" s="249">
        <v>0.0039018387730624547</v>
      </c>
      <c r="Y130" s="249">
        <v>0.004429114282935758</v>
      </c>
      <c r="Z130" s="249">
        <v>0.004956389792809063</v>
      </c>
      <c r="AA130" s="249">
        <v>0.005483665302682368</v>
      </c>
      <c r="AB130" s="249">
        <v>0.006010940812555673</v>
      </c>
      <c r="AC130" s="250">
        <v>0.006538216322428978</v>
      </c>
      <c r="AD130" s="178"/>
      <c r="AE130" s="178"/>
      <c r="AF130" s="178"/>
      <c r="AG130" s="178"/>
      <c r="AH130" s="178"/>
      <c r="AI130" s="178"/>
      <c r="AJ130" s="110"/>
      <c r="AK130" s="93">
        <f t="shared" si="42"/>
        <v>9000000</v>
      </c>
      <c r="AL130" s="267">
        <v>0.001248861682860843</v>
      </c>
      <c r="AM130" s="267">
        <v>0.0017541787977702762</v>
      </c>
      <c r="AN130" s="270">
        <v>0.002277292130088</v>
      </c>
      <c r="AO130" s="270">
        <v>0.002817615633874222</v>
      </c>
      <c r="AP130" s="276">
        <v>0.0033745632631891503</v>
      </c>
      <c r="AQ130" s="270">
        <v>0.003601865795772645</v>
      </c>
      <c r="AR130" s="270">
        <v>0.0038316969141502194</v>
      </c>
      <c r="AS130" s="277">
        <v>0.004064019111381728</v>
      </c>
      <c r="AT130" s="277">
        <v>0.004298794880527021</v>
      </c>
      <c r="AU130" s="278">
        <v>0.0045359867146459515</v>
      </c>
      <c r="AV130" s="178"/>
      <c r="AW130" s="178"/>
      <c r="AX130" s="178"/>
      <c r="AY130" s="178"/>
      <c r="AZ130" s="178"/>
      <c r="BA130" s="178"/>
      <c r="BB130" s="178"/>
      <c r="BC130" s="178"/>
    </row>
    <row r="131">
      <c r="U131" s="110"/>
      <c r="V131" s="93">
        <f t="shared" si="41"/>
        <v>9500000</v>
      </c>
      <c r="W131" s="248">
        <v>0.0034670341722513125</v>
      </c>
      <c r="X131" s="249">
        <v>0.004008758261665581</v>
      </c>
      <c r="Y131" s="249">
        <v>0.004550482351079848</v>
      </c>
      <c r="Z131" s="249">
        <v>0.0050922064404941144</v>
      </c>
      <c r="AA131" s="249">
        <v>0.005633930529908383</v>
      </c>
      <c r="AB131" s="249">
        <v>0.006175654619322651</v>
      </c>
      <c r="AC131" s="250">
        <v>0.0067173787087369185</v>
      </c>
      <c r="AD131" s="178"/>
      <c r="AE131" s="178"/>
      <c r="AF131" s="178"/>
      <c r="AG131" s="178"/>
      <c r="AH131" s="178"/>
      <c r="AI131" s="178"/>
      <c r="AJ131" s="110"/>
      <c r="AK131" s="93">
        <f t="shared" si="42"/>
        <v>9500000</v>
      </c>
      <c r="AL131" s="267">
        <v>0.0012830834075997972</v>
      </c>
      <c r="AM131" s="267">
        <v>0.0018022473907810617</v>
      </c>
      <c r="AN131" s="270">
        <v>0.002339695249260918</v>
      </c>
      <c r="AO131" s="270">
        <v>0.0028948248780730932</v>
      </c>
      <c r="AP131" s="276">
        <v>0.0034670341722513125</v>
      </c>
      <c r="AQ131" s="270">
        <v>0.0037005653247126477</v>
      </c>
      <c r="AR131" s="277">
        <v>0.003936694352120105</v>
      </c>
      <c r="AS131" s="277">
        <v>0.004175382719755842</v>
      </c>
      <c r="AT131" s="277">
        <v>0.004416591892902019</v>
      </c>
      <c r="AU131" s="278">
        <v>0.004660283336840791</v>
      </c>
      <c r="AV131" s="178"/>
      <c r="AW131" s="178"/>
      <c r="AX131" s="178"/>
      <c r="AY131" s="178"/>
      <c r="AZ131" s="178"/>
      <c r="BA131" s="178"/>
      <c r="BB131" s="178"/>
      <c r="BC131" s="178"/>
    </row>
    <row r="132">
      <c r="U132" s="146"/>
      <c r="V132" s="279">
        <v>1.0E7</v>
      </c>
      <c r="W132" s="280">
        <v>0.0035571020066693182</v>
      </c>
      <c r="X132" s="281">
        <v>0.004112899195211399</v>
      </c>
      <c r="Y132" s="281">
        <v>0.004668696383753481</v>
      </c>
      <c r="Z132" s="281">
        <v>0.005224493572295561</v>
      </c>
      <c r="AA132" s="281">
        <v>0.0057802907608376424</v>
      </c>
      <c r="AB132" s="281">
        <v>0.006336087949379724</v>
      </c>
      <c r="AC132" s="282">
        <v>0.006891885137921804</v>
      </c>
      <c r="AD132" s="251"/>
      <c r="AE132" s="251"/>
      <c r="AF132" s="251"/>
      <c r="AG132" s="251"/>
      <c r="AH132" s="251"/>
      <c r="AI132" s="178"/>
      <c r="AJ132" s="146"/>
      <c r="AK132" s="279">
        <v>1.0E7</v>
      </c>
      <c r="AL132" s="283">
        <v>0.0013164158001170438</v>
      </c>
      <c r="AM132" s="284">
        <v>0.0018490668080433225</v>
      </c>
      <c r="AN132" s="284">
        <v>0.0024004766762181808</v>
      </c>
      <c r="AO132" s="284">
        <v>0.0029700276579805395</v>
      </c>
      <c r="AP132" s="285">
        <v>0.0035571020066693182</v>
      </c>
      <c r="AQ132" s="284">
        <v>0.0037966999136321454</v>
      </c>
      <c r="AR132" s="286">
        <v>0.0040389631840511185</v>
      </c>
      <c r="AS132" s="286">
        <v>0.004283852282139927</v>
      </c>
      <c r="AT132" s="286">
        <v>0.004531327672112265</v>
      </c>
      <c r="AU132" s="287">
        <v>0.004781349818181818</v>
      </c>
      <c r="AV132" s="178"/>
      <c r="AW132" s="178"/>
      <c r="AX132" s="178"/>
      <c r="AY132" s="178"/>
      <c r="AZ132" s="178"/>
      <c r="BA132" s="178"/>
      <c r="BB132" s="178"/>
      <c r="BC132" s="178"/>
    </row>
    <row r="133">
      <c r="X133" s="23"/>
      <c r="Y133" s="23"/>
      <c r="Z133" s="23"/>
      <c r="AA133" s="23"/>
      <c r="AB133" s="23"/>
      <c r="AC133" s="23"/>
      <c r="AD133" s="23"/>
      <c r="AE133" s="23"/>
      <c r="AF133" s="23"/>
      <c r="AG133" s="23"/>
      <c r="AH133" s="23"/>
      <c r="AI133" s="178"/>
      <c r="AJ133" s="178"/>
      <c r="AK133" s="178"/>
      <c r="AL133" s="178"/>
      <c r="AM133" s="178"/>
      <c r="AN133" s="23"/>
      <c r="AO133" s="191"/>
      <c r="AP133" s="177"/>
      <c r="AQ133" s="178"/>
      <c r="AR133" s="178"/>
      <c r="AS133" s="178"/>
      <c r="AT133" s="178"/>
      <c r="AU133" s="178"/>
      <c r="AV133" s="178"/>
      <c r="AW133" s="178"/>
      <c r="AX133" s="178"/>
      <c r="AY133" s="178"/>
      <c r="AZ133" s="178"/>
      <c r="BA133" s="178"/>
      <c r="BB133" s="178"/>
      <c r="BC133" s="178"/>
    </row>
    <row r="134">
      <c r="AG134" s="23"/>
      <c r="AH134" s="23"/>
      <c r="AI134" s="172"/>
      <c r="AJ134" s="178"/>
      <c r="AK134" s="178"/>
      <c r="AL134" s="178"/>
      <c r="AM134" s="178"/>
      <c r="AN134" s="23"/>
      <c r="AO134" s="191"/>
      <c r="AP134" s="115"/>
      <c r="AQ134" s="178"/>
      <c r="AR134" s="178"/>
      <c r="AS134" s="178"/>
      <c r="AT134" s="178"/>
      <c r="AU134" s="178"/>
      <c r="AV134" s="178"/>
      <c r="AW134" s="178"/>
      <c r="AX134" s="178"/>
      <c r="AY134" s="178"/>
      <c r="AZ134" s="178"/>
      <c r="BA134" s="178"/>
      <c r="BB134" s="178"/>
      <c r="BC134" s="178"/>
    </row>
    <row r="135">
      <c r="U135" s="70" t="s">
        <v>86</v>
      </c>
      <c r="V135" s="71"/>
      <c r="W135" s="71"/>
      <c r="X135" s="71"/>
      <c r="Y135" s="71"/>
      <c r="Z135" s="71"/>
      <c r="AA135" s="71"/>
      <c r="AB135" s="71"/>
      <c r="AC135" s="71"/>
      <c r="AD135" s="71"/>
      <c r="AE135" s="71"/>
      <c r="AF135" s="71"/>
      <c r="AG135" s="71"/>
      <c r="AH135" s="71"/>
      <c r="AI135" s="71"/>
      <c r="AJ135" s="18"/>
      <c r="AK135" s="23"/>
      <c r="AL135" s="23"/>
      <c r="AM135" s="70" t="s">
        <v>108</v>
      </c>
      <c r="AN135" s="71"/>
      <c r="AO135" s="71"/>
      <c r="AP135" s="71"/>
      <c r="AQ135" s="71"/>
      <c r="AR135" s="71"/>
      <c r="AS135" s="71"/>
      <c r="AT135" s="71"/>
      <c r="AU135" s="71"/>
      <c r="AV135" s="71"/>
      <c r="AW135" s="71"/>
      <c r="AX135" s="71"/>
      <c r="AY135" s="71"/>
      <c r="AZ135" s="71"/>
      <c r="BA135" s="71"/>
      <c r="BB135" s="18"/>
      <c r="BC135" s="178"/>
    </row>
    <row r="136">
      <c r="U136" s="85" t="s">
        <v>58</v>
      </c>
      <c r="V136" s="86"/>
      <c r="W136" s="86" t="s">
        <v>44</v>
      </c>
      <c r="AJ136" s="78"/>
      <c r="AK136" s="87"/>
      <c r="AL136" s="87"/>
      <c r="AM136" s="85" t="s">
        <v>58</v>
      </c>
      <c r="AN136" s="86"/>
      <c r="AO136" s="86" t="s">
        <v>44</v>
      </c>
      <c r="BB136" s="78"/>
      <c r="BC136" s="178"/>
    </row>
    <row r="137">
      <c r="U137" s="85" t="s">
        <v>63</v>
      </c>
      <c r="V137" s="86"/>
      <c r="W137" s="86"/>
      <c r="X137" s="86"/>
      <c r="Y137" s="86"/>
      <c r="Z137" s="86"/>
      <c r="AA137" s="86"/>
      <c r="AB137" s="86"/>
      <c r="AC137" s="86"/>
      <c r="AD137" s="86"/>
      <c r="AE137" s="86"/>
      <c r="AF137" s="86"/>
      <c r="AG137" s="86"/>
      <c r="AH137" s="86"/>
      <c r="AI137" s="86"/>
      <c r="AJ137" s="100"/>
      <c r="AK137" s="87"/>
      <c r="AL137" s="87"/>
      <c r="AM137" s="85" t="s">
        <v>63</v>
      </c>
      <c r="AN137" s="86"/>
      <c r="AO137" s="86"/>
      <c r="AP137" s="86"/>
      <c r="AQ137" s="86"/>
      <c r="AR137" s="86"/>
      <c r="AS137" s="86"/>
      <c r="AT137" s="86"/>
      <c r="AU137" s="86"/>
      <c r="AV137" s="86"/>
      <c r="AW137" s="86"/>
      <c r="AX137" s="86"/>
      <c r="AY137" s="86"/>
      <c r="AZ137" s="86"/>
      <c r="BA137" s="86"/>
      <c r="BB137" s="100"/>
      <c r="BC137" s="178"/>
    </row>
    <row r="138">
      <c r="U138" s="85" t="s">
        <v>68</v>
      </c>
      <c r="V138" s="86"/>
      <c r="W138" s="86"/>
      <c r="X138" s="86"/>
      <c r="Y138" s="86"/>
      <c r="Z138" s="86"/>
      <c r="AA138" s="86"/>
      <c r="AB138" s="86"/>
      <c r="AC138" s="86"/>
      <c r="AD138" s="86"/>
      <c r="AE138" s="86"/>
      <c r="AF138" s="86"/>
      <c r="AG138" s="86"/>
      <c r="AH138" s="86"/>
      <c r="AI138" s="86"/>
      <c r="AJ138" s="100"/>
      <c r="AK138" s="87"/>
      <c r="AL138" s="87"/>
      <c r="AM138" s="85" t="s">
        <v>68</v>
      </c>
      <c r="AN138" s="86"/>
      <c r="AO138" s="86"/>
      <c r="AP138" s="86"/>
      <c r="AQ138" s="86"/>
      <c r="AR138" s="86"/>
      <c r="AS138" s="86"/>
      <c r="AT138" s="86"/>
      <c r="AU138" s="86"/>
      <c r="AV138" s="86"/>
      <c r="AW138" s="86"/>
      <c r="AX138" s="86"/>
      <c r="AY138" s="86"/>
      <c r="AZ138" s="86"/>
      <c r="BA138" s="86"/>
      <c r="BB138" s="100"/>
      <c r="BC138" s="178"/>
    </row>
    <row r="139">
      <c r="U139" s="90"/>
      <c r="V139" s="459">
        <f>$F$48</f>
        <v>0.1640734531</v>
      </c>
      <c r="W139" s="460">
        <v>1.0</v>
      </c>
      <c r="X139" s="461">
        <f t="shared" ref="X139:AA139" si="43">W139+1</f>
        <v>2</v>
      </c>
      <c r="Y139" s="461">
        <f t="shared" si="43"/>
        <v>3</v>
      </c>
      <c r="Z139" s="461">
        <f t="shared" si="43"/>
        <v>4</v>
      </c>
      <c r="AA139" s="461">
        <f t="shared" si="43"/>
        <v>5</v>
      </c>
      <c r="AB139" s="460">
        <v>10.0</v>
      </c>
      <c r="AC139" s="460">
        <v>15.0</v>
      </c>
      <c r="AD139" s="460">
        <v>20.0</v>
      </c>
      <c r="AE139" s="460">
        <v>25.0</v>
      </c>
      <c r="AF139" s="460">
        <v>30.0</v>
      </c>
      <c r="AG139" s="460">
        <v>35.0</v>
      </c>
      <c r="AH139" s="460">
        <v>40.0</v>
      </c>
      <c r="AI139" s="460">
        <v>45.0</v>
      </c>
      <c r="AJ139" s="462">
        <v>50.0</v>
      </c>
      <c r="AK139" s="177"/>
      <c r="AL139" s="177"/>
      <c r="AM139" s="90"/>
      <c r="AN139" s="463">
        <f>$F$39</f>
        <v>0.2076589794</v>
      </c>
      <c r="AO139" s="460">
        <v>1.0</v>
      </c>
      <c r="AP139" s="461">
        <f t="shared" ref="AP139:AS139" si="44">AO139+1</f>
        <v>2</v>
      </c>
      <c r="AQ139" s="461">
        <f t="shared" si="44"/>
        <v>3</v>
      </c>
      <c r="AR139" s="461">
        <f t="shared" si="44"/>
        <v>4</v>
      </c>
      <c r="AS139" s="461">
        <f t="shared" si="44"/>
        <v>5</v>
      </c>
      <c r="AT139" s="460">
        <v>10.0</v>
      </c>
      <c r="AU139" s="460">
        <v>15.0</v>
      </c>
      <c r="AV139" s="460">
        <v>20.0</v>
      </c>
      <c r="AW139" s="460">
        <v>25.0</v>
      </c>
      <c r="AX139" s="460">
        <v>30.0</v>
      </c>
      <c r="AY139" s="460">
        <v>35.0</v>
      </c>
      <c r="AZ139" s="460">
        <v>40.0</v>
      </c>
      <c r="BA139" s="460">
        <v>45.0</v>
      </c>
      <c r="BB139" s="462">
        <v>50.0</v>
      </c>
      <c r="BC139" s="178"/>
    </row>
    <row r="140">
      <c r="U140" s="102" t="s">
        <v>66</v>
      </c>
      <c r="V140" s="103">
        <v>2000000.0</v>
      </c>
      <c r="W140" s="14">
        <v>0.05815483828882262</v>
      </c>
      <c r="X140" s="14">
        <v>0.08098203383433229</v>
      </c>
      <c r="Y140" s="14">
        <v>0.08859109901616886</v>
      </c>
      <c r="Z140" s="14">
        <v>0.09239563160708714</v>
      </c>
      <c r="AA140" s="14">
        <v>0.09467835116163811</v>
      </c>
      <c r="AB140" s="14">
        <v>0.09924379027074005</v>
      </c>
      <c r="AC140" s="14">
        <v>0.10076560330710735</v>
      </c>
      <c r="AD140" s="14">
        <v>0.09924379027074005</v>
      </c>
      <c r="AE140" s="14">
        <v>0.10015687809256044</v>
      </c>
      <c r="AF140" s="14">
        <v>0.10076560330710735</v>
      </c>
      <c r="AG140" s="14">
        <v>0.0998959958577546</v>
      </c>
      <c r="AH140" s="14">
        <v>0.10038515004801554</v>
      </c>
      <c r="AI140" s="14">
        <v>0.10076560330710736</v>
      </c>
      <c r="AJ140" s="120">
        <v>0.10015687809256044</v>
      </c>
      <c r="AK140" s="51"/>
      <c r="AL140" s="51"/>
      <c r="AM140" s="102" t="s">
        <v>66</v>
      </c>
      <c r="AN140" s="103">
        <v>2000000.0</v>
      </c>
      <c r="AO140" s="14">
        <v>0.10380922937984198</v>
      </c>
      <c r="AP140" s="14">
        <v>0.10380922937984198</v>
      </c>
      <c r="AQ140" s="14">
        <v>0.10380922937984198</v>
      </c>
      <c r="AR140" s="14">
        <v>0.10380922937984198</v>
      </c>
      <c r="AS140" s="14">
        <v>0.10380922937984198</v>
      </c>
      <c r="AT140" s="14">
        <v>0.10380922937984198</v>
      </c>
      <c r="AU140" s="14">
        <v>0.10380922937984197</v>
      </c>
      <c r="AV140" s="14">
        <v>0.10380922937984198</v>
      </c>
      <c r="AW140" s="14">
        <v>0.10380922937984198</v>
      </c>
      <c r="AX140" s="14">
        <v>0.10380922937984197</v>
      </c>
      <c r="AY140" s="14">
        <v>0.10380922937984198</v>
      </c>
      <c r="AZ140" s="14">
        <v>0.10380922937984198</v>
      </c>
      <c r="BA140" s="14">
        <v>0.10380922937984198</v>
      </c>
      <c r="BB140" s="120">
        <v>0.10380922937984198</v>
      </c>
      <c r="BC140" s="178"/>
    </row>
    <row r="141">
      <c r="U141" s="110"/>
      <c r="V141" s="93">
        <f t="shared" ref="V141:V144" si="45">V140+500000</f>
        <v>2500000</v>
      </c>
      <c r="W141" s="123">
        <v>0.04719540634305863</v>
      </c>
      <c r="X141" s="123">
        <v>0.0700226018885683</v>
      </c>
      <c r="Y141" s="123">
        <v>0.07763166707040488</v>
      </c>
      <c r="Z141" s="123">
        <v>0.08143619966132315</v>
      </c>
      <c r="AA141" s="123">
        <v>0.08371891921587413</v>
      </c>
      <c r="AB141" s="123">
        <v>0.08828435832497605</v>
      </c>
      <c r="AC141" s="123">
        <v>0.08980617136134336</v>
      </c>
      <c r="AD141" s="123">
        <v>0.08828435832497605</v>
      </c>
      <c r="AE141" s="123">
        <v>0.08919744614679645</v>
      </c>
      <c r="AF141" s="123">
        <v>0.08980617136134336</v>
      </c>
      <c r="AG141" s="123">
        <v>0.08893656391199062</v>
      </c>
      <c r="AH141" s="123">
        <v>0.08942571810225154</v>
      </c>
      <c r="AI141" s="123">
        <v>0.08980617136134338</v>
      </c>
      <c r="AJ141" s="124">
        <v>0.08919744614679645</v>
      </c>
      <c r="AK141" s="144"/>
      <c r="AL141" s="144"/>
      <c r="AM141" s="110"/>
      <c r="AN141" s="93">
        <f t="shared" ref="AN141:AN144" si="46">AN140+500000</f>
        <v>2500000</v>
      </c>
      <c r="AO141" s="123">
        <v>0.092849797434078</v>
      </c>
      <c r="AP141" s="123">
        <v>0.092849797434078</v>
      </c>
      <c r="AQ141" s="123">
        <v>0.092849797434078</v>
      </c>
      <c r="AR141" s="123">
        <v>0.092849797434078</v>
      </c>
      <c r="AS141" s="123">
        <v>0.092849797434078</v>
      </c>
      <c r="AT141" s="123">
        <v>0.092849797434078</v>
      </c>
      <c r="AU141" s="123">
        <v>0.092849797434078</v>
      </c>
      <c r="AV141" s="123">
        <v>0.092849797434078</v>
      </c>
      <c r="AW141" s="123">
        <v>0.092849797434078</v>
      </c>
      <c r="AX141" s="123">
        <v>0.092849797434078</v>
      </c>
      <c r="AY141" s="123">
        <v>0.092849797434078</v>
      </c>
      <c r="AZ141" s="123">
        <v>0.092849797434078</v>
      </c>
      <c r="BA141" s="123">
        <v>0.092849797434078</v>
      </c>
      <c r="BB141" s="124">
        <v>0.092849797434078</v>
      </c>
      <c r="BC141" s="178"/>
    </row>
    <row r="142">
      <c r="U142" s="110"/>
      <c r="V142" s="93">
        <f t="shared" si="45"/>
        <v>3000000</v>
      </c>
      <c r="W142" s="14">
        <v>0.03910548976636364</v>
      </c>
      <c r="X142" s="14">
        <v>0.06193268531187331</v>
      </c>
      <c r="Y142" s="14">
        <v>0.06954175049370988</v>
      </c>
      <c r="Z142" s="14">
        <v>0.07334628308462815</v>
      </c>
      <c r="AA142" s="14">
        <v>0.07562900263917911</v>
      </c>
      <c r="AB142" s="14">
        <v>0.08019444174828105</v>
      </c>
      <c r="AC142" s="14">
        <v>0.08171625478464836</v>
      </c>
      <c r="AD142" s="14">
        <v>0.08019444174828105</v>
      </c>
      <c r="AE142" s="14">
        <v>0.08110752957010145</v>
      </c>
      <c r="AF142" s="14">
        <v>0.08171625478464836</v>
      </c>
      <c r="AG142" s="14">
        <v>0.08084664733529562</v>
      </c>
      <c r="AH142" s="14">
        <v>0.08133580152555654</v>
      </c>
      <c r="AI142" s="14">
        <v>0.08171625478464836</v>
      </c>
      <c r="AJ142" s="120">
        <v>0.08110752957010145</v>
      </c>
      <c r="AK142" s="51"/>
      <c r="AL142" s="51"/>
      <c r="AM142" s="110"/>
      <c r="AN142" s="93">
        <f t="shared" si="46"/>
        <v>3000000</v>
      </c>
      <c r="AO142" s="14">
        <v>0.084759880857383</v>
      </c>
      <c r="AP142" s="14">
        <v>0.084759880857383</v>
      </c>
      <c r="AQ142" s="14">
        <v>0.084759880857383</v>
      </c>
      <c r="AR142" s="14">
        <v>0.084759880857383</v>
      </c>
      <c r="AS142" s="14">
        <v>0.084759880857383</v>
      </c>
      <c r="AT142" s="14">
        <v>0.084759880857383</v>
      </c>
      <c r="AU142" s="14">
        <v>0.084759880857383</v>
      </c>
      <c r="AV142" s="14">
        <v>0.084759880857383</v>
      </c>
      <c r="AW142" s="14">
        <v>0.084759880857383</v>
      </c>
      <c r="AX142" s="14">
        <v>0.084759880857383</v>
      </c>
      <c r="AY142" s="14">
        <v>0.084759880857383</v>
      </c>
      <c r="AZ142" s="14">
        <v>0.084759880857383</v>
      </c>
      <c r="BA142" s="14">
        <v>0.084759880857383</v>
      </c>
      <c r="BB142" s="120">
        <v>0.084759880857383</v>
      </c>
      <c r="BC142" s="178"/>
    </row>
    <row r="143">
      <c r="U143" s="110"/>
      <c r="V143" s="93">
        <f t="shared" si="45"/>
        <v>3500000</v>
      </c>
      <c r="W143" s="14">
        <v>0.03281801026107256</v>
      </c>
      <c r="X143" s="14">
        <v>0.055645205806582235</v>
      </c>
      <c r="Y143" s="14">
        <v>0.06325427098841878</v>
      </c>
      <c r="Z143" s="14">
        <v>0.06705880357933708</v>
      </c>
      <c r="AA143" s="14">
        <v>0.06934152313388803</v>
      </c>
      <c r="AB143" s="14">
        <v>0.07390696224298997</v>
      </c>
      <c r="AC143" s="14">
        <v>0.07542877527935728</v>
      </c>
      <c r="AD143" s="14">
        <v>0.07390696224298997</v>
      </c>
      <c r="AE143" s="14">
        <v>0.07482005006481036</v>
      </c>
      <c r="AF143" s="14">
        <v>0.07542877527935728</v>
      </c>
      <c r="AG143" s="14">
        <v>0.07455916783000453</v>
      </c>
      <c r="AH143" s="14">
        <v>0.07504832202026546</v>
      </c>
      <c r="AI143" s="14">
        <v>0.07542877527935728</v>
      </c>
      <c r="AJ143" s="120">
        <v>0.07482005006481036</v>
      </c>
      <c r="AK143" s="51"/>
      <c r="AL143" s="51"/>
      <c r="AM143" s="110"/>
      <c r="AN143" s="93">
        <f t="shared" si="46"/>
        <v>3500000</v>
      </c>
      <c r="AO143" s="14">
        <v>0.07847240135209191</v>
      </c>
      <c r="AP143" s="14">
        <v>0.07847240135209191</v>
      </c>
      <c r="AQ143" s="14">
        <v>0.07847240135209191</v>
      </c>
      <c r="AR143" s="14">
        <v>0.07847240135209191</v>
      </c>
      <c r="AS143" s="14">
        <v>0.07847240135209191</v>
      </c>
      <c r="AT143" s="14">
        <v>0.07847240135209191</v>
      </c>
      <c r="AU143" s="14">
        <v>0.07847240135209191</v>
      </c>
      <c r="AV143" s="14">
        <v>0.07847240135209191</v>
      </c>
      <c r="AW143" s="14">
        <v>0.07847240135209191</v>
      </c>
      <c r="AX143" s="14">
        <v>0.07847240135209191</v>
      </c>
      <c r="AY143" s="14">
        <v>0.07847240135209191</v>
      </c>
      <c r="AZ143" s="14">
        <v>0.07847240135209191</v>
      </c>
      <c r="BA143" s="14">
        <v>0.07847240135209191</v>
      </c>
      <c r="BB143" s="120">
        <v>0.07847240135209191</v>
      </c>
      <c r="BC143" s="178"/>
    </row>
    <row r="144">
      <c r="U144" s="110"/>
      <c r="V144" s="93">
        <f t="shared" si="45"/>
        <v>4000000</v>
      </c>
      <c r="W144" s="14">
        <v>0.027749818953216675</v>
      </c>
      <c r="X144" s="14">
        <v>0.050577014498726355</v>
      </c>
      <c r="Y144" s="14">
        <v>0.058186079680562906</v>
      </c>
      <c r="Z144" s="14">
        <v>0.06199061227148119</v>
      </c>
      <c r="AA144" s="14">
        <v>0.06427333182603215</v>
      </c>
      <c r="AB144" s="14">
        <v>0.06883877093513409</v>
      </c>
      <c r="AC144" s="14">
        <v>0.0703605839715014</v>
      </c>
      <c r="AD144" s="14">
        <v>0.06883877093513409</v>
      </c>
      <c r="AE144" s="14">
        <v>0.06975185875695449</v>
      </c>
      <c r="AF144" s="14">
        <v>0.0703605839715014</v>
      </c>
      <c r="AG144" s="14">
        <v>0.06949097652214865</v>
      </c>
      <c r="AH144" s="14">
        <v>0.06998013071240958</v>
      </c>
      <c r="AI144" s="14">
        <v>0.07036058397150141</v>
      </c>
      <c r="AJ144" s="120">
        <v>0.06975185875695449</v>
      </c>
      <c r="AK144" s="51"/>
      <c r="AL144" s="51"/>
      <c r="AM144" s="110"/>
      <c r="AN144" s="93">
        <f t="shared" si="46"/>
        <v>4000000</v>
      </c>
      <c r="AO144" s="14">
        <v>0.07340421004423603</v>
      </c>
      <c r="AP144" s="14">
        <v>0.07340421004423603</v>
      </c>
      <c r="AQ144" s="14">
        <v>0.07340421004423603</v>
      </c>
      <c r="AR144" s="14">
        <v>0.07340421004423603</v>
      </c>
      <c r="AS144" s="14">
        <v>0.07340421004423603</v>
      </c>
      <c r="AT144" s="14">
        <v>0.07340421004423603</v>
      </c>
      <c r="AU144" s="14">
        <v>0.07340421004423603</v>
      </c>
      <c r="AV144" s="14">
        <v>0.07340421004423603</v>
      </c>
      <c r="AW144" s="14">
        <v>0.07340421004423603</v>
      </c>
      <c r="AX144" s="14">
        <v>0.07340421004423603</v>
      </c>
      <c r="AY144" s="14">
        <v>0.07340421004423603</v>
      </c>
      <c r="AZ144" s="14">
        <v>0.07340421004423603</v>
      </c>
      <c r="BA144" s="14">
        <v>0.07340421004423603</v>
      </c>
      <c r="BB144" s="120">
        <v>0.07340421004423603</v>
      </c>
      <c r="BC144" s="178"/>
    </row>
    <row r="145">
      <c r="U145" s="110"/>
      <c r="V145" s="103">
        <v>4200000.0</v>
      </c>
      <c r="W145" s="14">
        <v>0.025980782845880058</v>
      </c>
      <c r="X145" s="14">
        <v>0.048807978391389735</v>
      </c>
      <c r="Y145" s="14">
        <v>0.05641704357322629</v>
      </c>
      <c r="Z145" s="14">
        <v>0.06022157616414457</v>
      </c>
      <c r="AA145" s="14">
        <v>0.06250429571869555</v>
      </c>
      <c r="AB145" s="14">
        <v>0.06706973482779748</v>
      </c>
      <c r="AC145" s="14">
        <v>0.0685915478641648</v>
      </c>
      <c r="AD145" s="14">
        <v>0.06706973482779748</v>
      </c>
      <c r="AE145" s="14">
        <v>0.06798282264961787</v>
      </c>
      <c r="AF145" s="14">
        <v>0.0685915478641648</v>
      </c>
      <c r="AG145" s="14">
        <v>0.06772194041481204</v>
      </c>
      <c r="AH145" s="14">
        <v>0.06821109460507296</v>
      </c>
      <c r="AI145" s="14">
        <v>0.06859154786416478</v>
      </c>
      <c r="AJ145" s="120">
        <v>0.06798282264961787</v>
      </c>
      <c r="AK145" s="51"/>
      <c r="AL145" s="51"/>
      <c r="AM145" s="110"/>
      <c r="AN145" s="103">
        <v>4200000.0</v>
      </c>
      <c r="AO145" s="14">
        <v>0.07163517393689942</v>
      </c>
      <c r="AP145" s="14">
        <v>0.07163517393689942</v>
      </c>
      <c r="AQ145" s="14">
        <v>0.07163517393689942</v>
      </c>
      <c r="AR145" s="14">
        <v>0.07163517393689942</v>
      </c>
      <c r="AS145" s="14">
        <v>0.07163517393689942</v>
      </c>
      <c r="AT145" s="14">
        <v>0.07163517393689942</v>
      </c>
      <c r="AU145" s="14">
        <v>0.07163517393689942</v>
      </c>
      <c r="AV145" s="14">
        <v>0.07163517393689942</v>
      </c>
      <c r="AW145" s="14">
        <v>0.07163517393689942</v>
      </c>
      <c r="AX145" s="14">
        <v>0.07163517393689942</v>
      </c>
      <c r="AY145" s="14">
        <v>0.07163517393689942</v>
      </c>
      <c r="AZ145" s="14">
        <v>0.07163517393689942</v>
      </c>
      <c r="BA145" s="14">
        <v>0.07163517393689942</v>
      </c>
      <c r="BB145" s="120">
        <v>0.07163517393689942</v>
      </c>
      <c r="BC145" s="178"/>
    </row>
    <row r="146">
      <c r="U146" s="110"/>
      <c r="V146" s="103">
        <v>5000000.0</v>
      </c>
      <c r="W146" s="14">
        <v>0.02000033030641448</v>
      </c>
      <c r="X146" s="14">
        <v>0.042827525851924154</v>
      </c>
      <c r="Y146" s="14">
        <v>0.05043659103376072</v>
      </c>
      <c r="Z146" s="14">
        <v>0.054241123624679</v>
      </c>
      <c r="AA146" s="14">
        <v>0.05652384317922996</v>
      </c>
      <c r="AB146" s="14">
        <v>0.061089282288331895</v>
      </c>
      <c r="AC146" s="14">
        <v>0.0626110953246992</v>
      </c>
      <c r="AD146" s="14">
        <v>0.061089282288331895</v>
      </c>
      <c r="AE146" s="14">
        <v>0.062002370110152284</v>
      </c>
      <c r="AF146" s="14">
        <v>0.0626110953246992</v>
      </c>
      <c r="AG146" s="14">
        <v>0.06174148787534646</v>
      </c>
      <c r="AH146" s="14">
        <v>0.06223064206560738</v>
      </c>
      <c r="AI146" s="14">
        <v>0.06261109532469922</v>
      </c>
      <c r="AJ146" s="120">
        <v>0.062002370110152284</v>
      </c>
      <c r="AK146" s="51"/>
      <c r="AL146" s="51"/>
      <c r="AM146" s="110"/>
      <c r="AN146" s="103">
        <v>5000000.0</v>
      </c>
      <c r="AO146" s="14">
        <v>0.06565472139743384</v>
      </c>
      <c r="AP146" s="14">
        <v>0.06565472139743384</v>
      </c>
      <c r="AQ146" s="14">
        <v>0.06565472139743384</v>
      </c>
      <c r="AR146" s="14">
        <v>0.06565472139743384</v>
      </c>
      <c r="AS146" s="14">
        <v>0.06565472139743384</v>
      </c>
      <c r="AT146" s="14">
        <v>0.06565472139743384</v>
      </c>
      <c r="AU146" s="14">
        <v>0.06565472139743384</v>
      </c>
      <c r="AV146" s="14">
        <v>0.06565472139743384</v>
      </c>
      <c r="AW146" s="14">
        <v>0.06565472139743384</v>
      </c>
      <c r="AX146" s="14">
        <v>0.06565472139743384</v>
      </c>
      <c r="AY146" s="14">
        <v>0.06565472139743384</v>
      </c>
      <c r="AZ146" s="14">
        <v>0.06565472139743384</v>
      </c>
      <c r="BA146" s="14">
        <v>0.06565472139743384</v>
      </c>
      <c r="BB146" s="120">
        <v>0.06565472139743384</v>
      </c>
      <c r="BC146" s="178"/>
    </row>
    <row r="147">
      <c r="U147" s="110"/>
      <c r="V147" s="103">
        <v>5500000.0</v>
      </c>
      <c r="W147" s="14">
        <v>0.01694492956877593</v>
      </c>
      <c r="X147" s="14">
        <v>0.03977212511428561</v>
      </c>
      <c r="Y147" s="14">
        <v>0.047381190296122165</v>
      </c>
      <c r="Z147" s="14">
        <v>0.051185722887040444</v>
      </c>
      <c r="AA147" s="14">
        <v>0.053468442441591414</v>
      </c>
      <c r="AB147" s="14">
        <v>0.058033881550693354</v>
      </c>
      <c r="AC147" s="14">
        <v>0.05955569458706066</v>
      </c>
      <c r="AD147" s="14">
        <v>0.058033881550693354</v>
      </c>
      <c r="AE147" s="14">
        <v>0.058946969372513744</v>
      </c>
      <c r="AF147" s="14">
        <v>0.05955569458706066</v>
      </c>
      <c r="AG147" s="14">
        <v>0.05868608713770792</v>
      </c>
      <c r="AH147" s="14">
        <v>0.059175241327968836</v>
      </c>
      <c r="AI147" s="14">
        <v>0.05955569458706066</v>
      </c>
      <c r="AJ147" s="120">
        <v>0.058946969372513744</v>
      </c>
      <c r="AK147" s="51"/>
      <c r="AL147" s="51"/>
      <c r="AM147" s="110"/>
      <c r="AN147" s="103">
        <v>5500000.0</v>
      </c>
      <c r="AO147" s="14">
        <v>0.06259932065979529</v>
      </c>
      <c r="AP147" s="14">
        <v>0.06259932065979529</v>
      </c>
      <c r="AQ147" s="14">
        <v>0.06259932065979529</v>
      </c>
      <c r="AR147" s="14">
        <v>0.06259932065979529</v>
      </c>
      <c r="AS147" s="14">
        <v>0.06259932065979529</v>
      </c>
      <c r="AT147" s="14">
        <v>0.06259932065979529</v>
      </c>
      <c r="AU147" s="14">
        <v>0.06259932065979529</v>
      </c>
      <c r="AV147" s="14">
        <v>0.06259932065979529</v>
      </c>
      <c r="AW147" s="14">
        <v>0.06259932065979529</v>
      </c>
      <c r="AX147" s="14">
        <v>0.06259932065979529</v>
      </c>
      <c r="AY147" s="14">
        <v>0.06259932065979529</v>
      </c>
      <c r="AZ147" s="14">
        <v>0.06259932065979529</v>
      </c>
      <c r="BA147" s="14">
        <v>0.06259932065979529</v>
      </c>
      <c r="BB147" s="120">
        <v>0.06259932065979529</v>
      </c>
      <c r="BC147" s="178"/>
    </row>
    <row r="148">
      <c r="U148" s="110"/>
      <c r="V148" s="93">
        <f t="shared" ref="V148:V155" si="47">V147+500000</f>
        <v>6000000</v>
      </c>
      <c r="W148" s="144">
        <v>0.014279895435800029</v>
      </c>
      <c r="X148" s="144">
        <v>0.03710709098130971</v>
      </c>
      <c r="Y148" s="144">
        <v>0.04471615616314627</v>
      </c>
      <c r="Z148" s="144">
        <v>0.048520688754064546</v>
      </c>
      <c r="AA148" s="144">
        <v>0.05080340830861551</v>
      </c>
      <c r="AB148" s="144">
        <v>0.05536884741771745</v>
      </c>
      <c r="AC148" s="144">
        <v>0.05689066045408476</v>
      </c>
      <c r="AD148" s="144">
        <v>0.05536884741771745</v>
      </c>
      <c r="AE148" s="144">
        <v>0.05628193523953783</v>
      </c>
      <c r="AF148" s="144">
        <v>0.05689066045408476</v>
      </c>
      <c r="AG148" s="144">
        <v>0.05602105300473201</v>
      </c>
      <c r="AH148" s="144">
        <v>0.05651020719499293</v>
      </c>
      <c r="AI148" s="144">
        <v>0.056890660454084765</v>
      </c>
      <c r="AJ148" s="145">
        <v>0.05628193523953783</v>
      </c>
      <c r="AK148" s="144"/>
      <c r="AL148" s="144"/>
      <c r="AM148" s="110"/>
      <c r="AN148" s="93">
        <f t="shared" ref="AN148:AN155" si="48">AN147+500000</f>
        <v>6000000</v>
      </c>
      <c r="AO148" s="144">
        <v>0.05993428652681938</v>
      </c>
      <c r="AP148" s="144">
        <v>0.05993428652681938</v>
      </c>
      <c r="AQ148" s="144">
        <v>0.05993428652681938</v>
      </c>
      <c r="AR148" s="144">
        <v>0.05993428652681938</v>
      </c>
      <c r="AS148" s="144">
        <v>0.05993428652681938</v>
      </c>
      <c r="AT148" s="144">
        <v>0.05993428652681938</v>
      </c>
      <c r="AU148" s="144">
        <v>0.05993428652681938</v>
      </c>
      <c r="AV148" s="144">
        <v>0.05993428652681938</v>
      </c>
      <c r="AW148" s="144">
        <v>0.05993428652681938</v>
      </c>
      <c r="AX148" s="144">
        <v>0.05993428652681938</v>
      </c>
      <c r="AY148" s="144">
        <v>0.05993428652681938</v>
      </c>
      <c r="AZ148" s="144">
        <v>0.05993428652681938</v>
      </c>
      <c r="BA148" s="144">
        <v>0.05993428652681938</v>
      </c>
      <c r="BB148" s="145">
        <v>0.05993428652681938</v>
      </c>
      <c r="BC148" s="178"/>
    </row>
    <row r="149">
      <c r="U149" s="110"/>
      <c r="V149" s="93">
        <f t="shared" si="47"/>
        <v>6500000</v>
      </c>
      <c r="W149" s="51">
        <v>0.011928608815968807</v>
      </c>
      <c r="X149" s="51">
        <v>0.03475580436147848</v>
      </c>
      <c r="Y149" s="51">
        <v>0.042364869543315045</v>
      </c>
      <c r="Z149" s="51">
        <v>0.046169402134233324</v>
      </c>
      <c r="AA149" s="51">
        <v>0.048452121688784294</v>
      </c>
      <c r="AB149" s="51">
        <v>0.05301756079788623</v>
      </c>
      <c r="AC149" s="51">
        <v>0.054539373834253536</v>
      </c>
      <c r="AD149" s="51">
        <v>0.05301756079788623</v>
      </c>
      <c r="AE149" s="51">
        <v>0.05393064861970662</v>
      </c>
      <c r="AF149" s="51">
        <v>0.054539373834253536</v>
      </c>
      <c r="AG149" s="51">
        <v>0.053669766384900786</v>
      </c>
      <c r="AH149" s="51">
        <v>0.054158920575161716</v>
      </c>
      <c r="AI149" s="51">
        <v>0.054539373834253536</v>
      </c>
      <c r="AJ149" s="150">
        <v>0.05393064861970662</v>
      </c>
      <c r="AK149" s="51"/>
      <c r="AL149" s="51"/>
      <c r="AM149" s="110"/>
      <c r="AN149" s="93">
        <f t="shared" si="48"/>
        <v>6500000</v>
      </c>
      <c r="AO149" s="51">
        <v>0.05758299990698816</v>
      </c>
      <c r="AP149" s="51">
        <v>0.05758299990698816</v>
      </c>
      <c r="AQ149" s="51">
        <v>0.05758299990698816</v>
      </c>
      <c r="AR149" s="51">
        <v>0.05758299990698816</v>
      </c>
      <c r="AS149" s="51">
        <v>0.05758299990698816</v>
      </c>
      <c r="AT149" s="51">
        <v>0.05758299990698816</v>
      </c>
      <c r="AU149" s="51">
        <v>0.05758299990698816</v>
      </c>
      <c r="AV149" s="51">
        <v>0.05758299990698816</v>
      </c>
      <c r="AW149" s="51">
        <v>0.05758299990698816</v>
      </c>
      <c r="AX149" s="51">
        <v>0.05758299990698816</v>
      </c>
      <c r="AY149" s="51">
        <v>0.05758299990698816</v>
      </c>
      <c r="AZ149" s="51">
        <v>0.05758299990698816</v>
      </c>
      <c r="BA149" s="51">
        <v>0.05758299990698816</v>
      </c>
      <c r="BB149" s="150">
        <v>0.05758299990698816</v>
      </c>
      <c r="BC149" s="178"/>
    </row>
    <row r="150">
      <c r="U150" s="110"/>
      <c r="V150" s="93">
        <f t="shared" si="47"/>
        <v>7000000</v>
      </c>
      <c r="W150" s="51">
        <v>0.009833976041037229</v>
      </c>
      <c r="X150" s="51">
        <v>0.032661171586546904</v>
      </c>
      <c r="Y150" s="51">
        <v>0.04027023676838346</v>
      </c>
      <c r="Z150" s="51">
        <v>0.04407476935930174</v>
      </c>
      <c r="AA150" s="51">
        <v>0.04635748891385272</v>
      </c>
      <c r="AB150" s="51">
        <v>0.05092292802295465</v>
      </c>
      <c r="AC150" s="51">
        <v>0.05244474105932196</v>
      </c>
      <c r="AD150" s="51">
        <v>0.05092292802295465</v>
      </c>
      <c r="AE150" s="51">
        <v>0.05183601584477504</v>
      </c>
      <c r="AF150" s="51">
        <v>0.05244474105932196</v>
      </c>
      <c r="AG150" s="51">
        <v>0.051575133609969216</v>
      </c>
      <c r="AH150" s="51">
        <v>0.05206428780023013</v>
      </c>
      <c r="AI150" s="51">
        <v>0.05244474105932196</v>
      </c>
      <c r="AJ150" s="150">
        <v>0.05183601584477504</v>
      </c>
      <c r="AK150" s="51"/>
      <c r="AL150" s="51"/>
      <c r="AM150" s="110"/>
      <c r="AN150" s="93">
        <f t="shared" si="48"/>
        <v>7000000</v>
      </c>
      <c r="AO150" s="51">
        <v>0.055488367132056585</v>
      </c>
      <c r="AP150" s="51">
        <v>0.055488367132056585</v>
      </c>
      <c r="AQ150" s="51">
        <v>0.055488367132056585</v>
      </c>
      <c r="AR150" s="51">
        <v>0.055488367132056585</v>
      </c>
      <c r="AS150" s="51">
        <v>0.055488367132056585</v>
      </c>
      <c r="AT150" s="51">
        <v>0.055488367132056585</v>
      </c>
      <c r="AU150" s="51">
        <v>0.055488367132056585</v>
      </c>
      <c r="AV150" s="51">
        <v>0.055488367132056585</v>
      </c>
      <c r="AW150" s="51">
        <v>0.055488367132056585</v>
      </c>
      <c r="AX150" s="51">
        <v>0.055488367132056585</v>
      </c>
      <c r="AY150" s="51">
        <v>0.055488367132056585</v>
      </c>
      <c r="AZ150" s="51">
        <v>0.055488367132056585</v>
      </c>
      <c r="BA150" s="51">
        <v>0.055488367132056585</v>
      </c>
      <c r="BB150" s="150">
        <v>0.055488367132056585</v>
      </c>
      <c r="BC150" s="178"/>
    </row>
    <row r="151">
      <c r="U151" s="110"/>
      <c r="V151" s="93">
        <f t="shared" si="47"/>
        <v>7500000</v>
      </c>
      <c r="W151" s="51">
        <v>0.007952464451747791</v>
      </c>
      <c r="X151" s="51">
        <v>0.03077965999725747</v>
      </c>
      <c r="Y151" s="51">
        <v>0.03838872517909403</v>
      </c>
      <c r="Z151" s="51">
        <v>0.04219325777001231</v>
      </c>
      <c r="AA151" s="51">
        <v>0.04447597732456328</v>
      </c>
      <c r="AB151" s="51">
        <v>0.04904141643366521</v>
      </c>
      <c r="AC151" s="51">
        <v>0.05056322947003253</v>
      </c>
      <c r="AD151" s="51">
        <v>0.04904141643366521</v>
      </c>
      <c r="AE151" s="51">
        <v>0.049954504255485595</v>
      </c>
      <c r="AF151" s="51">
        <v>0.05056322947003253</v>
      </c>
      <c r="AG151" s="51">
        <v>0.04969362202067977</v>
      </c>
      <c r="AH151" s="51">
        <v>0.0501827762109407</v>
      </c>
      <c r="AI151" s="51">
        <v>0.05056322947003252</v>
      </c>
      <c r="AJ151" s="150">
        <v>0.049954504255485595</v>
      </c>
      <c r="AK151" s="51"/>
      <c r="AL151" s="51"/>
      <c r="AM151" s="110"/>
      <c r="AN151" s="93">
        <f t="shared" si="48"/>
        <v>7500000</v>
      </c>
      <c r="AO151" s="51">
        <v>0.053606855542767146</v>
      </c>
      <c r="AP151" s="51">
        <v>0.053606855542767146</v>
      </c>
      <c r="AQ151" s="51">
        <v>0.053606855542767146</v>
      </c>
      <c r="AR151" s="51">
        <v>0.053606855542767146</v>
      </c>
      <c r="AS151" s="51">
        <v>0.053606855542767146</v>
      </c>
      <c r="AT151" s="51">
        <v>0.053606855542767146</v>
      </c>
      <c r="AU151" s="51">
        <v>0.053606855542767146</v>
      </c>
      <c r="AV151" s="51">
        <v>0.053606855542767146</v>
      </c>
      <c r="AW151" s="51">
        <v>0.053606855542767146</v>
      </c>
      <c r="AX151" s="51">
        <v>0.053606855542767146</v>
      </c>
      <c r="AY151" s="51">
        <v>0.05360685554276714</v>
      </c>
      <c r="AZ151" s="51">
        <v>0.053606855542767146</v>
      </c>
      <c r="BA151" s="51">
        <v>0.053606855542767146</v>
      </c>
      <c r="BB151" s="150">
        <v>0.053606855542767146</v>
      </c>
      <c r="BC151" s="178"/>
    </row>
    <row r="152">
      <c r="U152" s="110"/>
      <c r="V152" s="93">
        <f t="shared" si="47"/>
        <v>8000000</v>
      </c>
      <c r="W152" s="51">
        <v>0.0062502235989016315</v>
      </c>
      <c r="X152" s="51">
        <v>0.02907741914441131</v>
      </c>
      <c r="Y152" s="51">
        <v>0.036686484326247874</v>
      </c>
      <c r="Z152" s="51">
        <v>0.040491016917166146</v>
      </c>
      <c r="AA152" s="51">
        <v>0.04277373647171712</v>
      </c>
      <c r="AB152" s="51">
        <v>0.04733917558081906</v>
      </c>
      <c r="AC152" s="51">
        <v>0.048860988617186366</v>
      </c>
      <c r="AD152" s="51">
        <v>0.04733917558081906</v>
      </c>
      <c r="AE152" s="51">
        <v>0.048252263402639446</v>
      </c>
      <c r="AF152" s="51">
        <v>0.048860988617186366</v>
      </c>
      <c r="AG152" s="51">
        <v>0.047991381167833615</v>
      </c>
      <c r="AH152" s="51">
        <v>0.048480535358094545</v>
      </c>
      <c r="AI152" s="51">
        <v>0.048860988617186366</v>
      </c>
      <c r="AJ152" s="150">
        <v>0.048252263402639446</v>
      </c>
      <c r="AK152" s="51"/>
      <c r="AL152" s="51"/>
      <c r="AM152" s="110"/>
      <c r="AN152" s="93">
        <f t="shared" si="48"/>
        <v>8000000</v>
      </c>
      <c r="AO152" s="51">
        <v>0.05190461468992099</v>
      </c>
      <c r="AP152" s="51">
        <v>0.05190461468992099</v>
      </c>
      <c r="AQ152" s="51">
        <v>0.05190461468992099</v>
      </c>
      <c r="AR152" s="51">
        <v>0.05190461468992099</v>
      </c>
      <c r="AS152" s="51">
        <v>0.05190461468992099</v>
      </c>
      <c r="AT152" s="51">
        <v>0.05190461468992099</v>
      </c>
      <c r="AU152" s="51">
        <v>0.05190461468992098</v>
      </c>
      <c r="AV152" s="51">
        <v>0.05190461468992099</v>
      </c>
      <c r="AW152" s="51">
        <v>0.05190461468992099</v>
      </c>
      <c r="AX152" s="51">
        <v>0.05190461468992098</v>
      </c>
      <c r="AY152" s="51">
        <v>0.05190461468992099</v>
      </c>
      <c r="AZ152" s="51">
        <v>0.05190461468992099</v>
      </c>
      <c r="BA152" s="51">
        <v>0.05190461468992099</v>
      </c>
      <c r="BB152" s="150">
        <v>0.05190461468992099</v>
      </c>
      <c r="BC152" s="178"/>
    </row>
    <row r="153">
      <c r="U153" s="110"/>
      <c r="V153" s="93">
        <f t="shared" si="47"/>
        <v>8500000</v>
      </c>
      <c r="W153" s="51">
        <v>0.00470048157334071</v>
      </c>
      <c r="X153" s="51">
        <v>0.027527677118850388</v>
      </c>
      <c r="Y153" s="51">
        <v>0.035136742300686946</v>
      </c>
      <c r="Z153" s="51">
        <v>0.038941274891605225</v>
      </c>
      <c r="AA153" s="51">
        <v>0.04122399444615619</v>
      </c>
      <c r="AB153" s="51">
        <v>0.04578943355525813</v>
      </c>
      <c r="AC153" s="51">
        <v>0.04731124659162544</v>
      </c>
      <c r="AD153" s="51">
        <v>0.04578943355525813</v>
      </c>
      <c r="AE153" s="51">
        <v>0.04670252137707851</v>
      </c>
      <c r="AF153" s="51">
        <v>0.04731124659162544</v>
      </c>
      <c r="AG153" s="51">
        <v>0.046441639142272687</v>
      </c>
      <c r="AH153" s="51">
        <v>0.04693079333253361</v>
      </c>
      <c r="AI153" s="51">
        <v>0.04731124659162544</v>
      </c>
      <c r="AJ153" s="150">
        <v>0.04670252137707851</v>
      </c>
      <c r="AK153" s="51"/>
      <c r="AL153" s="51"/>
      <c r="AM153" s="110"/>
      <c r="AN153" s="93">
        <f t="shared" si="48"/>
        <v>8500000</v>
      </c>
      <c r="AO153" s="51">
        <v>0.05035487266436006</v>
      </c>
      <c r="AP153" s="51">
        <v>0.05035487266436006</v>
      </c>
      <c r="AQ153" s="51">
        <v>0.05035487266436006</v>
      </c>
      <c r="AR153" s="51">
        <v>0.05035487266436006</v>
      </c>
      <c r="AS153" s="51">
        <v>0.05035487266436006</v>
      </c>
      <c r="AT153" s="51">
        <v>0.05035487266436006</v>
      </c>
      <c r="AU153" s="51">
        <v>0.05035487266436006</v>
      </c>
      <c r="AV153" s="51">
        <v>0.05035487266436006</v>
      </c>
      <c r="AW153" s="51">
        <v>0.05035487266436006</v>
      </c>
      <c r="AX153" s="51">
        <v>0.05035487266436006</v>
      </c>
      <c r="AY153" s="51">
        <v>0.05035487266436006</v>
      </c>
      <c r="AZ153" s="51">
        <v>0.05035487266436006</v>
      </c>
      <c r="BA153" s="51">
        <v>0.05035487266436006</v>
      </c>
      <c r="BB153" s="150">
        <v>0.05035487266436006</v>
      </c>
      <c r="BC153" s="178"/>
    </row>
    <row r="154">
      <c r="U154" s="110"/>
      <c r="V154" s="93">
        <f t="shared" si="47"/>
        <v>9000000</v>
      </c>
      <c r="W154" s="51">
        <v>0.00328174893847133</v>
      </c>
      <c r="X154" s="51">
        <v>0.026108944483981007</v>
      </c>
      <c r="Y154" s="51">
        <v>0.03371800966581756</v>
      </c>
      <c r="Z154" s="51">
        <v>0.03752254225673585</v>
      </c>
      <c r="AA154" s="51">
        <v>0.03980526181128682</v>
      </c>
      <c r="AB154" s="51">
        <v>0.04437070092038875</v>
      </c>
      <c r="AC154" s="51">
        <v>0.04589251395675606</v>
      </c>
      <c r="AD154" s="51">
        <v>0.04437070092038875</v>
      </c>
      <c r="AE154" s="51">
        <v>0.04528378874220913</v>
      </c>
      <c r="AF154" s="51">
        <v>0.04589251395675606</v>
      </c>
      <c r="AG154" s="51">
        <v>0.04502290650740331</v>
      </c>
      <c r="AH154" s="51">
        <v>0.04551206069766423</v>
      </c>
      <c r="AI154" s="51">
        <v>0.04589251395675606</v>
      </c>
      <c r="AJ154" s="150">
        <v>0.04528378874220913</v>
      </c>
      <c r="AK154" s="51"/>
      <c r="AL154" s="51"/>
      <c r="AM154" s="110"/>
      <c r="AN154" s="93">
        <f t="shared" si="48"/>
        <v>9000000</v>
      </c>
      <c r="AO154" s="51">
        <v>0.048936140029490684</v>
      </c>
      <c r="AP154" s="51">
        <v>0.048936140029490684</v>
      </c>
      <c r="AQ154" s="51">
        <v>0.048936140029490684</v>
      </c>
      <c r="AR154" s="51">
        <v>0.048936140029490684</v>
      </c>
      <c r="AS154" s="51">
        <v>0.048936140029490684</v>
      </c>
      <c r="AT154" s="51">
        <v>0.048936140029490684</v>
      </c>
      <c r="AU154" s="51">
        <v>0.048936140029490684</v>
      </c>
      <c r="AV154" s="51">
        <v>0.048936140029490684</v>
      </c>
      <c r="AW154" s="51">
        <v>0.048936140029490684</v>
      </c>
      <c r="AX154" s="51">
        <v>0.048936140029490684</v>
      </c>
      <c r="AY154" s="51">
        <v>0.048936140029490684</v>
      </c>
      <c r="AZ154" s="51">
        <v>0.048936140029490684</v>
      </c>
      <c r="BA154" s="51">
        <v>0.048936140029490684</v>
      </c>
      <c r="BB154" s="150">
        <v>0.048936140029490684</v>
      </c>
      <c r="BC154" s="178"/>
    </row>
    <row r="155">
      <c r="U155" s="110"/>
      <c r="V155" s="93">
        <f t="shared" si="47"/>
        <v>9500000</v>
      </c>
      <c r="W155" s="51">
        <v>0.001976549990408511</v>
      </c>
      <c r="X155" s="51">
        <v>0.024803745535918187</v>
      </c>
      <c r="Y155" s="51">
        <v>0.032412810717754745</v>
      </c>
      <c r="Z155" s="51">
        <v>0.036217343308673024</v>
      </c>
      <c r="AA155" s="51">
        <v>0.038500062863223994</v>
      </c>
      <c r="AB155" s="51">
        <v>0.04306550197232593</v>
      </c>
      <c r="AC155" s="51">
        <v>0.04458731500869323</v>
      </c>
      <c r="AD155" s="51">
        <v>0.04306550197232593</v>
      </c>
      <c r="AE155" s="51">
        <v>0.04397858979414632</v>
      </c>
      <c r="AF155" s="51">
        <v>0.04458731500869323</v>
      </c>
      <c r="AG155" s="51">
        <v>0.04371770755934049</v>
      </c>
      <c r="AH155" s="51">
        <v>0.04420686174960141</v>
      </c>
      <c r="AI155" s="51">
        <v>0.044587315008693236</v>
      </c>
      <c r="AJ155" s="150">
        <v>0.04397858979414632</v>
      </c>
      <c r="AK155" s="51"/>
      <c r="AL155" s="51"/>
      <c r="AM155" s="110"/>
      <c r="AN155" s="93">
        <f t="shared" si="48"/>
        <v>9500000</v>
      </c>
      <c r="AO155" s="51">
        <v>0.04763094108142786</v>
      </c>
      <c r="AP155" s="51">
        <v>0.04763094108142786</v>
      </c>
      <c r="AQ155" s="51">
        <v>0.04763094108142786</v>
      </c>
      <c r="AR155" s="51">
        <v>0.04763094108142786</v>
      </c>
      <c r="AS155" s="51">
        <v>0.04763094108142786</v>
      </c>
      <c r="AT155" s="51">
        <v>0.04763094108142786</v>
      </c>
      <c r="AU155" s="51">
        <v>0.04763094108142786</v>
      </c>
      <c r="AV155" s="51">
        <v>0.04763094108142786</v>
      </c>
      <c r="AW155" s="51">
        <v>0.04763094108142786</v>
      </c>
      <c r="AX155" s="51">
        <v>0.04763094108142786</v>
      </c>
      <c r="AY155" s="51">
        <v>0.04763094108142786</v>
      </c>
      <c r="AZ155" s="51">
        <v>0.04763094108142786</v>
      </c>
      <c r="BA155" s="51">
        <v>0.04763094108142786</v>
      </c>
      <c r="BB155" s="150">
        <v>0.04763094108142786</v>
      </c>
      <c r="BC155" s="178"/>
    </row>
    <row r="156">
      <c r="U156" s="146"/>
      <c r="V156" s="279">
        <v>1.0E7</v>
      </c>
      <c r="W156" s="457">
        <v>7.705076260196389E-4</v>
      </c>
      <c r="X156" s="457">
        <v>0.023597703171529316</v>
      </c>
      <c r="Y156" s="457">
        <v>0.03120676835336588</v>
      </c>
      <c r="Z156" s="457">
        <v>0.03501130094428415</v>
      </c>
      <c r="AA156" s="457">
        <v>0.03729402049883512</v>
      </c>
      <c r="AB156" s="457">
        <v>0.04185945960793706</v>
      </c>
      <c r="AC156" s="457">
        <v>0.04338127264430437</v>
      </c>
      <c r="AD156" s="457">
        <v>0.04185945960793706</v>
      </c>
      <c r="AE156" s="457">
        <v>0.042772547429757446</v>
      </c>
      <c r="AF156" s="457">
        <v>0.04338127264430437</v>
      </c>
      <c r="AG156" s="457">
        <v>0.04251166519495162</v>
      </c>
      <c r="AH156" s="457">
        <v>0.043000819385212545</v>
      </c>
      <c r="AI156" s="457">
        <v>0.04338127264430437</v>
      </c>
      <c r="AJ156" s="458">
        <v>0.042772547429757446</v>
      </c>
      <c r="AK156" s="144"/>
      <c r="AL156" s="144"/>
      <c r="AM156" s="146"/>
      <c r="AN156" s="279">
        <v>1.0E7</v>
      </c>
      <c r="AO156" s="457">
        <v>0.046424898717039</v>
      </c>
      <c r="AP156" s="457">
        <v>0.046424898717039</v>
      </c>
      <c r="AQ156" s="457">
        <v>0.046424898717039</v>
      </c>
      <c r="AR156" s="457">
        <v>0.046424898717039</v>
      </c>
      <c r="AS156" s="457">
        <v>0.046424898717039</v>
      </c>
      <c r="AT156" s="457">
        <v>0.046424898717039</v>
      </c>
      <c r="AU156" s="457">
        <v>0.046424898717039</v>
      </c>
      <c r="AV156" s="457">
        <v>0.046424898717039</v>
      </c>
      <c r="AW156" s="457">
        <v>0.046424898717039</v>
      </c>
      <c r="AX156" s="457">
        <v>0.046424898717039</v>
      </c>
      <c r="AY156" s="457">
        <v>0.046424898717039</v>
      </c>
      <c r="AZ156" s="457">
        <v>0.046424898717039</v>
      </c>
      <c r="BA156" s="457">
        <v>0.046424898717039</v>
      </c>
      <c r="BB156" s="458">
        <v>0.046424898717039</v>
      </c>
      <c r="BC156" s="178"/>
    </row>
    <row r="157">
      <c r="AG157" s="172"/>
      <c r="AH157" s="172"/>
      <c r="AI157" s="172"/>
      <c r="AJ157" s="178"/>
      <c r="AK157" s="178"/>
      <c r="AL157" s="178"/>
      <c r="AM157" s="178"/>
      <c r="AN157" s="23"/>
      <c r="AO157" s="225"/>
      <c r="AP157" s="410"/>
      <c r="AQ157" s="178"/>
      <c r="AR157" s="178"/>
      <c r="AS157" s="178"/>
      <c r="AT157" s="178"/>
      <c r="AU157" s="178"/>
      <c r="AV157" s="178"/>
      <c r="AW157" s="178"/>
      <c r="AX157" s="178"/>
      <c r="AY157" s="178"/>
      <c r="AZ157" s="178"/>
      <c r="BA157" s="178"/>
      <c r="BB157" s="178"/>
      <c r="BC157" s="178"/>
    </row>
    <row r="158">
      <c r="AG158" s="464"/>
      <c r="AH158" s="172"/>
      <c r="AI158" s="172"/>
      <c r="AJ158" s="178"/>
      <c r="AK158" s="178"/>
      <c r="AL158" s="178"/>
      <c r="AM158" s="178"/>
      <c r="AN158" s="23"/>
      <c r="AO158" s="225"/>
      <c r="AP158" s="410"/>
      <c r="AQ158" s="178"/>
      <c r="AR158" s="178"/>
      <c r="AS158" s="178"/>
      <c r="AT158" s="178"/>
      <c r="AU158" s="178"/>
      <c r="AV158" s="178"/>
      <c r="AW158" s="178"/>
      <c r="AX158" s="178"/>
      <c r="AY158" s="178"/>
      <c r="AZ158" s="178"/>
      <c r="BA158" s="178"/>
      <c r="BB158" s="178"/>
      <c r="BC158" s="178"/>
    </row>
    <row r="159">
      <c r="U159" s="70" t="s">
        <v>109</v>
      </c>
      <c r="V159" s="71"/>
      <c r="W159" s="71"/>
      <c r="X159" s="71"/>
      <c r="Y159" s="71"/>
      <c r="Z159" s="71"/>
      <c r="AA159" s="71"/>
      <c r="AB159" s="71"/>
      <c r="AC159" s="18"/>
      <c r="AD159" s="23"/>
      <c r="AE159" s="23"/>
      <c r="AF159" s="23"/>
      <c r="AG159" s="23"/>
      <c r="AH159" s="23"/>
      <c r="AI159" s="23"/>
      <c r="AJ159" s="70" t="s">
        <v>109</v>
      </c>
      <c r="AK159" s="71"/>
      <c r="AL159" s="71"/>
      <c r="AM159" s="71"/>
      <c r="AN159" s="71"/>
      <c r="AO159" s="71"/>
      <c r="AP159" s="71"/>
      <c r="AQ159" s="71"/>
      <c r="AR159" s="71"/>
      <c r="AS159" s="71"/>
      <c r="AT159" s="71"/>
      <c r="AU159" s="18"/>
    </row>
    <row r="160">
      <c r="U160" s="77" t="s">
        <v>57</v>
      </c>
      <c r="AC160" s="78"/>
      <c r="AD160" s="212"/>
      <c r="AE160" s="212"/>
      <c r="AF160" s="212"/>
      <c r="AG160" s="212"/>
      <c r="AH160" s="225"/>
      <c r="AI160" s="225"/>
      <c r="AJ160" s="85" t="s">
        <v>58</v>
      </c>
      <c r="AK160" s="182"/>
      <c r="AL160" s="182"/>
      <c r="AM160" s="182"/>
      <c r="AN160" s="183" t="s">
        <v>59</v>
      </c>
      <c r="AO160" s="183"/>
      <c r="AP160" s="183"/>
      <c r="AQ160" s="183"/>
      <c r="AR160" s="183"/>
      <c r="AS160" s="183"/>
      <c r="AT160" s="183"/>
      <c r="AU160" s="184"/>
    </row>
    <row r="161">
      <c r="U161" s="90"/>
      <c r="V161" s="239">
        <f>$F$48</f>
        <v>0.1640734531</v>
      </c>
      <c r="W161" s="240">
        <v>64.0</v>
      </c>
      <c r="X161" s="241">
        <f t="shared" ref="X161:AC161" si="49">W161+10</f>
        <v>74</v>
      </c>
      <c r="Y161" s="241">
        <f t="shared" si="49"/>
        <v>84</v>
      </c>
      <c r="Z161" s="241">
        <f t="shared" si="49"/>
        <v>94</v>
      </c>
      <c r="AA161" s="241">
        <f t="shared" si="49"/>
        <v>104</v>
      </c>
      <c r="AB161" s="241">
        <f t="shared" si="49"/>
        <v>114</v>
      </c>
      <c r="AC161" s="242">
        <f t="shared" si="49"/>
        <v>124</v>
      </c>
      <c r="AD161" s="177"/>
      <c r="AE161" s="177"/>
      <c r="AF161" s="177"/>
      <c r="AG161" s="177"/>
      <c r="AH161" s="177"/>
      <c r="AI161" s="177"/>
      <c r="AJ161" s="90"/>
      <c r="AK161" s="239">
        <f>$F$48</f>
        <v>0.1640734531</v>
      </c>
      <c r="AL161" s="386">
        <f t="shared" ref="AL161:AN161" si="50">AM161-0.05</f>
        <v>0.7</v>
      </c>
      <c r="AM161" s="386">
        <f t="shared" si="50"/>
        <v>0.75</v>
      </c>
      <c r="AN161" s="386">
        <f t="shared" si="50"/>
        <v>0.8</v>
      </c>
      <c r="AO161" s="119">
        <v>0.85</v>
      </c>
      <c r="AP161" s="387">
        <v>0.9</v>
      </c>
      <c r="AQ161" s="386">
        <f t="shared" ref="AQ161:AU161" si="51">AP161+0.02</f>
        <v>0.92</v>
      </c>
      <c r="AR161" s="386">
        <f t="shared" si="51"/>
        <v>0.94</v>
      </c>
      <c r="AS161" s="386">
        <f t="shared" si="51"/>
        <v>0.96</v>
      </c>
      <c r="AT161" s="386">
        <f t="shared" si="51"/>
        <v>0.98</v>
      </c>
      <c r="AU161" s="388">
        <f t="shared" si="51"/>
        <v>1</v>
      </c>
    </row>
    <row r="162">
      <c r="U162" s="102" t="s">
        <v>66</v>
      </c>
      <c r="V162" s="103">
        <v>2000000.0</v>
      </c>
      <c r="W162" s="288">
        <v>0.06864505058508795</v>
      </c>
      <c r="X162" s="14">
        <v>0.08486524267568825</v>
      </c>
      <c r="Y162" s="14">
        <v>0.10108543476628853</v>
      </c>
      <c r="Z162" s="14">
        <v>0.11730562685688888</v>
      </c>
      <c r="AA162" s="14">
        <v>0.13352581894748913</v>
      </c>
      <c r="AB162" s="14">
        <v>0.1497460110380895</v>
      </c>
      <c r="AC162" s="120">
        <v>0.16596620312868976</v>
      </c>
      <c r="AD162" s="51"/>
      <c r="AE162" s="51"/>
      <c r="AF162" s="51"/>
      <c r="AG162" s="51"/>
      <c r="AH162" s="51"/>
      <c r="AI162" s="51"/>
      <c r="AJ162" s="102" t="s">
        <v>66</v>
      </c>
      <c r="AK162" s="103">
        <v>2000000.0</v>
      </c>
      <c r="AL162" s="14">
        <v>0.04903195911016245</v>
      </c>
      <c r="AM162" s="14">
        <v>0.05403284857774634</v>
      </c>
      <c r="AN162" s="14">
        <v>0.058958890774216524</v>
      </c>
      <c r="AO162" s="14">
        <v>0.06382474000739105</v>
      </c>
      <c r="AP162" s="288">
        <v>0.06864505058508795</v>
      </c>
      <c r="AQ162" s="14">
        <v>0.07056370655758423</v>
      </c>
      <c r="AR162" s="14">
        <v>0.07247835891015535</v>
      </c>
      <c r="AS162" s="14">
        <v>0.07438994551850159</v>
      </c>
      <c r="AT162" s="14">
        <v>0.07629940425832345</v>
      </c>
      <c r="AU162" s="120">
        <v>0.07820767300532114</v>
      </c>
    </row>
    <row r="163">
      <c r="D163" s="213"/>
      <c r="G163" s="214"/>
      <c r="H163" s="214"/>
      <c r="I163" s="214"/>
      <c r="J163" s="214"/>
      <c r="K163" s="214"/>
      <c r="L163" s="214"/>
      <c r="M163" s="214"/>
      <c r="N163" s="214"/>
      <c r="O163" s="214"/>
      <c r="P163" s="214"/>
      <c r="Q163" s="214"/>
      <c r="R163" s="214"/>
      <c r="S163" s="214"/>
      <c r="T163" s="214"/>
      <c r="U163" s="110"/>
      <c r="V163" s="93">
        <f t="shared" ref="V163:V166" si="52">V162+500000</f>
        <v>2500000</v>
      </c>
      <c r="W163" s="454">
        <v>0.05768561863932398</v>
      </c>
      <c r="X163" s="123">
        <v>0.07219339948839867</v>
      </c>
      <c r="Y163" s="123">
        <v>0.08670118033747333</v>
      </c>
      <c r="Z163" s="123">
        <v>0.10120896118654804</v>
      </c>
      <c r="AA163" s="123">
        <v>0.11571674203562272</v>
      </c>
      <c r="AB163" s="123">
        <v>0.1302245228846974</v>
      </c>
      <c r="AC163" s="124">
        <v>0.1447323037337721</v>
      </c>
      <c r="AD163" s="144"/>
      <c r="AE163" s="144"/>
      <c r="AF163" s="144"/>
      <c r="AG163" s="144"/>
      <c r="AH163" s="144"/>
      <c r="AI163" s="144"/>
      <c r="AJ163" s="110"/>
      <c r="AK163" s="93">
        <f t="shared" ref="AK163:AK166" si="53">AK162+500000</f>
        <v>2500000</v>
      </c>
      <c r="AL163" s="123">
        <v>0.04014313632458197</v>
      </c>
      <c r="AM163" s="123">
        <v>0.0446160678435741</v>
      </c>
      <c r="AN163" s="123">
        <v>0.04902205392810996</v>
      </c>
      <c r="AO163" s="123">
        <v>0.053374201789567345</v>
      </c>
      <c r="AP163" s="454">
        <v>0.05768561863932398</v>
      </c>
      <c r="AQ163" s="123">
        <v>0.05940171671129902</v>
      </c>
      <c r="AR163" s="123">
        <v>0.061114233836750576</v>
      </c>
      <c r="AS163" s="123">
        <v>0.0628240088772068</v>
      </c>
      <c r="AT163" s="123">
        <v>0.06453188069419588</v>
      </c>
      <c r="AU163" s="124">
        <v>0.066238688149246</v>
      </c>
    </row>
    <row r="164">
      <c r="D164" s="173"/>
      <c r="E164" s="216"/>
      <c r="F164" s="214"/>
      <c r="G164" s="214"/>
      <c r="H164" s="214"/>
      <c r="I164" s="214"/>
      <c r="J164" s="214"/>
      <c r="K164" s="214"/>
      <c r="L164" s="214"/>
      <c r="M164" s="214"/>
      <c r="N164" s="214"/>
      <c r="O164" s="214"/>
      <c r="P164" s="214"/>
      <c r="Q164" s="214"/>
      <c r="R164" s="214"/>
      <c r="S164" s="214"/>
      <c r="T164" s="214"/>
      <c r="U164" s="110"/>
      <c r="V164" s="93">
        <f t="shared" si="52"/>
        <v>3000000</v>
      </c>
      <c r="W164" s="288">
        <v>0.04959570206262897</v>
      </c>
      <c r="X164" s="14">
        <v>0.06283943344659508</v>
      </c>
      <c r="Y164" s="14">
        <v>0.0760831648305612</v>
      </c>
      <c r="Z164" s="14">
        <v>0.08932689621452726</v>
      </c>
      <c r="AA164" s="14">
        <v>0.10257062759849339</v>
      </c>
      <c r="AB164" s="14">
        <v>0.11581435898245945</v>
      </c>
      <c r="AC164" s="120">
        <v>0.1290580903664256</v>
      </c>
      <c r="AD164" s="51"/>
      <c r="AE164" s="51"/>
      <c r="AF164" s="51"/>
      <c r="AG164" s="51"/>
      <c r="AH164" s="51"/>
      <c r="AI164" s="51"/>
      <c r="AJ164" s="110"/>
      <c r="AK164" s="93">
        <f t="shared" si="53"/>
        <v>3000000</v>
      </c>
      <c r="AL164" s="14">
        <v>0.03358167993192957</v>
      </c>
      <c r="AM164" s="14">
        <v>0.03766488908380931</v>
      </c>
      <c r="AN164" s="14">
        <v>0.041686985694732906</v>
      </c>
      <c r="AO164" s="14">
        <v>0.0456599349569297</v>
      </c>
      <c r="AP164" s="288">
        <v>0.04959570206262897</v>
      </c>
      <c r="AQ164" s="14">
        <v>0.051162278104148744</v>
      </c>
      <c r="AR164" s="14">
        <v>0.0527255852036883</v>
      </c>
      <c r="AS164" s="14">
        <v>0.05428638913355027</v>
      </c>
      <c r="AT164" s="14">
        <v>0.05584545566603733</v>
      </c>
      <c r="AU164" s="120">
        <v>0.05740355057345222</v>
      </c>
    </row>
    <row r="165">
      <c r="D165" s="173"/>
      <c r="E165" s="216"/>
      <c r="F165" s="214"/>
      <c r="G165" s="174"/>
      <c r="H165" s="174"/>
      <c r="I165" s="174"/>
      <c r="J165" s="174"/>
      <c r="K165" s="174"/>
      <c r="L165" s="174"/>
      <c r="M165" s="174"/>
      <c r="N165" s="174"/>
      <c r="O165" s="174"/>
      <c r="P165" s="174"/>
      <c r="Q165" s="174"/>
      <c r="R165" s="174"/>
      <c r="S165" s="174"/>
      <c r="T165" s="174"/>
      <c r="U165" s="110"/>
      <c r="V165" s="93">
        <f t="shared" si="52"/>
        <v>3500000</v>
      </c>
      <c r="W165" s="288">
        <v>0.043308222557337885</v>
      </c>
      <c r="X165" s="14">
        <v>0.05556953526860227</v>
      </c>
      <c r="Y165" s="14">
        <v>0.06783084797986662</v>
      </c>
      <c r="Z165" s="14">
        <v>0.08009216069113098</v>
      </c>
      <c r="AA165" s="14">
        <v>0.09235347340239533</v>
      </c>
      <c r="AB165" s="14">
        <v>0.10461478611365971</v>
      </c>
      <c r="AC165" s="120">
        <v>0.11687609882492407</v>
      </c>
      <c r="AD165" s="51"/>
      <c r="AE165" s="51"/>
      <c r="AF165" s="51"/>
      <c r="AG165" s="51"/>
      <c r="AH165" s="51"/>
      <c r="AI165" s="51"/>
      <c r="AJ165" s="110"/>
      <c r="AK165" s="93">
        <f t="shared" si="53"/>
        <v>3500000</v>
      </c>
      <c r="AL165" s="14">
        <v>0.02848211899053391</v>
      </c>
      <c r="AM165" s="14">
        <v>0.03226243609491938</v>
      </c>
      <c r="AN165" s="14">
        <v>0.035986173980539535</v>
      </c>
      <c r="AO165" s="14">
        <v>0.03966441026285785</v>
      </c>
      <c r="AP165" s="288">
        <v>0.043308222557337885</v>
      </c>
      <c r="AQ165" s="14">
        <v>0.044758590144399</v>
      </c>
      <c r="AR165" s="14">
        <v>0.04620593127926982</v>
      </c>
      <c r="AS165" s="14">
        <v>0.04765095492934004</v>
      </c>
      <c r="AT165" s="14">
        <v>0.049094370061999265</v>
      </c>
      <c r="AU165" s="120">
        <v>0.05053688564463721</v>
      </c>
    </row>
    <row r="166">
      <c r="D166" s="218"/>
      <c r="E166" s="219"/>
      <c r="F166" s="174"/>
      <c r="G166" s="220"/>
      <c r="H166" s="220"/>
      <c r="I166" s="220"/>
      <c r="J166" s="220"/>
      <c r="K166" s="220"/>
      <c r="L166" s="220"/>
      <c r="M166" s="220"/>
      <c r="N166" s="220"/>
      <c r="O166" s="220"/>
      <c r="P166" s="220"/>
      <c r="Q166" s="220"/>
      <c r="R166" s="220"/>
      <c r="S166" s="220"/>
      <c r="T166" s="220"/>
      <c r="U166" s="110"/>
      <c r="V166" s="93">
        <f t="shared" si="52"/>
        <v>4000000</v>
      </c>
      <c r="W166" s="288">
        <v>0.038240031249482005</v>
      </c>
      <c r="X166" s="14">
        <v>0.04970943906889392</v>
      </c>
      <c r="Y166" s="14">
        <v>0.061178846888305764</v>
      </c>
      <c r="Z166" s="14">
        <v>0.07264825470771767</v>
      </c>
      <c r="AA166" s="14">
        <v>0.08411766252712954</v>
      </c>
      <c r="AB166" s="14">
        <v>0.09558707034654142</v>
      </c>
      <c r="AC166" s="120">
        <v>0.10705647816595332</v>
      </c>
      <c r="AD166" s="51"/>
      <c r="AE166" s="51"/>
      <c r="AF166" s="51"/>
      <c r="AG166" s="51"/>
      <c r="AH166" s="51"/>
      <c r="AI166" s="51"/>
      <c r="AJ166" s="110"/>
      <c r="AK166" s="93">
        <f t="shared" si="53"/>
        <v>4000000</v>
      </c>
      <c r="AL166" s="14">
        <v>0.024371481267530123</v>
      </c>
      <c r="AM166" s="14">
        <v>0.02790764412202307</v>
      </c>
      <c r="AN166" s="14">
        <v>0.031390881963558236</v>
      </c>
      <c r="AO166" s="14">
        <v>0.03483155695256728</v>
      </c>
      <c r="AP166" s="288">
        <v>0.038240031249482005</v>
      </c>
      <c r="AQ166" s="14">
        <v>0.03959672589839821</v>
      </c>
      <c r="AR166" s="14">
        <v>0.04095058956051602</v>
      </c>
      <c r="AS166" s="14">
        <v>0.04230228541410305</v>
      </c>
      <c r="AT166" s="14">
        <v>0.04365247663742699</v>
      </c>
      <c r="AU166" s="120">
        <v>0.04500182640875541</v>
      </c>
    </row>
    <row r="167">
      <c r="E167" s="174"/>
      <c r="F167" s="220"/>
      <c r="G167" s="175"/>
      <c r="H167" s="175"/>
      <c r="I167" s="175"/>
      <c r="J167" s="175"/>
      <c r="K167" s="175"/>
      <c r="L167" s="175"/>
      <c r="M167" s="175"/>
      <c r="N167" s="175"/>
      <c r="O167" s="175"/>
      <c r="P167" s="175"/>
      <c r="Q167" s="175"/>
      <c r="R167" s="175"/>
      <c r="S167" s="175"/>
      <c r="T167" s="175"/>
      <c r="U167" s="110"/>
      <c r="V167" s="103">
        <v>4200000.0</v>
      </c>
      <c r="W167" s="288">
        <v>0.03647099514214539</v>
      </c>
      <c r="X167" s="14">
        <v>0.0476639910697859</v>
      </c>
      <c r="Y167" s="14">
        <v>0.05885698699742644</v>
      </c>
      <c r="Z167" s="14">
        <v>0.07004998292506696</v>
      </c>
      <c r="AA167" s="14">
        <v>0.08124297885270752</v>
      </c>
      <c r="AB167" s="14">
        <v>0.09243597478034804</v>
      </c>
      <c r="AC167" s="120">
        <v>0.1036289707079886</v>
      </c>
      <c r="AD167" s="51"/>
      <c r="AE167" s="51"/>
      <c r="AF167" s="51"/>
      <c r="AG167" s="51"/>
      <c r="AH167" s="51"/>
      <c r="AI167" s="51"/>
      <c r="AJ167" s="110"/>
      <c r="AK167" s="103">
        <v>4200000.0</v>
      </c>
      <c r="AL167" s="14">
        <v>0.02293667620306816</v>
      </c>
      <c r="AM167" s="14">
        <v>0.02638761779072572</v>
      </c>
      <c r="AN167" s="14">
        <v>0.029786909854376962</v>
      </c>
      <c r="AO167" s="14">
        <v>0.03314466482714308</v>
      </c>
      <c r="AP167" s="288">
        <v>0.03647099514214539</v>
      </c>
      <c r="AQ167" s="14">
        <v>0.03779499354899158</v>
      </c>
      <c r="AR167" s="14">
        <v>0.03911622919561471</v>
      </c>
      <c r="AS167" s="14">
        <v>0.04043534927773453</v>
      </c>
      <c r="AT167" s="14">
        <v>0.04175300099107084</v>
      </c>
      <c r="AU167" s="120">
        <v>0.04306983153134334</v>
      </c>
    </row>
    <row r="168">
      <c r="E168" s="174"/>
      <c r="F168" s="175"/>
      <c r="G168" s="220"/>
      <c r="H168" s="220"/>
      <c r="I168" s="220"/>
      <c r="J168" s="220"/>
      <c r="K168" s="220"/>
      <c r="L168" s="220"/>
      <c r="M168" s="220"/>
      <c r="N168" s="220"/>
      <c r="O168" s="220"/>
      <c r="P168" s="220"/>
      <c r="Q168" s="220"/>
      <c r="R168" s="220"/>
      <c r="S168" s="220"/>
      <c r="T168" s="220"/>
      <c r="U168" s="110"/>
      <c r="V168" s="103">
        <v>5000000.0</v>
      </c>
      <c r="W168" s="288">
        <v>0.030490542602679808</v>
      </c>
      <c r="X168" s="14">
        <v>0.040749092821028864</v>
      </c>
      <c r="Y168" s="14">
        <v>0.05100764303937789</v>
      </c>
      <c r="Z168" s="14">
        <v>0.06126619325772695</v>
      </c>
      <c r="AA168" s="14">
        <v>0.07152474347607597</v>
      </c>
      <c r="AB168" s="14">
        <v>0.08178329369442502</v>
      </c>
      <c r="AC168" s="120">
        <v>0.09204184391277406</v>
      </c>
      <c r="AD168" s="51"/>
      <c r="AE168" s="51"/>
      <c r="AF168" s="51"/>
      <c r="AG168" s="51"/>
      <c r="AH168" s="51"/>
      <c r="AI168" s="51"/>
      <c r="AJ168" s="110"/>
      <c r="AK168" s="103">
        <v>5000000.0</v>
      </c>
      <c r="AL168" s="14">
        <v>0.018086134399080654</v>
      </c>
      <c r="AM168" s="14">
        <v>0.02124897460794302</v>
      </c>
      <c r="AN168" s="14">
        <v>0.02436447724613191</v>
      </c>
      <c r="AO168" s="14">
        <v>0.027441910511694968</v>
      </c>
      <c r="AP168" s="288">
        <v>0.030490542602679808</v>
      </c>
      <c r="AQ168" s="14">
        <v>0.03170400718655453</v>
      </c>
      <c r="AR168" s="14">
        <v>0.032914939658859416</v>
      </c>
      <c r="AS168" s="14">
        <v>0.034123933184269525</v>
      </c>
      <c r="AT168" s="14">
        <v>0.035331580927459895</v>
      </c>
      <c r="AU168" s="120">
        <v>0.03653847605310556</v>
      </c>
    </row>
    <row r="169">
      <c r="E169" s="174"/>
      <c r="F169" s="220"/>
      <c r="G169" s="220"/>
      <c r="H169" s="220"/>
      <c r="I169" s="220"/>
      <c r="J169" s="220"/>
      <c r="K169" s="220"/>
      <c r="L169" s="220"/>
      <c r="M169" s="220"/>
      <c r="N169" s="220"/>
      <c r="O169" s="220"/>
      <c r="P169" s="220"/>
      <c r="Q169" s="220"/>
      <c r="R169" s="220"/>
      <c r="S169" s="220"/>
      <c r="T169" s="220"/>
      <c r="U169" s="110"/>
      <c r="V169" s="103">
        <v>5500000.0</v>
      </c>
      <c r="W169" s="288">
        <v>0.027435141865041264</v>
      </c>
      <c r="X169" s="14">
        <v>0.037216285718134255</v>
      </c>
      <c r="Y169" s="14">
        <v>0.046997429571227246</v>
      </c>
      <c r="Z169" s="14">
        <v>0.05677857342432027</v>
      </c>
      <c r="AA169" s="14">
        <v>0.06655971727741328</v>
      </c>
      <c r="AB169" s="14">
        <v>0.07634086113050627</v>
      </c>
      <c r="AC169" s="120">
        <v>0.08612200498359932</v>
      </c>
      <c r="AD169" s="51"/>
      <c r="AE169" s="51"/>
      <c r="AF169" s="51"/>
      <c r="AG169" s="51"/>
      <c r="AH169" s="51"/>
      <c r="AI169" s="51"/>
      <c r="AJ169" s="110"/>
      <c r="AK169" s="103">
        <v>5500000.0</v>
      </c>
      <c r="AL169" s="14">
        <v>0.015608002701178325</v>
      </c>
      <c r="AM169" s="14">
        <v>0.018623652516090317</v>
      </c>
      <c r="AN169" s="14">
        <v>0.021594167728299377</v>
      </c>
      <c r="AO169" s="14">
        <v>0.024528385217913628</v>
      </c>
      <c r="AP169" s="288">
        <v>0.027435141865041264</v>
      </c>
      <c r="AQ169" s="14">
        <v>0.028592134949140258</v>
      </c>
      <c r="AR169" s="14">
        <v>0.029746713759585652</v>
      </c>
      <c r="AS169" s="14">
        <v>0.03089944385670432</v>
      </c>
      <c r="AT169" s="14">
        <v>0.03205089080082322</v>
      </c>
      <c r="AU169" s="120">
        <v>0.0332016201522692</v>
      </c>
    </row>
    <row r="170">
      <c r="E170" s="174"/>
      <c r="F170" s="220"/>
      <c r="G170" s="220"/>
      <c r="H170" s="220"/>
      <c r="I170" s="220"/>
      <c r="J170" s="220"/>
      <c r="K170" s="220"/>
      <c r="L170" s="220"/>
      <c r="M170" s="220"/>
      <c r="N170" s="220"/>
      <c r="O170" s="220"/>
      <c r="P170" s="220"/>
      <c r="Q170" s="220"/>
      <c r="R170" s="220"/>
      <c r="S170" s="220"/>
      <c r="T170" s="220"/>
      <c r="U170" s="110"/>
      <c r="V170" s="93">
        <f t="shared" ref="V170:V177" si="54">V169+500000</f>
        <v>6000000</v>
      </c>
      <c r="W170" s="455">
        <v>0.024770107732065356</v>
      </c>
      <c r="X170" s="144">
        <v>0.034134840001880884</v>
      </c>
      <c r="Y170" s="144">
        <v>0.04349957227169639</v>
      </c>
      <c r="Z170" s="144">
        <v>0.05286430454151192</v>
      </c>
      <c r="AA170" s="144">
        <v>0.062229036811327465</v>
      </c>
      <c r="AB170" s="144">
        <v>0.07159376908114301</v>
      </c>
      <c r="AC170" s="145">
        <v>0.08095850135095853</v>
      </c>
      <c r="AD170" s="144"/>
      <c r="AE170" s="144"/>
      <c r="AF170" s="144"/>
      <c r="AG170" s="144"/>
      <c r="AH170" s="144"/>
      <c r="AI170" s="144"/>
      <c r="AJ170" s="110"/>
      <c r="AK170" s="93">
        <f t="shared" ref="AK170:AK177" si="55">AK169+500000</f>
        <v>6000000</v>
      </c>
      <c r="AL170" s="144">
        <v>0.013446484089376364</v>
      </c>
      <c r="AM170" s="144">
        <v>0.01633374896967349</v>
      </c>
      <c r="AN170" s="144">
        <v>0.019177800757845</v>
      </c>
      <c r="AO170" s="144">
        <v>0.02198710012245445</v>
      </c>
      <c r="AP170" s="455">
        <v>0.024770107732065356</v>
      </c>
      <c r="AQ170" s="144">
        <v>0.025877844274268362</v>
      </c>
      <c r="AR170" s="144">
        <v>0.02698326932542984</v>
      </c>
      <c r="AS170" s="144">
        <v>0.028086924368337852</v>
      </c>
      <c r="AT170" s="144">
        <v>0.02918935088578046</v>
      </c>
      <c r="AU170" s="145">
        <v>0.030291090360545746</v>
      </c>
    </row>
    <row r="171">
      <c r="E171" s="174"/>
      <c r="F171" s="220"/>
      <c r="G171" s="220"/>
      <c r="H171" s="220"/>
      <c r="I171" s="220"/>
      <c r="J171" s="220"/>
      <c r="K171" s="220"/>
      <c r="L171" s="220"/>
      <c r="M171" s="220"/>
      <c r="N171" s="220"/>
      <c r="O171" s="220"/>
      <c r="P171" s="220"/>
      <c r="Q171" s="220"/>
      <c r="R171" s="220"/>
      <c r="S171" s="220"/>
      <c r="T171" s="220"/>
      <c r="U171" s="110"/>
      <c r="V171" s="93">
        <f t="shared" si="54"/>
        <v>6500000</v>
      </c>
      <c r="W171" s="400">
        <v>0.022418821112234137</v>
      </c>
      <c r="X171" s="51">
        <v>0.03141616484770104</v>
      </c>
      <c r="Y171" s="51">
        <v>0.04041350858316793</v>
      </c>
      <c r="Z171" s="51">
        <v>0.04941085231863483</v>
      </c>
      <c r="AA171" s="51">
        <v>0.05840819605410173</v>
      </c>
      <c r="AB171" s="51">
        <v>0.06740553978956863</v>
      </c>
      <c r="AC171" s="150">
        <v>0.07640288352503553</v>
      </c>
      <c r="AD171" s="51"/>
      <c r="AE171" s="51"/>
      <c r="AF171" s="51"/>
      <c r="AG171" s="51"/>
      <c r="AH171" s="51"/>
      <c r="AI171" s="51"/>
      <c r="AJ171" s="110"/>
      <c r="AK171" s="93">
        <f t="shared" si="55"/>
        <v>6500000</v>
      </c>
      <c r="AL171" s="14">
        <v>0.011539435422509587</v>
      </c>
      <c r="AM171" s="14">
        <v>0.01431342979147906</v>
      </c>
      <c r="AN171" s="14">
        <v>0.017045906364474832</v>
      </c>
      <c r="AO171" s="14">
        <v>0.019744993888919107</v>
      </c>
      <c r="AP171" s="288">
        <v>0.022418821112234137</v>
      </c>
      <c r="AQ171" s="14">
        <v>0.023483099956666528</v>
      </c>
      <c r="AR171" s="14">
        <v>0.024545157992340822</v>
      </c>
      <c r="AS171" s="14">
        <v>0.025605515459092017</v>
      </c>
      <c r="AT171" s="14">
        <v>0.02666469259675515</v>
      </c>
      <c r="AU171" s="120">
        <v>0.02772320964516526</v>
      </c>
    </row>
    <row r="172">
      <c r="E172" s="174"/>
      <c r="F172" s="220"/>
      <c r="G172" s="220"/>
      <c r="H172" s="220"/>
      <c r="I172" s="220"/>
      <c r="J172" s="220"/>
      <c r="K172" s="220"/>
      <c r="L172" s="220"/>
      <c r="M172" s="220"/>
      <c r="N172" s="220"/>
      <c r="O172" s="220"/>
      <c r="P172" s="220"/>
      <c r="Q172" s="220"/>
      <c r="R172" s="220"/>
      <c r="S172" s="220"/>
      <c r="T172" s="220"/>
      <c r="U172" s="110"/>
      <c r="V172" s="93">
        <f t="shared" si="54"/>
        <v>7000000</v>
      </c>
      <c r="W172" s="400">
        <v>0.020324188337302557</v>
      </c>
      <c r="X172" s="51">
        <v>0.02899424570168643</v>
      </c>
      <c r="Y172" s="51">
        <v>0.03766430306607025</v>
      </c>
      <c r="Z172" s="51">
        <v>0.04633436043045411</v>
      </c>
      <c r="AA172" s="51">
        <v>0.05500441779483794</v>
      </c>
      <c r="AB172" s="51">
        <v>0.06367447515922178</v>
      </c>
      <c r="AC172" s="150">
        <v>0.0723445325236056</v>
      </c>
      <c r="AD172" s="51"/>
      <c r="AE172" s="51"/>
      <c r="AF172" s="51"/>
      <c r="AG172" s="51"/>
      <c r="AH172" s="51"/>
      <c r="AI172" s="51"/>
      <c r="AJ172" s="110"/>
      <c r="AK172" s="93">
        <f t="shared" si="55"/>
        <v>7000000</v>
      </c>
      <c r="AL172" s="14">
        <v>0.009840549966641422</v>
      </c>
      <c r="AM172" s="14">
        <v>0.012513637826187883</v>
      </c>
      <c r="AN172" s="14">
        <v>0.015146718136471147</v>
      </c>
      <c r="AO172" s="14">
        <v>0.017747623954504806</v>
      </c>
      <c r="AP172" s="288">
        <v>0.020324188337302557</v>
      </c>
      <c r="AQ172" s="14">
        <v>0.02134975309332666</v>
      </c>
      <c r="AR172" s="14">
        <v>0.02237317782448405</v>
      </c>
      <c r="AS172" s="14">
        <v>0.023394963846423623</v>
      </c>
      <c r="AT172" s="14">
        <v>0.02441561247479425</v>
      </c>
      <c r="AU172" s="120">
        <v>0.02543562502524481</v>
      </c>
    </row>
    <row r="173">
      <c r="E173" s="174"/>
      <c r="F173" s="220"/>
      <c r="G173" s="220"/>
      <c r="H173" s="220"/>
      <c r="I173" s="220"/>
      <c r="J173" s="220"/>
      <c r="K173" s="220"/>
      <c r="L173" s="220"/>
      <c r="M173" s="220"/>
      <c r="N173" s="220"/>
      <c r="O173" s="220"/>
      <c r="P173" s="220"/>
      <c r="Q173" s="220"/>
      <c r="R173" s="220"/>
      <c r="S173" s="220"/>
      <c r="T173" s="220"/>
      <c r="U173" s="110"/>
      <c r="V173" s="93">
        <f t="shared" si="54"/>
        <v>7500000</v>
      </c>
      <c r="W173" s="400">
        <v>0.018442676748013115</v>
      </c>
      <c r="X173" s="51">
        <v>0.026818747926570498</v>
      </c>
      <c r="Y173" s="51">
        <v>0.03519481910512786</v>
      </c>
      <c r="Z173" s="51">
        <v>0.043570890283685236</v>
      </c>
      <c r="AA173" s="51">
        <v>0.051946961462242605</v>
      </c>
      <c r="AB173" s="51">
        <v>0.06032303264079999</v>
      </c>
      <c r="AC173" s="150">
        <v>0.06869910381935734</v>
      </c>
      <c r="AD173" s="51"/>
      <c r="AE173" s="51"/>
      <c r="AF173" s="51"/>
      <c r="AG173" s="51"/>
      <c r="AH173" s="51"/>
      <c r="AI173" s="51"/>
      <c r="AJ173" s="110"/>
      <c r="AK173" s="93">
        <f t="shared" si="55"/>
        <v>7500000</v>
      </c>
      <c r="AL173" s="14">
        <v>0.008314519861342582</v>
      </c>
      <c r="AM173" s="14">
        <v>0.010896968077899437</v>
      </c>
      <c r="AN173" s="14">
        <v>0.013440765329851969</v>
      </c>
      <c r="AO173" s="14">
        <v>0.01595347906921745</v>
      </c>
      <c r="AP173" s="288">
        <v>0.018442676748013115</v>
      </c>
      <c r="AQ173" s="14">
        <v>0.019433466431823723</v>
      </c>
      <c r="AR173" s="14">
        <v>0.020422188655195028</v>
      </c>
      <c r="AS173" s="14">
        <v>0.021409327735056112</v>
      </c>
      <c r="AT173" s="14">
        <v>0.02239536798833613</v>
      </c>
      <c r="AU173" s="120">
        <v>0.023380793731964174</v>
      </c>
    </row>
    <row r="174">
      <c r="E174" s="174"/>
      <c r="F174" s="220"/>
      <c r="G174" s="175"/>
      <c r="H174" s="175"/>
      <c r="I174" s="175"/>
      <c r="J174" s="175"/>
      <c r="K174" s="175"/>
      <c r="L174" s="175"/>
      <c r="M174" s="175"/>
      <c r="N174" s="175"/>
      <c r="O174" s="175"/>
      <c r="P174" s="175"/>
      <c r="Q174" s="175"/>
      <c r="R174" s="175"/>
      <c r="S174" s="175"/>
      <c r="T174" s="175"/>
      <c r="U174" s="110"/>
      <c r="V174" s="93">
        <f t="shared" si="54"/>
        <v>8000000</v>
      </c>
      <c r="W174" s="400">
        <v>0.01674043589516696</v>
      </c>
      <c r="X174" s="51">
        <v>0.024850531940467113</v>
      </c>
      <c r="Y174" s="51">
        <v>0.03296062798576725</v>
      </c>
      <c r="Z174" s="51">
        <v>0.04107072403106742</v>
      </c>
      <c r="AA174" s="51">
        <v>0.04918082007636756</v>
      </c>
      <c r="AB174" s="51">
        <v>0.057290916121667736</v>
      </c>
      <c r="AC174" s="150">
        <v>0.06540101216696786</v>
      </c>
      <c r="AD174" s="51"/>
      <c r="AE174" s="51"/>
      <c r="AF174" s="51"/>
      <c r="AG174" s="51"/>
      <c r="AH174" s="51"/>
      <c r="AI174" s="51"/>
      <c r="AJ174" s="110"/>
      <c r="AK174" s="93">
        <f t="shared" si="55"/>
        <v>8000000</v>
      </c>
      <c r="AL174" s="14">
        <v>0.006933890157704211</v>
      </c>
      <c r="AM174" s="14">
        <v>0.009434334891496155</v>
      </c>
      <c r="AN174" s="14">
        <v>0.011897355989731248</v>
      </c>
      <c r="AO174" s="14">
        <v>0.014330280606318512</v>
      </c>
      <c r="AP174" s="288">
        <v>0.01674043589516696</v>
      </c>
      <c r="AQ174" s="14">
        <v>0.0176997638814151</v>
      </c>
      <c r="AR174" s="14">
        <v>0.018657090057700658</v>
      </c>
      <c r="AS174" s="14">
        <v>0.01961288336187378</v>
      </c>
      <c r="AT174" s="14">
        <v>0.020567612731784708</v>
      </c>
      <c r="AU174" s="120">
        <v>0.021521747105283554</v>
      </c>
    </row>
    <row r="175">
      <c r="E175" s="174"/>
      <c r="F175" s="175"/>
      <c r="G175" s="220"/>
      <c r="H175" s="220"/>
      <c r="I175" s="220"/>
      <c r="J175" s="220"/>
      <c r="K175" s="220"/>
      <c r="L175" s="220"/>
      <c r="M175" s="220"/>
      <c r="N175" s="220"/>
      <c r="O175" s="220"/>
      <c r="P175" s="220"/>
      <c r="Q175" s="220"/>
      <c r="R175" s="220"/>
      <c r="S175" s="220"/>
      <c r="T175" s="220"/>
      <c r="U175" s="110"/>
      <c r="V175" s="93">
        <f t="shared" si="54"/>
        <v>8500000</v>
      </c>
      <c r="W175" s="400">
        <v>0.015190693869606038</v>
      </c>
      <c r="X175" s="51">
        <v>0.02305864272341229</v>
      </c>
      <c r="Y175" s="51">
        <v>0.030926591577218554</v>
      </c>
      <c r="Z175" s="51">
        <v>0.03879454043102481</v>
      </c>
      <c r="AA175" s="51">
        <v>0.04666248928483109</v>
      </c>
      <c r="AB175" s="51">
        <v>0.054530438138637345</v>
      </c>
      <c r="AC175" s="150">
        <v>0.06239838699244363</v>
      </c>
      <c r="AD175" s="51"/>
      <c r="AE175" s="51"/>
      <c r="AF175" s="51"/>
      <c r="AG175" s="51"/>
      <c r="AH175" s="51"/>
      <c r="AI175" s="51"/>
      <c r="AJ175" s="110"/>
      <c r="AK175" s="93">
        <f t="shared" si="55"/>
        <v>8500000</v>
      </c>
      <c r="AL175" s="14">
        <v>0.00567694707007438</v>
      </c>
      <c r="AM175" s="14">
        <v>0.008102734775590526</v>
      </c>
      <c r="AN175" s="14">
        <v>0.01049221622174303</v>
      </c>
      <c r="AO175" s="14">
        <v>0.012852499791944104</v>
      </c>
      <c r="AP175" s="288">
        <v>0.015190693869606038</v>
      </c>
      <c r="AQ175" s="14">
        <v>0.016121378720644196</v>
      </c>
      <c r="AR175" s="14">
        <v>0.01705012153076044</v>
      </c>
      <c r="AS175" s="14">
        <v>0.017977377236493126</v>
      </c>
      <c r="AT175" s="14">
        <v>0.01890360077438069</v>
      </c>
      <c r="AU175" s="120">
        <v>0.019829247080961468</v>
      </c>
    </row>
    <row r="176">
      <c r="E176" s="174"/>
      <c r="F176" s="220"/>
      <c r="G176" s="220"/>
      <c r="H176" s="220"/>
      <c r="I176" s="220"/>
      <c r="J176" s="220"/>
      <c r="K176" s="220"/>
      <c r="L176" s="220"/>
      <c r="M176" s="220"/>
      <c r="N176" s="220"/>
      <c r="O176" s="220"/>
      <c r="P176" s="220"/>
      <c r="Q176" s="220"/>
      <c r="R176" s="220"/>
      <c r="S176" s="220"/>
      <c r="T176" s="220"/>
      <c r="U176" s="110"/>
      <c r="V176" s="93">
        <f t="shared" si="54"/>
        <v>9000000</v>
      </c>
      <c r="W176" s="400">
        <v>0.013771961234736662</v>
      </c>
      <c r="X176" s="51">
        <v>0.02141823311434457</v>
      </c>
      <c r="Y176" s="51">
        <v>0.02906450499395251</v>
      </c>
      <c r="Z176" s="51">
        <v>0.03671077687356041</v>
      </c>
      <c r="AA176" s="51">
        <v>0.044357048753168336</v>
      </c>
      <c r="AB176" s="51">
        <v>0.05200332063277627</v>
      </c>
      <c r="AC176" s="150">
        <v>0.05964959251238418</v>
      </c>
      <c r="AD176" s="51"/>
      <c r="AE176" s="51"/>
      <c r="AF176" s="51"/>
      <c r="AG176" s="51"/>
      <c r="AH176" s="51"/>
      <c r="AI176" s="51"/>
      <c r="AJ176" s="110"/>
      <c r="AK176" s="93">
        <f t="shared" si="55"/>
        <v>9000000</v>
      </c>
      <c r="AL176" s="14">
        <v>0.0045262612467687445</v>
      </c>
      <c r="AM176" s="14">
        <v>0.006883703149764052</v>
      </c>
      <c r="AN176" s="14">
        <v>0.009205861710787471</v>
      </c>
      <c r="AO176" s="14">
        <v>0.011499645036793524</v>
      </c>
      <c r="AP176" s="288">
        <v>0.013771961234736662</v>
      </c>
      <c r="AQ176" s="14">
        <v>0.014676424334014128</v>
      </c>
      <c r="AR176" s="14">
        <v>0.015579000108759332</v>
      </c>
      <c r="AS176" s="14">
        <v>0.01648013067781736</v>
      </c>
      <c r="AT176" s="14">
        <v>0.017380258160033323</v>
      </c>
      <c r="AU176" s="120">
        <v>0.01827982467425227</v>
      </c>
    </row>
    <row r="177">
      <c r="E177" s="174"/>
      <c r="F177" s="220"/>
      <c r="G177" s="220"/>
      <c r="H177" s="220"/>
      <c r="I177" s="220"/>
      <c r="J177" s="220"/>
      <c r="K177" s="220"/>
      <c r="L177" s="220"/>
      <c r="M177" s="220"/>
      <c r="N177" s="220"/>
      <c r="O177" s="220"/>
      <c r="P177" s="220"/>
      <c r="Q177" s="220"/>
      <c r="R177" s="220"/>
      <c r="S177" s="220"/>
      <c r="T177" s="220"/>
      <c r="U177" s="110"/>
      <c r="V177" s="93">
        <f t="shared" si="54"/>
        <v>9500000</v>
      </c>
      <c r="W177" s="400">
        <v>0.012466762286673833</v>
      </c>
      <c r="X177" s="51">
        <v>0.019909096830646927</v>
      </c>
      <c r="Y177" s="51">
        <v>0.027351431374620032</v>
      </c>
      <c r="Z177" s="51">
        <v>0.03479376591859312</v>
      </c>
      <c r="AA177" s="51">
        <v>0.04223610046256623</v>
      </c>
      <c r="AB177" s="51">
        <v>0.04967843500653933</v>
      </c>
      <c r="AC177" s="150">
        <v>0.05712076955051242</v>
      </c>
      <c r="AD177" s="51"/>
      <c r="AE177" s="51"/>
      <c r="AF177" s="51"/>
      <c r="AG177" s="51"/>
      <c r="AH177" s="51"/>
      <c r="AI177" s="51"/>
      <c r="AJ177" s="110"/>
      <c r="AK177" s="93">
        <f t="shared" si="55"/>
        <v>9500000</v>
      </c>
      <c r="AL177" s="14">
        <v>0.003467658738292841</v>
      </c>
      <c r="AM177" s="14">
        <v>0.005762224192715483</v>
      </c>
      <c r="AN177" s="14">
        <v>0.008022447363876606</v>
      </c>
      <c r="AO177" s="14">
        <v>0.010255052109341094</v>
      </c>
      <c r="AP177" s="288">
        <v>0.012466762286673833</v>
      </c>
      <c r="AQ177" s="14">
        <v>0.013347102022624562</v>
      </c>
      <c r="AR177" s="14">
        <v>0.014225604771768763</v>
      </c>
      <c r="AS177" s="14">
        <v>0.015102700860990562</v>
      </c>
      <c r="AT177" s="14">
        <v>0.015978820617174115</v>
      </c>
      <c r="AU177" s="120">
        <v>0.0168543943672036</v>
      </c>
    </row>
    <row r="178">
      <c r="E178" s="174"/>
      <c r="F178" s="220"/>
      <c r="G178" s="220"/>
      <c r="H178" s="220"/>
      <c r="I178" s="220"/>
      <c r="J178" s="220"/>
      <c r="K178" s="220"/>
      <c r="L178" s="220"/>
      <c r="M178" s="220"/>
      <c r="N178" s="220"/>
      <c r="O178" s="220"/>
      <c r="P178" s="220"/>
      <c r="Q178" s="220"/>
      <c r="R178" s="220"/>
      <c r="S178" s="220"/>
      <c r="T178" s="220"/>
      <c r="U178" s="146"/>
      <c r="V178" s="279">
        <v>1.0E7</v>
      </c>
      <c r="W178" s="465">
        <v>0.011260719922284975</v>
      </c>
      <c r="X178" s="457">
        <v>0.01851461034682232</v>
      </c>
      <c r="Y178" s="457">
        <v>0.02576850077135965</v>
      </c>
      <c r="Z178" s="457">
        <v>0.033022391195897005</v>
      </c>
      <c r="AA178" s="457">
        <v>0.04027628162043435</v>
      </c>
      <c r="AB178" s="457">
        <v>0.047530172044971696</v>
      </c>
      <c r="AC178" s="458">
        <v>0.054784062469509044</v>
      </c>
      <c r="AD178" s="144"/>
      <c r="AE178" s="144"/>
      <c r="AF178" s="144"/>
      <c r="AG178" s="144"/>
      <c r="AH178" s="144"/>
      <c r="AI178" s="144"/>
      <c r="AJ178" s="146"/>
      <c r="AK178" s="279">
        <v>1.0E7</v>
      </c>
      <c r="AL178" s="457">
        <v>0.0024894787649139714</v>
      </c>
      <c r="AM178" s="457">
        <v>0.004725944524410037</v>
      </c>
      <c r="AN178" s="457">
        <v>0.006928937566677968</v>
      </c>
      <c r="AO178" s="457">
        <v>0.009105011497406657</v>
      </c>
      <c r="AP178" s="465">
        <v>0.011260719922284975</v>
      </c>
      <c r="AQ178" s="457">
        <v>0.012118768958272496</v>
      </c>
      <c r="AR178" s="457">
        <v>0.012975027520998276</v>
      </c>
      <c r="AS178" s="457">
        <v>0.01382991504122638</v>
      </c>
      <c r="AT178" s="457">
        <v>0.01468385094972093</v>
      </c>
      <c r="AU178" s="458">
        <v>0.015537254677245984</v>
      </c>
    </row>
    <row r="179">
      <c r="E179" s="174"/>
      <c r="F179" s="220"/>
      <c r="G179" s="220"/>
      <c r="H179" s="220"/>
      <c r="I179" s="220"/>
      <c r="J179" s="220"/>
      <c r="K179" s="220"/>
      <c r="L179" s="220"/>
      <c r="M179" s="220"/>
      <c r="N179" s="220"/>
      <c r="O179" s="220"/>
      <c r="P179" s="220"/>
      <c r="Q179" s="220"/>
      <c r="R179" s="220"/>
      <c r="S179" s="220"/>
      <c r="T179" s="220"/>
      <c r="U179" s="151"/>
      <c r="V179" s="87"/>
      <c r="W179" s="87"/>
    </row>
    <row r="180">
      <c r="E180" s="174"/>
      <c r="F180" s="220"/>
      <c r="G180" s="220"/>
      <c r="H180" s="220"/>
      <c r="I180" s="220"/>
      <c r="J180" s="220"/>
      <c r="K180" s="220"/>
      <c r="L180" s="220"/>
      <c r="M180" s="220"/>
      <c r="N180" s="220"/>
      <c r="O180" s="220"/>
      <c r="P180" s="220"/>
      <c r="Q180" s="220"/>
      <c r="R180" s="220"/>
      <c r="S180" s="220"/>
      <c r="T180" s="220"/>
      <c r="U180" s="70" t="s">
        <v>109</v>
      </c>
      <c r="V180" s="71"/>
      <c r="W180" s="71"/>
      <c r="X180" s="71"/>
      <c r="Y180" s="71"/>
      <c r="Z180" s="71"/>
      <c r="AA180" s="71"/>
      <c r="AB180" s="71"/>
      <c r="AC180" s="71"/>
      <c r="AD180" s="71"/>
      <c r="AE180" s="71"/>
      <c r="AF180" s="71"/>
      <c r="AG180" s="71"/>
      <c r="AH180" s="71"/>
      <c r="AI180" s="71"/>
      <c r="AJ180" s="18"/>
      <c r="AK180" s="177"/>
      <c r="AL180" s="177"/>
      <c r="AM180" s="177"/>
      <c r="AN180" s="177"/>
      <c r="AO180" s="177"/>
      <c r="AP180" s="177"/>
    </row>
    <row r="181">
      <c r="E181" s="174"/>
      <c r="F181" s="220"/>
      <c r="G181" s="220"/>
      <c r="H181" s="220"/>
      <c r="I181" s="220"/>
      <c r="J181" s="220"/>
      <c r="K181" s="220"/>
      <c r="L181" s="220"/>
      <c r="M181" s="220"/>
      <c r="N181" s="220"/>
      <c r="O181" s="220"/>
      <c r="P181" s="220"/>
      <c r="Q181" s="220"/>
      <c r="R181" s="220"/>
      <c r="S181" s="220"/>
      <c r="T181" s="220"/>
      <c r="U181" s="85" t="s">
        <v>58</v>
      </c>
      <c r="V181" s="86"/>
      <c r="W181" s="86" t="s">
        <v>44</v>
      </c>
      <c r="AJ181" s="78"/>
      <c r="AK181" s="51"/>
      <c r="AL181" s="51"/>
      <c r="AM181" s="51"/>
      <c r="AN181" s="51"/>
      <c r="AO181" s="51"/>
      <c r="AP181" s="51"/>
    </row>
    <row r="182">
      <c r="E182" s="174"/>
      <c r="F182" s="220"/>
      <c r="G182" s="220"/>
      <c r="H182" s="220"/>
      <c r="I182" s="220"/>
      <c r="J182" s="220"/>
      <c r="K182" s="220"/>
      <c r="L182" s="220"/>
      <c r="M182" s="220"/>
      <c r="N182" s="220"/>
      <c r="O182" s="220"/>
      <c r="P182" s="220"/>
      <c r="Q182" s="220"/>
      <c r="R182" s="220"/>
      <c r="S182" s="220"/>
      <c r="T182" s="220"/>
      <c r="U182" s="85" t="s">
        <v>63</v>
      </c>
      <c r="V182" s="86"/>
      <c r="W182" s="86"/>
      <c r="X182" s="86"/>
      <c r="Y182" s="86"/>
      <c r="Z182" s="86"/>
      <c r="AA182" s="86"/>
      <c r="AB182" s="86"/>
      <c r="AC182" s="86"/>
      <c r="AD182" s="86"/>
      <c r="AE182" s="86"/>
      <c r="AF182" s="86"/>
      <c r="AG182" s="86"/>
      <c r="AH182" s="86"/>
      <c r="AI182" s="86"/>
      <c r="AJ182" s="100"/>
      <c r="AK182" s="144"/>
      <c r="AL182" s="144"/>
      <c r="AM182" s="144"/>
      <c r="AN182" s="144"/>
      <c r="AO182" s="144"/>
      <c r="AP182" s="144"/>
    </row>
    <row r="183">
      <c r="E183" s="174"/>
      <c r="F183" s="220"/>
      <c r="G183" s="220"/>
      <c r="H183" s="220"/>
      <c r="I183" s="220"/>
      <c r="J183" s="220"/>
      <c r="K183" s="220"/>
      <c r="L183" s="220"/>
      <c r="M183" s="220"/>
      <c r="N183" s="220"/>
      <c r="O183" s="220"/>
      <c r="P183" s="220"/>
      <c r="Q183" s="220"/>
      <c r="R183" s="220"/>
      <c r="S183" s="220"/>
      <c r="T183" s="220"/>
      <c r="U183" s="85" t="s">
        <v>68</v>
      </c>
      <c r="V183" s="86"/>
      <c r="W183" s="86"/>
      <c r="X183" s="86"/>
      <c r="Y183" s="86"/>
      <c r="Z183" s="86"/>
      <c r="AA183" s="86"/>
      <c r="AB183" s="86"/>
      <c r="AC183" s="86"/>
      <c r="AD183" s="86"/>
      <c r="AE183" s="86"/>
      <c r="AF183" s="86"/>
      <c r="AG183" s="86"/>
      <c r="AH183" s="86"/>
      <c r="AI183" s="86"/>
      <c r="AJ183" s="100"/>
      <c r="AK183" s="51"/>
      <c r="AL183" s="51"/>
      <c r="AM183" s="51"/>
      <c r="AN183" s="51"/>
      <c r="AO183" s="51"/>
      <c r="AP183" s="51"/>
    </row>
    <row r="184">
      <c r="E184" s="174"/>
      <c r="F184" s="220"/>
      <c r="G184" s="220"/>
      <c r="H184" s="220"/>
      <c r="I184" s="220"/>
      <c r="J184" s="220"/>
      <c r="K184" s="220"/>
      <c r="L184" s="220"/>
      <c r="M184" s="220"/>
      <c r="N184" s="220"/>
      <c r="O184" s="220"/>
      <c r="P184" s="220"/>
      <c r="Q184" s="220"/>
      <c r="R184" s="220"/>
      <c r="S184" s="220"/>
      <c r="T184" s="220"/>
      <c r="U184" s="90"/>
      <c r="V184" s="239">
        <f>$F$48</f>
        <v>0.1640734531</v>
      </c>
      <c r="W184" s="103">
        <v>1.0</v>
      </c>
      <c r="X184" s="93">
        <f t="shared" ref="X184:AA184" si="56">W184+1</f>
        <v>2</v>
      </c>
      <c r="Y184" s="93">
        <f t="shared" si="56"/>
        <v>3</v>
      </c>
      <c r="Z184" s="93">
        <f t="shared" si="56"/>
        <v>4</v>
      </c>
      <c r="AA184" s="93">
        <f t="shared" si="56"/>
        <v>5</v>
      </c>
      <c r="AB184" s="103">
        <v>10.0</v>
      </c>
      <c r="AC184" s="103">
        <v>15.0</v>
      </c>
      <c r="AD184" s="103">
        <v>20.0</v>
      </c>
      <c r="AE184" s="103">
        <v>25.0</v>
      </c>
      <c r="AF184" s="103">
        <v>30.0</v>
      </c>
      <c r="AG184" s="103">
        <v>35.0</v>
      </c>
      <c r="AH184" s="103">
        <v>40.0</v>
      </c>
      <c r="AI184" s="103">
        <v>45.0</v>
      </c>
      <c r="AJ184" s="114">
        <v>50.0</v>
      </c>
      <c r="AK184" s="51"/>
      <c r="AL184" s="51"/>
      <c r="AM184" s="51"/>
      <c r="AN184" s="51"/>
      <c r="AO184" s="51"/>
      <c r="AP184" s="51"/>
    </row>
    <row r="185">
      <c r="E185" s="174"/>
      <c r="F185" s="220"/>
      <c r="G185" s="220"/>
      <c r="H185" s="220"/>
      <c r="I185" s="220"/>
      <c r="J185" s="220"/>
      <c r="K185" s="220"/>
      <c r="L185" s="220"/>
      <c r="M185" s="220"/>
      <c r="N185" s="220"/>
      <c r="O185" s="220"/>
      <c r="P185" s="220"/>
      <c r="Q185" s="220"/>
      <c r="R185" s="220"/>
      <c r="S185" s="220"/>
      <c r="T185" s="220"/>
      <c r="U185" s="102" t="s">
        <v>66</v>
      </c>
      <c r="V185" s="103">
        <v>2000000.0</v>
      </c>
      <c r="W185" s="14">
        <v>0.06864505058508795</v>
      </c>
      <c r="X185" s="14">
        <v>0.08470089755716056</v>
      </c>
      <c r="Y185" s="14">
        <v>0.09005384019526375</v>
      </c>
      <c r="Z185" s="14">
        <v>0.09273105602210545</v>
      </c>
      <c r="AA185" s="14">
        <v>0.0943379805427959</v>
      </c>
      <c r="AB185" s="14">
        <v>0.09755628210961473</v>
      </c>
      <c r="AC185" s="14">
        <v>0.09863397886308285</v>
      </c>
      <c r="AD185" s="14">
        <v>0.09757107089143409</v>
      </c>
      <c r="AE185" s="14">
        <v>0.09822060349311662</v>
      </c>
      <c r="AF185" s="14">
        <v>0.09865605415039849</v>
      </c>
      <c r="AG185" s="14">
        <v>0.09805177040536611</v>
      </c>
      <c r="AH185" s="14">
        <v>0.09840307932892482</v>
      </c>
      <c r="AI185" s="14">
        <v>0.0986779153262028</v>
      </c>
      <c r="AJ185" s="120">
        <v>0.0982570390745511</v>
      </c>
      <c r="AK185" s="51"/>
      <c r="AL185" s="51"/>
      <c r="AM185" s="51"/>
      <c r="AN185" s="51"/>
      <c r="AO185" s="51"/>
      <c r="AP185" s="51"/>
    </row>
    <row r="186">
      <c r="E186" s="174"/>
      <c r="F186" s="220"/>
      <c r="G186" s="220"/>
      <c r="H186" s="220"/>
      <c r="I186" s="220"/>
      <c r="J186" s="220"/>
      <c r="K186" s="220"/>
      <c r="L186" s="220"/>
      <c r="M186" s="220"/>
      <c r="N186" s="220"/>
      <c r="O186" s="220"/>
      <c r="P186" s="220"/>
      <c r="Q186" s="220"/>
      <c r="R186" s="220"/>
      <c r="S186" s="220"/>
      <c r="T186" s="220"/>
      <c r="U186" s="110"/>
      <c r="V186" s="93">
        <f t="shared" ref="V186:V189" si="57">V185+500000</f>
        <v>2500000</v>
      </c>
      <c r="W186" s="123">
        <v>0.05768561863932398</v>
      </c>
      <c r="X186" s="123">
        <v>0.07374146561139659</v>
      </c>
      <c r="Y186" s="123">
        <v>0.07909440824949976</v>
      </c>
      <c r="Z186" s="123">
        <v>0.08177162407634149</v>
      </c>
      <c r="AA186" s="123">
        <v>0.08337854859703192</v>
      </c>
      <c r="AB186" s="123">
        <v>0.08659685016385074</v>
      </c>
      <c r="AC186" s="123">
        <v>0.08767454691731887</v>
      </c>
      <c r="AD186" s="123">
        <v>0.0866116389456701</v>
      </c>
      <c r="AE186" s="123">
        <v>0.08726117154735263</v>
      </c>
      <c r="AF186" s="123">
        <v>0.0876966222046345</v>
      </c>
      <c r="AG186" s="123">
        <v>0.08709233845960213</v>
      </c>
      <c r="AH186" s="123">
        <v>0.08744364738316084</v>
      </c>
      <c r="AI186" s="123">
        <v>0.08771848338043882</v>
      </c>
      <c r="AJ186" s="124">
        <v>0.08729760712878712</v>
      </c>
      <c r="AK186" s="51"/>
      <c r="AL186" s="51"/>
      <c r="AM186" s="51"/>
      <c r="AN186" s="51"/>
      <c r="AO186" s="51"/>
      <c r="AP186" s="51"/>
    </row>
    <row r="187">
      <c r="E187" s="174"/>
      <c r="F187" s="220"/>
      <c r="G187" s="220"/>
      <c r="H187" s="220"/>
      <c r="I187" s="220"/>
      <c r="J187" s="220"/>
      <c r="K187" s="220"/>
      <c r="L187" s="220"/>
      <c r="M187" s="220"/>
      <c r="N187" s="220"/>
      <c r="O187" s="220"/>
      <c r="P187" s="220"/>
      <c r="Q187" s="220"/>
      <c r="R187" s="220"/>
      <c r="S187" s="220"/>
      <c r="T187" s="220"/>
      <c r="U187" s="110"/>
      <c r="V187" s="93">
        <f t="shared" si="57"/>
        <v>3000000</v>
      </c>
      <c r="W187" s="14">
        <v>0.04959570206262897</v>
      </c>
      <c r="X187" s="14">
        <v>0.06565154903470159</v>
      </c>
      <c r="Y187" s="14">
        <v>0.07100449167280476</v>
      </c>
      <c r="Z187" s="14">
        <v>0.07368170749964649</v>
      </c>
      <c r="AA187" s="14">
        <v>0.07528863202033692</v>
      </c>
      <c r="AB187" s="14">
        <v>0.07850693358715577</v>
      </c>
      <c r="AC187" s="14">
        <v>0.07958463034062387</v>
      </c>
      <c r="AD187" s="14">
        <v>0.0785217223689751</v>
      </c>
      <c r="AE187" s="14">
        <v>0.07917125497065763</v>
      </c>
      <c r="AF187" s="14">
        <v>0.0796067056279395</v>
      </c>
      <c r="AG187" s="14">
        <v>0.07900242188290713</v>
      </c>
      <c r="AH187" s="14">
        <v>0.07935373080646584</v>
      </c>
      <c r="AI187" s="14">
        <v>0.07962856680374382</v>
      </c>
      <c r="AJ187" s="120">
        <v>0.07920769055209212</v>
      </c>
      <c r="AK187" s="51"/>
      <c r="AL187" s="51"/>
      <c r="AM187" s="51"/>
      <c r="AN187" s="51"/>
      <c r="AO187" s="51"/>
      <c r="AP187" s="51"/>
    </row>
    <row r="188">
      <c r="E188" s="174"/>
      <c r="F188" s="220"/>
      <c r="G188" s="220"/>
      <c r="H188" s="220"/>
      <c r="I188" s="220"/>
      <c r="J188" s="220"/>
      <c r="K188" s="220"/>
      <c r="L188" s="220"/>
      <c r="M188" s="220"/>
      <c r="N188" s="220"/>
      <c r="O188" s="220"/>
      <c r="P188" s="220"/>
      <c r="Q188" s="220"/>
      <c r="R188" s="220"/>
      <c r="S188" s="220"/>
      <c r="T188" s="220"/>
      <c r="U188" s="110"/>
      <c r="V188" s="93">
        <f t="shared" si="57"/>
        <v>3500000</v>
      </c>
      <c r="W188" s="14">
        <v>0.043308222557337885</v>
      </c>
      <c r="X188" s="14">
        <v>0.0593640695294105</v>
      </c>
      <c r="Y188" s="14">
        <v>0.06471701216751367</v>
      </c>
      <c r="Z188" s="14">
        <v>0.0673942279943554</v>
      </c>
      <c r="AA188" s="14">
        <v>0.06900115251504582</v>
      </c>
      <c r="AB188" s="14">
        <v>0.07221945408186467</v>
      </c>
      <c r="AC188" s="14">
        <v>0.07329715083533278</v>
      </c>
      <c r="AD188" s="14">
        <v>0.072234242863684</v>
      </c>
      <c r="AE188" s="14">
        <v>0.07288377546536655</v>
      </c>
      <c r="AF188" s="14">
        <v>0.07331922612264842</v>
      </c>
      <c r="AG188" s="14">
        <v>0.07271494237761604</v>
      </c>
      <c r="AH188" s="14">
        <v>0.07306625130117475</v>
      </c>
      <c r="AI188" s="14">
        <v>0.07334108729845275</v>
      </c>
      <c r="AJ188" s="120">
        <v>0.07292021104680103</v>
      </c>
      <c r="AK188" s="51"/>
      <c r="AL188" s="51"/>
      <c r="AM188" s="51"/>
      <c r="AN188" s="51"/>
      <c r="AO188" s="51"/>
      <c r="AP188" s="51"/>
    </row>
    <row r="189">
      <c r="E189" s="174"/>
      <c r="F189" s="220"/>
      <c r="G189" s="220"/>
      <c r="H189" s="220"/>
      <c r="I189" s="220"/>
      <c r="J189" s="220"/>
      <c r="K189" s="220"/>
      <c r="L189" s="220"/>
      <c r="M189" s="220"/>
      <c r="N189" s="220"/>
      <c r="O189" s="220"/>
      <c r="P189" s="220"/>
      <c r="Q189" s="220"/>
      <c r="R189" s="220"/>
      <c r="S189" s="220"/>
      <c r="T189" s="220"/>
      <c r="U189" s="110"/>
      <c r="V189" s="93">
        <f t="shared" si="57"/>
        <v>4000000</v>
      </c>
      <c r="W189" s="14">
        <v>0.038240031249482005</v>
      </c>
      <c r="X189" s="14">
        <v>0.05429587822155462</v>
      </c>
      <c r="Y189" s="14">
        <v>0.059648820859657795</v>
      </c>
      <c r="Z189" s="14">
        <v>0.06232603668649952</v>
      </c>
      <c r="AA189" s="14">
        <v>0.06393296120718994</v>
      </c>
      <c r="AB189" s="14">
        <v>0.06715126277400878</v>
      </c>
      <c r="AC189" s="14">
        <v>0.0682289595274769</v>
      </c>
      <c r="AD189" s="14">
        <v>0.06716605155582812</v>
      </c>
      <c r="AE189" s="14">
        <v>0.06781558415751067</v>
      </c>
      <c r="AF189" s="14">
        <v>0.06825103481479254</v>
      </c>
      <c r="AG189" s="14">
        <v>0.06764675106976016</v>
      </c>
      <c r="AH189" s="14">
        <v>0.06799805999331886</v>
      </c>
      <c r="AI189" s="14">
        <v>0.06827289599059685</v>
      </c>
      <c r="AJ189" s="120">
        <v>0.06785201973894515</v>
      </c>
      <c r="AK189" s="144"/>
      <c r="AL189" s="144"/>
      <c r="AM189" s="144"/>
      <c r="AN189" s="144"/>
      <c r="AO189" s="144"/>
      <c r="AP189" s="144"/>
    </row>
    <row r="190">
      <c r="E190" s="174"/>
      <c r="F190" s="220"/>
      <c r="G190" s="220"/>
      <c r="H190" s="220"/>
      <c r="I190" s="220"/>
      <c r="J190" s="220"/>
      <c r="K190" s="220"/>
      <c r="L190" s="220"/>
      <c r="M190" s="220"/>
      <c r="N190" s="220"/>
      <c r="O190" s="220"/>
      <c r="P190" s="220"/>
      <c r="Q190" s="220"/>
      <c r="R190" s="220"/>
      <c r="S190" s="220"/>
      <c r="T190" s="220"/>
      <c r="U190" s="110"/>
      <c r="V190" s="103">
        <v>4200000.0</v>
      </c>
      <c r="W190" s="14">
        <v>0.03647099514214539</v>
      </c>
      <c r="X190" s="14">
        <v>0.05252684211421801</v>
      </c>
      <c r="Y190" s="14">
        <v>0.057879784752321174</v>
      </c>
      <c r="Z190" s="14">
        <v>0.060557000579162905</v>
      </c>
      <c r="AA190" s="14">
        <v>0.06216392509985333</v>
      </c>
      <c r="AB190" s="14">
        <v>0.06538222666667218</v>
      </c>
      <c r="AC190" s="14">
        <v>0.06645992342014029</v>
      </c>
      <c r="AD190" s="14">
        <v>0.06539701544849151</v>
      </c>
      <c r="AE190" s="14">
        <v>0.06604654805017406</v>
      </c>
      <c r="AF190" s="14">
        <v>0.06648199870745594</v>
      </c>
      <c r="AG190" s="14">
        <v>0.06587771496242355</v>
      </c>
      <c r="AH190" s="14">
        <v>0.06622902388598224</v>
      </c>
      <c r="AI190" s="14">
        <v>0.06650385988326026</v>
      </c>
      <c r="AJ190" s="120">
        <v>0.06608298363160854</v>
      </c>
      <c r="AK190" s="51"/>
      <c r="AL190" s="51"/>
      <c r="AM190" s="51"/>
      <c r="AN190" s="51"/>
      <c r="AO190" s="51"/>
      <c r="AP190" s="51"/>
    </row>
    <row r="191">
      <c r="E191" s="174"/>
      <c r="F191" s="220"/>
      <c r="G191" s="220"/>
      <c r="H191" s="220"/>
      <c r="I191" s="220"/>
      <c r="J191" s="220"/>
      <c r="K191" s="220"/>
      <c r="L191" s="220"/>
      <c r="M191" s="220"/>
      <c r="N191" s="220"/>
      <c r="O191" s="220"/>
      <c r="P191" s="220"/>
      <c r="Q191" s="220"/>
      <c r="R191" s="220"/>
      <c r="S191" s="220"/>
      <c r="T191" s="220"/>
      <c r="U191" s="110"/>
      <c r="V191" s="103">
        <v>5000000.0</v>
      </c>
      <c r="W191" s="14">
        <v>0.030490542602679808</v>
      </c>
      <c r="X191" s="14">
        <v>0.04654638957475242</v>
      </c>
      <c r="Y191" s="14">
        <v>0.0518993322128556</v>
      </c>
      <c r="Z191" s="14">
        <v>0.054576548039697324</v>
      </c>
      <c r="AA191" s="14">
        <v>0.056218978647874326</v>
      </c>
      <c r="AB191" s="14">
        <v>0.05942521535408654</v>
      </c>
      <c r="AC191" s="14">
        <v>0.06049887200726049</v>
      </c>
      <c r="AD191" s="14">
        <v>0.05943994869529926</v>
      </c>
      <c r="AE191" s="14">
        <v>0.060087046310658705</v>
      </c>
      <c r="AF191" s="14">
        <v>0.0605208645381101</v>
      </c>
      <c r="AG191" s="14">
        <v>0.0599188461491978</v>
      </c>
      <c r="AH191" s="14">
        <v>0.06026883807585469</v>
      </c>
      <c r="AI191" s="14">
        <v>0.06054264376011573</v>
      </c>
      <c r="AJ191" s="120">
        <v>0.06012334530134742</v>
      </c>
      <c r="AK191" s="51"/>
      <c r="AL191" s="51"/>
      <c r="AM191" s="51"/>
      <c r="AN191" s="51"/>
      <c r="AO191" s="51"/>
      <c r="AP191" s="51"/>
    </row>
    <row r="192">
      <c r="E192" s="174"/>
      <c r="F192" s="220"/>
      <c r="G192" s="220"/>
      <c r="H192" s="220"/>
      <c r="I192" s="220"/>
      <c r="J192" s="220"/>
      <c r="K192" s="220"/>
      <c r="L192" s="220"/>
      <c r="M192" s="220"/>
      <c r="N192" s="220"/>
      <c r="O192" s="220"/>
      <c r="P192" s="220"/>
      <c r="Q192" s="220"/>
      <c r="R192" s="220"/>
      <c r="S192" s="220"/>
      <c r="T192" s="220"/>
      <c r="U192" s="110"/>
      <c r="V192" s="103">
        <v>5500000.0</v>
      </c>
      <c r="W192" s="14">
        <v>0.02756696634037304</v>
      </c>
      <c r="X192" s="14">
        <v>0.04356262269586807</v>
      </c>
      <c r="Y192" s="14">
        <v>0.04889549807009831</v>
      </c>
      <c r="Z192" s="14">
        <v>0.051562677473971565</v>
      </c>
      <c r="AA192" s="14">
        <v>0.053163577910235786</v>
      </c>
      <c r="AB192" s="14">
        <v>0.056369814616447994</v>
      </c>
      <c r="AC192" s="14">
        <v>0.057443471269621946</v>
      </c>
      <c r="AD192" s="14">
        <v>0.056384547957660715</v>
      </c>
      <c r="AE192" s="14">
        <v>0.057031645573020165</v>
      </c>
      <c r="AF192" s="14">
        <v>0.05746546380047156</v>
      </c>
      <c r="AG192" s="14">
        <v>0.05686344541155926</v>
      </c>
      <c r="AH192" s="14">
        <v>0.05721343733821614</v>
      </c>
      <c r="AI192" s="14">
        <v>0.05748724302247717</v>
      </c>
      <c r="AJ192" s="120">
        <v>0.05706794456370888</v>
      </c>
      <c r="AK192" s="51"/>
      <c r="AL192" s="51"/>
      <c r="AM192" s="51"/>
      <c r="AN192" s="51"/>
      <c r="AO192" s="51"/>
      <c r="AP192" s="51"/>
    </row>
    <row r="193">
      <c r="E193" s="174"/>
      <c r="F193" s="220"/>
      <c r="G193" s="220"/>
      <c r="H193" s="220"/>
      <c r="I193" s="220"/>
      <c r="J193" s="220"/>
      <c r="K193" s="220"/>
      <c r="L193" s="220"/>
      <c r="M193" s="220"/>
      <c r="N193" s="220"/>
      <c r="O193" s="220"/>
      <c r="P193" s="220"/>
      <c r="Q193" s="220"/>
      <c r="R193" s="220"/>
      <c r="S193" s="220"/>
      <c r="T193" s="220"/>
      <c r="U193" s="110"/>
      <c r="V193" s="93">
        <f t="shared" ref="V193:V200" si="58">V192+500000</f>
        <v>6000000</v>
      </c>
      <c r="W193" s="144">
        <v>0.02490193220739714</v>
      </c>
      <c r="X193" s="144">
        <v>0.04089758856289216</v>
      </c>
      <c r="Y193" s="144">
        <v>0.046230463937122414</v>
      </c>
      <c r="Z193" s="144">
        <v>0.04889764334099566</v>
      </c>
      <c r="AA193" s="144">
        <v>0.05049854377725988</v>
      </c>
      <c r="AB193" s="144">
        <v>0.05370478048347209</v>
      </c>
      <c r="AC193" s="144">
        <v>0.05477843713664604</v>
      </c>
      <c r="AD193" s="144">
        <v>0.05371951382468481</v>
      </c>
      <c r="AE193" s="144">
        <v>0.05436661144004426</v>
      </c>
      <c r="AF193" s="144">
        <v>0.054800429667495654</v>
      </c>
      <c r="AG193" s="144">
        <v>0.054198411278583346</v>
      </c>
      <c r="AH193" s="144">
        <v>0.05454840320524024</v>
      </c>
      <c r="AI193" s="144">
        <v>0.054822208889501275</v>
      </c>
      <c r="AJ193" s="145">
        <v>0.05440291043073296</v>
      </c>
      <c r="AK193" s="51"/>
      <c r="AL193" s="51"/>
      <c r="AM193" s="51"/>
      <c r="AN193" s="51"/>
      <c r="AO193" s="51"/>
      <c r="AP193" s="51"/>
    </row>
    <row r="194">
      <c r="E194" s="174"/>
      <c r="F194" s="220"/>
      <c r="G194" s="220"/>
      <c r="H194" s="220"/>
      <c r="I194" s="220"/>
      <c r="J194" s="220"/>
      <c r="K194" s="220"/>
      <c r="L194" s="220"/>
      <c r="M194" s="220"/>
      <c r="N194" s="220"/>
      <c r="O194" s="220"/>
      <c r="P194" s="220"/>
      <c r="Q194" s="220"/>
      <c r="R194" s="220"/>
      <c r="S194" s="220"/>
      <c r="T194" s="220"/>
      <c r="U194" s="110"/>
      <c r="V194" s="93">
        <f t="shared" si="58"/>
        <v>6500000</v>
      </c>
      <c r="W194" s="51">
        <v>0.022550645587565917</v>
      </c>
      <c r="X194" s="51">
        <v>0.03854630194306094</v>
      </c>
      <c r="Y194" s="51">
        <v>0.0438791773172912</v>
      </c>
      <c r="Z194" s="51">
        <v>0.04654635672116444</v>
      </c>
      <c r="AA194" s="51">
        <v>0.04814725715742866</v>
      </c>
      <c r="AB194" s="51">
        <v>0.051353493863640874</v>
      </c>
      <c r="AC194" s="51">
        <v>0.05242715051681482</v>
      </c>
      <c r="AD194" s="51">
        <v>0.05136822720485358</v>
      </c>
      <c r="AE194" s="51">
        <v>0.052015324820213045</v>
      </c>
      <c r="AF194" s="51">
        <v>0.052449143047664425</v>
      </c>
      <c r="AG194" s="51">
        <v>0.05184712465875213</v>
      </c>
      <c r="AH194" s="51">
        <v>0.052197116585409015</v>
      </c>
      <c r="AI194" s="51">
        <v>0.052470922269670046</v>
      </c>
      <c r="AJ194" s="150">
        <v>0.05205162381090175</v>
      </c>
      <c r="AK194" s="51"/>
      <c r="AL194" s="51"/>
      <c r="AM194" s="51"/>
      <c r="AN194" s="51"/>
      <c r="AO194" s="51"/>
      <c r="AP194" s="51"/>
    </row>
    <row r="195">
      <c r="E195" s="174"/>
      <c r="F195" s="220"/>
      <c r="G195" s="220"/>
      <c r="H195" s="220"/>
      <c r="I195" s="220"/>
      <c r="J195" s="220"/>
      <c r="K195" s="220"/>
      <c r="L195" s="220"/>
      <c r="M195" s="220"/>
      <c r="N195" s="220"/>
      <c r="O195" s="220"/>
      <c r="P195" s="220"/>
      <c r="Q195" s="220"/>
      <c r="R195" s="220"/>
      <c r="S195" s="220"/>
      <c r="T195" s="220"/>
      <c r="U195" s="110"/>
      <c r="V195" s="93">
        <f t="shared" si="58"/>
        <v>7000000</v>
      </c>
      <c r="W195" s="51">
        <v>0.020456012812634337</v>
      </c>
      <c r="X195" s="51">
        <v>0.036451669168129364</v>
      </c>
      <c r="Y195" s="51">
        <v>0.04178454454235962</v>
      </c>
      <c r="Z195" s="51">
        <v>0.04445172394623286</v>
      </c>
      <c r="AA195" s="51">
        <v>0.04605262438249708</v>
      </c>
      <c r="AB195" s="51">
        <v>0.04925886108870929</v>
      </c>
      <c r="AC195" s="51">
        <v>0.05033251774188325</v>
      </c>
      <c r="AD195" s="51">
        <v>0.04927359442992201</v>
      </c>
      <c r="AE195" s="51">
        <v>0.04992069204528147</v>
      </c>
      <c r="AF195" s="51">
        <v>0.050354510272732855</v>
      </c>
      <c r="AG195" s="51">
        <v>0.049752491883820554</v>
      </c>
      <c r="AH195" s="51">
        <v>0.05010248381047744</v>
      </c>
      <c r="AI195" s="51">
        <v>0.05037628949473847</v>
      </c>
      <c r="AJ195" s="150">
        <v>0.04995699103597017</v>
      </c>
      <c r="AK195" s="51"/>
      <c r="AL195" s="51"/>
      <c r="AM195" s="51"/>
      <c r="AN195" s="51"/>
      <c r="AO195" s="51"/>
      <c r="AP195" s="51"/>
    </row>
    <row r="196">
      <c r="E196" s="174"/>
      <c r="F196" s="220"/>
      <c r="G196" s="220"/>
      <c r="H196" s="220"/>
      <c r="I196" s="220"/>
      <c r="J196" s="220"/>
      <c r="K196" s="220"/>
      <c r="L196" s="220"/>
      <c r="M196" s="220"/>
      <c r="N196" s="220"/>
      <c r="O196" s="220"/>
      <c r="P196" s="220"/>
      <c r="Q196" s="220"/>
      <c r="R196" s="220"/>
      <c r="S196" s="220"/>
      <c r="T196" s="220"/>
      <c r="U196" s="110"/>
      <c r="V196" s="93">
        <f t="shared" si="58"/>
        <v>7500000</v>
      </c>
      <c r="W196" s="51">
        <v>0.018574501223344902</v>
      </c>
      <c r="X196" s="51">
        <v>0.034570157578839925</v>
      </c>
      <c r="Y196" s="51">
        <v>0.03990303295307018</v>
      </c>
      <c r="Z196" s="51">
        <v>0.04257021235694342</v>
      </c>
      <c r="AA196" s="51">
        <v>0.044171112793207644</v>
      </c>
      <c r="AB196" s="51">
        <v>0.04737734949941986</v>
      </c>
      <c r="AC196" s="51">
        <v>0.04845100615259381</v>
      </c>
      <c r="AD196" s="51">
        <v>0.04739208284063258</v>
      </c>
      <c r="AE196" s="51">
        <v>0.04803918045599202</v>
      </c>
      <c r="AF196" s="51">
        <v>0.048472998683443416</v>
      </c>
      <c r="AG196" s="51">
        <v>0.047870980294531115</v>
      </c>
      <c r="AH196" s="51">
        <v>0.048220972221188</v>
      </c>
      <c r="AI196" s="51">
        <v>0.04849477790544903</v>
      </c>
      <c r="AJ196" s="150">
        <v>0.04807547944668073</v>
      </c>
      <c r="AK196" s="51"/>
      <c r="AL196" s="51"/>
      <c r="AM196" s="51"/>
      <c r="AN196" s="51"/>
      <c r="AO196" s="51"/>
      <c r="AP196" s="51"/>
    </row>
    <row r="197">
      <c r="E197" s="174"/>
      <c r="F197" s="220"/>
      <c r="G197" s="220"/>
      <c r="H197" s="220"/>
      <c r="I197" s="220"/>
      <c r="J197" s="220"/>
      <c r="K197" s="220"/>
      <c r="L197" s="220"/>
      <c r="M197" s="220"/>
      <c r="N197" s="220"/>
      <c r="O197" s="220"/>
      <c r="P197" s="220"/>
      <c r="Q197" s="220"/>
      <c r="R197" s="220"/>
      <c r="S197" s="220"/>
      <c r="T197" s="220"/>
      <c r="U197" s="110"/>
      <c r="V197" s="93">
        <f t="shared" si="58"/>
        <v>8000000</v>
      </c>
      <c r="W197" s="51">
        <v>0.016872260370498743</v>
      </c>
      <c r="X197" s="51">
        <v>0.03286791672599377</v>
      </c>
      <c r="Y197" s="51">
        <v>0.03820079210022403</v>
      </c>
      <c r="Z197" s="51">
        <v>0.04086797150409726</v>
      </c>
      <c r="AA197" s="51">
        <v>0.04246887194036149</v>
      </c>
      <c r="AB197" s="51">
        <v>0.0456751086465737</v>
      </c>
      <c r="AC197" s="51">
        <v>0.04674876529974764</v>
      </c>
      <c r="AD197" s="51">
        <v>0.04568984198778641</v>
      </c>
      <c r="AE197" s="51">
        <v>0.046336939603145874</v>
      </c>
      <c r="AF197" s="51">
        <v>0.046770757830597254</v>
      </c>
      <c r="AG197" s="51">
        <v>0.04616873944168495</v>
      </c>
      <c r="AH197" s="51">
        <v>0.046518731368341844</v>
      </c>
      <c r="AI197" s="51">
        <v>0.046792537052602876</v>
      </c>
      <c r="AJ197" s="150">
        <v>0.046373238593834576</v>
      </c>
      <c r="AK197" s="144"/>
      <c r="AL197" s="144"/>
      <c r="AM197" s="144"/>
      <c r="AN197" s="144"/>
      <c r="AO197" s="144"/>
      <c r="AP197" s="144"/>
    </row>
    <row r="198">
      <c r="E198" s="174"/>
      <c r="F198" s="220"/>
      <c r="G198" s="220"/>
      <c r="H198" s="220"/>
      <c r="I198" s="220"/>
      <c r="J198" s="220"/>
      <c r="K198" s="220"/>
      <c r="L198" s="220"/>
      <c r="M198" s="220"/>
      <c r="N198" s="220"/>
      <c r="O198" s="220"/>
      <c r="P198" s="220"/>
      <c r="Q198" s="220"/>
      <c r="R198" s="220"/>
      <c r="S198" s="220"/>
      <c r="T198" s="220"/>
      <c r="U198" s="110"/>
      <c r="V198" s="93">
        <f t="shared" si="58"/>
        <v>8500000</v>
      </c>
      <c r="W198" s="51">
        <v>0.01532251834493782</v>
      </c>
      <c r="X198" s="51">
        <v>0.03131817470043285</v>
      </c>
      <c r="Y198" s="51">
        <v>0.0366510500746631</v>
      </c>
      <c r="Z198" s="51">
        <v>0.03931822947853634</v>
      </c>
      <c r="AA198" s="51">
        <v>0.04091912991480056</v>
      </c>
      <c r="AB198" s="51">
        <v>0.04412536662101277</v>
      </c>
      <c r="AC198" s="51">
        <v>0.04519902327418671</v>
      </c>
      <c r="AD198" s="51">
        <v>0.04414009996222549</v>
      </c>
      <c r="AE198" s="51">
        <v>0.04478719757758494</v>
      </c>
      <c r="AF198" s="51">
        <v>0.04522101580503633</v>
      </c>
      <c r="AG198" s="51">
        <v>0.04461899741612403</v>
      </c>
      <c r="AH198" s="51">
        <v>0.044968989342780916</v>
      </c>
      <c r="AI198" s="51">
        <v>0.04524279502704195</v>
      </c>
      <c r="AJ198" s="150">
        <v>0.04482349656827365</v>
      </c>
    </row>
    <row r="199">
      <c r="E199" s="174"/>
      <c r="F199" s="220"/>
      <c r="G199" s="220"/>
      <c r="H199" s="220"/>
      <c r="I199" s="220"/>
      <c r="J199" s="220"/>
      <c r="K199" s="220"/>
      <c r="L199" s="220"/>
      <c r="M199" s="220"/>
      <c r="N199" s="220"/>
      <c r="O199" s="220"/>
      <c r="P199" s="220"/>
      <c r="Q199" s="220"/>
      <c r="R199" s="220"/>
      <c r="S199" s="220"/>
      <c r="T199" s="220"/>
      <c r="U199" s="110"/>
      <c r="V199" s="93">
        <f t="shared" si="58"/>
        <v>9000000</v>
      </c>
      <c r="W199" s="51">
        <v>0.01390378571006844</v>
      </c>
      <c r="X199" s="51">
        <v>0.029899442065563466</v>
      </c>
      <c r="Y199" s="51">
        <v>0.035232317439793714</v>
      </c>
      <c r="Z199" s="51">
        <v>0.03789949684366696</v>
      </c>
      <c r="AA199" s="51">
        <v>0.03950039727993118</v>
      </c>
      <c r="AB199" s="51">
        <v>0.04270663398614339</v>
      </c>
      <c r="AC199" s="51">
        <v>0.043780290639317335</v>
      </c>
      <c r="AD199" s="51">
        <v>0.04272136732735611</v>
      </c>
      <c r="AE199" s="51">
        <v>0.04336846494271556</v>
      </c>
      <c r="AF199" s="51">
        <v>0.04380228317016695</v>
      </c>
      <c r="AG199" s="51">
        <v>0.04320026478125465</v>
      </c>
      <c r="AH199" s="51">
        <v>0.04355025670791154</v>
      </c>
      <c r="AI199" s="51">
        <v>0.04382406239217257</v>
      </c>
      <c r="AJ199" s="150">
        <v>0.04340476393340426</v>
      </c>
    </row>
    <row r="200">
      <c r="E200" s="174"/>
      <c r="F200" s="220"/>
      <c r="G200" s="220"/>
      <c r="H200" s="220"/>
      <c r="I200" s="220"/>
      <c r="J200" s="220"/>
      <c r="K200" s="220"/>
      <c r="L200" s="220"/>
      <c r="M200" s="220"/>
      <c r="N200" s="220"/>
      <c r="O200" s="220"/>
      <c r="P200" s="220"/>
      <c r="Q200" s="220"/>
      <c r="R200" s="220"/>
      <c r="S200" s="220"/>
      <c r="T200" s="220"/>
      <c r="U200" s="110"/>
      <c r="V200" s="93">
        <f t="shared" si="58"/>
        <v>9500000</v>
      </c>
      <c r="W200" s="51">
        <v>0.01259858676200562</v>
      </c>
      <c r="X200" s="51">
        <v>0.028594243117500646</v>
      </c>
      <c r="Y200" s="51">
        <v>0.0339271184917309</v>
      </c>
      <c r="Z200" s="51">
        <v>0.036594297895604144</v>
      </c>
      <c r="AA200" s="51">
        <v>0.03819519833186836</v>
      </c>
      <c r="AB200" s="51">
        <v>0.04140143503808057</v>
      </c>
      <c r="AC200" s="51">
        <v>0.04247509169125451</v>
      </c>
      <c r="AD200" s="51">
        <v>0.04141616837929328</v>
      </c>
      <c r="AE200" s="51">
        <v>0.042063265994652745</v>
      </c>
      <c r="AF200" s="51">
        <v>0.042497084222104124</v>
      </c>
      <c r="AG200" s="51">
        <v>0.04189506583319183</v>
      </c>
      <c r="AH200" s="51">
        <v>0.042245057759848714</v>
      </c>
      <c r="AI200" s="51">
        <v>0.042518863444109746</v>
      </c>
      <c r="AJ200" s="150">
        <v>0.042099564985341446</v>
      </c>
      <c r="AK200" s="23"/>
      <c r="AL200" s="23"/>
      <c r="AM200" s="23"/>
      <c r="AN200" s="23"/>
      <c r="AO200" s="23"/>
      <c r="AP200" s="23"/>
    </row>
    <row r="201">
      <c r="E201" s="174"/>
      <c r="F201" s="220"/>
      <c r="G201" s="220"/>
      <c r="H201" s="220"/>
      <c r="I201" s="220"/>
      <c r="J201" s="220"/>
      <c r="K201" s="220"/>
      <c r="L201" s="220"/>
      <c r="M201" s="220"/>
      <c r="N201" s="220"/>
      <c r="O201" s="220"/>
      <c r="P201" s="220"/>
      <c r="Q201" s="220"/>
      <c r="R201" s="220"/>
      <c r="S201" s="220"/>
      <c r="T201" s="220"/>
      <c r="U201" s="146"/>
      <c r="V201" s="279">
        <v>1.0E7</v>
      </c>
      <c r="W201" s="457">
        <v>0.011392544397616748</v>
      </c>
      <c r="X201" s="457">
        <v>0.027388200753111776</v>
      </c>
      <c r="Y201" s="457">
        <v>0.03272107612734203</v>
      </c>
      <c r="Z201" s="457">
        <v>0.03538825553121527</v>
      </c>
      <c r="AA201" s="457">
        <v>0.036989155967479495</v>
      </c>
      <c r="AB201" s="457">
        <v>0.0401953926736917</v>
      </c>
      <c r="AC201" s="457">
        <v>0.04126904932686565</v>
      </c>
      <c r="AD201" s="457">
        <v>0.04021012601490442</v>
      </c>
      <c r="AE201" s="457">
        <v>0.040857223630263874</v>
      </c>
      <c r="AF201" s="457">
        <v>0.04129104185771527</v>
      </c>
      <c r="AG201" s="457">
        <v>0.04068902346880296</v>
      </c>
      <c r="AH201" s="457">
        <v>0.04103901539545985</v>
      </c>
      <c r="AI201" s="457">
        <v>0.04131282107972088</v>
      </c>
      <c r="AJ201" s="458">
        <v>0.04089352262095258</v>
      </c>
      <c r="AK201" s="87"/>
      <c r="AL201" s="87"/>
      <c r="AM201" s="87"/>
      <c r="AN201" s="87"/>
      <c r="AO201" s="87"/>
      <c r="AP201" s="87"/>
    </row>
    <row r="202">
      <c r="E202" s="174"/>
      <c r="F202" s="220"/>
      <c r="G202" s="220"/>
      <c r="H202" s="220"/>
      <c r="I202" s="220"/>
      <c r="J202" s="220"/>
      <c r="K202" s="220"/>
      <c r="L202" s="220"/>
      <c r="M202" s="220"/>
      <c r="N202" s="220"/>
      <c r="O202" s="220"/>
      <c r="P202" s="220"/>
      <c r="Q202" s="220"/>
      <c r="R202" s="220"/>
      <c r="S202" s="220"/>
      <c r="T202" s="220"/>
      <c r="U202" s="225"/>
      <c r="V202" s="466"/>
      <c r="W202" s="115"/>
      <c r="X202" s="177"/>
      <c r="Y202" s="177"/>
      <c r="Z202" s="177"/>
      <c r="AA202" s="177"/>
      <c r="AB202" s="177"/>
      <c r="AC202" s="177"/>
      <c r="AD202" s="177"/>
      <c r="AE202" s="177"/>
      <c r="AF202" s="177"/>
      <c r="AG202" s="177"/>
      <c r="AH202" s="177"/>
      <c r="AI202" s="177"/>
      <c r="AJ202" s="177"/>
      <c r="AK202" s="177"/>
      <c r="AL202" s="177"/>
      <c r="AM202" s="177"/>
      <c r="AN202" s="177"/>
      <c r="AO202" s="177"/>
      <c r="AP202" s="177"/>
    </row>
    <row r="203">
      <c r="E203" s="174"/>
      <c r="F203" s="220"/>
      <c r="G203" s="220"/>
      <c r="H203" s="220"/>
      <c r="I203" s="220"/>
      <c r="J203" s="220"/>
      <c r="K203" s="220"/>
      <c r="L203" s="220"/>
      <c r="M203" s="220"/>
      <c r="N203" s="220"/>
      <c r="O203" s="220"/>
      <c r="P203" s="220"/>
      <c r="Q203" s="220"/>
      <c r="R203" s="220"/>
      <c r="S203" s="220"/>
      <c r="T203" s="220"/>
      <c r="U203" s="176"/>
      <c r="V203" s="115"/>
      <c r="W203" s="51"/>
      <c r="X203" s="51"/>
      <c r="Y203" s="51"/>
      <c r="Z203" s="51"/>
      <c r="AA203" s="51"/>
      <c r="AB203" s="51"/>
      <c r="AC203" s="51"/>
      <c r="AD203" s="51"/>
      <c r="AE203" s="51"/>
      <c r="AF203" s="51"/>
      <c r="AG203" s="51"/>
      <c r="AH203" s="51"/>
      <c r="AI203" s="51"/>
      <c r="AJ203" s="51"/>
      <c r="AK203" s="51"/>
      <c r="AL203" s="51"/>
      <c r="AM203" s="51"/>
      <c r="AN203" s="51"/>
      <c r="AO203" s="51"/>
      <c r="AP203" s="51"/>
    </row>
    <row r="204">
      <c r="E204" s="174"/>
      <c r="F204" s="220"/>
      <c r="G204" s="175"/>
      <c r="H204" s="175"/>
      <c r="I204" s="175"/>
      <c r="J204" s="175"/>
      <c r="K204" s="175"/>
      <c r="L204" s="175"/>
      <c r="M204" s="175"/>
      <c r="N204" s="175"/>
      <c r="O204" s="175"/>
      <c r="P204" s="175"/>
      <c r="Q204" s="175"/>
      <c r="R204" s="175"/>
      <c r="S204" s="175"/>
      <c r="T204" s="175"/>
      <c r="V204" s="177"/>
      <c r="W204" s="144"/>
      <c r="X204" s="144"/>
      <c r="Y204" s="144"/>
      <c r="Z204" s="144"/>
      <c r="AA204" s="144"/>
      <c r="AB204" s="144"/>
      <c r="AC204" s="144"/>
      <c r="AD204" s="144"/>
      <c r="AE204" s="144"/>
      <c r="AF204" s="144"/>
      <c r="AG204" s="144"/>
      <c r="AH204" s="144"/>
      <c r="AI204" s="144"/>
      <c r="AJ204" s="144"/>
      <c r="AK204" s="144"/>
      <c r="AL204" s="144"/>
      <c r="AM204" s="144"/>
      <c r="AN204" s="144"/>
      <c r="AO204" s="144"/>
      <c r="AP204" s="144"/>
    </row>
    <row r="205">
      <c r="E205" s="174"/>
      <c r="F205" s="175"/>
      <c r="V205" s="177"/>
      <c r="W205" s="51"/>
      <c r="X205" s="51"/>
      <c r="Y205" s="51"/>
      <c r="Z205" s="51"/>
      <c r="AA205" s="51"/>
      <c r="AB205" s="51"/>
      <c r="AC205" s="51"/>
      <c r="AD205" s="51"/>
      <c r="AE205" s="51"/>
      <c r="AF205" s="51"/>
      <c r="AG205" s="51"/>
      <c r="AH205" s="51"/>
      <c r="AI205" s="51"/>
      <c r="AJ205" s="51"/>
      <c r="AK205" s="51"/>
      <c r="AL205" s="51"/>
      <c r="AM205" s="51"/>
      <c r="AN205" s="51"/>
      <c r="AO205" s="51"/>
      <c r="AP205" s="51"/>
    </row>
    <row r="206">
      <c r="V206" s="177"/>
      <c r="W206" s="51"/>
      <c r="X206" s="51"/>
      <c r="Y206" s="51"/>
      <c r="Z206" s="51"/>
      <c r="AA206" s="51"/>
      <c r="AB206" s="51"/>
      <c r="AC206" s="51"/>
      <c r="AD206" s="51"/>
      <c r="AE206" s="51"/>
      <c r="AF206" s="51"/>
      <c r="AG206" s="51"/>
      <c r="AH206" s="51"/>
      <c r="AI206" s="51"/>
      <c r="AJ206" s="51"/>
      <c r="AK206" s="51"/>
      <c r="AL206" s="51"/>
      <c r="AM206" s="51"/>
      <c r="AN206" s="51"/>
      <c r="AO206" s="51"/>
      <c r="AP206" s="51"/>
    </row>
    <row r="207">
      <c r="V207" s="177"/>
      <c r="W207" s="51"/>
      <c r="X207" s="51"/>
      <c r="Y207" s="51"/>
      <c r="Z207" s="51"/>
      <c r="AA207" s="51"/>
      <c r="AB207" s="51"/>
      <c r="AC207" s="51"/>
      <c r="AD207" s="51"/>
      <c r="AE207" s="51"/>
      <c r="AF207" s="51"/>
      <c r="AG207" s="51"/>
      <c r="AH207" s="51"/>
      <c r="AI207" s="51"/>
      <c r="AJ207" s="51"/>
      <c r="AK207" s="51"/>
      <c r="AL207" s="51"/>
      <c r="AM207" s="51"/>
      <c r="AN207" s="51"/>
      <c r="AO207" s="51"/>
      <c r="AP207" s="51"/>
    </row>
    <row r="208">
      <c r="V208" s="177"/>
      <c r="W208" s="51"/>
      <c r="X208" s="51"/>
      <c r="Y208" s="51"/>
      <c r="Z208" s="51"/>
      <c r="AA208" s="51"/>
      <c r="AB208" s="51"/>
      <c r="AC208" s="51"/>
      <c r="AD208" s="51"/>
      <c r="AE208" s="51"/>
      <c r="AF208" s="51"/>
      <c r="AG208" s="51"/>
      <c r="AH208" s="51"/>
      <c r="AI208" s="51"/>
      <c r="AJ208" s="51"/>
      <c r="AK208" s="51"/>
      <c r="AL208" s="51"/>
      <c r="AM208" s="51"/>
      <c r="AN208" s="51"/>
      <c r="AO208" s="51"/>
      <c r="AP208" s="51"/>
    </row>
    <row r="209">
      <c r="V209" s="177"/>
      <c r="W209" s="51"/>
      <c r="X209" s="51"/>
      <c r="Y209" s="51"/>
      <c r="Z209" s="51"/>
      <c r="AA209" s="51"/>
      <c r="AB209" s="51"/>
      <c r="AC209" s="51"/>
      <c r="AD209" s="51"/>
      <c r="AE209" s="51"/>
      <c r="AF209" s="51"/>
      <c r="AG209" s="51"/>
      <c r="AH209" s="51"/>
      <c r="AI209" s="51"/>
      <c r="AJ209" s="51"/>
      <c r="AK209" s="51"/>
      <c r="AL209" s="51"/>
      <c r="AM209" s="51"/>
      <c r="AN209" s="51"/>
      <c r="AO209" s="51"/>
      <c r="AP209" s="51"/>
    </row>
    <row r="210">
      <c r="V210" s="177"/>
      <c r="W210" s="51"/>
      <c r="X210" s="51"/>
      <c r="Y210" s="51"/>
      <c r="Z210" s="51"/>
      <c r="AA210" s="51"/>
      <c r="AB210" s="51"/>
      <c r="AC210" s="51"/>
      <c r="AD210" s="51"/>
      <c r="AE210" s="51"/>
      <c r="AF210" s="51"/>
      <c r="AG210" s="51"/>
      <c r="AH210" s="51"/>
      <c r="AI210" s="51"/>
      <c r="AJ210" s="51"/>
      <c r="AK210" s="51"/>
      <c r="AL210" s="51"/>
      <c r="AM210" s="51"/>
      <c r="AN210" s="51"/>
      <c r="AO210" s="51"/>
      <c r="AP210" s="51"/>
    </row>
    <row r="211">
      <c r="V211" s="177"/>
      <c r="W211" s="144"/>
      <c r="X211" s="144"/>
      <c r="Y211" s="144"/>
      <c r="Z211" s="144"/>
      <c r="AA211" s="144"/>
      <c r="AB211" s="144"/>
      <c r="AC211" s="144"/>
      <c r="AD211" s="144"/>
      <c r="AE211" s="144"/>
      <c r="AF211" s="144"/>
      <c r="AG211" s="144"/>
      <c r="AH211" s="144"/>
      <c r="AI211" s="144"/>
      <c r="AJ211" s="144"/>
      <c r="AK211" s="144"/>
      <c r="AL211" s="144"/>
      <c r="AM211" s="144"/>
      <c r="AN211" s="144"/>
      <c r="AO211" s="144"/>
      <c r="AP211" s="144"/>
    </row>
    <row r="212">
      <c r="V212" s="177"/>
      <c r="W212" s="51"/>
      <c r="X212" s="51"/>
      <c r="Y212" s="51"/>
      <c r="Z212" s="51"/>
      <c r="AA212" s="51"/>
      <c r="AB212" s="51"/>
      <c r="AC212" s="51"/>
      <c r="AD212" s="51"/>
      <c r="AE212" s="51"/>
      <c r="AF212" s="51"/>
      <c r="AG212" s="51"/>
      <c r="AH212" s="51"/>
      <c r="AI212" s="51"/>
      <c r="AJ212" s="51"/>
      <c r="AK212" s="51"/>
      <c r="AL212" s="51"/>
      <c r="AM212" s="51"/>
      <c r="AN212" s="51"/>
      <c r="AO212" s="51"/>
      <c r="AP212" s="51"/>
    </row>
    <row r="213">
      <c r="V213" s="177"/>
      <c r="W213" s="51"/>
      <c r="X213" s="51"/>
      <c r="Y213" s="51"/>
      <c r="Z213" s="51"/>
      <c r="AA213" s="51"/>
      <c r="AB213" s="51"/>
      <c r="AC213" s="51"/>
      <c r="AD213" s="51"/>
      <c r="AE213" s="51"/>
      <c r="AF213" s="51"/>
      <c r="AG213" s="51"/>
      <c r="AH213" s="51"/>
      <c r="AI213" s="51"/>
      <c r="AJ213" s="51"/>
      <c r="AK213" s="51"/>
      <c r="AL213" s="51"/>
      <c r="AM213" s="51"/>
      <c r="AN213" s="51"/>
      <c r="AO213" s="51"/>
      <c r="AP213" s="51"/>
    </row>
    <row r="214">
      <c r="V214" s="177"/>
      <c r="W214" s="51"/>
      <c r="X214" s="51"/>
      <c r="Y214" s="51"/>
      <c r="Z214" s="51"/>
      <c r="AA214" s="51"/>
      <c r="AB214" s="51"/>
      <c r="AC214" s="51"/>
      <c r="AD214" s="51"/>
      <c r="AE214" s="51"/>
      <c r="AF214" s="51"/>
      <c r="AG214" s="51"/>
      <c r="AH214" s="51"/>
      <c r="AI214" s="51"/>
      <c r="AJ214" s="51"/>
      <c r="AK214" s="51"/>
      <c r="AL214" s="51"/>
      <c r="AM214" s="51"/>
      <c r="AN214" s="51"/>
      <c r="AO214" s="51"/>
      <c r="AP214" s="51"/>
    </row>
    <row r="215">
      <c r="V215" s="177"/>
      <c r="W215" s="51"/>
      <c r="X215" s="51"/>
      <c r="Y215" s="51"/>
      <c r="Z215" s="51"/>
      <c r="AA215" s="51"/>
      <c r="AB215" s="51"/>
      <c r="AC215" s="51"/>
      <c r="AD215" s="51"/>
      <c r="AE215" s="51"/>
      <c r="AF215" s="51"/>
      <c r="AG215" s="51"/>
      <c r="AH215" s="51"/>
      <c r="AI215" s="51"/>
      <c r="AJ215" s="51"/>
      <c r="AK215" s="51"/>
      <c r="AL215" s="51"/>
      <c r="AM215" s="51"/>
      <c r="AN215" s="51"/>
      <c r="AO215" s="51"/>
      <c r="AP215" s="51"/>
    </row>
    <row r="216">
      <c r="V216" s="177"/>
      <c r="W216" s="51"/>
      <c r="X216" s="51"/>
      <c r="Y216" s="51"/>
      <c r="Z216" s="51"/>
      <c r="AA216" s="51"/>
      <c r="AB216" s="51"/>
      <c r="AC216" s="51"/>
      <c r="AD216" s="51"/>
      <c r="AE216" s="51"/>
      <c r="AF216" s="51"/>
      <c r="AG216" s="51"/>
      <c r="AH216" s="51"/>
      <c r="AI216" s="51"/>
      <c r="AJ216" s="51"/>
      <c r="AK216" s="51"/>
      <c r="AL216" s="51"/>
      <c r="AM216" s="51"/>
      <c r="AN216" s="51"/>
      <c r="AO216" s="51"/>
      <c r="AP216" s="51"/>
    </row>
    <row r="217">
      <c r="V217" s="177"/>
      <c r="W217" s="51"/>
      <c r="X217" s="51"/>
      <c r="Y217" s="51"/>
      <c r="Z217" s="51"/>
      <c r="AA217" s="51"/>
      <c r="AB217" s="51"/>
      <c r="AC217" s="51"/>
      <c r="AD217" s="51"/>
      <c r="AE217" s="51"/>
      <c r="AF217" s="51"/>
      <c r="AG217" s="51"/>
      <c r="AH217" s="51"/>
      <c r="AI217" s="51"/>
      <c r="AJ217" s="51"/>
      <c r="AK217" s="51"/>
      <c r="AL217" s="51"/>
      <c r="AM217" s="51"/>
      <c r="AN217" s="51"/>
      <c r="AO217" s="51"/>
      <c r="AP217" s="51"/>
    </row>
    <row r="218">
      <c r="V218" s="177"/>
      <c r="W218" s="51"/>
      <c r="X218" s="51"/>
      <c r="Y218" s="51"/>
      <c r="Z218" s="51"/>
      <c r="AA218" s="51"/>
      <c r="AB218" s="51"/>
      <c r="AC218" s="51"/>
      <c r="AD218" s="51"/>
      <c r="AE218" s="51"/>
      <c r="AF218" s="51"/>
      <c r="AG218" s="51"/>
      <c r="AH218" s="51"/>
      <c r="AI218" s="51"/>
      <c r="AJ218" s="51"/>
      <c r="AK218" s="51"/>
      <c r="AL218" s="51"/>
      <c r="AM218" s="51"/>
      <c r="AN218" s="51"/>
      <c r="AO218" s="51"/>
      <c r="AP218" s="51"/>
    </row>
    <row r="219">
      <c r="V219" s="177"/>
      <c r="W219" s="144"/>
      <c r="X219" s="144"/>
      <c r="Y219" s="144"/>
      <c r="Z219" s="144"/>
      <c r="AA219" s="144"/>
      <c r="AB219" s="144"/>
      <c r="AC219" s="144"/>
      <c r="AD219" s="144"/>
      <c r="AE219" s="144"/>
      <c r="AF219" s="144"/>
      <c r="AG219" s="144"/>
      <c r="AH219" s="144"/>
      <c r="AI219" s="144"/>
      <c r="AJ219" s="144"/>
      <c r="AK219" s="144"/>
      <c r="AL219" s="144"/>
      <c r="AM219" s="144"/>
      <c r="AN219" s="144"/>
      <c r="AO219" s="144"/>
      <c r="AP219" s="144"/>
    </row>
    <row r="220">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row>
    <row r="221">
      <c r="U221" s="467"/>
      <c r="V221" s="23"/>
      <c r="W221" s="23"/>
      <c r="X221" s="23"/>
      <c r="Y221" s="23"/>
      <c r="Z221" s="23"/>
      <c r="AA221" s="23"/>
      <c r="AB221" s="23"/>
      <c r="AC221" s="23"/>
      <c r="AD221" s="23"/>
      <c r="AE221" s="23"/>
      <c r="AF221" s="23"/>
      <c r="AG221" s="23"/>
      <c r="AH221" s="23"/>
      <c r="AI221" s="23"/>
      <c r="AJ221" s="23"/>
      <c r="AK221" s="23"/>
      <c r="AL221" s="23"/>
      <c r="AM221" s="23"/>
      <c r="AN221" s="23"/>
      <c r="AO221" s="23"/>
      <c r="AP221" s="23"/>
    </row>
    <row r="222">
      <c r="U222" s="87"/>
    </row>
    <row r="223">
      <c r="U223" s="225"/>
      <c r="V223" s="466"/>
      <c r="W223" s="115"/>
      <c r="X223" s="177"/>
      <c r="Y223" s="177"/>
      <c r="Z223" s="177"/>
      <c r="AA223" s="177"/>
      <c r="AB223" s="177"/>
      <c r="AC223" s="177"/>
      <c r="AD223" s="177"/>
      <c r="AE223" s="177"/>
      <c r="AF223" s="177"/>
      <c r="AG223" s="177"/>
      <c r="AH223" s="177"/>
      <c r="AI223" s="177"/>
      <c r="AJ223" s="177"/>
      <c r="AK223" s="177"/>
      <c r="AL223" s="177"/>
      <c r="AM223" s="177"/>
      <c r="AN223" s="177"/>
      <c r="AO223" s="177"/>
      <c r="AP223" s="177"/>
    </row>
    <row r="224">
      <c r="U224" s="176"/>
      <c r="V224" s="115"/>
      <c r="W224" s="51"/>
      <c r="X224" s="51"/>
      <c r="Y224" s="51"/>
      <c r="Z224" s="51"/>
      <c r="AA224" s="51"/>
      <c r="AB224" s="51"/>
      <c r="AC224" s="51"/>
      <c r="AD224" s="51"/>
      <c r="AE224" s="51"/>
      <c r="AF224" s="51"/>
      <c r="AG224" s="51"/>
      <c r="AH224" s="51"/>
      <c r="AI224" s="51"/>
      <c r="AJ224" s="51"/>
      <c r="AK224" s="51"/>
      <c r="AL224" s="51"/>
      <c r="AM224" s="51"/>
      <c r="AN224" s="51"/>
      <c r="AO224" s="51"/>
      <c r="AP224" s="51"/>
    </row>
    <row r="225">
      <c r="V225" s="177"/>
      <c r="W225" s="144"/>
      <c r="X225" s="144"/>
      <c r="Y225" s="144"/>
      <c r="Z225" s="144"/>
      <c r="AA225" s="144"/>
      <c r="AB225" s="144"/>
      <c r="AC225" s="144"/>
      <c r="AD225" s="144"/>
      <c r="AE225" s="144"/>
      <c r="AF225" s="144"/>
      <c r="AG225" s="144"/>
      <c r="AH225" s="144"/>
      <c r="AI225" s="144"/>
      <c r="AJ225" s="144"/>
      <c r="AK225" s="144"/>
      <c r="AL225" s="144"/>
      <c r="AM225" s="144"/>
      <c r="AN225" s="144"/>
      <c r="AO225" s="144"/>
      <c r="AP225" s="144"/>
    </row>
    <row r="226">
      <c r="V226" s="177"/>
      <c r="W226" s="51"/>
      <c r="X226" s="51"/>
      <c r="Y226" s="51"/>
      <c r="Z226" s="51"/>
      <c r="AA226" s="51"/>
      <c r="AB226" s="51"/>
      <c r="AC226" s="51"/>
      <c r="AD226" s="51"/>
      <c r="AE226" s="51"/>
      <c r="AF226" s="51"/>
      <c r="AG226" s="51"/>
      <c r="AH226" s="51"/>
      <c r="AI226" s="51"/>
      <c r="AJ226" s="51"/>
      <c r="AK226" s="51"/>
      <c r="AL226" s="51"/>
      <c r="AM226" s="51"/>
      <c r="AN226" s="51"/>
      <c r="AO226" s="51"/>
      <c r="AP226" s="51"/>
    </row>
    <row r="227">
      <c r="V227" s="177"/>
      <c r="W227" s="51"/>
      <c r="X227" s="51"/>
      <c r="Y227" s="51"/>
      <c r="Z227" s="51"/>
      <c r="AA227" s="51"/>
      <c r="AB227" s="51"/>
      <c r="AC227" s="51"/>
      <c r="AD227" s="51"/>
      <c r="AE227" s="51"/>
      <c r="AF227" s="51"/>
      <c r="AG227" s="51"/>
      <c r="AH227" s="51"/>
      <c r="AI227" s="51"/>
      <c r="AJ227" s="51"/>
      <c r="AK227" s="51"/>
      <c r="AL227" s="51"/>
      <c r="AM227" s="51"/>
      <c r="AN227" s="51"/>
      <c r="AO227" s="51"/>
      <c r="AP227" s="51"/>
    </row>
    <row r="228">
      <c r="V228" s="177"/>
      <c r="W228" s="51"/>
      <c r="X228" s="51"/>
      <c r="Y228" s="51"/>
      <c r="Z228" s="51"/>
      <c r="AA228" s="51"/>
      <c r="AB228" s="51"/>
      <c r="AC228" s="51"/>
      <c r="AD228" s="51"/>
      <c r="AE228" s="51"/>
      <c r="AF228" s="51"/>
      <c r="AG228" s="51"/>
      <c r="AH228" s="51"/>
      <c r="AI228" s="51"/>
      <c r="AJ228" s="51"/>
      <c r="AK228" s="51"/>
      <c r="AL228" s="51"/>
      <c r="AM228" s="51"/>
      <c r="AN228" s="51"/>
      <c r="AO228" s="51"/>
      <c r="AP228" s="51"/>
    </row>
    <row r="229">
      <c r="V229" s="177"/>
      <c r="W229" s="51"/>
      <c r="X229" s="51"/>
      <c r="Y229" s="51"/>
      <c r="Z229" s="51"/>
      <c r="AA229" s="51"/>
      <c r="AB229" s="51"/>
      <c r="AC229" s="51"/>
      <c r="AD229" s="51"/>
      <c r="AE229" s="51"/>
      <c r="AF229" s="51"/>
      <c r="AG229" s="51"/>
      <c r="AH229" s="51"/>
      <c r="AI229" s="51"/>
      <c r="AJ229" s="51"/>
      <c r="AK229" s="51"/>
      <c r="AL229" s="51"/>
      <c r="AM229" s="51"/>
      <c r="AN229" s="51"/>
      <c r="AO229" s="51"/>
      <c r="AP229" s="51"/>
    </row>
    <row r="230">
      <c r="V230" s="177"/>
      <c r="W230" s="51"/>
      <c r="X230" s="51"/>
      <c r="Y230" s="51"/>
      <c r="Z230" s="51"/>
      <c r="AA230" s="51"/>
      <c r="AB230" s="51"/>
      <c r="AC230" s="51"/>
      <c r="AD230" s="51"/>
      <c r="AE230" s="51"/>
      <c r="AF230" s="51"/>
      <c r="AG230" s="51"/>
      <c r="AH230" s="51"/>
      <c r="AI230" s="51"/>
      <c r="AJ230" s="51"/>
      <c r="AK230" s="51"/>
      <c r="AL230" s="51"/>
      <c r="AM230" s="51"/>
      <c r="AN230" s="51"/>
      <c r="AO230" s="51"/>
      <c r="AP230" s="51"/>
    </row>
    <row r="231">
      <c r="V231" s="177"/>
      <c r="W231" s="51"/>
      <c r="X231" s="51"/>
      <c r="Y231" s="51"/>
      <c r="Z231" s="51"/>
      <c r="AA231" s="51"/>
      <c r="AB231" s="51"/>
      <c r="AC231" s="51"/>
      <c r="AD231" s="51"/>
      <c r="AE231" s="51"/>
      <c r="AF231" s="51"/>
      <c r="AG231" s="51"/>
      <c r="AH231" s="51"/>
      <c r="AI231" s="51"/>
      <c r="AJ231" s="51"/>
      <c r="AK231" s="51"/>
      <c r="AL231" s="51"/>
      <c r="AM231" s="51"/>
      <c r="AN231" s="51"/>
      <c r="AO231" s="51"/>
      <c r="AP231" s="51"/>
    </row>
    <row r="232">
      <c r="V232" s="177"/>
      <c r="W232" s="144"/>
      <c r="X232" s="144"/>
      <c r="Y232" s="144"/>
      <c r="Z232" s="144"/>
      <c r="AA232" s="144"/>
      <c r="AB232" s="144"/>
      <c r="AC232" s="144"/>
      <c r="AD232" s="144"/>
      <c r="AE232" s="144"/>
      <c r="AF232" s="144"/>
      <c r="AG232" s="144"/>
      <c r="AH232" s="144"/>
      <c r="AI232" s="144"/>
      <c r="AJ232" s="144"/>
      <c r="AK232" s="144"/>
      <c r="AL232" s="144"/>
      <c r="AM232" s="144"/>
      <c r="AN232" s="144"/>
      <c r="AO232" s="144"/>
      <c r="AP232" s="144"/>
    </row>
    <row r="233">
      <c r="V233" s="177"/>
      <c r="W233" s="51"/>
      <c r="X233" s="51"/>
      <c r="Y233" s="51"/>
      <c r="Z233" s="51"/>
      <c r="AA233" s="51"/>
      <c r="AB233" s="51"/>
      <c r="AC233" s="51"/>
      <c r="AD233" s="51"/>
      <c r="AE233" s="51"/>
      <c r="AF233" s="51"/>
      <c r="AG233" s="51"/>
      <c r="AH233" s="51"/>
      <c r="AI233" s="51"/>
      <c r="AJ233" s="51"/>
      <c r="AK233" s="51"/>
      <c r="AL233" s="51"/>
      <c r="AM233" s="51"/>
      <c r="AN233" s="51"/>
      <c r="AO233" s="51"/>
      <c r="AP233" s="51"/>
    </row>
    <row r="234">
      <c r="V234" s="177"/>
      <c r="W234" s="51"/>
      <c r="X234" s="51"/>
      <c r="Y234" s="51"/>
      <c r="Z234" s="51"/>
      <c r="AA234" s="51"/>
      <c r="AB234" s="51"/>
      <c r="AC234" s="51"/>
      <c r="AD234" s="51"/>
      <c r="AE234" s="51"/>
      <c r="AF234" s="51"/>
      <c r="AG234" s="51"/>
      <c r="AH234" s="51"/>
      <c r="AI234" s="51"/>
      <c r="AJ234" s="51"/>
      <c r="AK234" s="51"/>
      <c r="AL234" s="51"/>
      <c r="AM234" s="51"/>
      <c r="AN234" s="51"/>
      <c r="AO234" s="51"/>
      <c r="AP234" s="51"/>
    </row>
    <row r="235">
      <c r="V235" s="177"/>
      <c r="W235" s="51"/>
      <c r="X235" s="51"/>
      <c r="Y235" s="51"/>
      <c r="Z235" s="51"/>
      <c r="AA235" s="51"/>
      <c r="AB235" s="51"/>
      <c r="AC235" s="51"/>
      <c r="AD235" s="51"/>
      <c r="AE235" s="51"/>
      <c r="AF235" s="51"/>
      <c r="AG235" s="51"/>
      <c r="AH235" s="51"/>
      <c r="AI235" s="51"/>
      <c r="AJ235" s="51"/>
      <c r="AK235" s="51"/>
      <c r="AL235" s="51"/>
      <c r="AM235" s="51"/>
      <c r="AN235" s="51"/>
      <c r="AO235" s="51"/>
      <c r="AP235" s="51"/>
    </row>
    <row r="236">
      <c r="V236" s="177"/>
      <c r="W236" s="51"/>
      <c r="X236" s="51"/>
      <c r="Y236" s="51"/>
      <c r="Z236" s="51"/>
      <c r="AA236" s="51"/>
      <c r="AB236" s="51"/>
      <c r="AC236" s="51"/>
      <c r="AD236" s="51"/>
      <c r="AE236" s="51"/>
      <c r="AF236" s="51"/>
      <c r="AG236" s="51"/>
      <c r="AH236" s="51"/>
      <c r="AI236" s="51"/>
      <c r="AJ236" s="51"/>
      <c r="AK236" s="51"/>
      <c r="AL236" s="51"/>
      <c r="AM236" s="51"/>
      <c r="AN236" s="51"/>
      <c r="AO236" s="51"/>
      <c r="AP236" s="51"/>
    </row>
    <row r="237">
      <c r="V237" s="177"/>
      <c r="W237" s="51"/>
      <c r="X237" s="51"/>
      <c r="Y237" s="51"/>
      <c r="Z237" s="51"/>
      <c r="AA237" s="51"/>
      <c r="AB237" s="51"/>
      <c r="AC237" s="51"/>
      <c r="AD237" s="51"/>
      <c r="AE237" s="51"/>
      <c r="AF237" s="51"/>
      <c r="AG237" s="51"/>
      <c r="AH237" s="51"/>
      <c r="AI237" s="51"/>
      <c r="AJ237" s="51"/>
      <c r="AK237" s="51"/>
      <c r="AL237" s="51"/>
      <c r="AM237" s="51"/>
      <c r="AN237" s="51"/>
      <c r="AO237" s="51"/>
      <c r="AP237" s="51"/>
    </row>
    <row r="238">
      <c r="V238" s="177"/>
      <c r="W238" s="51"/>
      <c r="X238" s="51"/>
      <c r="Y238" s="51"/>
      <c r="Z238" s="51"/>
      <c r="AA238" s="51"/>
      <c r="AB238" s="51"/>
      <c r="AC238" s="51"/>
      <c r="AD238" s="51"/>
      <c r="AE238" s="51"/>
      <c r="AF238" s="51"/>
      <c r="AG238" s="51"/>
      <c r="AH238" s="51"/>
      <c r="AI238" s="51"/>
      <c r="AJ238" s="51"/>
      <c r="AK238" s="51"/>
      <c r="AL238" s="51"/>
      <c r="AM238" s="51"/>
      <c r="AN238" s="51"/>
      <c r="AO238" s="51"/>
      <c r="AP238" s="51"/>
    </row>
    <row r="239">
      <c r="V239" s="177"/>
      <c r="W239" s="51"/>
      <c r="X239" s="51"/>
      <c r="Y239" s="51"/>
      <c r="Z239" s="51"/>
      <c r="AA239" s="51"/>
      <c r="AB239" s="51"/>
      <c r="AC239" s="51"/>
      <c r="AD239" s="51"/>
      <c r="AE239" s="51"/>
      <c r="AF239" s="51"/>
      <c r="AG239" s="51"/>
      <c r="AH239" s="51"/>
      <c r="AI239" s="51"/>
      <c r="AJ239" s="51"/>
      <c r="AK239" s="51"/>
      <c r="AL239" s="51"/>
      <c r="AM239" s="51"/>
      <c r="AN239" s="51"/>
      <c r="AO239" s="51"/>
      <c r="AP239" s="51"/>
    </row>
    <row r="240">
      <c r="V240" s="177"/>
      <c r="W240" s="144"/>
      <c r="X240" s="144"/>
      <c r="Y240" s="144"/>
      <c r="Z240" s="144"/>
      <c r="AA240" s="144"/>
      <c r="AB240" s="144"/>
      <c r="AC240" s="144"/>
      <c r="AD240" s="144"/>
      <c r="AE240" s="144"/>
      <c r="AF240" s="144"/>
      <c r="AG240" s="144"/>
      <c r="AH240" s="144"/>
      <c r="AI240" s="144"/>
      <c r="AJ240" s="144"/>
      <c r="AK240" s="144"/>
      <c r="AL240" s="144"/>
      <c r="AM240" s="144"/>
      <c r="AN240" s="144"/>
      <c r="AO240" s="144"/>
      <c r="AP240" s="144"/>
    </row>
  </sheetData>
  <mergeCells count="36">
    <mergeCell ref="X12:AF12"/>
    <mergeCell ref="AK12:AS12"/>
    <mergeCell ref="AX12:BF12"/>
    <mergeCell ref="U13:U36"/>
    <mergeCell ref="AH13:AH36"/>
    <mergeCell ref="AU13:AU36"/>
    <mergeCell ref="U41:AC41"/>
    <mergeCell ref="AE41:AM41"/>
    <mergeCell ref="AO41:AW41"/>
    <mergeCell ref="U43:U65"/>
    <mergeCell ref="AE43:AE65"/>
    <mergeCell ref="AO43:AO65"/>
    <mergeCell ref="U71:AC71"/>
    <mergeCell ref="AJ73:AJ89"/>
    <mergeCell ref="AV93:BD93"/>
    <mergeCell ref="U73:U89"/>
    <mergeCell ref="U93:AC93"/>
    <mergeCell ref="U95:U111"/>
    <mergeCell ref="AJ95:AJ111"/>
    <mergeCell ref="F103:F125"/>
    <mergeCell ref="U116:U132"/>
    <mergeCell ref="AJ116:AJ132"/>
    <mergeCell ref="AJ162:AJ178"/>
    <mergeCell ref="W179:AP179"/>
    <mergeCell ref="U162:U178"/>
    <mergeCell ref="U185:U201"/>
    <mergeCell ref="U203:U219"/>
    <mergeCell ref="U224:U240"/>
    <mergeCell ref="W136:AJ136"/>
    <mergeCell ref="AO136:BB136"/>
    <mergeCell ref="U140:U156"/>
    <mergeCell ref="AM140:AM156"/>
    <mergeCell ref="U160:AC160"/>
    <mergeCell ref="D166:D204"/>
    <mergeCell ref="W181:AJ181"/>
    <mergeCell ref="U222:AP222"/>
  </mergeCells>
  <conditionalFormatting sqref="W140:AJ156 W185:AJ201">
    <cfRule type="colorScale" priority="1">
      <colorScale>
        <cfvo type="min"/>
        <cfvo type="formula" val="0"/>
        <cfvo type="max"/>
        <color rgb="FFE67C73"/>
        <color rgb="FFFFFFFF"/>
        <color rgb="FF57BB8A"/>
      </colorScale>
    </cfRule>
  </conditionalFormatting>
  <conditionalFormatting sqref="X70:AC70 X135:BB135 X180:AJ180">
    <cfRule type="colorScale" priority="2">
      <colorScale>
        <cfvo type="min"/>
        <cfvo type="percentile" val="50"/>
        <cfvo type="max"/>
        <color rgb="FFE67C73"/>
        <color rgb="FFFFFFFF"/>
        <color rgb="FF57BB8A"/>
      </colorScale>
    </cfRule>
  </conditionalFormatting>
  <conditionalFormatting sqref="W92 AL92 W113 W135 AO135 AQ135 W159 AL159 W180 W200 W221">
    <cfRule type="colorScale" priority="3">
      <colorScale>
        <cfvo type="min"/>
        <cfvo type="percentile" val="50"/>
        <cfvo type="max"/>
        <color rgb="FF57BB8A"/>
        <color rgb="FFFFFFFF"/>
        <color rgb="FFE67C73"/>
      </colorScale>
    </cfRule>
  </conditionalFormatting>
  <conditionalFormatting sqref="F47:F48">
    <cfRule type="cellIs" dxfId="0" priority="4" operator="greaterThan">
      <formula>0</formula>
    </cfRule>
  </conditionalFormatting>
  <conditionalFormatting sqref="F47:F48">
    <cfRule type="cellIs" dxfId="1" priority="5" operator="lessThan">
      <formula>0</formula>
    </cfRule>
  </conditionalFormatting>
  <conditionalFormatting sqref="AM59 AW59">
    <cfRule type="cellIs" dxfId="0" priority="6" operator="lessThan">
      <formula>"1.50%"</formula>
    </cfRule>
  </conditionalFormatting>
  <conditionalFormatting sqref="C28:C30">
    <cfRule type="cellIs" dxfId="0" priority="7" operator="equal">
      <formula>"Yes"</formula>
    </cfRule>
  </conditionalFormatting>
  <conditionalFormatting sqref="C28:C30">
    <cfRule type="cellIs" dxfId="1" priority="8" operator="equal">
      <formula>"No"</formula>
    </cfRule>
  </conditionalFormatting>
  <conditionalFormatting sqref="W95:AC111">
    <cfRule type="colorScale" priority="9">
      <colorScale>
        <cfvo type="min"/>
        <cfvo type="max"/>
        <color rgb="FFFFFFFF"/>
        <color rgb="FF57BB8A"/>
      </colorScale>
    </cfRule>
  </conditionalFormatting>
  <conditionalFormatting sqref="AL95:AU111 AL162:AU178">
    <cfRule type="colorScale" priority="10">
      <colorScale>
        <cfvo type="min"/>
        <cfvo type="percentile" val="5"/>
        <cfvo type="max"/>
        <color rgb="FFE67C73"/>
        <color rgb="FFFFFFFF"/>
        <color rgb="FF57BB8A"/>
      </colorScale>
    </cfRule>
  </conditionalFormatting>
  <conditionalFormatting sqref="W162:AC178">
    <cfRule type="colorScale" priority="11">
      <colorScale>
        <cfvo type="min"/>
        <cfvo type="max"/>
        <color rgb="FFFFFFFF"/>
        <color rgb="FF57BB8A"/>
      </colorScale>
    </cfRule>
  </conditionalFormatting>
  <conditionalFormatting sqref="AL73:AU89">
    <cfRule type="colorScale" priority="12">
      <colorScale>
        <cfvo type="min"/>
        <cfvo type="max"/>
        <color rgb="FFFFFFFF"/>
        <color rgb="FF57BB8A"/>
      </colorScale>
    </cfRule>
  </conditionalFormatting>
  <conditionalFormatting sqref="W73:AC89">
    <cfRule type="colorScale" priority="13">
      <colorScale>
        <cfvo type="min"/>
        <cfvo type="max"/>
        <color rgb="FFFFFFFF"/>
        <color rgb="FF57BB8A"/>
      </colorScale>
    </cfRule>
  </conditionalFormatting>
  <dataValidations>
    <dataValidation type="list" allowBlank="1" sqref="C28:C30">
      <formula1>"Yes,No"</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6.88"/>
    <col customWidth="1" min="2" max="2" width="14.25"/>
    <col customWidth="1" min="3" max="3" width="11.63"/>
    <col customWidth="1" min="4" max="4" width="11.13"/>
    <col customWidth="1" min="5" max="5" width="10.5"/>
    <col customWidth="1" min="6" max="7" width="10.25"/>
    <col customWidth="1" min="8" max="8" width="8.13"/>
    <col customWidth="1" min="9" max="9" width="10.38"/>
    <col customWidth="1" min="10" max="10" width="8.13"/>
    <col customWidth="1" min="11" max="11" width="6.25"/>
    <col customWidth="1" min="12" max="12" width="11.38"/>
    <col customWidth="1" min="13" max="13" width="8.5"/>
    <col customWidth="1" min="14" max="14" width="9.75"/>
    <col customWidth="1" min="15" max="15" width="9.25"/>
    <col customWidth="1" min="16" max="16" width="9.13"/>
    <col customWidth="1" min="17" max="17" width="9.25"/>
    <col customWidth="1" min="18" max="18" width="10.5"/>
    <col customWidth="1" min="19" max="19" width="10.13"/>
  </cols>
  <sheetData>
    <row r="1">
      <c r="A1" s="70" t="s">
        <v>54</v>
      </c>
      <c r="B1" s="71"/>
      <c r="C1" s="71"/>
      <c r="D1" s="71"/>
      <c r="E1" s="71"/>
      <c r="F1" s="71"/>
      <c r="G1" s="71"/>
      <c r="H1" s="71"/>
      <c r="I1" s="18"/>
      <c r="J1" s="23"/>
      <c r="K1" s="70" t="s">
        <v>110</v>
      </c>
      <c r="L1" s="71"/>
      <c r="M1" s="71"/>
      <c r="N1" s="71"/>
      <c r="O1" s="71"/>
      <c r="P1" s="71"/>
      <c r="Q1" s="71"/>
      <c r="R1" s="71"/>
      <c r="S1" s="18"/>
      <c r="Z1" s="467"/>
      <c r="AA1" s="23"/>
      <c r="AB1" s="23"/>
      <c r="AC1" s="23"/>
      <c r="AD1" s="23"/>
      <c r="AE1" s="23"/>
      <c r="AF1" s="23"/>
      <c r="AG1" s="23"/>
      <c r="AH1" s="23"/>
      <c r="AI1" s="23"/>
      <c r="AJ1" s="23"/>
      <c r="AK1" s="23"/>
      <c r="AL1" s="23"/>
      <c r="AM1" s="23"/>
      <c r="AN1" s="172"/>
      <c r="AO1" s="172"/>
      <c r="AP1" s="172"/>
      <c r="AQ1" s="172"/>
      <c r="AR1" s="172"/>
      <c r="AS1" s="172"/>
      <c r="AT1" s="172"/>
      <c r="AU1" s="172"/>
      <c r="AV1" s="172"/>
      <c r="AW1" s="172"/>
      <c r="AX1" s="172"/>
      <c r="AY1" s="172"/>
      <c r="AZ1" s="172"/>
      <c r="BA1" s="172"/>
      <c r="BB1" s="172"/>
      <c r="BC1" s="172"/>
    </row>
    <row r="2">
      <c r="A2" s="77" t="s">
        <v>57</v>
      </c>
      <c r="I2" s="78"/>
      <c r="J2" s="87"/>
      <c r="K2" s="77" t="s">
        <v>57</v>
      </c>
      <c r="S2" s="78"/>
      <c r="Z2" s="151"/>
      <c r="AA2" s="225"/>
      <c r="AB2" s="225"/>
      <c r="AC2" s="225"/>
      <c r="AD2" s="87"/>
      <c r="AO2" s="87"/>
      <c r="AP2" s="87"/>
      <c r="AQ2" s="87"/>
      <c r="AR2" s="87"/>
      <c r="AS2" s="87"/>
      <c r="AT2" s="87"/>
      <c r="AU2" s="87"/>
      <c r="AV2" s="87"/>
      <c r="AW2" s="87"/>
      <c r="AX2" s="87"/>
      <c r="AY2" s="87"/>
      <c r="AZ2" s="87"/>
      <c r="BA2" s="87"/>
      <c r="BB2" s="87"/>
      <c r="BC2" s="87"/>
    </row>
    <row r="3">
      <c r="A3" s="90"/>
      <c r="B3" s="239">
        <f>$F$32</f>
        <v>0.003874588133</v>
      </c>
      <c r="C3" s="92">
        <v>64.0</v>
      </c>
      <c r="D3" s="93">
        <f t="shared" ref="D3:I3" si="1">C3+10</f>
        <v>74</v>
      </c>
      <c r="E3" s="93">
        <f t="shared" si="1"/>
        <v>84</v>
      </c>
      <c r="F3" s="93">
        <f t="shared" si="1"/>
        <v>94</v>
      </c>
      <c r="G3" s="93">
        <f t="shared" si="1"/>
        <v>104</v>
      </c>
      <c r="H3" s="93">
        <f t="shared" si="1"/>
        <v>114</v>
      </c>
      <c r="I3" s="94">
        <f t="shared" si="1"/>
        <v>124</v>
      </c>
      <c r="J3" s="177"/>
      <c r="K3" s="90"/>
      <c r="L3" s="239">
        <f>$F$30</f>
        <v>0.003504696833</v>
      </c>
      <c r="M3" s="92">
        <v>64.0</v>
      </c>
      <c r="N3" s="93">
        <f t="shared" ref="N3:S3" si="2">M3+10</f>
        <v>74</v>
      </c>
      <c r="O3" s="93">
        <f t="shared" si="2"/>
        <v>84</v>
      </c>
      <c r="P3" s="93">
        <f t="shared" si="2"/>
        <v>94</v>
      </c>
      <c r="Q3" s="93">
        <f t="shared" si="2"/>
        <v>104</v>
      </c>
      <c r="R3" s="93">
        <f t="shared" si="2"/>
        <v>114</v>
      </c>
      <c r="S3" s="94">
        <f t="shared" si="2"/>
        <v>124</v>
      </c>
      <c r="Z3" s="225"/>
      <c r="AA3" s="466"/>
      <c r="AB3" s="451"/>
      <c r="AC3" s="451"/>
      <c r="AD3" s="451"/>
      <c r="AE3" s="451"/>
      <c r="AF3" s="451"/>
      <c r="AG3" s="451"/>
      <c r="AH3" s="452"/>
      <c r="AI3" s="452"/>
      <c r="AJ3" s="451"/>
      <c r="AK3" s="451"/>
      <c r="AL3" s="451"/>
      <c r="AM3" s="451"/>
      <c r="AN3" s="451"/>
      <c r="AO3" s="451"/>
      <c r="AP3" s="451"/>
      <c r="AQ3" s="451"/>
      <c r="AR3" s="451"/>
      <c r="AS3" s="451"/>
      <c r="AT3" s="451"/>
      <c r="AU3" s="451"/>
      <c r="AV3" s="451"/>
      <c r="AW3" s="451"/>
      <c r="AX3" s="451"/>
      <c r="AY3" s="451"/>
      <c r="AZ3" s="451"/>
      <c r="BA3" s="451"/>
      <c r="BB3" s="451"/>
      <c r="BC3" s="451"/>
    </row>
    <row r="4">
      <c r="A4" s="102" t="s">
        <v>66</v>
      </c>
      <c r="B4" s="103">
        <v>2000000.0</v>
      </c>
      <c r="C4" s="288">
        <f>'Average Validator'!W73</f>
        <v>0.1038092294</v>
      </c>
      <c r="D4" s="14">
        <f>'Average Validator'!X73</f>
        <v>0.1200294215</v>
      </c>
      <c r="E4" s="14">
        <f>'Average Validator'!Y73</f>
        <v>0.1362496136</v>
      </c>
      <c r="F4" s="14">
        <f>'Average Validator'!Z73</f>
        <v>0.1524698057</v>
      </c>
      <c r="G4" s="14">
        <f>'Average Validator'!AA73</f>
        <v>0.1686899977</v>
      </c>
      <c r="H4" s="14">
        <f>'Average Validator'!AB73</f>
        <v>0.1849101898</v>
      </c>
      <c r="I4" s="120">
        <f>'Average Validator'!AC73</f>
        <v>0.2011303819</v>
      </c>
      <c r="J4" s="51"/>
      <c r="K4" s="102" t="s">
        <v>66</v>
      </c>
      <c r="L4" s="103">
        <v>2000000.0</v>
      </c>
      <c r="M4" s="288">
        <f>'Average Validator'!W95</f>
        <v>0.05815483829</v>
      </c>
      <c r="N4" s="14">
        <f>'Average Validator'!X95</f>
        <v>0.07437503038</v>
      </c>
      <c r="O4" s="14">
        <f>'Average Validator'!Y95</f>
        <v>0.09059522247</v>
      </c>
      <c r="P4" s="14">
        <f>'Average Validator'!Z95</f>
        <v>0.1068154146</v>
      </c>
      <c r="Q4" s="14">
        <f>'Average Validator'!AA95</f>
        <v>0.1230356067</v>
      </c>
      <c r="R4" s="14">
        <f>'Average Validator'!AB95</f>
        <v>0.1392557987</v>
      </c>
      <c r="S4" s="120">
        <f>'Average Validator'!AC95</f>
        <v>0.1554759908</v>
      </c>
      <c r="Z4" s="176"/>
      <c r="AA4" s="115"/>
      <c r="AB4" s="178"/>
      <c r="AC4" s="178"/>
      <c r="AD4" s="178"/>
      <c r="AE4" s="178"/>
      <c r="AF4" s="178"/>
      <c r="AG4" s="178"/>
      <c r="AH4" s="178"/>
      <c r="AI4" s="178"/>
      <c r="AJ4" s="178"/>
      <c r="AK4" s="178"/>
      <c r="AL4" s="178"/>
      <c r="AM4" s="178"/>
      <c r="AN4" s="178"/>
      <c r="AO4" s="178"/>
      <c r="AP4" s="178"/>
      <c r="AQ4" s="178"/>
      <c r="AR4" s="178"/>
      <c r="AS4" s="178"/>
      <c r="AT4" s="178"/>
      <c r="AU4" s="178"/>
      <c r="AV4" s="178"/>
      <c r="AW4" s="178"/>
      <c r="AX4" s="178"/>
      <c r="AY4" s="178"/>
      <c r="AZ4" s="178"/>
      <c r="BA4" s="178"/>
      <c r="BB4" s="178"/>
      <c r="BC4" s="178"/>
    </row>
    <row r="5">
      <c r="A5" s="110"/>
      <c r="B5" s="93">
        <f t="shared" ref="B5:B20" si="3">B4+500000</f>
        <v>2500000</v>
      </c>
      <c r="C5" s="288">
        <f>'Average Validator'!W74</f>
        <v>0.09284979743</v>
      </c>
      <c r="D5" s="14">
        <f>'Average Validator'!X74</f>
        <v>0.1073575783</v>
      </c>
      <c r="E5" s="14">
        <f>'Average Validator'!Y74</f>
        <v>0.1218653591</v>
      </c>
      <c r="F5" s="14">
        <f>'Average Validator'!Z74</f>
        <v>0.13637314</v>
      </c>
      <c r="G5" s="14">
        <f>'Average Validator'!AA74</f>
        <v>0.1508809208</v>
      </c>
      <c r="H5" s="14">
        <f>'Average Validator'!AB74</f>
        <v>0.1653887017</v>
      </c>
      <c r="I5" s="120">
        <f>'Average Validator'!AC74</f>
        <v>0.1798964825</v>
      </c>
      <c r="J5" s="51"/>
      <c r="K5" s="110"/>
      <c r="L5" s="93">
        <f t="shared" ref="L5:L20" si="4">L4+500000</f>
        <v>2500000</v>
      </c>
      <c r="M5" s="288">
        <f>'Average Validator'!W96</f>
        <v>0.04719540634</v>
      </c>
      <c r="N5" s="14">
        <f>'Average Validator'!X96</f>
        <v>0.06170318719</v>
      </c>
      <c r="O5" s="14">
        <f>'Average Validator'!Y96</f>
        <v>0.07621096804</v>
      </c>
      <c r="P5" s="14">
        <f>'Average Validator'!Z96</f>
        <v>0.09071874889</v>
      </c>
      <c r="Q5" s="14">
        <f>'Average Validator'!AA96</f>
        <v>0.1052265297</v>
      </c>
      <c r="R5" s="14">
        <f>'Average Validator'!AB96</f>
        <v>0.1197343106</v>
      </c>
      <c r="S5" s="120">
        <f>'Average Validator'!AC96</f>
        <v>0.1342420914</v>
      </c>
      <c r="AA5" s="177"/>
      <c r="AB5" s="178"/>
      <c r="AC5" s="178"/>
      <c r="AD5" s="178"/>
      <c r="AE5" s="178"/>
      <c r="AF5" s="178"/>
      <c r="AG5" s="178"/>
      <c r="AH5" s="178"/>
      <c r="AI5" s="178"/>
      <c r="AJ5" s="178"/>
      <c r="AK5" s="178"/>
      <c r="AL5" s="178"/>
      <c r="AM5" s="178"/>
      <c r="AN5" s="178"/>
      <c r="AO5" s="178"/>
      <c r="AP5" s="178"/>
      <c r="AQ5" s="178"/>
      <c r="AR5" s="178"/>
      <c r="AS5" s="178"/>
      <c r="AT5" s="178"/>
      <c r="AU5" s="178"/>
      <c r="AV5" s="178"/>
      <c r="AW5" s="178"/>
      <c r="AX5" s="178"/>
      <c r="AY5" s="178"/>
      <c r="AZ5" s="178"/>
      <c r="BA5" s="178"/>
      <c r="BB5" s="178"/>
      <c r="BC5" s="178"/>
    </row>
    <row r="6">
      <c r="A6" s="110"/>
      <c r="B6" s="93">
        <f t="shared" si="3"/>
        <v>3000000</v>
      </c>
      <c r="C6" s="288">
        <f>'Average Validator'!W75</f>
        <v>0.08475988086</v>
      </c>
      <c r="D6" s="14">
        <f>'Average Validator'!X75</f>
        <v>0.09800361224</v>
      </c>
      <c r="E6" s="14">
        <f>'Average Validator'!Y75</f>
        <v>0.1112473436</v>
      </c>
      <c r="F6" s="14">
        <f>'Average Validator'!Z75</f>
        <v>0.124491075</v>
      </c>
      <c r="G6" s="14">
        <f>'Average Validator'!AA75</f>
        <v>0.1377348064</v>
      </c>
      <c r="H6" s="14">
        <f>'Average Validator'!AB75</f>
        <v>0.1509785378</v>
      </c>
      <c r="I6" s="120">
        <f>'Average Validator'!AC75</f>
        <v>0.1642222692</v>
      </c>
      <c r="J6" s="51"/>
      <c r="K6" s="110"/>
      <c r="L6" s="93">
        <f t="shared" si="4"/>
        <v>3000000</v>
      </c>
      <c r="M6" s="288">
        <f>'Average Validator'!W97</f>
        <v>0.03910548977</v>
      </c>
      <c r="N6" s="14">
        <f>'Average Validator'!X97</f>
        <v>0.05234922115</v>
      </c>
      <c r="O6" s="14">
        <f>'Average Validator'!Y97</f>
        <v>0.06559295253</v>
      </c>
      <c r="P6" s="14">
        <f>'Average Validator'!Z97</f>
        <v>0.07883668392</v>
      </c>
      <c r="Q6" s="14">
        <f>'Average Validator'!AA97</f>
        <v>0.0920804153</v>
      </c>
      <c r="R6" s="14">
        <f>'Average Validator'!AB97</f>
        <v>0.1053241467</v>
      </c>
      <c r="S6" s="120">
        <f>'Average Validator'!AC97</f>
        <v>0.1185678781</v>
      </c>
      <c r="AA6" s="177"/>
      <c r="AB6" s="178"/>
      <c r="AC6" s="178"/>
      <c r="AD6" s="178"/>
      <c r="AE6" s="178"/>
      <c r="AF6" s="178"/>
      <c r="AG6" s="178"/>
      <c r="AH6" s="178"/>
      <c r="AI6" s="178"/>
      <c r="AJ6" s="178"/>
      <c r="AK6" s="178"/>
      <c r="AL6" s="178"/>
      <c r="AM6" s="178"/>
      <c r="AN6" s="178"/>
      <c r="AO6" s="178"/>
      <c r="AP6" s="178"/>
      <c r="AQ6" s="178"/>
      <c r="AR6" s="178"/>
      <c r="AS6" s="178"/>
      <c r="AT6" s="178"/>
      <c r="AU6" s="178"/>
      <c r="AV6" s="178"/>
      <c r="AW6" s="178"/>
      <c r="AX6" s="178"/>
      <c r="AY6" s="178"/>
      <c r="AZ6" s="178"/>
      <c r="BA6" s="178"/>
      <c r="BB6" s="178"/>
      <c r="BC6" s="178"/>
    </row>
    <row r="7">
      <c r="A7" s="110"/>
      <c r="B7" s="93">
        <f t="shared" si="3"/>
        <v>3500000</v>
      </c>
      <c r="C7" s="288">
        <f>'Average Validator'!W76</f>
        <v>0.07847240135</v>
      </c>
      <c r="D7" s="14">
        <f>'Average Validator'!X76</f>
        <v>0.09073371406</v>
      </c>
      <c r="E7" s="14">
        <f>'Average Validator'!Y76</f>
        <v>0.1029950268</v>
      </c>
      <c r="F7" s="14">
        <f>'Average Validator'!Z76</f>
        <v>0.1152563395</v>
      </c>
      <c r="G7" s="14">
        <f>'Average Validator'!AA76</f>
        <v>0.1275176522</v>
      </c>
      <c r="H7" s="14">
        <f>'Average Validator'!AB76</f>
        <v>0.1397789649</v>
      </c>
      <c r="I7" s="120">
        <f>'Average Validator'!AC76</f>
        <v>0.1520402776</v>
      </c>
      <c r="J7" s="51"/>
      <c r="K7" s="110"/>
      <c r="L7" s="93">
        <f t="shared" si="4"/>
        <v>3500000</v>
      </c>
      <c r="M7" s="288">
        <f>'Average Validator'!W98</f>
        <v>0.03281801026</v>
      </c>
      <c r="N7" s="14">
        <f>'Average Validator'!X98</f>
        <v>0.04507932297</v>
      </c>
      <c r="O7" s="14">
        <f>'Average Validator'!Y98</f>
        <v>0.05734063568</v>
      </c>
      <c r="P7" s="14">
        <f>'Average Validator'!Z98</f>
        <v>0.06960194839</v>
      </c>
      <c r="Q7" s="14">
        <f>'Average Validator'!AA98</f>
        <v>0.08186326111</v>
      </c>
      <c r="R7" s="14">
        <f>'Average Validator'!AB98</f>
        <v>0.09412457382</v>
      </c>
      <c r="S7" s="120">
        <f>'Average Validator'!AC98</f>
        <v>0.1063858865</v>
      </c>
      <c r="AA7" s="177"/>
      <c r="AB7" s="178"/>
      <c r="AC7" s="178"/>
      <c r="AD7" s="178"/>
      <c r="AE7" s="178"/>
      <c r="AF7" s="178"/>
      <c r="AG7" s="178"/>
      <c r="AH7" s="178"/>
      <c r="AI7" s="178"/>
      <c r="AJ7" s="178"/>
      <c r="AK7" s="178"/>
      <c r="AL7" s="178"/>
      <c r="AM7" s="178"/>
      <c r="AN7" s="178"/>
      <c r="AO7" s="178"/>
      <c r="AP7" s="178"/>
      <c r="AQ7" s="178"/>
      <c r="AR7" s="178"/>
      <c r="AS7" s="178"/>
      <c r="AT7" s="178"/>
      <c r="AU7" s="178"/>
      <c r="AV7" s="178"/>
      <c r="AW7" s="178"/>
      <c r="AX7" s="178"/>
      <c r="AY7" s="178"/>
      <c r="AZ7" s="178"/>
      <c r="BA7" s="178"/>
      <c r="BB7" s="178"/>
      <c r="BC7" s="178"/>
    </row>
    <row r="8">
      <c r="A8" s="110"/>
      <c r="B8" s="93">
        <f t="shared" si="3"/>
        <v>4000000</v>
      </c>
      <c r="C8" s="288">
        <f>'Average Validator'!W77</f>
        <v>0.07340421004</v>
      </c>
      <c r="D8" s="14">
        <f>'Average Validator'!X77</f>
        <v>0.08487361786</v>
      </c>
      <c r="E8" s="14">
        <f>'Average Validator'!Y77</f>
        <v>0.09634302568</v>
      </c>
      <c r="F8" s="14">
        <f>'Average Validator'!Z77</f>
        <v>0.1078124335</v>
      </c>
      <c r="G8" s="14">
        <f>'Average Validator'!AA77</f>
        <v>0.1192818413</v>
      </c>
      <c r="H8" s="14">
        <f>'Average Validator'!AB77</f>
        <v>0.1307512491</v>
      </c>
      <c r="I8" s="120">
        <f>'Average Validator'!AC77</f>
        <v>0.142220657</v>
      </c>
      <c r="J8" s="51"/>
      <c r="K8" s="110"/>
      <c r="L8" s="93">
        <f t="shared" si="4"/>
        <v>4000000</v>
      </c>
      <c r="M8" s="288">
        <f>'Average Validator'!W99</f>
        <v>0.02774981895</v>
      </c>
      <c r="N8" s="14">
        <f>'Average Validator'!X99</f>
        <v>0.03921922677</v>
      </c>
      <c r="O8" s="14">
        <f>'Average Validator'!Y99</f>
        <v>0.05068863459</v>
      </c>
      <c r="P8" s="14">
        <f>'Average Validator'!Z99</f>
        <v>0.06215804241</v>
      </c>
      <c r="Q8" s="14">
        <f>'Average Validator'!AA99</f>
        <v>0.07362745023</v>
      </c>
      <c r="R8" s="14">
        <f>'Average Validator'!AB99</f>
        <v>0.08509685805</v>
      </c>
      <c r="S8" s="120">
        <f>'Average Validator'!AC99</f>
        <v>0.09656626587</v>
      </c>
      <c r="AA8" s="177"/>
      <c r="AB8" s="178"/>
      <c r="AC8" s="178"/>
      <c r="AD8" s="178"/>
      <c r="AE8" s="178"/>
      <c r="AF8" s="178"/>
      <c r="AG8" s="178"/>
      <c r="AH8" s="178"/>
      <c r="AI8" s="178"/>
      <c r="AJ8" s="178"/>
      <c r="AK8" s="178"/>
      <c r="AL8" s="178"/>
      <c r="AM8" s="178"/>
      <c r="AN8" s="178"/>
      <c r="AO8" s="178"/>
      <c r="AP8" s="178"/>
      <c r="AQ8" s="178"/>
      <c r="AR8" s="178"/>
      <c r="AS8" s="178"/>
      <c r="AT8" s="178"/>
      <c r="AU8" s="178"/>
      <c r="AV8" s="178"/>
      <c r="AW8" s="178"/>
      <c r="AX8" s="178"/>
      <c r="AY8" s="178"/>
      <c r="AZ8" s="178"/>
      <c r="BA8" s="178"/>
      <c r="BB8" s="178"/>
      <c r="BC8" s="178"/>
    </row>
    <row r="9">
      <c r="A9" s="110"/>
      <c r="B9" s="93">
        <f t="shared" si="3"/>
        <v>4500000</v>
      </c>
      <c r="C9" s="288">
        <f>'Average Validator'!W78</f>
        <v>0.07163517394</v>
      </c>
      <c r="D9" s="14">
        <f>'Average Validator'!X78</f>
        <v>0.08282816986</v>
      </c>
      <c r="E9" s="14">
        <f>'Average Validator'!Y78</f>
        <v>0.09402116579</v>
      </c>
      <c r="F9" s="14">
        <f>'Average Validator'!Z78</f>
        <v>0.1052141617</v>
      </c>
      <c r="G9" s="14">
        <f>'Average Validator'!AA78</f>
        <v>0.1164071576</v>
      </c>
      <c r="H9" s="14">
        <f>'Average Validator'!AB78</f>
        <v>0.1276001536</v>
      </c>
      <c r="I9" s="120">
        <f>'Average Validator'!AC78</f>
        <v>0.1387931495</v>
      </c>
      <c r="J9" s="51"/>
      <c r="K9" s="110"/>
      <c r="L9" s="93">
        <f t="shared" si="4"/>
        <v>4500000</v>
      </c>
      <c r="M9" s="288">
        <f>'Average Validator'!W100</f>
        <v>0.02598078285</v>
      </c>
      <c r="N9" s="14">
        <f>'Average Validator'!X100</f>
        <v>0.03717377877</v>
      </c>
      <c r="O9" s="14">
        <f>'Average Validator'!Y100</f>
        <v>0.0483667747</v>
      </c>
      <c r="P9" s="14">
        <f>'Average Validator'!Z100</f>
        <v>0.05955977063</v>
      </c>
      <c r="Q9" s="14">
        <f>'Average Validator'!AA100</f>
        <v>0.07075276656</v>
      </c>
      <c r="R9" s="14">
        <f>'Average Validator'!AB100</f>
        <v>0.08194576248</v>
      </c>
      <c r="S9" s="120">
        <f>'Average Validator'!AC100</f>
        <v>0.09313875841</v>
      </c>
      <c r="AA9" s="177"/>
      <c r="AB9" s="178"/>
      <c r="AC9" s="178"/>
      <c r="AD9" s="178"/>
      <c r="AE9" s="178"/>
      <c r="AF9" s="178"/>
      <c r="AG9" s="178"/>
      <c r="AH9" s="178"/>
      <c r="AI9" s="178"/>
      <c r="AJ9" s="178"/>
      <c r="AK9" s="178"/>
      <c r="AL9" s="178"/>
      <c r="AM9" s="178"/>
      <c r="AN9" s="178"/>
      <c r="AO9" s="178"/>
      <c r="AP9" s="178"/>
      <c r="AQ9" s="178"/>
      <c r="AR9" s="178"/>
      <c r="AS9" s="178"/>
      <c r="AT9" s="178"/>
      <c r="AU9" s="178"/>
      <c r="AV9" s="178"/>
      <c r="AW9" s="178"/>
      <c r="AX9" s="178"/>
      <c r="AY9" s="178"/>
      <c r="AZ9" s="178"/>
      <c r="BA9" s="178"/>
      <c r="BB9" s="178"/>
      <c r="BC9" s="178"/>
    </row>
    <row r="10">
      <c r="A10" s="110"/>
      <c r="B10" s="93">
        <f t="shared" si="3"/>
        <v>5000000</v>
      </c>
      <c r="C10" s="288">
        <f>'Average Validator'!W79</f>
        <v>0.0656547214</v>
      </c>
      <c r="D10" s="14">
        <f>'Average Validator'!X79</f>
        <v>0.07591327162</v>
      </c>
      <c r="E10" s="14">
        <f>'Average Validator'!Y79</f>
        <v>0.08617182183</v>
      </c>
      <c r="F10" s="14">
        <f>'Average Validator'!Z79</f>
        <v>0.09643037205</v>
      </c>
      <c r="G10" s="14">
        <f>'Average Validator'!AA79</f>
        <v>0.1066889223</v>
      </c>
      <c r="H10" s="14">
        <f>'Average Validator'!AB79</f>
        <v>0.1169474725</v>
      </c>
      <c r="I10" s="120">
        <f>'Average Validator'!AC79</f>
        <v>0.1272060227</v>
      </c>
      <c r="J10" s="51"/>
      <c r="K10" s="110"/>
      <c r="L10" s="93">
        <f t="shared" si="4"/>
        <v>5000000</v>
      </c>
      <c r="M10" s="288">
        <f>'Average Validator'!W101</f>
        <v>0.02000033031</v>
      </c>
      <c r="N10" s="14">
        <f>'Average Validator'!X101</f>
        <v>0.03025888052</v>
      </c>
      <c r="O10" s="14">
        <f>'Average Validator'!Y101</f>
        <v>0.04051743074</v>
      </c>
      <c r="P10" s="14">
        <f>'Average Validator'!Z101</f>
        <v>0.05077598096</v>
      </c>
      <c r="Q10" s="14">
        <f>'Average Validator'!AA101</f>
        <v>0.06103453118</v>
      </c>
      <c r="R10" s="14">
        <f>'Average Validator'!AB101</f>
        <v>0.0712930814</v>
      </c>
      <c r="S10" s="120">
        <f>'Average Validator'!AC101</f>
        <v>0.08155163162</v>
      </c>
      <c r="AA10" s="177"/>
      <c r="AB10" s="178"/>
      <c r="AC10" s="178"/>
      <c r="AD10" s="178"/>
      <c r="AE10" s="178"/>
      <c r="AF10" s="178"/>
      <c r="AG10" s="178"/>
      <c r="AH10" s="178"/>
      <c r="AI10" s="178"/>
      <c r="AJ10" s="178"/>
      <c r="AK10" s="178"/>
      <c r="AL10" s="178"/>
      <c r="AM10" s="178"/>
      <c r="AN10" s="178"/>
      <c r="AO10" s="178"/>
      <c r="AP10" s="178"/>
      <c r="AQ10" s="178"/>
      <c r="AR10" s="178"/>
      <c r="AS10" s="178"/>
      <c r="AT10" s="178"/>
      <c r="AU10" s="178"/>
      <c r="AV10" s="178"/>
      <c r="AW10" s="178"/>
      <c r="AX10" s="178"/>
      <c r="AY10" s="178"/>
      <c r="AZ10" s="178"/>
      <c r="BA10" s="178"/>
      <c r="BB10" s="178"/>
      <c r="BC10" s="178"/>
    </row>
    <row r="11">
      <c r="A11" s="110"/>
      <c r="B11" s="93">
        <f t="shared" si="3"/>
        <v>5500000</v>
      </c>
      <c r="C11" s="288">
        <f>'Average Validator'!W80</f>
        <v>0.06259932066</v>
      </c>
      <c r="D11" s="14">
        <f>'Average Validator'!X80</f>
        <v>0.07238046451</v>
      </c>
      <c r="E11" s="14">
        <f>'Average Validator'!Y80</f>
        <v>0.08216160837</v>
      </c>
      <c r="F11" s="14">
        <f>'Average Validator'!Z80</f>
        <v>0.09194275222</v>
      </c>
      <c r="G11" s="14">
        <f>'Average Validator'!AA80</f>
        <v>0.1017238961</v>
      </c>
      <c r="H11" s="14">
        <f>'Average Validator'!AB80</f>
        <v>0.1115050399</v>
      </c>
      <c r="I11" s="120">
        <f>'Average Validator'!AC80</f>
        <v>0.1212861838</v>
      </c>
      <c r="J11" s="51"/>
      <c r="K11" s="110"/>
      <c r="L11" s="93">
        <f t="shared" si="4"/>
        <v>5500000</v>
      </c>
      <c r="M11" s="288">
        <f>'Average Validator'!W102</f>
        <v>0.01694492957</v>
      </c>
      <c r="N11" s="14">
        <f>'Average Validator'!X102</f>
        <v>0.02672607342</v>
      </c>
      <c r="O11" s="14">
        <f>'Average Validator'!Y102</f>
        <v>0.03650721727</v>
      </c>
      <c r="P11" s="14">
        <f>'Average Validator'!Z102</f>
        <v>0.04628836113</v>
      </c>
      <c r="Q11" s="14">
        <f>'Average Validator'!AA102</f>
        <v>0.05606950498</v>
      </c>
      <c r="R11" s="14">
        <f>'Average Validator'!AB102</f>
        <v>0.06585064883</v>
      </c>
      <c r="S11" s="120">
        <f>'Average Validator'!AC102</f>
        <v>0.07563179269</v>
      </c>
      <c r="AA11" s="177"/>
      <c r="AB11" s="178"/>
      <c r="AC11" s="178"/>
      <c r="AD11" s="178"/>
      <c r="AE11" s="178"/>
      <c r="AF11" s="178"/>
      <c r="AG11" s="178"/>
      <c r="AH11" s="178"/>
      <c r="AI11" s="178"/>
      <c r="AJ11" s="178"/>
      <c r="AK11" s="178"/>
      <c r="AL11" s="178"/>
      <c r="AM11" s="178"/>
      <c r="AN11" s="178"/>
      <c r="AO11" s="178"/>
      <c r="AP11" s="178"/>
      <c r="AQ11" s="178"/>
      <c r="AR11" s="178"/>
      <c r="AS11" s="178"/>
      <c r="AT11" s="178"/>
      <c r="AU11" s="178"/>
      <c r="AV11" s="178"/>
      <c r="AW11" s="178"/>
      <c r="AX11" s="178"/>
      <c r="AY11" s="178"/>
      <c r="AZ11" s="178"/>
      <c r="BA11" s="178"/>
      <c r="BB11" s="178"/>
      <c r="BC11" s="178"/>
    </row>
    <row r="12">
      <c r="A12" s="110"/>
      <c r="B12" s="93">
        <f t="shared" si="3"/>
        <v>6000000</v>
      </c>
      <c r="C12" s="288">
        <f>'Average Validator'!W81</f>
        <v>0.05993428653</v>
      </c>
      <c r="D12" s="14">
        <f>'Average Validator'!X81</f>
        <v>0.0692990188</v>
      </c>
      <c r="E12" s="14">
        <f>'Average Validator'!Y81</f>
        <v>0.07866375107</v>
      </c>
      <c r="F12" s="14">
        <f>'Average Validator'!Z81</f>
        <v>0.08802848334</v>
      </c>
      <c r="G12" s="14">
        <f>'Average Validator'!AA81</f>
        <v>0.09739321561</v>
      </c>
      <c r="H12" s="14">
        <f>'Average Validator'!AB81</f>
        <v>0.1067579479</v>
      </c>
      <c r="I12" s="120">
        <f>'Average Validator'!AC81</f>
        <v>0.1161226801</v>
      </c>
      <c r="J12" s="51"/>
      <c r="K12" s="110"/>
      <c r="L12" s="93">
        <f t="shared" si="4"/>
        <v>6000000</v>
      </c>
      <c r="M12" s="288">
        <f>'Average Validator'!W103</f>
        <v>0.01427989544</v>
      </c>
      <c r="N12" s="14">
        <f>'Average Validator'!X103</f>
        <v>0.02364462771</v>
      </c>
      <c r="O12" s="14">
        <f>'Average Validator'!Y103</f>
        <v>0.03300935998</v>
      </c>
      <c r="P12" s="14">
        <f>'Average Validator'!Z103</f>
        <v>0.04237409225</v>
      </c>
      <c r="Q12" s="14">
        <f>'Average Validator'!AA103</f>
        <v>0.05173882452</v>
      </c>
      <c r="R12" s="14">
        <f>'Average Validator'!AB103</f>
        <v>0.06110355678</v>
      </c>
      <c r="S12" s="120">
        <f>'Average Validator'!AC103</f>
        <v>0.07046828905</v>
      </c>
      <c r="AA12" s="177"/>
      <c r="AB12" s="178"/>
      <c r="AC12" s="178"/>
      <c r="AD12" s="178"/>
      <c r="AE12" s="178"/>
      <c r="AF12" s="178"/>
      <c r="AG12" s="178"/>
      <c r="AH12" s="178"/>
      <c r="AI12" s="178"/>
      <c r="AJ12" s="178"/>
      <c r="AK12" s="178"/>
      <c r="AL12" s="178"/>
      <c r="AM12" s="178"/>
      <c r="AN12" s="178"/>
      <c r="AO12" s="178"/>
      <c r="AP12" s="178"/>
      <c r="AQ12" s="178"/>
      <c r="AR12" s="178"/>
      <c r="AS12" s="178"/>
      <c r="AT12" s="178"/>
      <c r="AU12" s="178"/>
      <c r="AV12" s="178"/>
      <c r="AW12" s="178"/>
      <c r="AX12" s="178"/>
      <c r="AY12" s="178"/>
      <c r="AZ12" s="178"/>
      <c r="BA12" s="178"/>
      <c r="BB12" s="178"/>
      <c r="BC12" s="178"/>
    </row>
    <row r="13">
      <c r="A13" s="110"/>
      <c r="B13" s="93">
        <f t="shared" si="3"/>
        <v>6500000</v>
      </c>
      <c r="C13" s="288">
        <f>'Average Validator'!W82</f>
        <v>0.05758299991</v>
      </c>
      <c r="D13" s="14">
        <f>'Average Validator'!X82</f>
        <v>0.06658034364</v>
      </c>
      <c r="E13" s="14">
        <f>'Average Validator'!Y82</f>
        <v>0.07557768738</v>
      </c>
      <c r="F13" s="14">
        <f>'Average Validator'!Z82</f>
        <v>0.08457503111</v>
      </c>
      <c r="G13" s="14">
        <f>'Average Validator'!AA82</f>
        <v>0.09357237485</v>
      </c>
      <c r="H13" s="14">
        <f>'Average Validator'!AB82</f>
        <v>0.1025697186</v>
      </c>
      <c r="I13" s="120">
        <f>'Average Validator'!AC82</f>
        <v>0.1115670623</v>
      </c>
      <c r="J13" s="51"/>
      <c r="K13" s="110"/>
      <c r="L13" s="93">
        <f t="shared" si="4"/>
        <v>6500000</v>
      </c>
      <c r="M13" s="288">
        <f>'Average Validator'!W104</f>
        <v>0.01192860882</v>
      </c>
      <c r="N13" s="14">
        <f>'Average Validator'!X104</f>
        <v>0.02092595255</v>
      </c>
      <c r="O13" s="14">
        <f>'Average Validator'!Y104</f>
        <v>0.02992329629</v>
      </c>
      <c r="P13" s="14">
        <f>'Average Validator'!Z104</f>
        <v>0.03892064002</v>
      </c>
      <c r="Q13" s="14">
        <f>'Average Validator'!AA104</f>
        <v>0.04791798376</v>
      </c>
      <c r="R13" s="14">
        <f>'Average Validator'!AB104</f>
        <v>0.05691532749</v>
      </c>
      <c r="S13" s="120">
        <f>'Average Validator'!AC104</f>
        <v>0.06591267123</v>
      </c>
      <c r="AA13" s="177"/>
      <c r="AB13" s="178"/>
      <c r="AC13" s="178"/>
      <c r="AD13" s="178"/>
      <c r="AE13" s="178"/>
      <c r="AF13" s="178"/>
      <c r="AG13" s="178"/>
      <c r="AH13" s="178"/>
      <c r="AI13" s="178"/>
      <c r="AJ13" s="178"/>
      <c r="AK13" s="178"/>
      <c r="AL13" s="178"/>
      <c r="AM13" s="178"/>
      <c r="AN13" s="178"/>
      <c r="AO13" s="178"/>
      <c r="AP13" s="178"/>
      <c r="AQ13" s="178"/>
      <c r="AR13" s="178"/>
      <c r="AS13" s="178"/>
      <c r="AT13" s="178"/>
      <c r="AU13" s="178"/>
      <c r="AV13" s="178"/>
      <c r="AW13" s="178"/>
      <c r="AX13" s="178"/>
      <c r="AY13" s="178"/>
      <c r="AZ13" s="178"/>
      <c r="BA13" s="178"/>
      <c r="BB13" s="178"/>
      <c r="BC13" s="178"/>
    </row>
    <row r="14">
      <c r="A14" s="110"/>
      <c r="B14" s="93">
        <f t="shared" si="3"/>
        <v>7000000</v>
      </c>
      <c r="C14" s="288">
        <f>'Average Validator'!W83</f>
        <v>0.05548836713</v>
      </c>
      <c r="D14" s="14">
        <f>'Average Validator'!X83</f>
        <v>0.0641584245</v>
      </c>
      <c r="E14" s="14">
        <f>'Average Validator'!Y83</f>
        <v>0.07282848186</v>
      </c>
      <c r="F14" s="14">
        <f>'Average Validator'!Z83</f>
        <v>0.08149853923</v>
      </c>
      <c r="G14" s="14">
        <f>'Average Validator'!AA83</f>
        <v>0.09016859659</v>
      </c>
      <c r="H14" s="14">
        <f>'Average Validator'!AB83</f>
        <v>0.09883865395</v>
      </c>
      <c r="I14" s="120">
        <f>'Average Validator'!AC83</f>
        <v>0.1075087113</v>
      </c>
      <c r="J14" s="51"/>
      <c r="K14" s="110"/>
      <c r="L14" s="93">
        <f t="shared" si="4"/>
        <v>7000000</v>
      </c>
      <c r="M14" s="288">
        <f>'Average Validator'!W105</f>
        <v>0.009833976041</v>
      </c>
      <c r="N14" s="14">
        <f>'Average Validator'!X105</f>
        <v>0.01850403341</v>
      </c>
      <c r="O14" s="14">
        <f>'Average Validator'!Y105</f>
        <v>0.02717409077</v>
      </c>
      <c r="P14" s="14">
        <f>'Average Validator'!Z105</f>
        <v>0.03584414813</v>
      </c>
      <c r="Q14" s="14">
        <f>'Average Validator'!AA105</f>
        <v>0.0445142055</v>
      </c>
      <c r="R14" s="14">
        <f>'Average Validator'!AB105</f>
        <v>0.05318426286</v>
      </c>
      <c r="S14" s="120">
        <f>'Average Validator'!AC105</f>
        <v>0.06185432023</v>
      </c>
      <c r="AA14" s="177"/>
      <c r="AB14" s="178"/>
      <c r="AC14" s="178"/>
      <c r="AD14" s="178"/>
      <c r="AE14" s="178"/>
      <c r="AF14" s="178"/>
      <c r="AG14" s="178"/>
      <c r="AH14" s="178"/>
      <c r="AI14" s="178"/>
      <c r="AJ14" s="178"/>
      <c r="AK14" s="178"/>
      <c r="AL14" s="178"/>
      <c r="AM14" s="178"/>
      <c r="AN14" s="178"/>
      <c r="AO14" s="178"/>
      <c r="AP14" s="178"/>
      <c r="AQ14" s="178"/>
      <c r="AR14" s="178"/>
      <c r="AS14" s="178"/>
      <c r="AT14" s="178"/>
      <c r="AU14" s="178"/>
      <c r="AV14" s="178"/>
      <c r="AW14" s="178"/>
      <c r="AX14" s="178"/>
      <c r="AY14" s="178"/>
      <c r="AZ14" s="178"/>
      <c r="BA14" s="178"/>
      <c r="BB14" s="178"/>
      <c r="BC14" s="178"/>
    </row>
    <row r="15">
      <c r="A15" s="110"/>
      <c r="B15" s="93">
        <f t="shared" si="3"/>
        <v>7500000</v>
      </c>
      <c r="C15" s="288">
        <f>'Average Validator'!W84</f>
        <v>0.05360685554</v>
      </c>
      <c r="D15" s="14">
        <f>'Average Validator'!X84</f>
        <v>0.06198292672</v>
      </c>
      <c r="E15" s="14">
        <f>'Average Validator'!Y84</f>
        <v>0.0703589979</v>
      </c>
      <c r="F15" s="14">
        <f>'Average Validator'!Z84</f>
        <v>0.07873506908</v>
      </c>
      <c r="G15" s="14">
        <f>'Average Validator'!AA84</f>
        <v>0.08711114026</v>
      </c>
      <c r="H15" s="14">
        <f>'Average Validator'!AB84</f>
        <v>0.09548721144</v>
      </c>
      <c r="I15" s="120">
        <f>'Average Validator'!AC84</f>
        <v>0.1038632826</v>
      </c>
      <c r="J15" s="51"/>
      <c r="K15" s="110"/>
      <c r="L15" s="93">
        <f t="shared" si="4"/>
        <v>7500000</v>
      </c>
      <c r="M15" s="288">
        <f>'Average Validator'!W106</f>
        <v>0.007952464452</v>
      </c>
      <c r="N15" s="14">
        <f>'Average Validator'!X106</f>
        <v>0.01632853563</v>
      </c>
      <c r="O15" s="14">
        <f>'Average Validator'!Y106</f>
        <v>0.02470460681</v>
      </c>
      <c r="P15" s="14">
        <f>'Average Validator'!Z106</f>
        <v>0.03308067799</v>
      </c>
      <c r="Q15" s="14">
        <f>'Average Validator'!AA106</f>
        <v>0.04145674917</v>
      </c>
      <c r="R15" s="14">
        <f>'Average Validator'!AB106</f>
        <v>0.04983282034</v>
      </c>
      <c r="S15" s="120">
        <f>'Average Validator'!AC106</f>
        <v>0.05820889152</v>
      </c>
      <c r="AA15" s="177"/>
      <c r="AB15" s="178"/>
      <c r="AC15" s="178"/>
      <c r="AD15" s="178"/>
      <c r="AE15" s="178"/>
      <c r="AF15" s="178"/>
      <c r="AG15" s="178"/>
      <c r="AH15" s="178"/>
      <c r="AI15" s="178"/>
      <c r="AJ15" s="178"/>
      <c r="AK15" s="178"/>
      <c r="AL15" s="178"/>
      <c r="AM15" s="178"/>
      <c r="AN15" s="178"/>
      <c r="AO15" s="178"/>
      <c r="AP15" s="178"/>
      <c r="AQ15" s="178"/>
      <c r="AR15" s="178"/>
      <c r="AS15" s="178"/>
      <c r="AT15" s="178"/>
      <c r="AU15" s="178"/>
      <c r="AV15" s="178"/>
      <c r="AW15" s="178"/>
      <c r="AX15" s="178"/>
      <c r="AY15" s="178"/>
      <c r="AZ15" s="178"/>
      <c r="BA15" s="178"/>
      <c r="BB15" s="178"/>
      <c r="BC15" s="178"/>
    </row>
    <row r="16">
      <c r="A16" s="110"/>
      <c r="B16" s="93">
        <f t="shared" si="3"/>
        <v>8000000</v>
      </c>
      <c r="C16" s="288">
        <f>'Average Validator'!W85</f>
        <v>0.05190461469</v>
      </c>
      <c r="D16" s="14">
        <f>'Average Validator'!X85</f>
        <v>0.06001471074</v>
      </c>
      <c r="E16" s="14">
        <f>'Average Validator'!Y85</f>
        <v>0.06812480678</v>
      </c>
      <c r="F16" s="14">
        <f>'Average Validator'!Z85</f>
        <v>0.07623490283</v>
      </c>
      <c r="G16" s="14">
        <f>'Average Validator'!AA85</f>
        <v>0.08434499887</v>
      </c>
      <c r="H16" s="14">
        <f>'Average Validator'!AB85</f>
        <v>0.09245509492</v>
      </c>
      <c r="I16" s="120">
        <f>'Average Validator'!AC85</f>
        <v>0.100565191</v>
      </c>
      <c r="J16" s="51"/>
      <c r="K16" s="110"/>
      <c r="L16" s="93">
        <f t="shared" si="4"/>
        <v>8000000</v>
      </c>
      <c r="M16" s="288">
        <f>'Average Validator'!W107</f>
        <v>0.006250223599</v>
      </c>
      <c r="N16" s="14">
        <f>'Average Validator'!X107</f>
        <v>0.01436031964</v>
      </c>
      <c r="O16" s="14">
        <f>'Average Validator'!Y107</f>
        <v>0.02247041569</v>
      </c>
      <c r="P16" s="14">
        <f>'Average Validator'!Z107</f>
        <v>0.03058051173</v>
      </c>
      <c r="Q16" s="14">
        <f>'Average Validator'!AA107</f>
        <v>0.03869060778</v>
      </c>
      <c r="R16" s="14">
        <f>'Average Validator'!AB107</f>
        <v>0.04680070383</v>
      </c>
      <c r="S16" s="120">
        <f>'Average Validator'!AC107</f>
        <v>0.05491079987</v>
      </c>
      <c r="AA16" s="177"/>
      <c r="AB16" s="178"/>
      <c r="AC16" s="178"/>
      <c r="AD16" s="178"/>
      <c r="AE16" s="178"/>
      <c r="AF16" s="178"/>
      <c r="AG16" s="178"/>
      <c r="AH16" s="178"/>
      <c r="AI16" s="178"/>
      <c r="AJ16" s="178"/>
      <c r="AK16" s="178"/>
      <c r="AL16" s="178"/>
      <c r="AM16" s="178"/>
      <c r="AN16" s="178"/>
      <c r="AO16" s="178"/>
      <c r="AP16" s="178"/>
      <c r="AQ16" s="178"/>
      <c r="AR16" s="178"/>
      <c r="AS16" s="178"/>
      <c r="AT16" s="178"/>
      <c r="AU16" s="178"/>
      <c r="AV16" s="178"/>
      <c r="AW16" s="178"/>
      <c r="AX16" s="178"/>
      <c r="AY16" s="178"/>
      <c r="AZ16" s="178"/>
      <c r="BA16" s="178"/>
      <c r="BB16" s="178"/>
      <c r="BC16" s="178"/>
    </row>
    <row r="17">
      <c r="A17" s="110"/>
      <c r="B17" s="93">
        <f t="shared" si="3"/>
        <v>8500000</v>
      </c>
      <c r="C17" s="288">
        <f>'Average Validator'!W86</f>
        <v>0.05035487266</v>
      </c>
      <c r="D17" s="14">
        <f>'Average Validator'!X86</f>
        <v>0.05822282152</v>
      </c>
      <c r="E17" s="14">
        <f>'Average Validator'!Y86</f>
        <v>0.06609077037</v>
      </c>
      <c r="F17" s="14">
        <f>'Average Validator'!Z86</f>
        <v>0.07395871923</v>
      </c>
      <c r="G17" s="14">
        <f>'Average Validator'!AA86</f>
        <v>0.08182666808</v>
      </c>
      <c r="H17" s="14">
        <f>'Average Validator'!AB86</f>
        <v>0.08969461693</v>
      </c>
      <c r="I17" s="120">
        <f>'Average Validator'!AC86</f>
        <v>0.09756256579</v>
      </c>
      <c r="J17" s="51"/>
      <c r="K17" s="110"/>
      <c r="L17" s="93">
        <f t="shared" si="4"/>
        <v>8500000</v>
      </c>
      <c r="M17" s="288">
        <f>'Average Validator'!W108</f>
        <v>0.004700481573</v>
      </c>
      <c r="N17" s="14">
        <f>'Average Validator'!X108</f>
        <v>0.01256843043</v>
      </c>
      <c r="O17" s="14">
        <f>'Average Validator'!Y108</f>
        <v>0.02043637928</v>
      </c>
      <c r="P17" s="14">
        <f>'Average Validator'!Z108</f>
        <v>0.02830432813</v>
      </c>
      <c r="Q17" s="14">
        <f>'Average Validator'!AA108</f>
        <v>0.03617227699</v>
      </c>
      <c r="R17" s="14">
        <f>'Average Validator'!AB108</f>
        <v>0.04404022584</v>
      </c>
      <c r="S17" s="120">
        <f>'Average Validator'!AC108</f>
        <v>0.0519081747</v>
      </c>
      <c r="AA17" s="177"/>
      <c r="AB17" s="178"/>
      <c r="AC17" s="178"/>
      <c r="AD17" s="178"/>
      <c r="AE17" s="178"/>
      <c r="AF17" s="178"/>
      <c r="AG17" s="178"/>
      <c r="AH17" s="178"/>
      <c r="AI17" s="178"/>
      <c r="AJ17" s="178"/>
      <c r="AK17" s="178"/>
      <c r="AL17" s="178"/>
      <c r="AM17" s="178"/>
      <c r="AN17" s="178"/>
      <c r="AO17" s="178"/>
      <c r="AP17" s="178"/>
      <c r="AQ17" s="178"/>
      <c r="AR17" s="178"/>
      <c r="AS17" s="178"/>
      <c r="AT17" s="178"/>
      <c r="AU17" s="178"/>
      <c r="AV17" s="178"/>
      <c r="AW17" s="178"/>
      <c r="AX17" s="178"/>
      <c r="AY17" s="178"/>
      <c r="AZ17" s="178"/>
      <c r="BA17" s="178"/>
      <c r="BB17" s="178"/>
      <c r="BC17" s="178"/>
    </row>
    <row r="18">
      <c r="A18" s="110"/>
      <c r="B18" s="93">
        <f t="shared" si="3"/>
        <v>9000000</v>
      </c>
      <c r="C18" s="288">
        <f>'Average Validator'!W87</f>
        <v>0.04893614003</v>
      </c>
      <c r="D18" s="14">
        <f>'Average Validator'!X87</f>
        <v>0.05658241191</v>
      </c>
      <c r="E18" s="14">
        <f>'Average Validator'!Y87</f>
        <v>0.06422868379</v>
      </c>
      <c r="F18" s="14">
        <f>'Average Validator'!Z87</f>
        <v>0.07187495567</v>
      </c>
      <c r="G18" s="14">
        <f>'Average Validator'!AA87</f>
        <v>0.07952122755</v>
      </c>
      <c r="H18" s="14">
        <f>'Average Validator'!AB87</f>
        <v>0.08716749943</v>
      </c>
      <c r="I18" s="120">
        <f>'Average Validator'!AC87</f>
        <v>0.09481377131</v>
      </c>
      <c r="J18" s="51"/>
      <c r="K18" s="110"/>
      <c r="L18" s="93">
        <f t="shared" si="4"/>
        <v>9000000</v>
      </c>
      <c r="M18" s="288">
        <f>'Average Validator'!W109</f>
        <v>0.003281748938</v>
      </c>
      <c r="N18" s="14">
        <f>'Average Validator'!X109</f>
        <v>0.01092802082</v>
      </c>
      <c r="O18" s="14">
        <f>'Average Validator'!Y109</f>
        <v>0.0185742927</v>
      </c>
      <c r="P18" s="14">
        <f>'Average Validator'!Z109</f>
        <v>0.02622056458</v>
      </c>
      <c r="Q18" s="14">
        <f>'Average Validator'!AA109</f>
        <v>0.03386683646</v>
      </c>
      <c r="R18" s="14">
        <f>'Average Validator'!AB109</f>
        <v>0.04151310834</v>
      </c>
      <c r="S18" s="120">
        <f>'Average Validator'!AC109</f>
        <v>0.04915938022</v>
      </c>
      <c r="AA18" s="177"/>
      <c r="AB18" s="178"/>
      <c r="AC18" s="178"/>
      <c r="AD18" s="178"/>
      <c r="AE18" s="178"/>
      <c r="AF18" s="178"/>
      <c r="AG18" s="178"/>
      <c r="AH18" s="178"/>
      <c r="AI18" s="178"/>
      <c r="AJ18" s="178"/>
      <c r="AK18" s="178"/>
      <c r="AL18" s="178"/>
      <c r="AM18" s="178"/>
      <c r="AN18" s="178"/>
      <c r="AO18" s="178"/>
      <c r="AP18" s="178"/>
      <c r="AQ18" s="178"/>
      <c r="AR18" s="178"/>
      <c r="AS18" s="178"/>
      <c r="AT18" s="178"/>
      <c r="AU18" s="178"/>
      <c r="AV18" s="178"/>
      <c r="AW18" s="178"/>
      <c r="AX18" s="178"/>
      <c r="AY18" s="178"/>
      <c r="AZ18" s="178"/>
      <c r="BA18" s="178"/>
      <c r="BB18" s="178"/>
      <c r="BC18" s="178"/>
    </row>
    <row r="19">
      <c r="A19" s="110"/>
      <c r="B19" s="93">
        <f t="shared" si="3"/>
        <v>9500000</v>
      </c>
      <c r="C19" s="288">
        <f>'Average Validator'!W88</f>
        <v>0.04763094108</v>
      </c>
      <c r="D19" s="14">
        <f>'Average Validator'!X88</f>
        <v>0.05507327563</v>
      </c>
      <c r="E19" s="14">
        <f>'Average Validator'!Y88</f>
        <v>0.06251561017</v>
      </c>
      <c r="F19" s="14">
        <f>'Average Validator'!Z88</f>
        <v>0.06995794471</v>
      </c>
      <c r="G19" s="14">
        <f>'Average Validator'!AA88</f>
        <v>0.07740027926</v>
      </c>
      <c r="H19" s="14">
        <f>'Average Validator'!AB88</f>
        <v>0.0848426138</v>
      </c>
      <c r="I19" s="120">
        <f>'Average Validator'!AC88</f>
        <v>0.09228494835</v>
      </c>
      <c r="J19" s="51"/>
      <c r="K19" s="110"/>
      <c r="L19" s="93">
        <f t="shared" si="4"/>
        <v>9500000</v>
      </c>
      <c r="M19" s="288">
        <f>'Average Validator'!W110</f>
        <v>0.00197654999</v>
      </c>
      <c r="N19" s="14">
        <f>'Average Validator'!X110</f>
        <v>0.009418884534</v>
      </c>
      <c r="O19" s="14">
        <f>'Average Validator'!Y110</f>
        <v>0.01686121908</v>
      </c>
      <c r="P19" s="14">
        <f>'Average Validator'!Z110</f>
        <v>0.02430355362</v>
      </c>
      <c r="Q19" s="14">
        <f>'Average Validator'!AA110</f>
        <v>0.03174588817</v>
      </c>
      <c r="R19" s="14">
        <f>'Average Validator'!AB110</f>
        <v>0.03918822271</v>
      </c>
      <c r="S19" s="120">
        <f>'Average Validator'!AC110</f>
        <v>0.04663055725</v>
      </c>
      <c r="AA19" s="177"/>
      <c r="AB19" s="178"/>
      <c r="AC19" s="178"/>
      <c r="AD19" s="178"/>
      <c r="AE19" s="178"/>
      <c r="AF19" s="178"/>
      <c r="AG19" s="178"/>
      <c r="AH19" s="178"/>
      <c r="AI19" s="178"/>
      <c r="AJ19" s="178"/>
      <c r="AK19" s="178"/>
      <c r="AL19" s="178"/>
      <c r="AM19" s="178"/>
      <c r="AN19" s="178"/>
      <c r="AO19" s="178"/>
      <c r="AP19" s="178"/>
      <c r="AQ19" s="178"/>
      <c r="AR19" s="178"/>
      <c r="AS19" s="178"/>
      <c r="AT19" s="178"/>
      <c r="AU19" s="178"/>
      <c r="AV19" s="178"/>
      <c r="AW19" s="178"/>
      <c r="AX19" s="178"/>
      <c r="AY19" s="178"/>
      <c r="AZ19" s="178"/>
      <c r="BA19" s="178"/>
      <c r="BB19" s="178"/>
      <c r="BC19" s="178"/>
    </row>
    <row r="20">
      <c r="A20" s="146"/>
      <c r="B20" s="156">
        <f t="shared" si="3"/>
        <v>10000000</v>
      </c>
      <c r="C20" s="404">
        <f>'Average Validator'!W89</f>
        <v>0.04642489872</v>
      </c>
      <c r="D20" s="296">
        <f>'Average Validator'!X89</f>
        <v>0.05367878914</v>
      </c>
      <c r="E20" s="296">
        <f>'Average Validator'!Y89</f>
        <v>0.06093267957</v>
      </c>
      <c r="F20" s="296">
        <f>'Average Validator'!Z89</f>
        <v>0.06818656999</v>
      </c>
      <c r="G20" s="296">
        <f>'Average Validator'!AA89</f>
        <v>0.07544046042</v>
      </c>
      <c r="H20" s="296">
        <f>'Average Validator'!AB89</f>
        <v>0.08269435084</v>
      </c>
      <c r="I20" s="297">
        <f>'Average Validator'!AC89</f>
        <v>0.08994824126</v>
      </c>
      <c r="J20" s="51"/>
      <c r="K20" s="146"/>
      <c r="L20" s="156">
        <f t="shared" si="4"/>
        <v>10000000</v>
      </c>
      <c r="M20" s="468">
        <f>'Average Validator'!W111</f>
        <v>0.000770507626</v>
      </c>
      <c r="N20" s="296">
        <f>'Average Validator'!X111</f>
        <v>0.008024398051</v>
      </c>
      <c r="O20" s="296">
        <f>'Average Validator'!Y111</f>
        <v>0.01527828848</v>
      </c>
      <c r="P20" s="296">
        <f>'Average Validator'!Z111</f>
        <v>0.0225321789</v>
      </c>
      <c r="Q20" s="296">
        <f>'Average Validator'!AA111</f>
        <v>0.02978606932</v>
      </c>
      <c r="R20" s="296">
        <f>'Average Validator'!AB111</f>
        <v>0.03703995975</v>
      </c>
      <c r="S20" s="297">
        <f>'Average Validator'!AC111</f>
        <v>0.04429385017</v>
      </c>
      <c r="AA20" s="177"/>
      <c r="AB20" s="178"/>
      <c r="AC20" s="178"/>
      <c r="AD20" s="178"/>
      <c r="AE20" s="178"/>
      <c r="AF20" s="178"/>
      <c r="AG20" s="178"/>
      <c r="AH20" s="178"/>
      <c r="AI20" s="178"/>
      <c r="AJ20" s="178"/>
      <c r="AK20" s="178"/>
      <c r="AL20" s="178"/>
      <c r="AM20" s="178"/>
      <c r="AN20" s="178"/>
      <c r="AO20" s="178"/>
      <c r="AP20" s="178"/>
      <c r="AQ20" s="178"/>
      <c r="AR20" s="178"/>
      <c r="AS20" s="178"/>
      <c r="AT20" s="178"/>
      <c r="AU20" s="178"/>
      <c r="AV20" s="178"/>
      <c r="AW20" s="178"/>
      <c r="AX20" s="178"/>
      <c r="AY20" s="178"/>
      <c r="AZ20" s="178"/>
      <c r="BA20" s="178"/>
      <c r="BB20" s="178"/>
      <c r="BC20" s="178"/>
    </row>
    <row r="21">
      <c r="AO21" s="23"/>
      <c r="AP21" s="23"/>
      <c r="AQ21" s="23"/>
      <c r="AR21" s="23"/>
      <c r="AS21" s="23"/>
      <c r="AT21" s="23"/>
      <c r="AU21" s="23"/>
      <c r="AV21" s="23"/>
      <c r="AW21" s="23"/>
      <c r="AX21" s="23"/>
      <c r="AY21" s="23"/>
      <c r="AZ21" s="23"/>
      <c r="BA21" s="23"/>
      <c r="BB21" s="23"/>
      <c r="BC21" s="23"/>
    </row>
    <row r="22">
      <c r="A22" s="70" t="s">
        <v>88</v>
      </c>
      <c r="B22" s="71"/>
      <c r="C22" s="71"/>
      <c r="D22" s="71"/>
      <c r="E22" s="71"/>
      <c r="F22" s="71"/>
      <c r="G22" s="71"/>
      <c r="H22" s="71"/>
      <c r="I22" s="18"/>
      <c r="J22" s="23"/>
      <c r="K22" s="467"/>
      <c r="L22" s="23"/>
      <c r="M22" s="23"/>
      <c r="N22" s="23"/>
      <c r="O22" s="23"/>
      <c r="P22" s="23"/>
      <c r="Q22" s="23"/>
      <c r="R22" s="23"/>
      <c r="S22" s="23"/>
      <c r="Z22" s="469"/>
      <c r="AA22" s="173"/>
      <c r="AB22" s="172"/>
      <c r="AC22" s="172"/>
      <c r="AD22" s="173"/>
      <c r="AE22" s="216"/>
      <c r="AF22" s="172"/>
      <c r="AG22" s="172"/>
      <c r="AH22" s="172"/>
      <c r="AI22" s="172"/>
      <c r="AJ22" s="172"/>
      <c r="AK22" s="172"/>
      <c r="AL22" s="172"/>
      <c r="AM22" s="172"/>
      <c r="AN22" s="172"/>
      <c r="AO22" s="172"/>
      <c r="AP22" s="172"/>
      <c r="AQ22" s="172"/>
      <c r="AR22" s="172"/>
      <c r="AS22" s="172"/>
      <c r="AT22" s="172"/>
      <c r="AU22" s="172"/>
      <c r="AV22" s="172"/>
      <c r="AW22" s="172"/>
      <c r="AX22" s="172"/>
      <c r="AY22" s="172"/>
      <c r="AZ22" s="172"/>
      <c r="BA22" s="172"/>
      <c r="BB22" s="172"/>
      <c r="BC22" s="172"/>
    </row>
    <row r="23">
      <c r="A23" s="77" t="s">
        <v>57</v>
      </c>
      <c r="I23" s="78"/>
      <c r="J23" s="87"/>
      <c r="K23" s="87"/>
      <c r="Z23" s="151"/>
      <c r="AA23" s="173"/>
      <c r="AB23" s="172"/>
      <c r="AC23" s="172"/>
      <c r="AD23" s="470"/>
      <c r="AO23" s="470"/>
      <c r="AP23" s="470"/>
      <c r="AQ23" s="470"/>
      <c r="AR23" s="470"/>
      <c r="AS23" s="470"/>
      <c r="AT23" s="470"/>
      <c r="AU23" s="470"/>
      <c r="AV23" s="470"/>
      <c r="AW23" s="470"/>
      <c r="AX23" s="470"/>
      <c r="AY23" s="470"/>
      <c r="AZ23" s="470"/>
      <c r="BA23" s="470"/>
      <c r="BB23" s="470"/>
      <c r="BC23" s="470"/>
    </row>
    <row r="24">
      <c r="A24" s="90"/>
      <c r="B24" s="91">
        <f>$F$13</f>
        <v>0.08457503111</v>
      </c>
      <c r="C24" s="240">
        <v>64.0</v>
      </c>
      <c r="D24" s="241">
        <f t="shared" ref="D24:I24" si="5">C24+10</f>
        <v>74</v>
      </c>
      <c r="E24" s="241">
        <f t="shared" si="5"/>
        <v>84</v>
      </c>
      <c r="F24" s="241">
        <f t="shared" si="5"/>
        <v>94</v>
      </c>
      <c r="G24" s="241">
        <f t="shared" si="5"/>
        <v>104</v>
      </c>
      <c r="H24" s="241">
        <f t="shared" si="5"/>
        <v>114</v>
      </c>
      <c r="I24" s="242">
        <f t="shared" si="5"/>
        <v>124</v>
      </c>
      <c r="J24" s="177"/>
      <c r="K24" s="225"/>
      <c r="L24" s="466"/>
      <c r="M24" s="115"/>
      <c r="N24" s="177"/>
      <c r="O24" s="177"/>
      <c r="P24" s="177"/>
      <c r="Q24" s="177"/>
      <c r="R24" s="177"/>
      <c r="S24" s="177"/>
      <c r="Z24" s="173"/>
      <c r="AA24" s="219"/>
      <c r="AB24" s="471"/>
      <c r="AC24" s="471"/>
      <c r="AD24" s="471"/>
      <c r="AE24" s="471"/>
      <c r="AF24" s="471"/>
      <c r="AG24" s="471"/>
      <c r="AH24" s="471"/>
      <c r="AI24" s="471"/>
      <c r="AJ24" s="471"/>
      <c r="AK24" s="471"/>
      <c r="AL24" s="471"/>
      <c r="AM24" s="471"/>
      <c r="AN24" s="471"/>
      <c r="AO24" s="471"/>
      <c r="AP24" s="471"/>
      <c r="AQ24" s="471"/>
      <c r="AR24" s="471"/>
      <c r="AS24" s="471"/>
      <c r="AT24" s="471"/>
      <c r="AU24" s="471"/>
      <c r="AV24" s="471"/>
      <c r="AW24" s="471"/>
      <c r="AX24" s="471"/>
      <c r="AY24" s="471"/>
      <c r="AZ24" s="471"/>
      <c r="BA24" s="471"/>
      <c r="BB24" s="471"/>
      <c r="BC24" s="471"/>
    </row>
    <row r="25">
      <c r="A25" s="102" t="s">
        <v>66</v>
      </c>
      <c r="B25" s="103">
        <v>2000000.0</v>
      </c>
      <c r="C25" s="248">
        <f>'Average Validator'!W116</f>
        <v>0.001590784378</v>
      </c>
      <c r="D25" s="249">
        <f>'Average Validator'!X116</f>
        <v>0.001839344437</v>
      </c>
      <c r="E25" s="249">
        <f>'Average Validator'!Y116</f>
        <v>0.002087904496</v>
      </c>
      <c r="F25" s="249">
        <f>'Average Validator'!Z116</f>
        <v>0.002336464555</v>
      </c>
      <c r="G25" s="249">
        <f>'Average Validator'!AA116</f>
        <v>0.002585024614</v>
      </c>
      <c r="H25" s="249">
        <f>'Average Validator'!AB116</f>
        <v>0.002833584673</v>
      </c>
      <c r="I25" s="250">
        <f>'Average Validator'!AC116</f>
        <v>0.003082144732</v>
      </c>
      <c r="J25" s="178"/>
      <c r="K25" s="176"/>
      <c r="L25" s="115"/>
      <c r="M25" s="178"/>
      <c r="N25" s="178"/>
      <c r="O25" s="178"/>
      <c r="P25" s="178"/>
      <c r="Q25" s="178"/>
      <c r="R25" s="178"/>
      <c r="S25" s="178"/>
      <c r="Z25" s="176"/>
      <c r="AA25" s="174"/>
      <c r="AB25" s="267"/>
      <c r="AC25" s="267"/>
      <c r="AD25" s="267"/>
      <c r="AE25" s="267"/>
      <c r="AF25" s="267"/>
      <c r="AG25" s="267"/>
      <c r="AH25" s="267"/>
      <c r="AI25" s="267"/>
      <c r="AJ25" s="267"/>
      <c r="AK25" s="267"/>
      <c r="AL25" s="267"/>
      <c r="AM25" s="267"/>
      <c r="AN25" s="267"/>
      <c r="AO25" s="267"/>
      <c r="AP25" s="267"/>
      <c r="AQ25" s="267"/>
      <c r="AR25" s="267"/>
      <c r="AS25" s="267"/>
      <c r="AT25" s="267"/>
      <c r="AU25" s="267"/>
      <c r="AV25" s="267"/>
      <c r="AW25" s="267"/>
      <c r="AX25" s="267"/>
      <c r="AY25" s="267"/>
      <c r="AZ25" s="267"/>
      <c r="BA25" s="267"/>
      <c r="BB25" s="267"/>
      <c r="BC25" s="267"/>
    </row>
    <row r="26">
      <c r="A26" s="110"/>
      <c r="B26" s="93">
        <f t="shared" ref="B26:B41" si="6">B25+500000</f>
        <v>2500000</v>
      </c>
      <c r="C26" s="248">
        <f>'Average Validator'!W117</f>
        <v>0.001778551003</v>
      </c>
      <c r="D26" s="249">
        <f>'Average Validator'!X117</f>
        <v>0.002056449598</v>
      </c>
      <c r="E26" s="249">
        <f>'Average Validator'!Y117</f>
        <v>0.002334348192</v>
      </c>
      <c r="F26" s="249">
        <f>'Average Validator'!Z117</f>
        <v>0.002612246786</v>
      </c>
      <c r="G26" s="249">
        <f>'Average Validator'!AA117</f>
        <v>0.00289014538</v>
      </c>
      <c r="H26" s="249">
        <f>'Average Validator'!AB117</f>
        <v>0.003168043975</v>
      </c>
      <c r="I26" s="250">
        <f>'Average Validator'!AC117</f>
        <v>0.003445942569</v>
      </c>
      <c r="J26" s="178"/>
      <c r="L26" s="177"/>
      <c r="M26" s="178"/>
      <c r="N26" s="178"/>
      <c r="O26" s="178"/>
      <c r="P26" s="178"/>
      <c r="Q26" s="178"/>
      <c r="R26" s="178"/>
      <c r="S26" s="178"/>
      <c r="AA26" s="174"/>
      <c r="AB26" s="267"/>
      <c r="AC26" s="267"/>
      <c r="AD26" s="267"/>
      <c r="AE26" s="267"/>
      <c r="AF26" s="267"/>
      <c r="AG26" s="267"/>
      <c r="AH26" s="267"/>
      <c r="AI26" s="267"/>
      <c r="AJ26" s="267"/>
      <c r="AK26" s="267"/>
      <c r="AL26" s="267"/>
      <c r="AM26" s="267"/>
      <c r="AN26" s="267"/>
      <c r="AO26" s="267"/>
      <c r="AP26" s="267"/>
      <c r="AQ26" s="267"/>
      <c r="AR26" s="267"/>
      <c r="AS26" s="267"/>
      <c r="AT26" s="267"/>
      <c r="AU26" s="267"/>
      <c r="AV26" s="267"/>
      <c r="AW26" s="267"/>
      <c r="AX26" s="267"/>
      <c r="AY26" s="267"/>
      <c r="AZ26" s="267"/>
      <c r="BA26" s="267"/>
      <c r="BB26" s="267"/>
      <c r="BC26" s="267"/>
    </row>
    <row r="27">
      <c r="A27" s="110"/>
      <c r="B27" s="93">
        <f t="shared" si="6"/>
        <v>3000000</v>
      </c>
      <c r="C27" s="248">
        <f>'Average Validator'!W118</f>
        <v>0.001948305008</v>
      </c>
      <c r="D27" s="249">
        <f>'Average Validator'!X118</f>
        <v>0.002252727666</v>
      </c>
      <c r="E27" s="249">
        <f>'Average Validator'!Y118</f>
        <v>0.002557150324</v>
      </c>
      <c r="F27" s="249">
        <f>'Average Validator'!Z118</f>
        <v>0.002861572981</v>
      </c>
      <c r="G27" s="249">
        <f>'Average Validator'!AA118</f>
        <v>0.003165995639</v>
      </c>
      <c r="H27" s="249">
        <f>'Average Validator'!AB118</f>
        <v>0.003470418296</v>
      </c>
      <c r="I27" s="250">
        <f>'Average Validator'!AC118</f>
        <v>0.003774840954</v>
      </c>
      <c r="J27" s="178"/>
      <c r="L27" s="177"/>
      <c r="M27" s="178"/>
      <c r="N27" s="178"/>
      <c r="O27" s="178"/>
      <c r="P27" s="178"/>
      <c r="Q27" s="178"/>
      <c r="R27" s="178"/>
      <c r="S27" s="178"/>
      <c r="AA27" s="174"/>
      <c r="AB27" s="267"/>
      <c r="AC27" s="267"/>
      <c r="AD27" s="267"/>
      <c r="AE27" s="267"/>
      <c r="AF27" s="267"/>
      <c r="AG27" s="267"/>
      <c r="AH27" s="267"/>
      <c r="AI27" s="267"/>
      <c r="AJ27" s="267"/>
      <c r="AK27" s="267"/>
      <c r="AL27" s="267"/>
      <c r="AM27" s="267"/>
      <c r="AN27" s="267"/>
      <c r="AO27" s="267"/>
      <c r="AP27" s="267"/>
      <c r="AQ27" s="267"/>
      <c r="AR27" s="267"/>
      <c r="AS27" s="267"/>
      <c r="AT27" s="267"/>
      <c r="AU27" s="267"/>
      <c r="AV27" s="267"/>
      <c r="AW27" s="267"/>
      <c r="AX27" s="267"/>
      <c r="AY27" s="267"/>
      <c r="AZ27" s="267"/>
      <c r="BA27" s="267"/>
      <c r="BB27" s="267"/>
      <c r="BC27" s="267"/>
    </row>
    <row r="28">
      <c r="A28" s="110"/>
      <c r="B28" s="93">
        <f t="shared" si="6"/>
        <v>3500000</v>
      </c>
      <c r="C28" s="248">
        <f>'Average Validator'!W119</f>
        <v>0.002104409927</v>
      </c>
      <c r="D28" s="249">
        <f>'Average Validator'!X119</f>
        <v>0.002433223978</v>
      </c>
      <c r="E28" s="249">
        <f>'Average Validator'!Y119</f>
        <v>0.002762038029</v>
      </c>
      <c r="F28" s="249">
        <f>'Average Validator'!Z119</f>
        <v>0.00309085208</v>
      </c>
      <c r="G28" s="249">
        <f>'Average Validator'!AA119</f>
        <v>0.003419666131</v>
      </c>
      <c r="H28" s="249">
        <f>'Average Validator'!AB119</f>
        <v>0.003748480182</v>
      </c>
      <c r="I28" s="250">
        <f>'Average Validator'!AC119</f>
        <v>0.004077294233</v>
      </c>
      <c r="J28" s="178"/>
      <c r="L28" s="177"/>
      <c r="M28" s="178"/>
      <c r="N28" s="178"/>
      <c r="O28" s="178"/>
      <c r="P28" s="178"/>
      <c r="Q28" s="178"/>
      <c r="R28" s="178"/>
      <c r="S28" s="178"/>
      <c r="AA28" s="174"/>
      <c r="AB28" s="267"/>
      <c r="AC28" s="267"/>
      <c r="AD28" s="267"/>
      <c r="AE28" s="267"/>
      <c r="AF28" s="267"/>
      <c r="AG28" s="267"/>
      <c r="AH28" s="267"/>
      <c r="AI28" s="267"/>
      <c r="AJ28" s="267"/>
      <c r="AK28" s="267"/>
      <c r="AL28" s="267"/>
      <c r="AM28" s="267"/>
      <c r="AN28" s="267"/>
      <c r="AO28" s="267"/>
      <c r="AP28" s="267"/>
      <c r="AQ28" s="267"/>
      <c r="AR28" s="267"/>
      <c r="AS28" s="267"/>
      <c r="AT28" s="267"/>
      <c r="AU28" s="267"/>
      <c r="AV28" s="267"/>
      <c r="AW28" s="267"/>
      <c r="AX28" s="267"/>
      <c r="AY28" s="267"/>
      <c r="AZ28" s="267"/>
      <c r="BA28" s="267"/>
      <c r="BB28" s="267"/>
      <c r="BC28" s="267"/>
    </row>
    <row r="29">
      <c r="A29" s="110"/>
      <c r="B29" s="93">
        <f t="shared" si="6"/>
        <v>4000000</v>
      </c>
      <c r="C29" s="248">
        <f>'Average Validator'!W120</f>
        <v>0.002249708842</v>
      </c>
      <c r="D29" s="249">
        <f>'Average Validator'!X120</f>
        <v>0.002601225849</v>
      </c>
      <c r="E29" s="249">
        <f>'Average Validator'!Y120</f>
        <v>0.002952742855</v>
      </c>
      <c r="F29" s="249">
        <f>'Average Validator'!Z120</f>
        <v>0.003304259862</v>
      </c>
      <c r="G29" s="249">
        <f>'Average Validator'!AA120</f>
        <v>0.003655776868</v>
      </c>
      <c r="H29" s="249">
        <f>'Average Validator'!AB120</f>
        <v>0.004007293875</v>
      </c>
      <c r="I29" s="250">
        <f>'Average Validator'!AC120</f>
        <v>0.004358810882</v>
      </c>
      <c r="J29" s="178"/>
      <c r="L29" s="177"/>
      <c r="M29" s="178"/>
      <c r="N29" s="178"/>
      <c r="O29" s="178"/>
      <c r="P29" s="178"/>
      <c r="Q29" s="178"/>
      <c r="R29" s="178"/>
      <c r="S29" s="178"/>
      <c r="AA29" s="174"/>
      <c r="AB29" s="267"/>
      <c r="AC29" s="267"/>
      <c r="AD29" s="267"/>
      <c r="AE29" s="267"/>
      <c r="AF29" s="267"/>
      <c r="AG29" s="267"/>
      <c r="AH29" s="267"/>
      <c r="AI29" s="267"/>
      <c r="AJ29" s="267"/>
      <c r="AK29" s="267"/>
      <c r="AL29" s="267"/>
      <c r="AM29" s="267"/>
      <c r="AN29" s="267"/>
      <c r="AO29" s="267"/>
      <c r="AP29" s="267"/>
      <c r="AQ29" s="267"/>
      <c r="AR29" s="267"/>
      <c r="AS29" s="267"/>
      <c r="AT29" s="267"/>
      <c r="AU29" s="267"/>
      <c r="AV29" s="267"/>
      <c r="AW29" s="267"/>
      <c r="AX29" s="267"/>
      <c r="AY29" s="267"/>
      <c r="AZ29" s="267"/>
      <c r="BA29" s="267"/>
      <c r="BB29" s="267"/>
      <c r="BC29" s="267"/>
    </row>
    <row r="30">
      <c r="A30" s="110"/>
      <c r="B30" s="93">
        <f t="shared" si="6"/>
        <v>4500000</v>
      </c>
      <c r="C30" s="248">
        <f>'Average Validator'!W121</f>
        <v>0.002386176567</v>
      </c>
      <c r="D30" s="249">
        <f>'Average Validator'!X121</f>
        <v>0.002759016656</v>
      </c>
      <c r="E30" s="249">
        <f>'Average Validator'!Y121</f>
        <v>0.003131856744</v>
      </c>
      <c r="F30" s="249">
        <f>'Average Validator'!Z121</f>
        <v>0.003504696833</v>
      </c>
      <c r="G30" s="249">
        <f>'Average Validator'!AA121</f>
        <v>0.003877536921</v>
      </c>
      <c r="H30" s="249">
        <f>'Average Validator'!AB121</f>
        <v>0.00425037701</v>
      </c>
      <c r="I30" s="250">
        <f>'Average Validator'!AC121</f>
        <v>0.004623217098</v>
      </c>
      <c r="J30" s="178"/>
      <c r="L30" s="177"/>
      <c r="M30" s="178"/>
      <c r="N30" s="178"/>
      <c r="O30" s="178"/>
      <c r="P30" s="178"/>
      <c r="Q30" s="178"/>
      <c r="R30" s="178"/>
      <c r="S30" s="178"/>
      <c r="AA30" s="174"/>
      <c r="AB30" s="267"/>
      <c r="AC30" s="267"/>
      <c r="AD30" s="267"/>
      <c r="AE30" s="267"/>
      <c r="AF30" s="267"/>
      <c r="AG30" s="267"/>
      <c r="AH30" s="267"/>
      <c r="AI30" s="267"/>
      <c r="AJ30" s="267"/>
      <c r="AK30" s="267"/>
      <c r="AL30" s="267"/>
      <c r="AM30" s="267"/>
      <c r="AN30" s="267"/>
      <c r="AO30" s="267"/>
      <c r="AP30" s="267"/>
      <c r="AQ30" s="267"/>
      <c r="AR30" s="267"/>
      <c r="AS30" s="267"/>
      <c r="AT30" s="267"/>
      <c r="AU30" s="267"/>
      <c r="AV30" s="267"/>
      <c r="AW30" s="267"/>
      <c r="AX30" s="267"/>
      <c r="AY30" s="267"/>
      <c r="AZ30" s="267"/>
      <c r="BA30" s="267"/>
      <c r="BB30" s="267"/>
      <c r="BC30" s="267"/>
    </row>
    <row r="31">
      <c r="A31" s="110"/>
      <c r="B31" s="93">
        <f t="shared" si="6"/>
        <v>5000000</v>
      </c>
      <c r="C31" s="248">
        <f>'Average Validator'!W122</f>
        <v>0.00251525095</v>
      </c>
      <c r="D31" s="249">
        <f>'Average Validator'!X122</f>
        <v>0.002908258911</v>
      </c>
      <c r="E31" s="249">
        <f>'Average Validator'!Y122</f>
        <v>0.003301266872</v>
      </c>
      <c r="F31" s="249">
        <f>'Average Validator'!Z122</f>
        <v>0.003694274833</v>
      </c>
      <c r="G31" s="249">
        <f>'Average Validator'!AA122</f>
        <v>0.004087282794</v>
      </c>
      <c r="H31" s="249">
        <f>'Average Validator'!AB122</f>
        <v>0.004480290755</v>
      </c>
      <c r="I31" s="250">
        <f>'Average Validator'!AC122</f>
        <v>0.004873298716</v>
      </c>
      <c r="J31" s="178"/>
      <c r="L31" s="177"/>
      <c r="M31" s="178"/>
      <c r="N31" s="178"/>
      <c r="O31" s="178"/>
      <c r="P31" s="178"/>
      <c r="Q31" s="178"/>
      <c r="R31" s="178"/>
      <c r="S31" s="178"/>
      <c r="AA31" s="174"/>
      <c r="AB31" s="267"/>
      <c r="AC31" s="267"/>
      <c r="AD31" s="267"/>
      <c r="AE31" s="267"/>
      <c r="AF31" s="267"/>
      <c r="AG31" s="267"/>
      <c r="AH31" s="267"/>
      <c r="AI31" s="267"/>
      <c r="AJ31" s="267"/>
      <c r="AK31" s="267"/>
      <c r="AL31" s="267"/>
      <c r="AM31" s="267"/>
      <c r="AN31" s="267"/>
      <c r="AO31" s="267"/>
      <c r="AP31" s="267"/>
      <c r="AQ31" s="267"/>
      <c r="AR31" s="267"/>
      <c r="AS31" s="267"/>
      <c r="AT31" s="267"/>
      <c r="AU31" s="267"/>
      <c r="AV31" s="267"/>
      <c r="AW31" s="267"/>
      <c r="AX31" s="267"/>
      <c r="AY31" s="267"/>
      <c r="AZ31" s="267"/>
      <c r="BA31" s="267"/>
      <c r="BB31" s="267"/>
      <c r="BC31" s="267"/>
    </row>
    <row r="32">
      <c r="A32" s="110"/>
      <c r="B32" s="93">
        <f t="shared" si="6"/>
        <v>5500000</v>
      </c>
      <c r="C32" s="248">
        <f>'Average Validator'!W123</f>
        <v>0.002638017452</v>
      </c>
      <c r="D32" s="249">
        <f>'Average Validator'!X123</f>
        <v>0.003050207679</v>
      </c>
      <c r="E32" s="249">
        <f>'Average Validator'!Y123</f>
        <v>0.003462397906</v>
      </c>
      <c r="F32" s="249">
        <f>'Average Validator'!Z123</f>
        <v>0.003874588133</v>
      </c>
      <c r="G32" s="249">
        <f>'Average Validator'!AA123</f>
        <v>0.00428677836</v>
      </c>
      <c r="H32" s="249">
        <f>'Average Validator'!AB123</f>
        <v>0.004698968586</v>
      </c>
      <c r="I32" s="250">
        <f>'Average Validator'!AC123</f>
        <v>0.005111158813</v>
      </c>
      <c r="J32" s="178"/>
      <c r="L32" s="177"/>
      <c r="M32" s="178"/>
      <c r="N32" s="178"/>
      <c r="O32" s="178"/>
      <c r="P32" s="178"/>
      <c r="Q32" s="178"/>
      <c r="R32" s="178"/>
      <c r="S32" s="178"/>
      <c r="AA32" s="174"/>
      <c r="AB32" s="267"/>
      <c r="AC32" s="267"/>
      <c r="AD32" s="267"/>
      <c r="AE32" s="267"/>
      <c r="AF32" s="267"/>
      <c r="AG32" s="267"/>
      <c r="AH32" s="267"/>
      <c r="AI32" s="267"/>
      <c r="AJ32" s="267"/>
      <c r="AK32" s="267"/>
      <c r="AL32" s="267"/>
      <c r="AM32" s="267"/>
      <c r="AN32" s="267"/>
      <c r="AO32" s="267"/>
      <c r="AP32" s="267"/>
      <c r="AQ32" s="267"/>
      <c r="AR32" s="267"/>
      <c r="AS32" s="267"/>
      <c r="AT32" s="267"/>
      <c r="AU32" s="267"/>
      <c r="AV32" s="267"/>
      <c r="AW32" s="267"/>
      <c r="AX32" s="267"/>
      <c r="AY32" s="267"/>
      <c r="AZ32" s="267"/>
      <c r="BA32" s="267"/>
      <c r="BB32" s="267"/>
      <c r="BC32" s="267"/>
    </row>
    <row r="33">
      <c r="A33" s="110"/>
      <c r="B33" s="93">
        <f t="shared" si="6"/>
        <v>6000000</v>
      </c>
      <c r="C33" s="248">
        <f>'Average Validator'!W124</f>
        <v>0.002755319367</v>
      </c>
      <c r="D33" s="249">
        <f>'Average Validator'!X124</f>
        <v>0.003185838018</v>
      </c>
      <c r="E33" s="249">
        <f>'Average Validator'!Y124</f>
        <v>0.003616356669</v>
      </c>
      <c r="F33" s="249">
        <f>'Average Validator'!Z124</f>
        <v>0.00404687532</v>
      </c>
      <c r="G33" s="249">
        <f>'Average Validator'!AA124</f>
        <v>0.004477393971</v>
      </c>
      <c r="H33" s="249">
        <f>'Average Validator'!AB124</f>
        <v>0.004907912622</v>
      </c>
      <c r="I33" s="250">
        <f>'Average Validator'!AC124</f>
        <v>0.005338431273</v>
      </c>
      <c r="J33" s="178"/>
      <c r="L33" s="177"/>
      <c r="M33" s="178"/>
      <c r="N33" s="178"/>
      <c r="O33" s="178"/>
      <c r="P33" s="178"/>
      <c r="Q33" s="178"/>
      <c r="R33" s="178"/>
      <c r="S33" s="178"/>
      <c r="AA33" s="174"/>
      <c r="AB33" s="267"/>
      <c r="AC33" s="267"/>
      <c r="AD33" s="267"/>
      <c r="AE33" s="267"/>
      <c r="AF33" s="267"/>
      <c r="AG33" s="267"/>
      <c r="AH33" s="267"/>
      <c r="AI33" s="267"/>
      <c r="AJ33" s="267"/>
      <c r="AK33" s="267"/>
      <c r="AL33" s="267"/>
      <c r="AM33" s="267"/>
      <c r="AN33" s="267"/>
      <c r="AO33" s="267"/>
      <c r="AP33" s="267"/>
      <c r="AQ33" s="267"/>
      <c r="AR33" s="267"/>
      <c r="AS33" s="267"/>
      <c r="AT33" s="267"/>
      <c r="AU33" s="267"/>
      <c r="AV33" s="267"/>
      <c r="AW33" s="267"/>
      <c r="AX33" s="267"/>
      <c r="AY33" s="267"/>
      <c r="AZ33" s="267"/>
      <c r="BA33" s="267"/>
      <c r="BB33" s="267"/>
      <c r="BC33" s="267"/>
    </row>
    <row r="34">
      <c r="A34" s="110"/>
      <c r="B34" s="93">
        <f t="shared" si="6"/>
        <v>6500000</v>
      </c>
      <c r="C34" s="248">
        <f>'Average Validator'!W125</f>
        <v>0.002867827321</v>
      </c>
      <c r="D34" s="249">
        <f>'Average Validator'!X125</f>
        <v>0.00331592534</v>
      </c>
      <c r="E34" s="249">
        <f>'Average Validator'!Y125</f>
        <v>0.003764023359</v>
      </c>
      <c r="F34" s="249">
        <f>'Average Validator'!Z125</f>
        <v>0.004212121378</v>
      </c>
      <c r="G34" s="249">
        <f>'Average Validator'!AA125</f>
        <v>0.004660219397</v>
      </c>
      <c r="H34" s="249">
        <f>'Average Validator'!AB125</f>
        <v>0.005108317416</v>
      </c>
      <c r="I34" s="250">
        <f>'Average Validator'!AC125</f>
        <v>0.005556415435</v>
      </c>
      <c r="J34" s="178"/>
      <c r="L34" s="177"/>
      <c r="M34" s="178"/>
      <c r="N34" s="178"/>
      <c r="O34" s="178"/>
      <c r="P34" s="178"/>
      <c r="Q34" s="178"/>
      <c r="R34" s="178"/>
      <c r="S34" s="178"/>
      <c r="AA34" s="174"/>
      <c r="AB34" s="267"/>
      <c r="AC34" s="267"/>
      <c r="AD34" s="267"/>
      <c r="AE34" s="267"/>
      <c r="AF34" s="267"/>
      <c r="AG34" s="267"/>
      <c r="AH34" s="267"/>
      <c r="AI34" s="267"/>
      <c r="AJ34" s="267"/>
      <c r="AK34" s="267"/>
      <c r="AL34" s="267"/>
      <c r="AM34" s="267"/>
      <c r="AN34" s="267"/>
      <c r="AO34" s="267"/>
      <c r="AP34" s="267"/>
      <c r="AQ34" s="267"/>
      <c r="AR34" s="267"/>
      <c r="AS34" s="267"/>
      <c r="AT34" s="267"/>
      <c r="AU34" s="267"/>
      <c r="AV34" s="267"/>
      <c r="AW34" s="267"/>
      <c r="AX34" s="267"/>
      <c r="AY34" s="267"/>
      <c r="AZ34" s="267"/>
      <c r="BA34" s="267"/>
      <c r="BB34" s="267"/>
      <c r="BC34" s="267"/>
    </row>
    <row r="35">
      <c r="A35" s="110"/>
      <c r="B35" s="93">
        <f t="shared" si="6"/>
        <v>7000000</v>
      </c>
      <c r="C35" s="248">
        <f>'Average Validator'!W126</f>
        <v>0.002976085059</v>
      </c>
      <c r="D35" s="249">
        <f>'Average Validator'!X126</f>
        <v>0.00344109835</v>
      </c>
      <c r="E35" s="249">
        <f>'Average Validator'!Y126</f>
        <v>0.00390611164</v>
      </c>
      <c r="F35" s="249">
        <f>'Average Validator'!Z126</f>
        <v>0.004371124931</v>
      </c>
      <c r="G35" s="249">
        <f>'Average Validator'!AA126</f>
        <v>0.004836138221</v>
      </c>
      <c r="H35" s="249">
        <f>'Average Validator'!AB126</f>
        <v>0.005301151512</v>
      </c>
      <c r="I35" s="250">
        <f>'Average Validator'!AC126</f>
        <v>0.005766164802</v>
      </c>
      <c r="J35" s="178"/>
      <c r="L35" s="177"/>
      <c r="M35" s="178"/>
      <c r="N35" s="178"/>
      <c r="O35" s="178"/>
      <c r="P35" s="178"/>
      <c r="Q35" s="178"/>
      <c r="R35" s="178"/>
      <c r="S35" s="178"/>
      <c r="AA35" s="174"/>
      <c r="AB35" s="267"/>
      <c r="AC35" s="267"/>
      <c r="AD35" s="267"/>
      <c r="AE35" s="267"/>
      <c r="AF35" s="267"/>
      <c r="AG35" s="267"/>
      <c r="AH35" s="267"/>
      <c r="AI35" s="267"/>
      <c r="AJ35" s="267"/>
      <c r="AK35" s="267"/>
      <c r="AL35" s="267"/>
      <c r="AM35" s="267"/>
      <c r="AN35" s="267"/>
      <c r="AO35" s="267"/>
      <c r="AP35" s="267"/>
      <c r="AQ35" s="267"/>
      <c r="AR35" s="267"/>
      <c r="AS35" s="267"/>
      <c r="AT35" s="267"/>
      <c r="AU35" s="267"/>
      <c r="AV35" s="267"/>
      <c r="AW35" s="267"/>
      <c r="AX35" s="267"/>
      <c r="AY35" s="267"/>
      <c r="AZ35" s="267"/>
      <c r="BA35" s="267"/>
      <c r="BB35" s="267"/>
      <c r="BC35" s="267"/>
    </row>
    <row r="36">
      <c r="A36" s="110"/>
      <c r="B36" s="93">
        <f t="shared" si="6"/>
        <v>7500000</v>
      </c>
      <c r="C36" s="248">
        <f>'Average Validator'!W127</f>
        <v>0.003080540702</v>
      </c>
      <c r="D36" s="249">
        <f>'Average Validator'!X127</f>
        <v>0.003561875186</v>
      </c>
      <c r="E36" s="249">
        <f>'Average Validator'!Y127</f>
        <v>0.004043209671</v>
      </c>
      <c r="F36" s="249">
        <f>'Average Validator'!Z127</f>
        <v>0.004524544156</v>
      </c>
      <c r="G36" s="249">
        <f>'Average Validator'!AA127</f>
        <v>0.00500587864</v>
      </c>
      <c r="H36" s="249">
        <f>'Average Validator'!AB127</f>
        <v>0.005487213125</v>
      </c>
      <c r="I36" s="250">
        <f>'Average Validator'!AC127</f>
        <v>0.005968547609</v>
      </c>
      <c r="J36" s="178"/>
      <c r="L36" s="177"/>
      <c r="M36" s="178"/>
      <c r="N36" s="178"/>
      <c r="O36" s="178"/>
      <c r="P36" s="178"/>
      <c r="Q36" s="178"/>
      <c r="R36" s="178"/>
      <c r="S36" s="178"/>
      <c r="AA36" s="174"/>
      <c r="AB36" s="267"/>
      <c r="AC36" s="267"/>
      <c r="AD36" s="267"/>
      <c r="AE36" s="267"/>
      <c r="AF36" s="267"/>
      <c r="AG36" s="267"/>
      <c r="AH36" s="267"/>
      <c r="AI36" s="267"/>
      <c r="AJ36" s="267"/>
      <c r="AK36" s="267"/>
      <c r="AL36" s="267"/>
      <c r="AM36" s="267"/>
      <c r="AN36" s="267"/>
      <c r="AO36" s="267"/>
      <c r="AP36" s="267"/>
      <c r="AQ36" s="267"/>
      <c r="AR36" s="267"/>
      <c r="AS36" s="267"/>
      <c r="AT36" s="267"/>
      <c r="AU36" s="267"/>
      <c r="AV36" s="267"/>
      <c r="AW36" s="267"/>
      <c r="AX36" s="267"/>
      <c r="AY36" s="267"/>
      <c r="AZ36" s="267"/>
      <c r="BA36" s="267"/>
      <c r="BB36" s="267"/>
      <c r="BC36" s="267"/>
    </row>
    <row r="37">
      <c r="A37" s="110"/>
      <c r="B37" s="93">
        <f t="shared" si="6"/>
        <v>8000000</v>
      </c>
      <c r="C37" s="248">
        <f>'Average Validator'!W128</f>
        <v>0.003181568756</v>
      </c>
      <c r="D37" s="249">
        <f>'Average Validator'!X128</f>
        <v>0.003678688874</v>
      </c>
      <c r="E37" s="249">
        <f>'Average Validator'!Y128</f>
        <v>0.004175808992</v>
      </c>
      <c r="F37" s="249">
        <f>'Average Validator'!Z128</f>
        <v>0.00467292911</v>
      </c>
      <c r="G37" s="249">
        <f>'Average Validator'!AA128</f>
        <v>0.005170049228</v>
      </c>
      <c r="H37" s="249">
        <f>'Average Validator'!AB128</f>
        <v>0.005667169346</v>
      </c>
      <c r="I37" s="250">
        <f>'Average Validator'!AC128</f>
        <v>0.006164289465</v>
      </c>
      <c r="J37" s="178"/>
      <c r="L37" s="177"/>
      <c r="M37" s="178"/>
      <c r="N37" s="178"/>
      <c r="O37" s="178"/>
      <c r="P37" s="178"/>
      <c r="Q37" s="178"/>
      <c r="R37" s="178"/>
      <c r="S37" s="178"/>
      <c r="AA37" s="174"/>
      <c r="AB37" s="267"/>
      <c r="AC37" s="267"/>
      <c r="AD37" s="267"/>
      <c r="AE37" s="267"/>
      <c r="AF37" s="267"/>
      <c r="AG37" s="267"/>
      <c r="AH37" s="267"/>
      <c r="AI37" s="267"/>
      <c r="AJ37" s="267"/>
      <c r="AK37" s="267"/>
      <c r="AL37" s="267"/>
      <c r="AM37" s="267"/>
      <c r="AN37" s="267"/>
      <c r="AO37" s="267"/>
      <c r="AP37" s="267"/>
      <c r="AQ37" s="267"/>
      <c r="AR37" s="267"/>
      <c r="AS37" s="267"/>
      <c r="AT37" s="267"/>
      <c r="AU37" s="267"/>
      <c r="AV37" s="267"/>
      <c r="AW37" s="267"/>
      <c r="AX37" s="267"/>
      <c r="AY37" s="267"/>
      <c r="AZ37" s="267"/>
      <c r="BA37" s="267"/>
      <c r="BB37" s="267"/>
      <c r="BC37" s="267"/>
    </row>
    <row r="38">
      <c r="A38" s="110"/>
      <c r="B38" s="93">
        <f t="shared" si="6"/>
        <v>8500000</v>
      </c>
      <c r="C38" s="248">
        <f>'Average Validator'!W129</f>
        <v>0.003279486009</v>
      </c>
      <c r="D38" s="249">
        <f>'Average Validator'!X129</f>
        <v>0.003791905698</v>
      </c>
      <c r="E38" s="249">
        <f>'Average Validator'!Y129</f>
        <v>0.004304325387</v>
      </c>
      <c r="F38" s="249">
        <f>'Average Validator'!Z129</f>
        <v>0.004816745076</v>
      </c>
      <c r="G38" s="249">
        <f>'Average Validator'!AA129</f>
        <v>0.005329164765</v>
      </c>
      <c r="H38" s="249">
        <f>'Average Validator'!AB129</f>
        <v>0.005841584453</v>
      </c>
      <c r="I38" s="250">
        <f>'Average Validator'!AC129</f>
        <v>0.006354004142</v>
      </c>
      <c r="J38" s="178"/>
      <c r="L38" s="177"/>
      <c r="M38" s="178"/>
      <c r="N38" s="178"/>
      <c r="O38" s="178"/>
      <c r="P38" s="178"/>
      <c r="Q38" s="178"/>
      <c r="R38" s="178"/>
      <c r="S38" s="178"/>
      <c r="AA38" s="174"/>
      <c r="AB38" s="267"/>
      <c r="AC38" s="267"/>
      <c r="AD38" s="267"/>
      <c r="AE38" s="267"/>
      <c r="AF38" s="267"/>
      <c r="AG38" s="267"/>
      <c r="AH38" s="267"/>
      <c r="AI38" s="267"/>
      <c r="AJ38" s="267"/>
      <c r="AK38" s="267"/>
      <c r="AL38" s="267"/>
      <c r="AM38" s="267"/>
      <c r="AN38" s="267"/>
      <c r="AO38" s="267"/>
      <c r="AP38" s="267"/>
      <c r="AQ38" s="267"/>
      <c r="AR38" s="267"/>
      <c r="AS38" s="267"/>
      <c r="AT38" s="267"/>
      <c r="AU38" s="267"/>
      <c r="AV38" s="267"/>
      <c r="AW38" s="267"/>
      <c r="AX38" s="267"/>
      <c r="AY38" s="267"/>
      <c r="AZ38" s="267"/>
      <c r="BA38" s="267"/>
      <c r="BB38" s="267"/>
      <c r="BC38" s="267"/>
    </row>
    <row r="39">
      <c r="A39" s="110"/>
      <c r="B39" s="93">
        <f t="shared" si="6"/>
        <v>9000000</v>
      </c>
      <c r="C39" s="248">
        <f>'Average Validator'!W130</f>
        <v>0.003374563263</v>
      </c>
      <c r="D39" s="249">
        <f>'Average Validator'!X130</f>
        <v>0.003901838773</v>
      </c>
      <c r="E39" s="249">
        <f>'Average Validator'!Y130</f>
        <v>0.004429114283</v>
      </c>
      <c r="F39" s="249">
        <f>'Average Validator'!Z130</f>
        <v>0.004956389793</v>
      </c>
      <c r="G39" s="249">
        <f>'Average Validator'!AA130</f>
        <v>0.005483665303</v>
      </c>
      <c r="H39" s="249">
        <f>'Average Validator'!AB130</f>
        <v>0.006010940813</v>
      </c>
      <c r="I39" s="250">
        <f>'Average Validator'!AC130</f>
        <v>0.006538216322</v>
      </c>
      <c r="J39" s="178"/>
      <c r="L39" s="177"/>
      <c r="M39" s="178"/>
      <c r="N39" s="178"/>
      <c r="O39" s="178"/>
      <c r="P39" s="178"/>
      <c r="Q39" s="178"/>
      <c r="R39" s="178"/>
      <c r="S39" s="178"/>
      <c r="AA39" s="174"/>
      <c r="AB39" s="267"/>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67"/>
      <c r="BB39" s="267"/>
      <c r="BC39" s="267"/>
    </row>
    <row r="40">
      <c r="A40" s="110"/>
      <c r="B40" s="93">
        <f t="shared" si="6"/>
        <v>9500000</v>
      </c>
      <c r="C40" s="248">
        <f>'Average Validator'!W131</f>
        <v>0.003467034172</v>
      </c>
      <c r="D40" s="249">
        <f>'Average Validator'!X131</f>
        <v>0.004008758262</v>
      </c>
      <c r="E40" s="249">
        <f>'Average Validator'!Y131</f>
        <v>0.004550482351</v>
      </c>
      <c r="F40" s="249">
        <f>'Average Validator'!Z131</f>
        <v>0.00509220644</v>
      </c>
      <c r="G40" s="249">
        <f>'Average Validator'!AA131</f>
        <v>0.00563393053</v>
      </c>
      <c r="H40" s="249">
        <f>'Average Validator'!AB131</f>
        <v>0.006175654619</v>
      </c>
      <c r="I40" s="250">
        <f>'Average Validator'!AC131</f>
        <v>0.006717378709</v>
      </c>
      <c r="J40" s="178"/>
      <c r="L40" s="177"/>
      <c r="M40" s="178"/>
      <c r="N40" s="178"/>
      <c r="O40" s="178"/>
      <c r="P40" s="178"/>
      <c r="Q40" s="178"/>
      <c r="R40" s="178"/>
      <c r="S40" s="178"/>
      <c r="AA40" s="174"/>
      <c r="AB40" s="267"/>
      <c r="AC40" s="267"/>
      <c r="AD40" s="267"/>
      <c r="AE40" s="267"/>
      <c r="AF40" s="267"/>
      <c r="AG40" s="267"/>
      <c r="AH40" s="267"/>
      <c r="AI40" s="267"/>
      <c r="AJ40" s="267"/>
      <c r="AK40" s="267"/>
      <c r="AL40" s="267"/>
      <c r="AM40" s="267"/>
      <c r="AN40" s="267"/>
      <c r="AO40" s="267"/>
      <c r="AP40" s="267"/>
      <c r="AQ40" s="267"/>
      <c r="AR40" s="267"/>
      <c r="AS40" s="267"/>
      <c r="AT40" s="267"/>
      <c r="AU40" s="267"/>
      <c r="AV40" s="267"/>
      <c r="AW40" s="267"/>
      <c r="AX40" s="267"/>
      <c r="AY40" s="267"/>
      <c r="AZ40" s="267"/>
      <c r="BA40" s="267"/>
      <c r="BB40" s="267"/>
      <c r="BC40" s="267"/>
    </row>
    <row r="41">
      <c r="A41" s="146"/>
      <c r="B41" s="156">
        <f t="shared" si="6"/>
        <v>10000000</v>
      </c>
      <c r="C41" s="409">
        <f>'Average Validator'!W132</f>
        <v>0.003557102007</v>
      </c>
      <c r="D41" s="406">
        <f>'Average Validator'!X132</f>
        <v>0.004112899195</v>
      </c>
      <c r="E41" s="406">
        <f>'Average Validator'!Y132</f>
        <v>0.004668696384</v>
      </c>
      <c r="F41" s="406">
        <f>'Average Validator'!Z132</f>
        <v>0.005224493572</v>
      </c>
      <c r="G41" s="406">
        <f>'Average Validator'!AA132</f>
        <v>0.005780290761</v>
      </c>
      <c r="H41" s="406">
        <f>'Average Validator'!AB132</f>
        <v>0.006336087949</v>
      </c>
      <c r="I41" s="408">
        <f>'Average Validator'!AC132</f>
        <v>0.006891885138</v>
      </c>
      <c r="J41" s="178"/>
      <c r="L41" s="177"/>
      <c r="M41" s="178"/>
      <c r="N41" s="178"/>
      <c r="O41" s="178"/>
      <c r="P41" s="178"/>
      <c r="Q41" s="178"/>
      <c r="R41" s="178"/>
      <c r="S41" s="178"/>
      <c r="AA41" s="174"/>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row>
    <row r="42">
      <c r="AO42" s="23"/>
      <c r="AP42" s="23"/>
      <c r="AQ42" s="23"/>
      <c r="AR42" s="23"/>
      <c r="AS42" s="23"/>
      <c r="AT42" s="23"/>
      <c r="AU42" s="23"/>
      <c r="AV42" s="23"/>
      <c r="AW42" s="23"/>
      <c r="AX42" s="23"/>
      <c r="AY42" s="23"/>
      <c r="AZ42" s="23"/>
      <c r="BA42" s="23"/>
      <c r="BB42" s="23"/>
      <c r="BC42" s="23"/>
    </row>
    <row r="43">
      <c r="A43" s="70" t="s">
        <v>86</v>
      </c>
      <c r="B43" s="71"/>
      <c r="C43" s="71"/>
      <c r="D43" s="71"/>
      <c r="E43" s="71"/>
      <c r="F43" s="71"/>
      <c r="G43" s="71"/>
      <c r="H43" s="71"/>
      <c r="I43" s="71"/>
      <c r="J43" s="71"/>
      <c r="K43" s="71"/>
      <c r="L43" s="71"/>
      <c r="M43" s="71"/>
      <c r="N43" s="71"/>
      <c r="O43" s="71"/>
      <c r="P43" s="18"/>
      <c r="Q43" s="467"/>
      <c r="R43" s="23"/>
      <c r="S43" s="23"/>
      <c r="T43" s="23"/>
      <c r="U43" s="23"/>
      <c r="V43" s="23"/>
      <c r="W43" s="23"/>
      <c r="X43" s="23"/>
      <c r="Y43" s="23"/>
      <c r="Z43" s="23"/>
      <c r="AA43" s="23"/>
      <c r="AB43" s="23"/>
      <c r="AC43" s="23"/>
      <c r="AD43" s="23"/>
      <c r="AE43" s="23"/>
      <c r="AF43" s="23"/>
      <c r="AO43" s="23"/>
      <c r="AP43" s="23"/>
      <c r="AQ43" s="23"/>
      <c r="AR43" s="23"/>
      <c r="AS43" s="23"/>
      <c r="AT43" s="23"/>
      <c r="AU43" s="23"/>
      <c r="AV43" s="23"/>
      <c r="AW43" s="23"/>
      <c r="AX43" s="23"/>
      <c r="AY43" s="23"/>
      <c r="AZ43" s="23"/>
      <c r="BA43" s="23"/>
      <c r="BB43" s="23"/>
      <c r="BC43" s="23"/>
    </row>
    <row r="44">
      <c r="A44" s="85" t="s">
        <v>58</v>
      </c>
      <c r="B44" s="86"/>
      <c r="C44" s="86" t="s">
        <v>44</v>
      </c>
      <c r="P44" s="78"/>
      <c r="Q44" s="151"/>
      <c r="R44" s="87"/>
      <c r="S44" s="87"/>
      <c r="AG44" s="23"/>
      <c r="AH44" s="23"/>
      <c r="AO44" s="23"/>
      <c r="AP44" s="23"/>
      <c r="AQ44" s="23"/>
      <c r="AR44" s="23"/>
      <c r="AS44" s="23"/>
      <c r="AT44" s="23"/>
      <c r="AU44" s="23"/>
      <c r="AV44" s="23"/>
      <c r="AW44" s="23"/>
      <c r="AX44" s="23"/>
      <c r="AY44" s="23"/>
      <c r="AZ44" s="23"/>
      <c r="BA44" s="23"/>
      <c r="BB44" s="23"/>
      <c r="BC44" s="23"/>
    </row>
    <row r="45">
      <c r="A45" s="85" t="s">
        <v>63</v>
      </c>
      <c r="B45" s="86"/>
      <c r="C45" s="86"/>
      <c r="D45" s="86"/>
      <c r="E45" s="86"/>
      <c r="F45" s="86"/>
      <c r="G45" s="86"/>
      <c r="H45" s="86"/>
      <c r="I45" s="86"/>
      <c r="J45" s="86"/>
      <c r="K45" s="86"/>
      <c r="L45" s="86"/>
      <c r="M45" s="86"/>
      <c r="N45" s="86"/>
      <c r="O45" s="86"/>
      <c r="P45" s="100"/>
      <c r="Q45" s="151"/>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472"/>
      <c r="AQ45" s="23"/>
      <c r="AR45" s="23"/>
      <c r="AS45" s="23"/>
      <c r="AT45" s="23"/>
      <c r="AU45" s="23"/>
      <c r="AV45" s="23"/>
      <c r="AW45" s="23"/>
      <c r="AX45" s="23"/>
      <c r="AY45" s="23"/>
      <c r="AZ45" s="23"/>
      <c r="BA45" s="23"/>
      <c r="BB45" s="23"/>
      <c r="BC45" s="23"/>
    </row>
    <row r="46">
      <c r="A46" s="85" t="s">
        <v>68</v>
      </c>
      <c r="B46" s="86"/>
      <c r="C46" s="473">
        <f>'Average Validator'!W139</f>
        <v>1</v>
      </c>
      <c r="D46" s="473">
        <f>'Average Validator'!X139</f>
        <v>2</v>
      </c>
      <c r="E46" s="473">
        <f>'Average Validator'!Y139</f>
        <v>3</v>
      </c>
      <c r="F46" s="473">
        <f>'Average Validator'!Z139</f>
        <v>4</v>
      </c>
      <c r="G46" s="473">
        <f>'Average Validator'!AA139</f>
        <v>5</v>
      </c>
      <c r="H46" s="473">
        <f>'Average Validator'!AB139</f>
        <v>10</v>
      </c>
      <c r="I46" s="473">
        <f>'Average Validator'!AC139</f>
        <v>15</v>
      </c>
      <c r="J46" s="473">
        <f>'Average Validator'!AD139</f>
        <v>20</v>
      </c>
      <c r="K46" s="473">
        <f>'Average Validator'!AE139</f>
        <v>25</v>
      </c>
      <c r="L46" s="473">
        <f>'Average Validator'!AF139</f>
        <v>30</v>
      </c>
      <c r="M46" s="473">
        <f>'Average Validator'!AG139</f>
        <v>35</v>
      </c>
      <c r="N46" s="473">
        <f>'Average Validator'!AH139</f>
        <v>40</v>
      </c>
      <c r="O46" s="473">
        <f>'Average Validator'!AI139</f>
        <v>45</v>
      </c>
      <c r="P46" s="474">
        <f>'Average Validator'!AJ139</f>
        <v>50</v>
      </c>
      <c r="Q46" s="151"/>
      <c r="R46" s="87"/>
      <c r="S46" s="87"/>
      <c r="T46" s="87"/>
      <c r="U46" s="87"/>
      <c r="V46" s="87"/>
      <c r="W46" s="87"/>
      <c r="X46" s="87"/>
      <c r="Y46" s="87"/>
      <c r="Z46" s="87"/>
      <c r="AA46" s="87"/>
      <c r="AB46" s="87"/>
      <c r="AC46" s="87"/>
      <c r="AD46" s="87"/>
      <c r="AE46" s="87"/>
      <c r="AF46" s="87"/>
      <c r="AG46" s="177"/>
      <c r="AH46" s="177"/>
      <c r="AO46" s="23"/>
      <c r="AP46" s="23"/>
      <c r="AQ46" s="23"/>
      <c r="AR46" s="23"/>
      <c r="AS46" s="23"/>
      <c r="AT46" s="23"/>
      <c r="AU46" s="23"/>
      <c r="AV46" s="23"/>
      <c r="AW46" s="23"/>
      <c r="AX46" s="23"/>
      <c r="AY46" s="23"/>
      <c r="AZ46" s="23"/>
      <c r="BA46" s="23"/>
      <c r="BB46" s="23"/>
      <c r="BC46" s="23"/>
    </row>
    <row r="47">
      <c r="A47" s="102" t="s">
        <v>66</v>
      </c>
      <c r="B47" s="103">
        <v>2000000.0</v>
      </c>
      <c r="C47" s="475">
        <f>'Average Validator'!W140</f>
        <v>0.05815483829</v>
      </c>
      <c r="D47" s="475">
        <f>'Average Validator'!X140</f>
        <v>0.08098203383</v>
      </c>
      <c r="E47" s="475">
        <f>'Average Validator'!Y140</f>
        <v>0.08859109902</v>
      </c>
      <c r="F47" s="475">
        <f>'Average Validator'!Z140</f>
        <v>0.09239563161</v>
      </c>
      <c r="G47" s="475">
        <f>'Average Validator'!AA140</f>
        <v>0.09467835116</v>
      </c>
      <c r="H47" s="475">
        <f>'Average Validator'!AB140</f>
        <v>0.09924379027</v>
      </c>
      <c r="I47" s="475">
        <f>'Average Validator'!AC140</f>
        <v>0.1007656033</v>
      </c>
      <c r="J47" s="475">
        <f>'Average Validator'!AD140</f>
        <v>0.09924379027</v>
      </c>
      <c r="K47" s="475">
        <f>'Average Validator'!AE140</f>
        <v>0.1001568781</v>
      </c>
      <c r="L47" s="475">
        <f>'Average Validator'!AF140</f>
        <v>0.1007656033</v>
      </c>
      <c r="M47" s="475">
        <f>'Average Validator'!AG140</f>
        <v>0.09989599586</v>
      </c>
      <c r="N47" s="475">
        <f>'Average Validator'!AH140</f>
        <v>0.10038515</v>
      </c>
      <c r="O47" s="475">
        <f>'Average Validator'!AI140</f>
        <v>0.1007656033</v>
      </c>
      <c r="P47" s="476">
        <f>'Average Validator'!AJ140</f>
        <v>0.1001568781</v>
      </c>
      <c r="Q47" s="176"/>
      <c r="R47" s="115"/>
      <c r="S47" s="51"/>
      <c r="T47" s="51"/>
      <c r="U47" s="51"/>
      <c r="V47" s="51"/>
      <c r="W47" s="51"/>
      <c r="X47" s="51"/>
      <c r="Y47" s="51"/>
      <c r="Z47" s="51"/>
      <c r="AA47" s="51"/>
      <c r="AB47" s="51"/>
      <c r="AC47" s="51"/>
      <c r="AD47" s="51"/>
      <c r="AE47" s="51"/>
      <c r="AF47" s="51"/>
      <c r="AH47" s="11"/>
      <c r="AO47" s="23"/>
      <c r="AP47" s="23"/>
      <c r="AQ47" s="23"/>
      <c r="AR47" s="23"/>
      <c r="AS47" s="23"/>
      <c r="AT47" s="23"/>
      <c r="AU47" s="23"/>
      <c r="AV47" s="23"/>
      <c r="AW47" s="23"/>
      <c r="AX47" s="23"/>
      <c r="AY47" s="23"/>
      <c r="AZ47" s="23"/>
      <c r="BA47" s="23"/>
      <c r="BB47" s="23"/>
      <c r="BC47" s="23"/>
    </row>
    <row r="48">
      <c r="A48" s="110"/>
      <c r="B48" s="93">
        <f t="shared" ref="B48:B63" si="7">B47+500000</f>
        <v>2500000</v>
      </c>
      <c r="C48" s="475">
        <f>'Average Validator'!W141</f>
        <v>0.04719540634</v>
      </c>
      <c r="D48" s="475">
        <f>'Average Validator'!X141</f>
        <v>0.07002260189</v>
      </c>
      <c r="E48" s="475">
        <f>'Average Validator'!Y141</f>
        <v>0.07763166707</v>
      </c>
      <c r="F48" s="475">
        <f>'Average Validator'!Z141</f>
        <v>0.08143619966</v>
      </c>
      <c r="G48" s="475">
        <f>'Average Validator'!AA141</f>
        <v>0.08371891922</v>
      </c>
      <c r="H48" s="475">
        <f>'Average Validator'!AB141</f>
        <v>0.08828435832</v>
      </c>
      <c r="I48" s="475">
        <f>'Average Validator'!AC141</f>
        <v>0.08980617136</v>
      </c>
      <c r="J48" s="475">
        <f>'Average Validator'!AD141</f>
        <v>0.08828435832</v>
      </c>
      <c r="K48" s="475">
        <f>'Average Validator'!AE141</f>
        <v>0.08919744615</v>
      </c>
      <c r="L48" s="475">
        <f>'Average Validator'!AF141</f>
        <v>0.08980617136</v>
      </c>
      <c r="M48" s="475">
        <f>'Average Validator'!AG141</f>
        <v>0.08893656391</v>
      </c>
      <c r="N48" s="475">
        <f>'Average Validator'!AH141</f>
        <v>0.0894257181</v>
      </c>
      <c r="O48" s="475">
        <f>'Average Validator'!AI141</f>
        <v>0.08980617136</v>
      </c>
      <c r="P48" s="476">
        <f>'Average Validator'!AJ141</f>
        <v>0.08919744615</v>
      </c>
      <c r="R48" s="177"/>
      <c r="S48" s="144"/>
      <c r="T48" s="144"/>
      <c r="U48" s="144"/>
      <c r="V48" s="144"/>
      <c r="W48" s="144"/>
      <c r="X48" s="144"/>
      <c r="Y48" s="144"/>
      <c r="Z48" s="144"/>
      <c r="AA48" s="144"/>
      <c r="AB48" s="144"/>
      <c r="AC48" s="144"/>
      <c r="AD48" s="144"/>
      <c r="AE48" s="144"/>
      <c r="AF48" s="144"/>
      <c r="AH48" s="11"/>
      <c r="AO48" s="23"/>
      <c r="AP48" s="23"/>
      <c r="AQ48" s="23"/>
      <c r="AR48" s="23"/>
      <c r="AS48" s="23"/>
      <c r="AT48" s="23"/>
      <c r="AU48" s="23"/>
      <c r="AV48" s="23"/>
      <c r="AW48" s="23"/>
      <c r="AX48" s="23"/>
      <c r="AY48" s="23"/>
      <c r="AZ48" s="23"/>
      <c r="BA48" s="23"/>
      <c r="BB48" s="23"/>
      <c r="BC48" s="23"/>
    </row>
    <row r="49">
      <c r="A49" s="110"/>
      <c r="B49" s="93">
        <f t="shared" si="7"/>
        <v>3000000</v>
      </c>
      <c r="C49" s="475">
        <f>'Average Validator'!W142</f>
        <v>0.03910548977</v>
      </c>
      <c r="D49" s="475">
        <f>'Average Validator'!X142</f>
        <v>0.06193268531</v>
      </c>
      <c r="E49" s="475">
        <f>'Average Validator'!Y142</f>
        <v>0.06954175049</v>
      </c>
      <c r="F49" s="475">
        <f>'Average Validator'!Z142</f>
        <v>0.07334628308</v>
      </c>
      <c r="G49" s="475">
        <f>'Average Validator'!AA142</f>
        <v>0.07562900264</v>
      </c>
      <c r="H49" s="475">
        <f>'Average Validator'!AB142</f>
        <v>0.08019444175</v>
      </c>
      <c r="I49" s="475">
        <f>'Average Validator'!AC142</f>
        <v>0.08171625478</v>
      </c>
      <c r="J49" s="475">
        <f>'Average Validator'!AD142</f>
        <v>0.08019444175</v>
      </c>
      <c r="K49" s="475">
        <f>'Average Validator'!AE142</f>
        <v>0.08110752957</v>
      </c>
      <c r="L49" s="475">
        <f>'Average Validator'!AF142</f>
        <v>0.08171625478</v>
      </c>
      <c r="M49" s="475">
        <f>'Average Validator'!AG142</f>
        <v>0.08084664734</v>
      </c>
      <c r="N49" s="475">
        <f>'Average Validator'!AH142</f>
        <v>0.08133580153</v>
      </c>
      <c r="O49" s="475">
        <f>'Average Validator'!AI142</f>
        <v>0.08171625478</v>
      </c>
      <c r="P49" s="476">
        <f>'Average Validator'!AJ142</f>
        <v>0.08110752957</v>
      </c>
      <c r="R49" s="177"/>
      <c r="S49" s="51"/>
      <c r="T49" s="51"/>
      <c r="U49" s="51"/>
      <c r="V49" s="51"/>
      <c r="W49" s="51"/>
      <c r="X49" s="51"/>
      <c r="Y49" s="51"/>
      <c r="Z49" s="51"/>
      <c r="AA49" s="51"/>
      <c r="AB49" s="51"/>
      <c r="AC49" s="51"/>
      <c r="AD49" s="51"/>
      <c r="AE49" s="51"/>
      <c r="AF49" s="51"/>
      <c r="AH49" s="11"/>
      <c r="AO49" s="23"/>
      <c r="AP49" s="23"/>
      <c r="AQ49" s="23"/>
      <c r="AR49" s="23"/>
      <c r="AS49" s="23"/>
      <c r="AT49" s="23"/>
      <c r="AU49" s="23"/>
      <c r="AV49" s="23"/>
      <c r="AW49" s="23"/>
      <c r="AX49" s="23"/>
      <c r="AY49" s="23"/>
      <c r="AZ49" s="23"/>
      <c r="BA49" s="23"/>
      <c r="BB49" s="23"/>
      <c r="BC49" s="23"/>
    </row>
    <row r="50">
      <c r="A50" s="110"/>
      <c r="B50" s="93">
        <f t="shared" si="7"/>
        <v>3500000</v>
      </c>
      <c r="C50" s="475">
        <f>'Average Validator'!W143</f>
        <v>0.03281801026</v>
      </c>
      <c r="D50" s="475">
        <f>'Average Validator'!X143</f>
        <v>0.05564520581</v>
      </c>
      <c r="E50" s="475">
        <f>'Average Validator'!Y143</f>
        <v>0.06325427099</v>
      </c>
      <c r="F50" s="475">
        <f>'Average Validator'!Z143</f>
        <v>0.06705880358</v>
      </c>
      <c r="G50" s="475">
        <f>'Average Validator'!AA143</f>
        <v>0.06934152313</v>
      </c>
      <c r="H50" s="475">
        <f>'Average Validator'!AB143</f>
        <v>0.07390696224</v>
      </c>
      <c r="I50" s="475">
        <f>'Average Validator'!AC143</f>
        <v>0.07542877528</v>
      </c>
      <c r="J50" s="475">
        <f>'Average Validator'!AD143</f>
        <v>0.07390696224</v>
      </c>
      <c r="K50" s="475">
        <f>'Average Validator'!AE143</f>
        <v>0.07482005006</v>
      </c>
      <c r="L50" s="475">
        <f>'Average Validator'!AF143</f>
        <v>0.07542877528</v>
      </c>
      <c r="M50" s="475">
        <f>'Average Validator'!AG143</f>
        <v>0.07455916783</v>
      </c>
      <c r="N50" s="475">
        <f>'Average Validator'!AH143</f>
        <v>0.07504832202</v>
      </c>
      <c r="O50" s="475">
        <f>'Average Validator'!AI143</f>
        <v>0.07542877528</v>
      </c>
      <c r="P50" s="476">
        <f>'Average Validator'!AJ143</f>
        <v>0.07482005006</v>
      </c>
      <c r="R50" s="177"/>
      <c r="S50" s="51"/>
      <c r="T50" s="51"/>
      <c r="U50" s="51"/>
      <c r="V50" s="51"/>
      <c r="W50" s="51"/>
      <c r="X50" s="51"/>
      <c r="Y50" s="51"/>
      <c r="Z50" s="51"/>
      <c r="AA50" s="51"/>
      <c r="AB50" s="51"/>
      <c r="AC50" s="51"/>
      <c r="AD50" s="51"/>
      <c r="AE50" s="51"/>
      <c r="AF50" s="51"/>
      <c r="AH50" s="11"/>
      <c r="AO50" s="23"/>
      <c r="AP50" s="23"/>
      <c r="AQ50" s="23"/>
      <c r="AR50" s="23"/>
      <c r="AS50" s="23"/>
      <c r="AT50" s="23"/>
      <c r="AU50" s="23"/>
      <c r="AV50" s="23"/>
      <c r="AW50" s="23"/>
      <c r="AX50" s="23"/>
      <c r="AY50" s="23"/>
      <c r="AZ50" s="23"/>
      <c r="BA50" s="23"/>
      <c r="BB50" s="23"/>
      <c r="BC50" s="23"/>
    </row>
    <row r="51">
      <c r="A51" s="110"/>
      <c r="B51" s="93">
        <f t="shared" si="7"/>
        <v>4000000</v>
      </c>
      <c r="C51" s="475">
        <f>'Average Validator'!W144</f>
        <v>0.02774981895</v>
      </c>
      <c r="D51" s="475">
        <f>'Average Validator'!X144</f>
        <v>0.0505770145</v>
      </c>
      <c r="E51" s="475">
        <f>'Average Validator'!Y144</f>
        <v>0.05818607968</v>
      </c>
      <c r="F51" s="475">
        <f>'Average Validator'!Z144</f>
        <v>0.06199061227</v>
      </c>
      <c r="G51" s="475">
        <f>'Average Validator'!AA144</f>
        <v>0.06427333183</v>
      </c>
      <c r="H51" s="475">
        <f>'Average Validator'!AB144</f>
        <v>0.06883877094</v>
      </c>
      <c r="I51" s="475">
        <f>'Average Validator'!AC144</f>
        <v>0.07036058397</v>
      </c>
      <c r="J51" s="475">
        <f>'Average Validator'!AD144</f>
        <v>0.06883877094</v>
      </c>
      <c r="K51" s="475">
        <f>'Average Validator'!AE144</f>
        <v>0.06975185876</v>
      </c>
      <c r="L51" s="475">
        <f>'Average Validator'!AF144</f>
        <v>0.07036058397</v>
      </c>
      <c r="M51" s="475">
        <f>'Average Validator'!AG144</f>
        <v>0.06949097652</v>
      </c>
      <c r="N51" s="475">
        <f>'Average Validator'!AH144</f>
        <v>0.06998013071</v>
      </c>
      <c r="O51" s="475">
        <f>'Average Validator'!AI144</f>
        <v>0.07036058397</v>
      </c>
      <c r="P51" s="476">
        <f>'Average Validator'!AJ144</f>
        <v>0.06975185876</v>
      </c>
      <c r="R51" s="177"/>
      <c r="S51" s="51"/>
      <c r="T51" s="51"/>
      <c r="U51" s="51"/>
      <c r="V51" s="51"/>
      <c r="W51" s="51"/>
      <c r="X51" s="51"/>
      <c r="Y51" s="51"/>
      <c r="Z51" s="51"/>
      <c r="AA51" s="51"/>
      <c r="AB51" s="51"/>
      <c r="AC51" s="51"/>
      <c r="AD51" s="51"/>
      <c r="AE51" s="51"/>
      <c r="AF51" s="51"/>
      <c r="AH51" s="11"/>
      <c r="AO51" s="23"/>
      <c r="AP51" s="23"/>
      <c r="AQ51" s="23"/>
      <c r="AR51" s="23"/>
      <c r="AS51" s="23"/>
      <c r="AT51" s="23"/>
      <c r="AU51" s="23"/>
      <c r="AV51" s="23"/>
      <c r="AW51" s="23"/>
      <c r="AX51" s="23"/>
      <c r="AY51" s="23"/>
      <c r="AZ51" s="23"/>
      <c r="BA51" s="23"/>
      <c r="BB51" s="23"/>
      <c r="BC51" s="23"/>
    </row>
    <row r="52">
      <c r="A52" s="110"/>
      <c r="B52" s="93">
        <f t="shared" si="7"/>
        <v>4500000</v>
      </c>
      <c r="C52" s="475">
        <f>'Average Validator'!W145</f>
        <v>0.02598078285</v>
      </c>
      <c r="D52" s="475">
        <f>'Average Validator'!X145</f>
        <v>0.04880797839</v>
      </c>
      <c r="E52" s="475">
        <f>'Average Validator'!Y145</f>
        <v>0.05641704357</v>
      </c>
      <c r="F52" s="475">
        <f>'Average Validator'!Z145</f>
        <v>0.06022157616</v>
      </c>
      <c r="G52" s="475">
        <f>'Average Validator'!AA145</f>
        <v>0.06250429572</v>
      </c>
      <c r="H52" s="475">
        <f>'Average Validator'!AB145</f>
        <v>0.06706973483</v>
      </c>
      <c r="I52" s="475">
        <f>'Average Validator'!AC145</f>
        <v>0.06859154786</v>
      </c>
      <c r="J52" s="475">
        <f>'Average Validator'!AD145</f>
        <v>0.06706973483</v>
      </c>
      <c r="K52" s="475">
        <f>'Average Validator'!AE145</f>
        <v>0.06798282265</v>
      </c>
      <c r="L52" s="475">
        <f>'Average Validator'!AF145</f>
        <v>0.06859154786</v>
      </c>
      <c r="M52" s="475">
        <f>'Average Validator'!AG145</f>
        <v>0.06772194041</v>
      </c>
      <c r="N52" s="475">
        <f>'Average Validator'!AH145</f>
        <v>0.06821109461</v>
      </c>
      <c r="O52" s="475">
        <f>'Average Validator'!AI145</f>
        <v>0.06859154786</v>
      </c>
      <c r="P52" s="476">
        <f>'Average Validator'!AJ145</f>
        <v>0.06798282265</v>
      </c>
      <c r="R52" s="177"/>
      <c r="S52" s="51"/>
      <c r="T52" s="51"/>
      <c r="U52" s="51"/>
      <c r="V52" s="51"/>
      <c r="W52" s="51"/>
      <c r="X52" s="51"/>
      <c r="Y52" s="51"/>
      <c r="Z52" s="51"/>
      <c r="AA52" s="51"/>
      <c r="AB52" s="51"/>
      <c r="AC52" s="51"/>
      <c r="AD52" s="51"/>
      <c r="AE52" s="51"/>
      <c r="AF52" s="51"/>
      <c r="AH52" s="11"/>
      <c r="AO52" s="23"/>
      <c r="AP52" s="23"/>
      <c r="AQ52" s="23"/>
      <c r="AR52" s="23"/>
      <c r="AS52" s="23"/>
      <c r="AT52" s="23"/>
      <c r="AU52" s="23"/>
      <c r="AV52" s="23"/>
      <c r="AW52" s="23"/>
      <c r="AX52" s="23"/>
      <c r="AY52" s="23"/>
      <c r="AZ52" s="23"/>
      <c r="BA52" s="23"/>
      <c r="BB52" s="23"/>
      <c r="BC52" s="23"/>
    </row>
    <row r="53">
      <c r="A53" s="110"/>
      <c r="B53" s="93">
        <f t="shared" si="7"/>
        <v>5000000</v>
      </c>
      <c r="C53" s="475">
        <f>'Average Validator'!W146</f>
        <v>0.02000033031</v>
      </c>
      <c r="D53" s="475">
        <f>'Average Validator'!X146</f>
        <v>0.04282752585</v>
      </c>
      <c r="E53" s="475">
        <f>'Average Validator'!Y146</f>
        <v>0.05043659103</v>
      </c>
      <c r="F53" s="475">
        <f>'Average Validator'!Z146</f>
        <v>0.05424112362</v>
      </c>
      <c r="G53" s="475">
        <f>'Average Validator'!AA146</f>
        <v>0.05652384318</v>
      </c>
      <c r="H53" s="475">
        <f>'Average Validator'!AB146</f>
        <v>0.06108928229</v>
      </c>
      <c r="I53" s="475">
        <f>'Average Validator'!AC146</f>
        <v>0.06261109532</v>
      </c>
      <c r="J53" s="475">
        <f>'Average Validator'!AD146</f>
        <v>0.06108928229</v>
      </c>
      <c r="K53" s="475">
        <f>'Average Validator'!AE146</f>
        <v>0.06200237011</v>
      </c>
      <c r="L53" s="475">
        <f>'Average Validator'!AF146</f>
        <v>0.06261109532</v>
      </c>
      <c r="M53" s="475">
        <f>'Average Validator'!AG146</f>
        <v>0.06174148788</v>
      </c>
      <c r="N53" s="475">
        <f>'Average Validator'!AH146</f>
        <v>0.06223064207</v>
      </c>
      <c r="O53" s="475">
        <f>'Average Validator'!AI146</f>
        <v>0.06261109532</v>
      </c>
      <c r="P53" s="476">
        <f>'Average Validator'!AJ146</f>
        <v>0.06200237011</v>
      </c>
      <c r="R53" s="177"/>
      <c r="S53" s="51"/>
      <c r="T53" s="51"/>
      <c r="U53" s="51"/>
      <c r="V53" s="51"/>
      <c r="W53" s="51"/>
      <c r="X53" s="51"/>
      <c r="Y53" s="51"/>
      <c r="Z53" s="51"/>
      <c r="AA53" s="51"/>
      <c r="AB53" s="51"/>
      <c r="AC53" s="51"/>
      <c r="AD53" s="51"/>
      <c r="AE53" s="51"/>
      <c r="AF53" s="51"/>
      <c r="AH53" s="11"/>
      <c r="AO53" s="23"/>
      <c r="AP53" s="23"/>
      <c r="AQ53" s="23"/>
      <c r="AR53" s="23"/>
      <c r="AS53" s="23"/>
      <c r="AT53" s="23"/>
      <c r="AU53" s="23"/>
      <c r="AV53" s="23"/>
      <c r="AW53" s="23"/>
      <c r="AX53" s="23"/>
      <c r="AY53" s="23"/>
      <c r="AZ53" s="23"/>
      <c r="BA53" s="23"/>
      <c r="BB53" s="23"/>
      <c r="BC53" s="23"/>
    </row>
    <row r="54">
      <c r="A54" s="110"/>
      <c r="B54" s="93">
        <f t="shared" si="7"/>
        <v>5500000</v>
      </c>
      <c r="C54" s="475">
        <f>'Average Validator'!W147</f>
        <v>0.01694492957</v>
      </c>
      <c r="D54" s="475">
        <f>'Average Validator'!X147</f>
        <v>0.03977212511</v>
      </c>
      <c r="E54" s="475">
        <f>'Average Validator'!Y147</f>
        <v>0.0473811903</v>
      </c>
      <c r="F54" s="475">
        <f>'Average Validator'!Z147</f>
        <v>0.05118572289</v>
      </c>
      <c r="G54" s="475">
        <f>'Average Validator'!AA147</f>
        <v>0.05346844244</v>
      </c>
      <c r="H54" s="475">
        <f>'Average Validator'!AB147</f>
        <v>0.05803388155</v>
      </c>
      <c r="I54" s="475">
        <f>'Average Validator'!AC147</f>
        <v>0.05955569459</v>
      </c>
      <c r="J54" s="475">
        <f>'Average Validator'!AD147</f>
        <v>0.05803388155</v>
      </c>
      <c r="K54" s="475">
        <f>'Average Validator'!AE147</f>
        <v>0.05894696937</v>
      </c>
      <c r="L54" s="475">
        <f>'Average Validator'!AF147</f>
        <v>0.05955569459</v>
      </c>
      <c r="M54" s="475">
        <f>'Average Validator'!AG147</f>
        <v>0.05868608714</v>
      </c>
      <c r="N54" s="475">
        <f>'Average Validator'!AH147</f>
        <v>0.05917524133</v>
      </c>
      <c r="O54" s="475">
        <f>'Average Validator'!AI147</f>
        <v>0.05955569459</v>
      </c>
      <c r="P54" s="476">
        <f>'Average Validator'!AJ147</f>
        <v>0.05894696937</v>
      </c>
      <c r="R54" s="177"/>
      <c r="S54" s="51"/>
      <c r="T54" s="51"/>
      <c r="U54" s="51"/>
      <c r="V54" s="51"/>
      <c r="W54" s="51"/>
      <c r="X54" s="51"/>
      <c r="Y54" s="51"/>
      <c r="Z54" s="51"/>
      <c r="AA54" s="51"/>
      <c r="AB54" s="51"/>
      <c r="AC54" s="51"/>
      <c r="AD54" s="51"/>
      <c r="AE54" s="51"/>
      <c r="AF54" s="51"/>
      <c r="AH54" s="11"/>
      <c r="AO54" s="23"/>
      <c r="AP54" s="23"/>
      <c r="AQ54" s="23"/>
      <c r="AR54" s="23"/>
      <c r="AS54" s="23"/>
      <c r="AT54" s="23"/>
      <c r="AU54" s="23"/>
      <c r="AV54" s="23"/>
      <c r="AW54" s="23"/>
      <c r="AX54" s="23"/>
      <c r="AY54" s="23"/>
      <c r="AZ54" s="23"/>
      <c r="BA54" s="23"/>
      <c r="BB54" s="23"/>
      <c r="BC54" s="23"/>
    </row>
    <row r="55">
      <c r="A55" s="110"/>
      <c r="B55" s="93">
        <f t="shared" si="7"/>
        <v>6000000</v>
      </c>
      <c r="C55" s="475">
        <f>'Average Validator'!W148</f>
        <v>0.01427989544</v>
      </c>
      <c r="D55" s="475">
        <f>'Average Validator'!X148</f>
        <v>0.03710709098</v>
      </c>
      <c r="E55" s="475">
        <f>'Average Validator'!Y148</f>
        <v>0.04471615616</v>
      </c>
      <c r="F55" s="475">
        <f>'Average Validator'!Z148</f>
        <v>0.04852068875</v>
      </c>
      <c r="G55" s="475">
        <f>'Average Validator'!AA148</f>
        <v>0.05080340831</v>
      </c>
      <c r="H55" s="475">
        <f>'Average Validator'!AB148</f>
        <v>0.05536884742</v>
      </c>
      <c r="I55" s="475">
        <f>'Average Validator'!AC148</f>
        <v>0.05689066045</v>
      </c>
      <c r="J55" s="475">
        <f>'Average Validator'!AD148</f>
        <v>0.05536884742</v>
      </c>
      <c r="K55" s="475">
        <f>'Average Validator'!AE148</f>
        <v>0.05628193524</v>
      </c>
      <c r="L55" s="475">
        <f>'Average Validator'!AF148</f>
        <v>0.05689066045</v>
      </c>
      <c r="M55" s="475">
        <f>'Average Validator'!AG148</f>
        <v>0.056021053</v>
      </c>
      <c r="N55" s="475">
        <f>'Average Validator'!AH148</f>
        <v>0.05651020719</v>
      </c>
      <c r="O55" s="475">
        <f>'Average Validator'!AI148</f>
        <v>0.05689066045</v>
      </c>
      <c r="P55" s="476">
        <f>'Average Validator'!AJ148</f>
        <v>0.05628193524</v>
      </c>
      <c r="R55" s="177"/>
      <c r="S55" s="144"/>
      <c r="T55" s="144"/>
      <c r="U55" s="144"/>
      <c r="V55" s="144"/>
      <c r="W55" s="144"/>
      <c r="X55" s="144"/>
      <c r="Y55" s="144"/>
      <c r="Z55" s="144"/>
      <c r="AA55" s="144"/>
      <c r="AB55" s="144"/>
      <c r="AC55" s="144"/>
      <c r="AD55" s="144"/>
      <c r="AE55" s="144"/>
      <c r="AF55" s="144"/>
      <c r="AH55" s="11"/>
      <c r="AO55" s="23"/>
      <c r="AP55" s="23"/>
      <c r="AQ55" s="23"/>
      <c r="AR55" s="23"/>
      <c r="AS55" s="23"/>
      <c r="AT55" s="23"/>
      <c r="AU55" s="23"/>
      <c r="AV55" s="23"/>
      <c r="AW55" s="23"/>
      <c r="AX55" s="23"/>
      <c r="AY55" s="23"/>
      <c r="AZ55" s="23"/>
      <c r="BA55" s="23"/>
      <c r="BB55" s="23"/>
      <c r="BC55" s="23"/>
    </row>
    <row r="56">
      <c r="A56" s="110"/>
      <c r="B56" s="93">
        <f t="shared" si="7"/>
        <v>6500000</v>
      </c>
      <c r="C56" s="475">
        <f>'Average Validator'!W149</f>
        <v>0.01192860882</v>
      </c>
      <c r="D56" s="475">
        <f>'Average Validator'!X149</f>
        <v>0.03475580436</v>
      </c>
      <c r="E56" s="475">
        <f>'Average Validator'!Y149</f>
        <v>0.04236486954</v>
      </c>
      <c r="F56" s="475">
        <f>'Average Validator'!Z149</f>
        <v>0.04616940213</v>
      </c>
      <c r="G56" s="475">
        <f>'Average Validator'!AA149</f>
        <v>0.04845212169</v>
      </c>
      <c r="H56" s="475">
        <f>'Average Validator'!AB149</f>
        <v>0.0530175608</v>
      </c>
      <c r="I56" s="475">
        <f>'Average Validator'!AC149</f>
        <v>0.05453937383</v>
      </c>
      <c r="J56" s="475">
        <f>'Average Validator'!AD149</f>
        <v>0.0530175608</v>
      </c>
      <c r="K56" s="475">
        <f>'Average Validator'!AE149</f>
        <v>0.05393064862</v>
      </c>
      <c r="L56" s="475">
        <f>'Average Validator'!AF149</f>
        <v>0.05453937383</v>
      </c>
      <c r="M56" s="475">
        <f>'Average Validator'!AG149</f>
        <v>0.05366976638</v>
      </c>
      <c r="N56" s="475">
        <f>'Average Validator'!AH149</f>
        <v>0.05415892058</v>
      </c>
      <c r="O56" s="475">
        <f>'Average Validator'!AI149</f>
        <v>0.05453937383</v>
      </c>
      <c r="P56" s="476">
        <f>'Average Validator'!AJ149</f>
        <v>0.05393064862</v>
      </c>
      <c r="R56" s="177"/>
      <c r="S56" s="51"/>
      <c r="T56" s="51"/>
      <c r="U56" s="51"/>
      <c r="V56" s="51"/>
      <c r="W56" s="51"/>
      <c r="X56" s="51"/>
      <c r="Y56" s="51"/>
      <c r="Z56" s="51"/>
      <c r="AA56" s="51"/>
      <c r="AB56" s="51"/>
      <c r="AC56" s="51"/>
      <c r="AD56" s="51"/>
      <c r="AE56" s="51"/>
      <c r="AF56" s="51"/>
      <c r="AH56" s="11"/>
      <c r="AO56" s="23"/>
      <c r="AP56" s="23"/>
      <c r="AQ56" s="23"/>
      <c r="AR56" s="23"/>
      <c r="AS56" s="23"/>
      <c r="AT56" s="23"/>
      <c r="AU56" s="23"/>
      <c r="AV56" s="23"/>
      <c r="AW56" s="23"/>
      <c r="AX56" s="23"/>
      <c r="AY56" s="23"/>
      <c r="AZ56" s="23"/>
      <c r="BA56" s="23"/>
      <c r="BB56" s="23"/>
      <c r="BC56" s="23"/>
    </row>
    <row r="57">
      <c r="A57" s="110"/>
      <c r="B57" s="93">
        <f t="shared" si="7"/>
        <v>7000000</v>
      </c>
      <c r="C57" s="475">
        <f>'Average Validator'!W150</f>
        <v>0.009833976041</v>
      </c>
      <c r="D57" s="475">
        <f>'Average Validator'!X150</f>
        <v>0.03266117159</v>
      </c>
      <c r="E57" s="475">
        <f>'Average Validator'!Y150</f>
        <v>0.04027023677</v>
      </c>
      <c r="F57" s="475">
        <f>'Average Validator'!Z150</f>
        <v>0.04407476936</v>
      </c>
      <c r="G57" s="475">
        <f>'Average Validator'!AA150</f>
        <v>0.04635748891</v>
      </c>
      <c r="H57" s="475">
        <f>'Average Validator'!AB150</f>
        <v>0.05092292802</v>
      </c>
      <c r="I57" s="475">
        <f>'Average Validator'!AC150</f>
        <v>0.05244474106</v>
      </c>
      <c r="J57" s="475">
        <f>'Average Validator'!AD150</f>
        <v>0.05092292802</v>
      </c>
      <c r="K57" s="475">
        <f>'Average Validator'!AE150</f>
        <v>0.05183601584</v>
      </c>
      <c r="L57" s="475">
        <f>'Average Validator'!AF150</f>
        <v>0.05244474106</v>
      </c>
      <c r="M57" s="475">
        <f>'Average Validator'!AG150</f>
        <v>0.05157513361</v>
      </c>
      <c r="N57" s="475">
        <f>'Average Validator'!AH150</f>
        <v>0.0520642878</v>
      </c>
      <c r="O57" s="475">
        <f>'Average Validator'!AI150</f>
        <v>0.05244474106</v>
      </c>
      <c r="P57" s="476">
        <f>'Average Validator'!AJ150</f>
        <v>0.05183601584</v>
      </c>
      <c r="R57" s="177"/>
      <c r="S57" s="51"/>
      <c r="T57" s="51"/>
      <c r="U57" s="51"/>
      <c r="V57" s="51"/>
      <c r="W57" s="51"/>
      <c r="X57" s="51"/>
      <c r="Y57" s="51"/>
      <c r="Z57" s="51"/>
      <c r="AA57" s="51"/>
      <c r="AB57" s="51"/>
      <c r="AC57" s="51"/>
      <c r="AD57" s="51"/>
      <c r="AE57" s="51"/>
      <c r="AF57" s="51"/>
      <c r="AH57" s="11"/>
      <c r="AO57" s="23"/>
      <c r="AP57" s="23"/>
      <c r="AQ57" s="23"/>
      <c r="AR57" s="23"/>
      <c r="AS57" s="23"/>
      <c r="AT57" s="23"/>
      <c r="AU57" s="23"/>
      <c r="AV57" s="23"/>
      <c r="AW57" s="23"/>
      <c r="AX57" s="23"/>
      <c r="AY57" s="23"/>
      <c r="AZ57" s="23"/>
      <c r="BA57" s="23"/>
      <c r="BB57" s="23"/>
      <c r="BC57" s="23"/>
    </row>
    <row r="58">
      <c r="A58" s="110"/>
      <c r="B58" s="93">
        <f t="shared" si="7"/>
        <v>7500000</v>
      </c>
      <c r="C58" s="475">
        <f>'Average Validator'!W151</f>
        <v>0.007952464452</v>
      </c>
      <c r="D58" s="475">
        <f>'Average Validator'!X151</f>
        <v>0.03077966</v>
      </c>
      <c r="E58" s="475">
        <f>'Average Validator'!Y151</f>
        <v>0.03838872518</v>
      </c>
      <c r="F58" s="475">
        <f>'Average Validator'!Z151</f>
        <v>0.04219325777</v>
      </c>
      <c r="G58" s="475">
        <f>'Average Validator'!AA151</f>
        <v>0.04447597732</v>
      </c>
      <c r="H58" s="475">
        <f>'Average Validator'!AB151</f>
        <v>0.04904141643</v>
      </c>
      <c r="I58" s="475">
        <f>'Average Validator'!AC151</f>
        <v>0.05056322947</v>
      </c>
      <c r="J58" s="475">
        <f>'Average Validator'!AD151</f>
        <v>0.04904141643</v>
      </c>
      <c r="K58" s="475">
        <f>'Average Validator'!AE151</f>
        <v>0.04995450426</v>
      </c>
      <c r="L58" s="475">
        <f>'Average Validator'!AF151</f>
        <v>0.05056322947</v>
      </c>
      <c r="M58" s="475">
        <f>'Average Validator'!AG151</f>
        <v>0.04969362202</v>
      </c>
      <c r="N58" s="475">
        <f>'Average Validator'!AH151</f>
        <v>0.05018277621</v>
      </c>
      <c r="O58" s="475">
        <f>'Average Validator'!AI151</f>
        <v>0.05056322947</v>
      </c>
      <c r="P58" s="476">
        <f>'Average Validator'!AJ151</f>
        <v>0.04995450426</v>
      </c>
      <c r="R58" s="177"/>
      <c r="S58" s="51"/>
      <c r="T58" s="51"/>
      <c r="U58" s="51"/>
      <c r="V58" s="51"/>
      <c r="W58" s="51"/>
      <c r="X58" s="51"/>
      <c r="Y58" s="51"/>
      <c r="Z58" s="51"/>
      <c r="AA58" s="51"/>
      <c r="AB58" s="51"/>
      <c r="AC58" s="51"/>
      <c r="AD58" s="51"/>
      <c r="AE58" s="51"/>
      <c r="AF58" s="51"/>
      <c r="AH58" s="11"/>
      <c r="AO58" s="23"/>
      <c r="AP58" s="23"/>
      <c r="AQ58" s="23"/>
      <c r="AR58" s="23"/>
      <c r="AS58" s="23"/>
      <c r="AT58" s="23"/>
      <c r="AU58" s="23"/>
      <c r="AV58" s="23"/>
      <c r="AW58" s="23"/>
      <c r="AX58" s="23"/>
      <c r="AY58" s="23"/>
      <c r="AZ58" s="23"/>
      <c r="BA58" s="23"/>
      <c r="BB58" s="23"/>
      <c r="BC58" s="23"/>
    </row>
    <row r="59">
      <c r="A59" s="110"/>
      <c r="B59" s="93">
        <f t="shared" si="7"/>
        <v>8000000</v>
      </c>
      <c r="C59" s="475">
        <f>'Average Validator'!W152</f>
        <v>0.006250223599</v>
      </c>
      <c r="D59" s="475">
        <f>'Average Validator'!X152</f>
        <v>0.02907741914</v>
      </c>
      <c r="E59" s="475">
        <f>'Average Validator'!Y152</f>
        <v>0.03668648433</v>
      </c>
      <c r="F59" s="475">
        <f>'Average Validator'!Z152</f>
        <v>0.04049101692</v>
      </c>
      <c r="G59" s="475">
        <f>'Average Validator'!AA152</f>
        <v>0.04277373647</v>
      </c>
      <c r="H59" s="475">
        <f>'Average Validator'!AB152</f>
        <v>0.04733917558</v>
      </c>
      <c r="I59" s="475">
        <f>'Average Validator'!AC152</f>
        <v>0.04886098862</v>
      </c>
      <c r="J59" s="475">
        <f>'Average Validator'!AD152</f>
        <v>0.04733917558</v>
      </c>
      <c r="K59" s="475">
        <f>'Average Validator'!AE152</f>
        <v>0.0482522634</v>
      </c>
      <c r="L59" s="475">
        <f>'Average Validator'!AF152</f>
        <v>0.04886098862</v>
      </c>
      <c r="M59" s="475">
        <f>'Average Validator'!AG152</f>
        <v>0.04799138117</v>
      </c>
      <c r="N59" s="475">
        <f>'Average Validator'!AH152</f>
        <v>0.04848053536</v>
      </c>
      <c r="O59" s="475">
        <f>'Average Validator'!AI152</f>
        <v>0.04886098862</v>
      </c>
      <c r="P59" s="476">
        <f>'Average Validator'!AJ152</f>
        <v>0.0482522634</v>
      </c>
      <c r="R59" s="177"/>
      <c r="S59" s="51"/>
      <c r="T59" s="51"/>
      <c r="U59" s="51"/>
      <c r="V59" s="51"/>
      <c r="W59" s="51"/>
      <c r="X59" s="51"/>
      <c r="Y59" s="51"/>
      <c r="Z59" s="51"/>
      <c r="AA59" s="51"/>
      <c r="AB59" s="51"/>
      <c r="AC59" s="51"/>
      <c r="AD59" s="51"/>
      <c r="AE59" s="51"/>
      <c r="AF59" s="51"/>
      <c r="AH59" s="11"/>
      <c r="AO59" s="23"/>
      <c r="AP59" s="23"/>
      <c r="AQ59" s="23"/>
      <c r="AR59" s="23"/>
      <c r="AS59" s="23"/>
      <c r="AT59" s="23"/>
      <c r="AU59" s="23"/>
      <c r="AV59" s="23"/>
      <c r="AW59" s="23"/>
      <c r="AX59" s="23"/>
      <c r="AY59" s="23"/>
      <c r="AZ59" s="23"/>
      <c r="BA59" s="23"/>
      <c r="BB59" s="23"/>
      <c r="BC59" s="23"/>
    </row>
    <row r="60">
      <c r="A60" s="110"/>
      <c r="B60" s="93">
        <f t="shared" si="7"/>
        <v>8500000</v>
      </c>
      <c r="C60" s="475">
        <f>'Average Validator'!W153</f>
        <v>0.004700481573</v>
      </c>
      <c r="D60" s="475">
        <f>'Average Validator'!X153</f>
        <v>0.02752767712</v>
      </c>
      <c r="E60" s="475">
        <f>'Average Validator'!Y153</f>
        <v>0.0351367423</v>
      </c>
      <c r="F60" s="475">
        <f>'Average Validator'!Z153</f>
        <v>0.03894127489</v>
      </c>
      <c r="G60" s="475">
        <f>'Average Validator'!AA153</f>
        <v>0.04122399445</v>
      </c>
      <c r="H60" s="475">
        <f>'Average Validator'!AB153</f>
        <v>0.04578943356</v>
      </c>
      <c r="I60" s="475">
        <f>'Average Validator'!AC153</f>
        <v>0.04731124659</v>
      </c>
      <c r="J60" s="475">
        <f>'Average Validator'!AD153</f>
        <v>0.04578943356</v>
      </c>
      <c r="K60" s="475">
        <f>'Average Validator'!AE153</f>
        <v>0.04670252138</v>
      </c>
      <c r="L60" s="475">
        <f>'Average Validator'!AF153</f>
        <v>0.04731124659</v>
      </c>
      <c r="M60" s="475">
        <f>'Average Validator'!AG153</f>
        <v>0.04644163914</v>
      </c>
      <c r="N60" s="475">
        <f>'Average Validator'!AH153</f>
        <v>0.04693079333</v>
      </c>
      <c r="O60" s="475">
        <f>'Average Validator'!AI153</f>
        <v>0.04731124659</v>
      </c>
      <c r="P60" s="476">
        <f>'Average Validator'!AJ153</f>
        <v>0.04670252138</v>
      </c>
      <c r="R60" s="177"/>
      <c r="S60" s="51"/>
      <c r="T60" s="51"/>
      <c r="U60" s="51"/>
      <c r="V60" s="51"/>
      <c r="W60" s="51"/>
      <c r="X60" s="51"/>
      <c r="Y60" s="51"/>
      <c r="Z60" s="51"/>
      <c r="AA60" s="51"/>
      <c r="AB60" s="51"/>
      <c r="AC60" s="51"/>
      <c r="AD60" s="51"/>
      <c r="AE60" s="51"/>
      <c r="AF60" s="51"/>
      <c r="AH60" s="11"/>
      <c r="AO60" s="23"/>
      <c r="AP60" s="23"/>
      <c r="AQ60" s="23"/>
      <c r="AR60" s="23"/>
      <c r="AS60" s="23"/>
      <c r="AT60" s="23"/>
      <c r="AU60" s="23"/>
      <c r="AV60" s="23"/>
      <c r="AW60" s="23"/>
      <c r="AX60" s="23"/>
      <c r="AY60" s="23"/>
      <c r="AZ60" s="23"/>
      <c r="BA60" s="23"/>
      <c r="BB60" s="23"/>
      <c r="BC60" s="23"/>
    </row>
    <row r="61">
      <c r="A61" s="110"/>
      <c r="B61" s="93">
        <f t="shared" si="7"/>
        <v>9000000</v>
      </c>
      <c r="C61" s="475">
        <f>'Average Validator'!W154</f>
        <v>0.003281748938</v>
      </c>
      <c r="D61" s="475">
        <f>'Average Validator'!X154</f>
        <v>0.02610894448</v>
      </c>
      <c r="E61" s="475">
        <f>'Average Validator'!Y154</f>
        <v>0.03371800967</v>
      </c>
      <c r="F61" s="475">
        <f>'Average Validator'!Z154</f>
        <v>0.03752254226</v>
      </c>
      <c r="G61" s="475">
        <f>'Average Validator'!AA154</f>
        <v>0.03980526181</v>
      </c>
      <c r="H61" s="475">
        <f>'Average Validator'!AB154</f>
        <v>0.04437070092</v>
      </c>
      <c r="I61" s="475">
        <f>'Average Validator'!AC154</f>
        <v>0.04589251396</v>
      </c>
      <c r="J61" s="475">
        <f>'Average Validator'!AD154</f>
        <v>0.04437070092</v>
      </c>
      <c r="K61" s="475">
        <f>'Average Validator'!AE154</f>
        <v>0.04528378874</v>
      </c>
      <c r="L61" s="475">
        <f>'Average Validator'!AF154</f>
        <v>0.04589251396</v>
      </c>
      <c r="M61" s="475">
        <f>'Average Validator'!AG154</f>
        <v>0.04502290651</v>
      </c>
      <c r="N61" s="475">
        <f>'Average Validator'!AH154</f>
        <v>0.0455120607</v>
      </c>
      <c r="O61" s="475">
        <f>'Average Validator'!AI154</f>
        <v>0.04589251396</v>
      </c>
      <c r="P61" s="476">
        <f>'Average Validator'!AJ154</f>
        <v>0.04528378874</v>
      </c>
      <c r="R61" s="177"/>
      <c r="S61" s="51"/>
      <c r="T61" s="51"/>
      <c r="U61" s="51"/>
      <c r="V61" s="51"/>
      <c r="W61" s="51"/>
      <c r="X61" s="51"/>
      <c r="Y61" s="51"/>
      <c r="Z61" s="51"/>
      <c r="AA61" s="51"/>
      <c r="AB61" s="51"/>
      <c r="AC61" s="51"/>
      <c r="AD61" s="51"/>
      <c r="AE61" s="51"/>
      <c r="AF61" s="51"/>
      <c r="AH61" s="11"/>
      <c r="AO61" s="23"/>
      <c r="AP61" s="23"/>
      <c r="AQ61" s="23"/>
      <c r="AR61" s="23"/>
      <c r="AS61" s="23"/>
      <c r="AT61" s="23"/>
      <c r="AU61" s="23"/>
      <c r="AV61" s="23"/>
      <c r="AW61" s="23"/>
      <c r="AX61" s="23"/>
      <c r="AY61" s="23"/>
      <c r="AZ61" s="23"/>
      <c r="BA61" s="23"/>
      <c r="BB61" s="23"/>
      <c r="BC61" s="23"/>
    </row>
    <row r="62">
      <c r="A62" s="110"/>
      <c r="B62" s="93">
        <f t="shared" si="7"/>
        <v>9500000</v>
      </c>
      <c r="C62" s="475">
        <f>'Average Validator'!W155</f>
        <v>0.00197654999</v>
      </c>
      <c r="D62" s="475">
        <f>'Average Validator'!X155</f>
        <v>0.02480374554</v>
      </c>
      <c r="E62" s="475">
        <f>'Average Validator'!Y155</f>
        <v>0.03241281072</v>
      </c>
      <c r="F62" s="475">
        <f>'Average Validator'!Z155</f>
        <v>0.03621734331</v>
      </c>
      <c r="G62" s="475">
        <f>'Average Validator'!AA155</f>
        <v>0.03850006286</v>
      </c>
      <c r="H62" s="475">
        <f>'Average Validator'!AB155</f>
        <v>0.04306550197</v>
      </c>
      <c r="I62" s="475">
        <f>'Average Validator'!AC155</f>
        <v>0.04458731501</v>
      </c>
      <c r="J62" s="475">
        <f>'Average Validator'!AD155</f>
        <v>0.04306550197</v>
      </c>
      <c r="K62" s="475">
        <f>'Average Validator'!AE155</f>
        <v>0.04397858979</v>
      </c>
      <c r="L62" s="475">
        <f>'Average Validator'!AF155</f>
        <v>0.04458731501</v>
      </c>
      <c r="M62" s="475">
        <f>'Average Validator'!AG155</f>
        <v>0.04371770756</v>
      </c>
      <c r="N62" s="475">
        <f>'Average Validator'!AH155</f>
        <v>0.04420686175</v>
      </c>
      <c r="O62" s="475">
        <f>'Average Validator'!AI155</f>
        <v>0.04458731501</v>
      </c>
      <c r="P62" s="476">
        <f>'Average Validator'!AJ155</f>
        <v>0.04397858979</v>
      </c>
      <c r="R62" s="177"/>
      <c r="S62" s="51"/>
      <c r="T62" s="51"/>
      <c r="U62" s="51"/>
      <c r="V62" s="51"/>
      <c r="W62" s="51"/>
      <c r="X62" s="51"/>
      <c r="Y62" s="51"/>
      <c r="Z62" s="51"/>
      <c r="AA62" s="51"/>
      <c r="AB62" s="51"/>
      <c r="AC62" s="51"/>
      <c r="AD62" s="51"/>
      <c r="AE62" s="51"/>
      <c r="AF62" s="51"/>
      <c r="AH62" s="11"/>
      <c r="AO62" s="23"/>
      <c r="AP62" s="23"/>
      <c r="AQ62" s="23"/>
      <c r="AR62" s="23"/>
      <c r="AS62" s="23"/>
      <c r="AT62" s="23"/>
      <c r="AU62" s="23"/>
      <c r="AV62" s="23"/>
      <c r="AW62" s="23"/>
      <c r="AX62" s="23"/>
      <c r="AY62" s="23"/>
      <c r="AZ62" s="23"/>
      <c r="BA62" s="23"/>
      <c r="BB62" s="23"/>
      <c r="BC62" s="23"/>
    </row>
    <row r="63">
      <c r="A63" s="146"/>
      <c r="B63" s="156">
        <f t="shared" si="7"/>
        <v>10000000</v>
      </c>
      <c r="C63" s="477">
        <f>'Average Validator'!W156</f>
        <v>0.000770507626</v>
      </c>
      <c r="D63" s="477">
        <f>'Average Validator'!X156</f>
        <v>0.02359770317</v>
      </c>
      <c r="E63" s="477">
        <f>'Average Validator'!Y156</f>
        <v>0.03120676835</v>
      </c>
      <c r="F63" s="477">
        <f>'Average Validator'!Z156</f>
        <v>0.03501130094</v>
      </c>
      <c r="G63" s="477">
        <f>'Average Validator'!AA156</f>
        <v>0.0372940205</v>
      </c>
      <c r="H63" s="477">
        <f>'Average Validator'!AB156</f>
        <v>0.04185945961</v>
      </c>
      <c r="I63" s="477">
        <f>'Average Validator'!AC156</f>
        <v>0.04338127264</v>
      </c>
      <c r="J63" s="477">
        <f>'Average Validator'!AD156</f>
        <v>0.04185945961</v>
      </c>
      <c r="K63" s="477">
        <f>'Average Validator'!AE156</f>
        <v>0.04277254743</v>
      </c>
      <c r="L63" s="477">
        <f>'Average Validator'!AF156</f>
        <v>0.04338127264</v>
      </c>
      <c r="M63" s="477">
        <f>'Average Validator'!AG156</f>
        <v>0.04251166519</v>
      </c>
      <c r="N63" s="477">
        <f>'Average Validator'!AH156</f>
        <v>0.04300081939</v>
      </c>
      <c r="O63" s="477">
        <f>'Average Validator'!AI156</f>
        <v>0.04338127264</v>
      </c>
      <c r="P63" s="478">
        <f>'Average Validator'!AJ156</f>
        <v>0.04277254743</v>
      </c>
      <c r="R63" s="177"/>
      <c r="S63" s="144"/>
      <c r="T63" s="144"/>
      <c r="U63" s="144"/>
      <c r="V63" s="144"/>
      <c r="W63" s="144"/>
      <c r="X63" s="144"/>
      <c r="Y63" s="144"/>
      <c r="Z63" s="144"/>
      <c r="AA63" s="144"/>
      <c r="AB63" s="144"/>
      <c r="AC63" s="144"/>
      <c r="AD63" s="144"/>
      <c r="AE63" s="144"/>
      <c r="AF63" s="144"/>
      <c r="AH63" s="11"/>
      <c r="AO63" s="23"/>
      <c r="AP63" s="23"/>
      <c r="AQ63" s="23"/>
      <c r="AR63" s="23"/>
      <c r="AS63" s="23"/>
      <c r="AT63" s="23"/>
      <c r="AU63" s="23"/>
      <c r="AV63" s="23"/>
      <c r="AW63" s="23"/>
      <c r="AX63" s="23"/>
      <c r="AY63" s="23"/>
      <c r="AZ63" s="23"/>
      <c r="BA63" s="23"/>
      <c r="BB63" s="23"/>
      <c r="BC63" s="23"/>
    </row>
    <row r="64">
      <c r="M64" s="51"/>
      <c r="N64" s="51"/>
      <c r="O64" s="51"/>
      <c r="P64" s="51"/>
      <c r="Q64" s="51"/>
      <c r="R64" s="51"/>
      <c r="S64" s="51"/>
      <c r="T64" s="51"/>
      <c r="U64" s="51"/>
      <c r="V64" s="51"/>
      <c r="W64" s="51"/>
      <c r="X64" s="51"/>
      <c r="Y64" s="51"/>
      <c r="Z64" s="51"/>
      <c r="AA64" s="51"/>
      <c r="AB64" s="51"/>
      <c r="AC64" s="51"/>
      <c r="AD64" s="51"/>
      <c r="AE64" s="51"/>
      <c r="AF64" s="51"/>
      <c r="AO64" s="23"/>
      <c r="AP64" s="23"/>
      <c r="AQ64" s="23"/>
      <c r="AR64" s="23"/>
      <c r="AS64" s="23"/>
      <c r="AT64" s="23"/>
      <c r="AU64" s="23"/>
      <c r="AV64" s="23"/>
      <c r="AW64" s="23"/>
      <c r="AX64" s="23"/>
      <c r="AY64" s="23"/>
      <c r="AZ64" s="23"/>
      <c r="BA64" s="23"/>
      <c r="BB64" s="23"/>
      <c r="BC64" s="23"/>
    </row>
    <row r="65">
      <c r="A65" s="479" t="s">
        <v>86</v>
      </c>
      <c r="B65" s="434"/>
      <c r="C65" s="434"/>
      <c r="D65" s="434"/>
      <c r="E65" s="434"/>
      <c r="F65" s="434"/>
      <c r="G65" s="73"/>
      <c r="H65" s="73"/>
      <c r="I65" s="73"/>
      <c r="J65" s="73"/>
      <c r="K65" s="73"/>
      <c r="L65" s="480"/>
      <c r="M65" s="51"/>
      <c r="N65" s="433" t="s">
        <v>108</v>
      </c>
      <c r="O65" s="434"/>
      <c r="P65" s="434"/>
      <c r="Q65" s="434"/>
      <c r="R65" s="434"/>
      <c r="S65" s="434"/>
      <c r="T65" s="73"/>
      <c r="U65" s="73"/>
      <c r="V65" s="73"/>
      <c r="W65" s="73"/>
      <c r="X65" s="73"/>
      <c r="Y65" s="480"/>
      <c r="Z65" s="51"/>
      <c r="AA65" s="51"/>
      <c r="AB65" s="51"/>
      <c r="AC65" s="51"/>
      <c r="AD65" s="51"/>
      <c r="AE65" s="51"/>
      <c r="AF65" s="51"/>
      <c r="AO65" s="23"/>
      <c r="AP65" s="23"/>
      <c r="AQ65" s="23"/>
      <c r="AR65" s="23"/>
      <c r="AS65" s="23"/>
      <c r="AT65" s="23"/>
      <c r="AU65" s="23"/>
      <c r="AV65" s="23"/>
      <c r="AW65" s="23"/>
      <c r="AX65" s="23"/>
      <c r="AY65" s="23"/>
      <c r="AZ65" s="23"/>
      <c r="BA65" s="23"/>
      <c r="BB65" s="23"/>
      <c r="BC65" s="23"/>
    </row>
    <row r="66">
      <c r="A66" s="435" t="s">
        <v>58</v>
      </c>
      <c r="B66" s="80"/>
      <c r="C66" s="80"/>
      <c r="D66" s="80"/>
      <c r="E66" s="436" t="s">
        <v>59</v>
      </c>
      <c r="F66" s="437"/>
      <c r="G66" s="481"/>
      <c r="H66" s="437"/>
      <c r="I66" s="82"/>
      <c r="J66" s="82"/>
      <c r="K66" s="82"/>
      <c r="L66" s="482"/>
      <c r="M66" s="51"/>
      <c r="N66" s="435" t="s">
        <v>58</v>
      </c>
      <c r="O66" s="80"/>
      <c r="P66" s="80"/>
      <c r="Q66" s="80"/>
      <c r="R66" s="436" t="s">
        <v>59</v>
      </c>
      <c r="S66" s="437"/>
      <c r="T66" s="481"/>
      <c r="U66" s="437"/>
      <c r="V66" s="82"/>
      <c r="W66" s="82"/>
      <c r="X66" s="82"/>
      <c r="Y66" s="482"/>
      <c r="Z66" s="51"/>
      <c r="AA66" s="51"/>
      <c r="AB66" s="51"/>
      <c r="AC66" s="51"/>
      <c r="AD66" s="51"/>
      <c r="AE66" s="51"/>
      <c r="AF66" s="51"/>
      <c r="AO66" s="23"/>
      <c r="AP66" s="23"/>
      <c r="AQ66" s="23"/>
      <c r="AR66" s="23"/>
      <c r="AS66" s="23"/>
      <c r="AT66" s="23"/>
      <c r="AU66" s="23"/>
      <c r="AV66" s="23"/>
      <c r="AW66" s="23"/>
      <c r="AX66" s="23"/>
      <c r="AY66" s="23"/>
      <c r="AZ66" s="23"/>
      <c r="BA66" s="23"/>
      <c r="BB66" s="23"/>
      <c r="BC66" s="23"/>
    </row>
    <row r="67">
      <c r="A67" s="95"/>
      <c r="B67" s="483">
        <f>$F$32</f>
        <v>0.003874588133</v>
      </c>
      <c r="C67" s="97">
        <f t="shared" ref="C67:E67" si="8">D67-0.05</f>
        <v>0.7</v>
      </c>
      <c r="D67" s="97">
        <f t="shared" si="8"/>
        <v>0.75</v>
      </c>
      <c r="E67" s="97">
        <f t="shared" si="8"/>
        <v>0.8</v>
      </c>
      <c r="F67" s="484">
        <v>0.85</v>
      </c>
      <c r="G67" s="98">
        <v>0.9</v>
      </c>
      <c r="H67" s="97">
        <f t="shared" ref="H67:L67" si="9">G67+0.02</f>
        <v>0.92</v>
      </c>
      <c r="I67" s="97">
        <f t="shared" si="9"/>
        <v>0.94</v>
      </c>
      <c r="J67" s="97">
        <f t="shared" si="9"/>
        <v>0.96</v>
      </c>
      <c r="K67" s="97">
        <f t="shared" si="9"/>
        <v>0.98</v>
      </c>
      <c r="L67" s="99">
        <f t="shared" si="9"/>
        <v>1</v>
      </c>
      <c r="M67" s="51"/>
      <c r="N67" s="95"/>
      <c r="O67" s="483">
        <f>$F$32</f>
        <v>0.003874588133</v>
      </c>
      <c r="P67" s="97">
        <f t="shared" ref="P67:R67" si="10">Q67-0.05</f>
        <v>0.7</v>
      </c>
      <c r="Q67" s="97">
        <f t="shared" si="10"/>
        <v>0.75</v>
      </c>
      <c r="R67" s="97">
        <f t="shared" si="10"/>
        <v>0.8</v>
      </c>
      <c r="S67" s="484">
        <v>0.85</v>
      </c>
      <c r="T67" s="98">
        <v>0.9</v>
      </c>
      <c r="U67" s="97">
        <f t="shared" ref="U67:Y67" si="11">T67+0.02</f>
        <v>0.92</v>
      </c>
      <c r="V67" s="97">
        <f t="shared" si="11"/>
        <v>0.94</v>
      </c>
      <c r="W67" s="97">
        <f t="shared" si="11"/>
        <v>0.96</v>
      </c>
      <c r="X67" s="97">
        <f t="shared" si="11"/>
        <v>0.98</v>
      </c>
      <c r="Y67" s="99">
        <f t="shared" si="11"/>
        <v>1</v>
      </c>
      <c r="Z67" s="51"/>
      <c r="AA67" s="51"/>
      <c r="AB67" s="51"/>
      <c r="AC67" s="51"/>
      <c r="AD67" s="51"/>
      <c r="AE67" s="51"/>
      <c r="AF67" s="51"/>
      <c r="AO67" s="23"/>
      <c r="AP67" s="23"/>
      <c r="AQ67" s="23"/>
      <c r="AR67" s="23"/>
      <c r="AS67" s="23"/>
      <c r="AT67" s="23"/>
      <c r="AU67" s="23"/>
      <c r="AV67" s="23"/>
      <c r="AW67" s="23"/>
      <c r="AX67" s="23"/>
      <c r="AY67" s="23"/>
      <c r="AZ67" s="23"/>
      <c r="BA67" s="23"/>
      <c r="BB67" s="23"/>
      <c r="BC67" s="23"/>
    </row>
    <row r="68">
      <c r="A68" s="102" t="s">
        <v>66</v>
      </c>
      <c r="B68" s="301">
        <v>2000000.0</v>
      </c>
      <c r="C68" s="485">
        <f>'Average Validator'!AL95</f>
        <v>0.03865973628</v>
      </c>
      <c r="D68" s="485">
        <f>'Average Validator'!AM95</f>
        <v>0.04366062574</v>
      </c>
      <c r="E68" s="485">
        <f>'Average Validator'!AN95</f>
        <v>0.04858666794</v>
      </c>
      <c r="F68" s="485">
        <f>'Average Validator'!AO95</f>
        <v>0.05345251717</v>
      </c>
      <c r="G68" s="486">
        <f>'Average Validator'!AP95</f>
        <v>0.05827282775</v>
      </c>
      <c r="H68" s="485">
        <f>'Average Validator'!AQ95</f>
        <v>0.06019148372</v>
      </c>
      <c r="I68" s="485">
        <f>'Average Validator'!AR95</f>
        <v>0.06210613608</v>
      </c>
      <c r="J68" s="485">
        <f>'Average Validator'!AS95</f>
        <v>0.06401772269</v>
      </c>
      <c r="K68" s="485">
        <f>'Average Validator'!AT95</f>
        <v>0.06592718143</v>
      </c>
      <c r="L68" s="487">
        <f>'Average Validator'!AU95</f>
        <v>0.06783545017</v>
      </c>
      <c r="N68" s="102" t="s">
        <v>66</v>
      </c>
      <c r="O68" s="301">
        <v>2000000.0</v>
      </c>
      <c r="P68" s="485">
        <f>'Average Validator'!AL73</f>
        <v>0.0841961379</v>
      </c>
      <c r="Q68" s="485">
        <f>'Average Validator'!AM73</f>
        <v>0.08919702737</v>
      </c>
      <c r="R68" s="485">
        <f>'Average Validator'!AN73</f>
        <v>0.09412306957</v>
      </c>
      <c r="S68" s="485">
        <f>'Average Validator'!AO73</f>
        <v>0.0989889188</v>
      </c>
      <c r="T68" s="486">
        <f>'Average Validator'!AP73</f>
        <v>0.1038092294</v>
      </c>
      <c r="U68" s="485">
        <f>'Average Validator'!AQ73</f>
        <v>0.1057278854</v>
      </c>
      <c r="V68" s="485">
        <f>'Average Validator'!AR73</f>
        <v>0.1076425377</v>
      </c>
      <c r="W68" s="485">
        <f>'Average Validator'!AS73</f>
        <v>0.1095541243</v>
      </c>
      <c r="X68" s="485">
        <f>'Average Validator'!AT73</f>
        <v>0.1114635831</v>
      </c>
      <c r="Y68" s="487">
        <f>'Average Validator'!AU73</f>
        <v>0.1133718518</v>
      </c>
      <c r="AO68" s="23"/>
      <c r="AP68" s="23"/>
      <c r="AQ68" s="23"/>
      <c r="AR68" s="23"/>
      <c r="AS68" s="23"/>
      <c r="AT68" s="23"/>
      <c r="AU68" s="23"/>
      <c r="AV68" s="23"/>
      <c r="AW68" s="23"/>
      <c r="AX68" s="23"/>
      <c r="AY68" s="23"/>
      <c r="AZ68" s="23"/>
      <c r="BA68" s="23"/>
      <c r="BB68" s="23"/>
      <c r="BC68" s="23"/>
    </row>
    <row r="69">
      <c r="A69" s="110"/>
      <c r="B69" s="301">
        <f t="shared" ref="B69:B84" si="12">B68+500000</f>
        <v>2500000</v>
      </c>
      <c r="C69" s="485">
        <f>'Average Validator'!AL96</f>
        <v>0.02977091349</v>
      </c>
      <c r="D69" s="485">
        <f>'Average Validator'!AM96</f>
        <v>0.03424384501</v>
      </c>
      <c r="E69" s="485">
        <f>'Average Validator'!AN96</f>
        <v>0.0386498311</v>
      </c>
      <c r="F69" s="485">
        <f>'Average Validator'!AO96</f>
        <v>0.04300197896</v>
      </c>
      <c r="G69" s="486">
        <f>'Average Validator'!AP96</f>
        <v>0.04731339581</v>
      </c>
      <c r="H69" s="485">
        <f>'Average Validator'!AQ96</f>
        <v>0.04902949388</v>
      </c>
      <c r="I69" s="485">
        <f>'Average Validator'!AR96</f>
        <v>0.050742011</v>
      </c>
      <c r="J69" s="485">
        <f>'Average Validator'!AS96</f>
        <v>0.05245178604</v>
      </c>
      <c r="K69" s="485">
        <f>'Average Validator'!AT96</f>
        <v>0.05415965786</v>
      </c>
      <c r="L69" s="487">
        <f>'Average Validator'!AU96</f>
        <v>0.05586646532</v>
      </c>
      <c r="N69" s="110"/>
      <c r="O69" s="301">
        <f t="shared" ref="O69:O84" si="13">O68+500000</f>
        <v>2500000</v>
      </c>
      <c r="P69" s="485">
        <f>'Average Validator'!AL74</f>
        <v>0.07530731512</v>
      </c>
      <c r="Q69" s="485">
        <f>'Average Validator'!AM74</f>
        <v>0.07978024664</v>
      </c>
      <c r="R69" s="485">
        <f>'Average Validator'!AN74</f>
        <v>0.08418623272</v>
      </c>
      <c r="S69" s="485">
        <f>'Average Validator'!AO74</f>
        <v>0.08853838058</v>
      </c>
      <c r="T69" s="486">
        <f>'Average Validator'!AP74</f>
        <v>0.09284979743</v>
      </c>
      <c r="U69" s="485">
        <f>'Average Validator'!AQ74</f>
        <v>0.09456589551</v>
      </c>
      <c r="V69" s="485">
        <f>'Average Validator'!AR74</f>
        <v>0.09627841263</v>
      </c>
      <c r="W69" s="485">
        <f>'Average Validator'!AS74</f>
        <v>0.09798818767</v>
      </c>
      <c r="X69" s="485">
        <f>'Average Validator'!AT74</f>
        <v>0.09969605949</v>
      </c>
      <c r="Y69" s="487">
        <f>'Average Validator'!AU74</f>
        <v>0.1014028669</v>
      </c>
      <c r="AO69" s="23"/>
      <c r="AP69" s="23"/>
      <c r="AQ69" s="23"/>
      <c r="AR69" s="23"/>
      <c r="AS69" s="23"/>
      <c r="AT69" s="23"/>
      <c r="AU69" s="23"/>
      <c r="AV69" s="23"/>
      <c r="AW69" s="23"/>
      <c r="AX69" s="23"/>
      <c r="AY69" s="23"/>
      <c r="AZ69" s="23"/>
      <c r="BA69" s="23"/>
      <c r="BB69" s="23"/>
      <c r="BC69" s="23"/>
    </row>
    <row r="70">
      <c r="A70" s="110"/>
      <c r="B70" s="301">
        <f t="shared" si="12"/>
        <v>3000000</v>
      </c>
      <c r="C70" s="485">
        <f>'Average Validator'!AL97</f>
        <v>0.0232094571</v>
      </c>
      <c r="D70" s="485">
        <f>'Average Validator'!AM97</f>
        <v>0.02729266625</v>
      </c>
      <c r="E70" s="485">
        <f>'Average Validator'!AN97</f>
        <v>0.03131476286</v>
      </c>
      <c r="F70" s="485">
        <f>'Average Validator'!AO97</f>
        <v>0.03528771212</v>
      </c>
      <c r="G70" s="486">
        <f>'Average Validator'!AP97</f>
        <v>0.03922347923</v>
      </c>
      <c r="H70" s="485">
        <f>'Average Validator'!AQ97</f>
        <v>0.04079005527</v>
      </c>
      <c r="I70" s="485">
        <f>'Average Validator'!AR97</f>
        <v>0.04235336237</v>
      </c>
      <c r="J70" s="485">
        <f>'Average Validator'!AS97</f>
        <v>0.0439141663</v>
      </c>
      <c r="K70" s="485">
        <f>'Average Validator'!AT97</f>
        <v>0.04547323283</v>
      </c>
      <c r="L70" s="487">
        <f>'Average Validator'!AU97</f>
        <v>0.04703132774</v>
      </c>
      <c r="N70" s="110"/>
      <c r="O70" s="301">
        <f t="shared" si="13"/>
        <v>3000000</v>
      </c>
      <c r="P70" s="485">
        <f>'Average Validator'!AL75</f>
        <v>0.06874585873</v>
      </c>
      <c r="Q70" s="485">
        <f>'Average Validator'!AM75</f>
        <v>0.07282906788</v>
      </c>
      <c r="R70" s="485">
        <f>'Average Validator'!AN75</f>
        <v>0.07685116449</v>
      </c>
      <c r="S70" s="485">
        <f>'Average Validator'!AO75</f>
        <v>0.08082411375</v>
      </c>
      <c r="T70" s="486">
        <f>'Average Validator'!AP75</f>
        <v>0.08475988086</v>
      </c>
      <c r="U70" s="485">
        <f>'Average Validator'!AQ75</f>
        <v>0.0863264569</v>
      </c>
      <c r="V70" s="485">
        <f>'Average Validator'!AR75</f>
        <v>0.087889764</v>
      </c>
      <c r="W70" s="485">
        <f>'Average Validator'!AS75</f>
        <v>0.08945056793</v>
      </c>
      <c r="X70" s="485">
        <f>'Average Validator'!AT75</f>
        <v>0.09100963446</v>
      </c>
      <c r="Y70" s="487">
        <f>'Average Validator'!AU75</f>
        <v>0.09256772937</v>
      </c>
      <c r="AO70" s="23"/>
      <c r="AP70" s="23"/>
      <c r="AQ70" s="23"/>
      <c r="AR70" s="23"/>
      <c r="AS70" s="23"/>
      <c r="AT70" s="23"/>
      <c r="AU70" s="23"/>
      <c r="AV70" s="23"/>
      <c r="AW70" s="23"/>
      <c r="AX70" s="23"/>
      <c r="AY70" s="23"/>
      <c r="AZ70" s="23"/>
      <c r="BA70" s="23"/>
      <c r="BB70" s="23"/>
      <c r="BC70" s="23"/>
    </row>
    <row r="71">
      <c r="A71" s="110"/>
      <c r="B71" s="301">
        <f t="shared" si="12"/>
        <v>3500000</v>
      </c>
      <c r="C71" s="485">
        <f>'Average Validator'!AL98</f>
        <v>0.01810989616</v>
      </c>
      <c r="D71" s="485">
        <f>'Average Validator'!AM98</f>
        <v>0.02189021326</v>
      </c>
      <c r="E71" s="485">
        <f>'Average Validator'!AN98</f>
        <v>0.02561395115</v>
      </c>
      <c r="F71" s="485">
        <f>'Average Validator'!AO98</f>
        <v>0.02929218743</v>
      </c>
      <c r="G71" s="486">
        <f>'Average Validator'!AP98</f>
        <v>0.03293599972</v>
      </c>
      <c r="H71" s="485">
        <f>'Average Validator'!AQ98</f>
        <v>0.03438636731</v>
      </c>
      <c r="I71" s="485">
        <f>'Average Validator'!AR98</f>
        <v>0.03583370845</v>
      </c>
      <c r="J71" s="485">
        <f>'Average Validator'!AS98</f>
        <v>0.0372787321</v>
      </c>
      <c r="K71" s="485">
        <f>'Average Validator'!AT98</f>
        <v>0.03872214723</v>
      </c>
      <c r="L71" s="487">
        <f>'Average Validator'!AU98</f>
        <v>0.04016466281</v>
      </c>
      <c r="N71" s="110"/>
      <c r="O71" s="301">
        <f t="shared" si="13"/>
        <v>3500000</v>
      </c>
      <c r="P71" s="485">
        <f>'Average Validator'!AL76</f>
        <v>0.06364629779</v>
      </c>
      <c r="Q71" s="485">
        <f>'Average Validator'!AM76</f>
        <v>0.06742661489</v>
      </c>
      <c r="R71" s="485">
        <f>'Average Validator'!AN76</f>
        <v>0.07115035278</v>
      </c>
      <c r="S71" s="485">
        <f>'Average Validator'!AO76</f>
        <v>0.07482858906</v>
      </c>
      <c r="T71" s="486">
        <f>'Average Validator'!AP76</f>
        <v>0.07847240135</v>
      </c>
      <c r="U71" s="485">
        <f>'Average Validator'!AQ76</f>
        <v>0.07992276894</v>
      </c>
      <c r="V71" s="485">
        <f>'Average Validator'!AR76</f>
        <v>0.08137011007</v>
      </c>
      <c r="W71" s="485">
        <f>'Average Validator'!AS76</f>
        <v>0.08281513372</v>
      </c>
      <c r="X71" s="485">
        <f>'Average Validator'!AT76</f>
        <v>0.08425854886</v>
      </c>
      <c r="Y71" s="487">
        <f>'Average Validator'!AU76</f>
        <v>0.08570106444</v>
      </c>
      <c r="AO71" s="23"/>
      <c r="AP71" s="23"/>
      <c r="AQ71" s="23"/>
      <c r="AR71" s="23"/>
      <c r="AS71" s="23"/>
      <c r="AT71" s="23"/>
      <c r="AU71" s="23"/>
      <c r="AV71" s="23"/>
      <c r="AW71" s="23"/>
      <c r="AX71" s="23"/>
      <c r="AY71" s="23"/>
      <c r="AZ71" s="23"/>
      <c r="BA71" s="23"/>
      <c r="BB71" s="23"/>
      <c r="BC71" s="23"/>
    </row>
    <row r="72">
      <c r="A72" s="110"/>
      <c r="B72" s="301">
        <f t="shared" si="12"/>
        <v>4000000</v>
      </c>
      <c r="C72" s="485">
        <f>'Average Validator'!AL99</f>
        <v>0.01399925843</v>
      </c>
      <c r="D72" s="485">
        <f>'Average Validator'!AM99</f>
        <v>0.01753542129</v>
      </c>
      <c r="E72" s="485">
        <f>'Average Validator'!AN99</f>
        <v>0.02101865913</v>
      </c>
      <c r="F72" s="485">
        <f>'Average Validator'!AO99</f>
        <v>0.02445933412</v>
      </c>
      <c r="G72" s="486">
        <f>'Average Validator'!AP99</f>
        <v>0.02786780842</v>
      </c>
      <c r="H72" s="485">
        <f>'Average Validator'!AQ99</f>
        <v>0.02922450307</v>
      </c>
      <c r="I72" s="485">
        <f>'Average Validator'!AR99</f>
        <v>0.03057836673</v>
      </c>
      <c r="J72" s="485">
        <f>'Average Validator'!AS99</f>
        <v>0.03193006258</v>
      </c>
      <c r="K72" s="485">
        <f>'Average Validator'!AT99</f>
        <v>0.0332802538</v>
      </c>
      <c r="L72" s="487">
        <f>'Average Validator'!AU99</f>
        <v>0.03462960358</v>
      </c>
      <c r="N72" s="110"/>
      <c r="O72" s="301">
        <f t="shared" si="13"/>
        <v>4000000</v>
      </c>
      <c r="P72" s="485">
        <f>'Average Validator'!AL77</f>
        <v>0.05953566006</v>
      </c>
      <c r="Q72" s="485">
        <f>'Average Validator'!AM77</f>
        <v>0.06307182292</v>
      </c>
      <c r="R72" s="485">
        <f>'Average Validator'!AN77</f>
        <v>0.06655506076</v>
      </c>
      <c r="S72" s="485">
        <f>'Average Validator'!AO77</f>
        <v>0.06999573575</v>
      </c>
      <c r="T72" s="486">
        <f>'Average Validator'!AP77</f>
        <v>0.07340421004</v>
      </c>
      <c r="U72" s="485">
        <f>'Average Validator'!AQ77</f>
        <v>0.07476090469</v>
      </c>
      <c r="V72" s="485">
        <f>'Average Validator'!AR77</f>
        <v>0.07611476836</v>
      </c>
      <c r="W72" s="485">
        <f>'Average Validator'!AS77</f>
        <v>0.07746646421</v>
      </c>
      <c r="X72" s="485">
        <f>'Average Validator'!AT77</f>
        <v>0.07881665543</v>
      </c>
      <c r="Y72" s="487">
        <f>'Average Validator'!AU77</f>
        <v>0.0801660052</v>
      </c>
      <c r="AO72" s="23"/>
      <c r="AP72" s="23"/>
      <c r="AQ72" s="23"/>
      <c r="AR72" s="23"/>
      <c r="AS72" s="23"/>
      <c r="AT72" s="23"/>
      <c r="AU72" s="23"/>
      <c r="AV72" s="23"/>
      <c r="AW72" s="23"/>
      <c r="AX72" s="23"/>
      <c r="AY72" s="23"/>
      <c r="AZ72" s="23"/>
      <c r="BA72" s="23"/>
      <c r="BB72" s="23"/>
      <c r="BC72" s="23"/>
    </row>
    <row r="73">
      <c r="A73" s="110"/>
      <c r="B73" s="301">
        <f t="shared" si="12"/>
        <v>4500000</v>
      </c>
      <c r="C73" s="485">
        <f>'Average Validator'!AL100</f>
        <v>0.01256445337</v>
      </c>
      <c r="D73" s="485">
        <f>'Average Validator'!AM100</f>
        <v>0.01601539496</v>
      </c>
      <c r="E73" s="485">
        <f>'Average Validator'!AN100</f>
        <v>0.01941468702</v>
      </c>
      <c r="F73" s="485">
        <f>'Average Validator'!AO100</f>
        <v>0.02277244199</v>
      </c>
      <c r="G73" s="486">
        <f>'Average Validator'!AP100</f>
        <v>0.02609877231</v>
      </c>
      <c r="H73" s="485">
        <f>'Average Validator'!AQ100</f>
        <v>0.02742277072</v>
      </c>
      <c r="I73" s="485">
        <f>'Average Validator'!AR100</f>
        <v>0.02874400636</v>
      </c>
      <c r="J73" s="485">
        <f>'Average Validator'!AS100</f>
        <v>0.03006312644</v>
      </c>
      <c r="K73" s="485">
        <f>'Average Validator'!AT100</f>
        <v>0.03138077816</v>
      </c>
      <c r="L73" s="487">
        <f>'Average Validator'!AU100</f>
        <v>0.0326976087</v>
      </c>
      <c r="N73" s="110"/>
      <c r="O73" s="301">
        <f t="shared" si="13"/>
        <v>4500000</v>
      </c>
      <c r="P73" s="485">
        <f>'Average Validator'!AL78</f>
        <v>0.058100855</v>
      </c>
      <c r="Q73" s="485">
        <f>'Average Validator'!AM78</f>
        <v>0.06155179659</v>
      </c>
      <c r="R73" s="485">
        <f>'Average Validator'!AN78</f>
        <v>0.06495108865</v>
      </c>
      <c r="S73" s="485">
        <f>'Average Validator'!AO78</f>
        <v>0.06830884362</v>
      </c>
      <c r="T73" s="486">
        <f>'Average Validator'!AP78</f>
        <v>0.07163517394</v>
      </c>
      <c r="U73" s="485">
        <f>'Average Validator'!AQ78</f>
        <v>0.07295917234</v>
      </c>
      <c r="V73" s="485">
        <f>'Average Validator'!AR78</f>
        <v>0.07428040799</v>
      </c>
      <c r="W73" s="485">
        <f>'Average Validator'!AS78</f>
        <v>0.07559952807</v>
      </c>
      <c r="X73" s="485">
        <f>'Average Validator'!AT78</f>
        <v>0.07691717979</v>
      </c>
      <c r="Y73" s="487">
        <f>'Average Validator'!AU78</f>
        <v>0.07823401033</v>
      </c>
      <c r="AO73" s="23"/>
      <c r="AP73" s="23"/>
      <c r="AQ73" s="23"/>
      <c r="AR73" s="23"/>
      <c r="AS73" s="23"/>
      <c r="AT73" s="23"/>
      <c r="AU73" s="23"/>
      <c r="AV73" s="23"/>
      <c r="AW73" s="23"/>
      <c r="AX73" s="23"/>
      <c r="AY73" s="23"/>
      <c r="AZ73" s="23"/>
      <c r="BA73" s="23"/>
      <c r="BB73" s="23"/>
      <c r="BC73" s="23"/>
    </row>
    <row r="74">
      <c r="A74" s="110"/>
      <c r="B74" s="301">
        <f t="shared" si="12"/>
        <v>5000000</v>
      </c>
      <c r="C74" s="485">
        <f>'Average Validator'!AL101</f>
        <v>0.007713911566</v>
      </c>
      <c r="D74" s="485">
        <f>'Average Validator'!AM101</f>
        <v>0.01087675178</v>
      </c>
      <c r="E74" s="485">
        <f>'Average Validator'!AN101</f>
        <v>0.01399225441</v>
      </c>
      <c r="F74" s="485">
        <f>'Average Validator'!AO101</f>
        <v>0.01706968768</v>
      </c>
      <c r="G74" s="486">
        <f>'Average Validator'!AP101</f>
        <v>0.02011831977</v>
      </c>
      <c r="H74" s="485">
        <f>'Average Validator'!AQ101</f>
        <v>0.02133178435</v>
      </c>
      <c r="I74" s="485">
        <f>'Average Validator'!AR101</f>
        <v>0.02254271683</v>
      </c>
      <c r="J74" s="485">
        <f>'Average Validator'!AS101</f>
        <v>0.02375171035</v>
      </c>
      <c r="K74" s="485">
        <f>'Average Validator'!AT101</f>
        <v>0.02495935809</v>
      </c>
      <c r="L74" s="487">
        <f>'Average Validator'!AU101</f>
        <v>0.02616625322</v>
      </c>
      <c r="N74" s="110"/>
      <c r="O74" s="301">
        <f t="shared" si="13"/>
        <v>5000000</v>
      </c>
      <c r="P74" s="485">
        <f>'Average Validator'!AL79</f>
        <v>0.05325031319</v>
      </c>
      <c r="Q74" s="485">
        <f>'Average Validator'!AM79</f>
        <v>0.0564131534</v>
      </c>
      <c r="R74" s="485">
        <f>'Average Validator'!AN79</f>
        <v>0.05952865604</v>
      </c>
      <c r="S74" s="485">
        <f>'Average Validator'!AO79</f>
        <v>0.06260608931</v>
      </c>
      <c r="T74" s="486">
        <f>'Average Validator'!AP79</f>
        <v>0.0656547214</v>
      </c>
      <c r="U74" s="485">
        <f>'Average Validator'!AQ79</f>
        <v>0.06686818598</v>
      </c>
      <c r="V74" s="485">
        <f>'Average Validator'!AR79</f>
        <v>0.06807911845</v>
      </c>
      <c r="W74" s="485">
        <f>'Average Validator'!AS79</f>
        <v>0.06928811198</v>
      </c>
      <c r="X74" s="485">
        <f>'Average Validator'!AT79</f>
        <v>0.07049575972</v>
      </c>
      <c r="Y74" s="487">
        <f>'Average Validator'!AU79</f>
        <v>0.07170265485</v>
      </c>
      <c r="AO74" s="23"/>
      <c r="AP74" s="23"/>
      <c r="AQ74" s="23"/>
      <c r="AR74" s="23"/>
      <c r="AS74" s="23"/>
      <c r="AT74" s="23"/>
      <c r="AU74" s="23"/>
      <c r="AV74" s="23"/>
      <c r="AW74" s="23"/>
      <c r="AX74" s="23"/>
      <c r="AY74" s="23"/>
      <c r="AZ74" s="23"/>
      <c r="BA74" s="23"/>
      <c r="BB74" s="23"/>
      <c r="BC74" s="23"/>
    </row>
    <row r="75">
      <c r="A75" s="110"/>
      <c r="B75" s="301">
        <f t="shared" si="12"/>
        <v>5500000</v>
      </c>
      <c r="C75" s="485">
        <f>'Average Validator'!AL102</f>
        <v>0.005235779868</v>
      </c>
      <c r="D75" s="485">
        <f>'Average Validator'!AM102</f>
        <v>0.008251429683</v>
      </c>
      <c r="E75" s="485">
        <f>'Average Validator'!AN102</f>
        <v>0.0112219449</v>
      </c>
      <c r="F75" s="485">
        <f>'Average Validator'!AO102</f>
        <v>0.01415616239</v>
      </c>
      <c r="G75" s="486">
        <f>'Average Validator'!AP102</f>
        <v>0.01706291903</v>
      </c>
      <c r="H75" s="485">
        <f>'Average Validator'!AQ102</f>
        <v>0.01821991212</v>
      </c>
      <c r="I75" s="485">
        <f>'Average Validator'!AR102</f>
        <v>0.01937449093</v>
      </c>
      <c r="J75" s="485">
        <f>'Average Validator'!AS102</f>
        <v>0.02052722102</v>
      </c>
      <c r="K75" s="485">
        <f>'Average Validator'!AT102</f>
        <v>0.02167866797</v>
      </c>
      <c r="L75" s="487">
        <f>'Average Validator'!AU102</f>
        <v>0.02282939732</v>
      </c>
      <c r="N75" s="110"/>
      <c r="O75" s="301">
        <f t="shared" si="13"/>
        <v>5500000</v>
      </c>
      <c r="P75" s="485">
        <f>'Average Validator'!AL80</f>
        <v>0.0507721815</v>
      </c>
      <c r="Q75" s="485">
        <f>'Average Validator'!AM80</f>
        <v>0.05378783131</v>
      </c>
      <c r="R75" s="485">
        <f>'Average Validator'!AN80</f>
        <v>0.05675834652</v>
      </c>
      <c r="S75" s="485">
        <f>'Average Validator'!AO80</f>
        <v>0.05969256401</v>
      </c>
      <c r="T75" s="486">
        <f>'Average Validator'!AP80</f>
        <v>0.06259932066</v>
      </c>
      <c r="U75" s="485">
        <f>'Average Validator'!AQ80</f>
        <v>0.06375631374</v>
      </c>
      <c r="V75" s="485">
        <f>'Average Validator'!AR80</f>
        <v>0.06491089255</v>
      </c>
      <c r="W75" s="485">
        <f>'Average Validator'!AS80</f>
        <v>0.06606362265</v>
      </c>
      <c r="X75" s="485">
        <f>'Average Validator'!AT80</f>
        <v>0.0672150696</v>
      </c>
      <c r="Y75" s="487">
        <f>'Average Validator'!AU80</f>
        <v>0.06836579895</v>
      </c>
      <c r="AO75" s="23"/>
      <c r="AP75" s="23"/>
      <c r="AQ75" s="23"/>
      <c r="AR75" s="23"/>
      <c r="AS75" s="23"/>
      <c r="AT75" s="23"/>
      <c r="AU75" s="23"/>
      <c r="AV75" s="23"/>
      <c r="AW75" s="23"/>
      <c r="AX75" s="23"/>
      <c r="AY75" s="23"/>
      <c r="AZ75" s="23"/>
      <c r="BA75" s="23"/>
      <c r="BB75" s="23"/>
      <c r="BC75" s="23"/>
    </row>
    <row r="76">
      <c r="A76" s="110"/>
      <c r="B76" s="301">
        <f t="shared" si="12"/>
        <v>6000000</v>
      </c>
      <c r="C76" s="485">
        <f>'Average Validator'!AL103</f>
        <v>0.003074261257</v>
      </c>
      <c r="D76" s="485">
        <f>'Average Validator'!AM103</f>
        <v>0.005961526137</v>
      </c>
      <c r="E76" s="485">
        <f>'Average Validator'!AN103</f>
        <v>0.008805577925</v>
      </c>
      <c r="F76" s="485">
        <f>'Average Validator'!AO103</f>
        <v>0.01161487729</v>
      </c>
      <c r="G76" s="486">
        <f>'Average Validator'!AP103</f>
        <v>0.0143978849</v>
      </c>
      <c r="H76" s="485">
        <f>'Average Validator'!AQ103</f>
        <v>0.01550562144</v>
      </c>
      <c r="I76" s="485">
        <f>'Average Validator'!AR103</f>
        <v>0.01661104649</v>
      </c>
      <c r="J76" s="485">
        <f>'Average Validator'!AS103</f>
        <v>0.01771470154</v>
      </c>
      <c r="K76" s="485">
        <f>'Average Validator'!AT103</f>
        <v>0.01881712805</v>
      </c>
      <c r="L76" s="487">
        <f>'Average Validator'!AU103</f>
        <v>0.01991886753</v>
      </c>
      <c r="N76" s="110"/>
      <c r="O76" s="301">
        <f t="shared" si="13"/>
        <v>6000000</v>
      </c>
      <c r="P76" s="485">
        <f>'Average Validator'!AL81</f>
        <v>0.04861066288</v>
      </c>
      <c r="Q76" s="485">
        <f>'Average Validator'!AM81</f>
        <v>0.05149792776</v>
      </c>
      <c r="R76" s="485">
        <f>'Average Validator'!AN81</f>
        <v>0.05434197955</v>
      </c>
      <c r="S76" s="485">
        <f>'Average Validator'!AO81</f>
        <v>0.05715127892</v>
      </c>
      <c r="T76" s="486">
        <f>'Average Validator'!AP81</f>
        <v>0.05993428653</v>
      </c>
      <c r="U76" s="485">
        <f>'Average Validator'!AQ81</f>
        <v>0.06104202307</v>
      </c>
      <c r="V76" s="485">
        <f>'Average Validator'!AR81</f>
        <v>0.06214744812</v>
      </c>
      <c r="W76" s="485">
        <f>'Average Validator'!AS81</f>
        <v>0.06325110316</v>
      </c>
      <c r="X76" s="485">
        <f>'Average Validator'!AT81</f>
        <v>0.06435352968</v>
      </c>
      <c r="Y76" s="487">
        <f>'Average Validator'!AU81</f>
        <v>0.06545526916</v>
      </c>
      <c r="AO76" s="23"/>
      <c r="AP76" s="23"/>
      <c r="AQ76" s="23"/>
      <c r="AR76" s="23"/>
      <c r="AS76" s="23"/>
      <c r="AT76" s="23"/>
      <c r="AU76" s="23"/>
      <c r="AV76" s="23"/>
      <c r="AW76" s="23"/>
      <c r="AX76" s="23"/>
      <c r="AY76" s="23"/>
      <c r="AZ76" s="23"/>
      <c r="BA76" s="23"/>
      <c r="BB76" s="23"/>
      <c r="BC76" s="23"/>
    </row>
    <row r="77">
      <c r="A77" s="110"/>
      <c r="B77" s="301">
        <f t="shared" si="12"/>
        <v>6500000</v>
      </c>
      <c r="C77" s="485">
        <f>'Average Validator'!AL104</f>
        <v>0.00116721259</v>
      </c>
      <c r="D77" s="485">
        <f>'Average Validator'!AM104</f>
        <v>0.003941206959</v>
      </c>
      <c r="E77" s="485">
        <f>'Average Validator'!AN104</f>
        <v>0.006673683532</v>
      </c>
      <c r="F77" s="485">
        <f>'Average Validator'!AO104</f>
        <v>0.009372771056</v>
      </c>
      <c r="G77" s="486">
        <f>'Average Validator'!AP104</f>
        <v>0.01204659828</v>
      </c>
      <c r="H77" s="485">
        <f>'Average Validator'!AQ104</f>
        <v>0.01311087712</v>
      </c>
      <c r="I77" s="485">
        <f>'Average Validator'!AR104</f>
        <v>0.01417293516</v>
      </c>
      <c r="J77" s="485">
        <f>'Average Validator'!AS104</f>
        <v>0.01523329263</v>
      </c>
      <c r="K77" s="485">
        <f>'Average Validator'!AT104</f>
        <v>0.01629246976</v>
      </c>
      <c r="L77" s="487">
        <f>'Average Validator'!AU104</f>
        <v>0.01735098681</v>
      </c>
      <c r="N77" s="110"/>
      <c r="O77" s="301">
        <f t="shared" si="13"/>
        <v>6500000</v>
      </c>
      <c r="P77" s="485">
        <f>'Average Validator'!AL82</f>
        <v>0.04670361422</v>
      </c>
      <c r="Q77" s="485">
        <f>'Average Validator'!AM82</f>
        <v>0.04947760859</v>
      </c>
      <c r="R77" s="485">
        <f>'Average Validator'!AN82</f>
        <v>0.05221008516</v>
      </c>
      <c r="S77" s="485">
        <f>'Average Validator'!AO82</f>
        <v>0.05490917268</v>
      </c>
      <c r="T77" s="486">
        <f>'Average Validator'!AP82</f>
        <v>0.05758299991</v>
      </c>
      <c r="U77" s="485">
        <f>'Average Validator'!AQ82</f>
        <v>0.05864727875</v>
      </c>
      <c r="V77" s="485">
        <f>'Average Validator'!AR82</f>
        <v>0.05970933679</v>
      </c>
      <c r="W77" s="485">
        <f>'Average Validator'!AS82</f>
        <v>0.06076969425</v>
      </c>
      <c r="X77" s="485">
        <f>'Average Validator'!AT82</f>
        <v>0.06182887139</v>
      </c>
      <c r="Y77" s="487">
        <f>'Average Validator'!AU82</f>
        <v>0.06288738844</v>
      </c>
      <c r="AO77" s="23"/>
      <c r="AP77" s="23"/>
      <c r="AQ77" s="23"/>
      <c r="AR77" s="23"/>
      <c r="AS77" s="23"/>
      <c r="AT77" s="23"/>
      <c r="AU77" s="23"/>
      <c r="AV77" s="23"/>
      <c r="AW77" s="23"/>
      <c r="AX77" s="23"/>
      <c r="AY77" s="23"/>
      <c r="AZ77" s="23"/>
      <c r="BA77" s="23"/>
      <c r="BB77" s="23"/>
      <c r="BC77" s="23"/>
    </row>
    <row r="78">
      <c r="A78" s="110"/>
      <c r="B78" s="301">
        <f t="shared" si="12"/>
        <v>7000000</v>
      </c>
      <c r="C78" s="485">
        <f>'Average Validator'!AL105</f>
        <v>-0.0005316728662</v>
      </c>
      <c r="D78" s="485">
        <f>'Average Validator'!AM105</f>
        <v>0.002141414993</v>
      </c>
      <c r="E78" s="485">
        <f>'Average Validator'!AN105</f>
        <v>0.004774495304</v>
      </c>
      <c r="F78" s="485">
        <f>'Average Validator'!AO105</f>
        <v>0.007375401122</v>
      </c>
      <c r="G78" s="486">
        <f>'Average Validator'!AP105</f>
        <v>0.009951965504</v>
      </c>
      <c r="H78" s="485">
        <f>'Average Validator'!AQ105</f>
        <v>0.01097753026</v>
      </c>
      <c r="I78" s="485">
        <f>'Average Validator'!AR105</f>
        <v>0.01200095499</v>
      </c>
      <c r="J78" s="485">
        <f>'Average Validator'!AS105</f>
        <v>0.01302274101</v>
      </c>
      <c r="K78" s="485">
        <f>'Average Validator'!AT105</f>
        <v>0.01404338964</v>
      </c>
      <c r="L78" s="487">
        <f>'Average Validator'!AU105</f>
        <v>0.01506340219</v>
      </c>
      <c r="N78" s="110"/>
      <c r="O78" s="301">
        <f t="shared" si="13"/>
        <v>7000000</v>
      </c>
      <c r="P78" s="485">
        <f>'Average Validator'!AL83</f>
        <v>0.04500472876</v>
      </c>
      <c r="Q78" s="485">
        <f>'Average Validator'!AM83</f>
        <v>0.04767781662</v>
      </c>
      <c r="R78" s="485">
        <f>'Average Validator'!AN83</f>
        <v>0.05031089693</v>
      </c>
      <c r="S78" s="485">
        <f>'Average Validator'!AO83</f>
        <v>0.05291180275</v>
      </c>
      <c r="T78" s="486">
        <f>'Average Validator'!AP83</f>
        <v>0.05548836713</v>
      </c>
      <c r="U78" s="485">
        <f>'Average Validator'!AQ83</f>
        <v>0.05651393189</v>
      </c>
      <c r="V78" s="485">
        <f>'Average Validator'!AR83</f>
        <v>0.05753735662</v>
      </c>
      <c r="W78" s="485">
        <f>'Average Validator'!AS83</f>
        <v>0.05855914264</v>
      </c>
      <c r="X78" s="485">
        <f>'Average Validator'!AT83</f>
        <v>0.05957979127</v>
      </c>
      <c r="Y78" s="487">
        <f>'Average Validator'!AU83</f>
        <v>0.06059980382</v>
      </c>
      <c r="AO78" s="23"/>
      <c r="AP78" s="23"/>
      <c r="AQ78" s="23"/>
      <c r="AR78" s="23"/>
      <c r="AS78" s="23"/>
      <c r="AT78" s="23"/>
      <c r="AU78" s="23"/>
      <c r="AV78" s="23"/>
      <c r="AW78" s="23"/>
      <c r="AX78" s="23"/>
      <c r="AY78" s="23"/>
      <c r="AZ78" s="23"/>
      <c r="BA78" s="23"/>
      <c r="BB78" s="23"/>
      <c r="BC78" s="23"/>
    </row>
    <row r="79">
      <c r="A79" s="110"/>
      <c r="B79" s="301">
        <f t="shared" si="12"/>
        <v>7500000</v>
      </c>
      <c r="C79" s="485">
        <f>'Average Validator'!AL106</f>
        <v>-0.002057702972</v>
      </c>
      <c r="D79" s="485">
        <f>'Average Validator'!AM106</f>
        <v>0.000524745245</v>
      </c>
      <c r="E79" s="485">
        <f>'Average Validator'!AN106</f>
        <v>0.003068542497</v>
      </c>
      <c r="F79" s="485">
        <f>'Average Validator'!AO106</f>
        <v>0.005581256236</v>
      </c>
      <c r="G79" s="486">
        <f>'Average Validator'!AP106</f>
        <v>0.008070453915</v>
      </c>
      <c r="H79" s="485">
        <f>'Average Validator'!AQ106</f>
        <v>0.009061243599</v>
      </c>
      <c r="I79" s="485">
        <f>'Average Validator'!AR106</f>
        <v>0.01004996582</v>
      </c>
      <c r="J79" s="485">
        <f>'Average Validator'!AS106</f>
        <v>0.0110371049</v>
      </c>
      <c r="K79" s="485">
        <f>'Average Validator'!AT106</f>
        <v>0.01202314516</v>
      </c>
      <c r="L79" s="487">
        <f>'Average Validator'!AU106</f>
        <v>0.0130085709</v>
      </c>
      <c r="N79" s="110"/>
      <c r="O79" s="301">
        <f t="shared" si="13"/>
        <v>7500000</v>
      </c>
      <c r="P79" s="485">
        <f>'Average Validator'!AL84</f>
        <v>0.04347869866</v>
      </c>
      <c r="Q79" s="485">
        <f>'Average Validator'!AM84</f>
        <v>0.04606114687</v>
      </c>
      <c r="R79" s="485">
        <f>'Average Validator'!AN84</f>
        <v>0.04860494412</v>
      </c>
      <c r="S79" s="485">
        <f>'Average Validator'!AO84</f>
        <v>0.05111765786</v>
      </c>
      <c r="T79" s="486">
        <f>'Average Validator'!AP84</f>
        <v>0.05360685554</v>
      </c>
      <c r="U79" s="485">
        <f>'Average Validator'!AQ84</f>
        <v>0.05459764523</v>
      </c>
      <c r="V79" s="485">
        <f>'Average Validator'!AR84</f>
        <v>0.05558636745</v>
      </c>
      <c r="W79" s="485">
        <f>'Average Validator'!AS84</f>
        <v>0.05657350653</v>
      </c>
      <c r="X79" s="485">
        <f>'Average Validator'!AT84</f>
        <v>0.05755954678</v>
      </c>
      <c r="Y79" s="487">
        <f>'Average Validator'!AU84</f>
        <v>0.05854497253</v>
      </c>
      <c r="AO79" s="23"/>
      <c r="AP79" s="23"/>
      <c r="AQ79" s="23"/>
      <c r="AR79" s="23"/>
      <c r="AS79" s="23"/>
      <c r="AT79" s="23"/>
      <c r="AU79" s="23"/>
      <c r="AV79" s="23"/>
      <c r="AW79" s="23"/>
      <c r="AX79" s="23"/>
      <c r="AY79" s="23"/>
      <c r="AZ79" s="23"/>
      <c r="BA79" s="23"/>
      <c r="BB79" s="23"/>
      <c r="BC79" s="23"/>
    </row>
    <row r="80">
      <c r="A80" s="110"/>
      <c r="B80" s="301">
        <f t="shared" si="12"/>
        <v>8000000</v>
      </c>
      <c r="C80" s="485">
        <f>'Average Validator'!AL107</f>
        <v>-0.003438332675</v>
      </c>
      <c r="D80" s="485">
        <f>'Average Validator'!AM107</f>
        <v>-0.0009378879414</v>
      </c>
      <c r="E80" s="485">
        <f>'Average Validator'!AN107</f>
        <v>0.001525133157</v>
      </c>
      <c r="F80" s="485">
        <f>'Average Validator'!AO107</f>
        <v>0.003958057773</v>
      </c>
      <c r="G80" s="486">
        <f>'Average Validator'!AP107</f>
        <v>0.006368213062</v>
      </c>
      <c r="H80" s="485">
        <f>'Average Validator'!AQ107</f>
        <v>0.007327541049</v>
      </c>
      <c r="I80" s="485">
        <f>'Average Validator'!AR107</f>
        <v>0.008284867225</v>
      </c>
      <c r="J80" s="485">
        <f>'Average Validator'!AS107</f>
        <v>0.009240660529</v>
      </c>
      <c r="K80" s="485">
        <f>'Average Validator'!AT107</f>
        <v>0.0101953899</v>
      </c>
      <c r="L80" s="487">
        <f>'Average Validator'!AU107</f>
        <v>0.01114952427</v>
      </c>
      <c r="N80" s="110"/>
      <c r="O80" s="301">
        <f t="shared" si="13"/>
        <v>8000000</v>
      </c>
      <c r="P80" s="485">
        <f>'Average Validator'!AL85</f>
        <v>0.04209806895</v>
      </c>
      <c r="Q80" s="485">
        <f>'Average Validator'!AM85</f>
        <v>0.04459851369</v>
      </c>
      <c r="R80" s="485">
        <f>'Average Validator'!AN85</f>
        <v>0.04706153478</v>
      </c>
      <c r="S80" s="485">
        <f>'Average Validator'!AO85</f>
        <v>0.0494944594</v>
      </c>
      <c r="T80" s="486">
        <f>'Average Validator'!AP85</f>
        <v>0.05190461469</v>
      </c>
      <c r="U80" s="485">
        <f>'Average Validator'!AQ85</f>
        <v>0.05286394268</v>
      </c>
      <c r="V80" s="485">
        <f>'Average Validator'!AR85</f>
        <v>0.05382126885</v>
      </c>
      <c r="W80" s="485">
        <f>'Average Validator'!AS85</f>
        <v>0.05477706216</v>
      </c>
      <c r="X80" s="485">
        <f>'Average Validator'!AT85</f>
        <v>0.05573179153</v>
      </c>
      <c r="Y80" s="487">
        <f>'Average Validator'!AU85</f>
        <v>0.0566859259</v>
      </c>
      <c r="AO80" s="23"/>
      <c r="AP80" s="23"/>
      <c r="AQ80" s="23"/>
      <c r="AR80" s="23"/>
      <c r="AS80" s="23"/>
      <c r="AT80" s="23"/>
      <c r="AU80" s="23"/>
      <c r="AV80" s="23"/>
      <c r="AW80" s="23"/>
      <c r="AX80" s="23"/>
      <c r="AY80" s="23"/>
      <c r="AZ80" s="23"/>
      <c r="BA80" s="23"/>
      <c r="BB80" s="23"/>
      <c r="BC80" s="23"/>
    </row>
    <row r="81">
      <c r="A81" s="110"/>
      <c r="B81" s="301">
        <f t="shared" si="12"/>
        <v>8500000</v>
      </c>
      <c r="C81" s="485">
        <f>'Average Validator'!AL108</f>
        <v>-0.004695275763</v>
      </c>
      <c r="D81" s="485">
        <f>'Average Validator'!AM108</f>
        <v>-0.002269488057</v>
      </c>
      <c r="E81" s="485">
        <f>'Average Validator'!AN108</f>
        <v>0.0001199933889</v>
      </c>
      <c r="F81" s="485">
        <f>'Average Validator'!AO108</f>
        <v>0.002480276959</v>
      </c>
      <c r="G81" s="486">
        <f>'Average Validator'!AP108</f>
        <v>0.004818471037</v>
      </c>
      <c r="H81" s="485">
        <f>'Average Validator'!AQ108</f>
        <v>0.005749155888</v>
      </c>
      <c r="I81" s="485">
        <f>'Average Validator'!AR108</f>
        <v>0.006677898698</v>
      </c>
      <c r="J81" s="485">
        <f>'Average Validator'!AS108</f>
        <v>0.007605154404</v>
      </c>
      <c r="K81" s="485">
        <f>'Average Validator'!AT108</f>
        <v>0.008531377942</v>
      </c>
      <c r="L81" s="487">
        <f>'Average Validator'!AU108</f>
        <v>0.009457024248</v>
      </c>
      <c r="N81" s="110"/>
      <c r="O81" s="301">
        <f t="shared" si="13"/>
        <v>8500000</v>
      </c>
      <c r="P81" s="485">
        <f>'Average Validator'!AL86</f>
        <v>0.04084112586</v>
      </c>
      <c r="Q81" s="485">
        <f>'Average Validator'!AM86</f>
        <v>0.04326691357</v>
      </c>
      <c r="R81" s="485">
        <f>'Average Validator'!AN86</f>
        <v>0.04565639502</v>
      </c>
      <c r="S81" s="485">
        <f>'Average Validator'!AO86</f>
        <v>0.04801667859</v>
      </c>
      <c r="T81" s="486">
        <f>'Average Validator'!AP86</f>
        <v>0.05035487266</v>
      </c>
      <c r="U81" s="485">
        <f>'Average Validator'!AQ86</f>
        <v>0.05128555752</v>
      </c>
      <c r="V81" s="485">
        <f>'Average Validator'!AR86</f>
        <v>0.05221430033</v>
      </c>
      <c r="W81" s="485">
        <f>'Average Validator'!AS86</f>
        <v>0.05314155603</v>
      </c>
      <c r="X81" s="485">
        <f>'Average Validator'!AT86</f>
        <v>0.05406777957</v>
      </c>
      <c r="Y81" s="487">
        <f>'Average Validator'!AU86</f>
        <v>0.05499342588</v>
      </c>
      <c r="AO81" s="23"/>
      <c r="AP81" s="23"/>
      <c r="AQ81" s="23"/>
      <c r="AR81" s="23"/>
      <c r="AS81" s="23"/>
      <c r="AT81" s="23"/>
      <c r="AU81" s="23"/>
      <c r="AV81" s="23"/>
      <c r="AW81" s="23"/>
      <c r="AX81" s="23"/>
      <c r="AY81" s="23"/>
      <c r="AZ81" s="23"/>
      <c r="BA81" s="23"/>
      <c r="BB81" s="23"/>
      <c r="BC81" s="23"/>
    </row>
    <row r="82">
      <c r="A82" s="110"/>
      <c r="B82" s="301">
        <f t="shared" si="12"/>
        <v>9000000</v>
      </c>
      <c r="C82" s="485">
        <f>'Average Validator'!AL109</f>
        <v>-0.005845961586</v>
      </c>
      <c r="D82" s="485">
        <f>'Average Validator'!AM109</f>
        <v>-0.003488519683</v>
      </c>
      <c r="E82" s="485">
        <f>'Average Validator'!AN109</f>
        <v>-0.001166361122</v>
      </c>
      <c r="F82" s="485">
        <f>'Average Validator'!AO109</f>
        <v>0.001127422204</v>
      </c>
      <c r="G82" s="486">
        <f>'Average Validator'!AP109</f>
        <v>0.003399738402</v>
      </c>
      <c r="H82" s="485">
        <f>'Average Validator'!AQ109</f>
        <v>0.004304201501</v>
      </c>
      <c r="I82" s="485">
        <f>'Average Validator'!AR109</f>
        <v>0.005206777276</v>
      </c>
      <c r="J82" s="485">
        <f>'Average Validator'!AS109</f>
        <v>0.006107907845</v>
      </c>
      <c r="K82" s="485">
        <f>'Average Validator'!AT109</f>
        <v>0.007008035327</v>
      </c>
      <c r="L82" s="487">
        <f>'Average Validator'!AU109</f>
        <v>0.007907601841</v>
      </c>
      <c r="N82" s="110"/>
      <c r="O82" s="301">
        <f t="shared" si="13"/>
        <v>9000000</v>
      </c>
      <c r="P82" s="485">
        <f>'Average Validator'!AL87</f>
        <v>0.03969044004</v>
      </c>
      <c r="Q82" s="485">
        <f>'Average Validator'!AM87</f>
        <v>0.04204788194</v>
      </c>
      <c r="R82" s="485">
        <f>'Average Validator'!AN87</f>
        <v>0.04437004051</v>
      </c>
      <c r="S82" s="485">
        <f>'Average Validator'!AO87</f>
        <v>0.04666382383</v>
      </c>
      <c r="T82" s="486">
        <f>'Average Validator'!AP87</f>
        <v>0.04893614003</v>
      </c>
      <c r="U82" s="485">
        <f>'Average Validator'!AQ87</f>
        <v>0.04984060313</v>
      </c>
      <c r="V82" s="485">
        <f>'Average Validator'!AR87</f>
        <v>0.0507431789</v>
      </c>
      <c r="W82" s="485">
        <f>'Average Validator'!AS87</f>
        <v>0.05164430947</v>
      </c>
      <c r="X82" s="485">
        <f>'Average Validator'!AT87</f>
        <v>0.05254443695</v>
      </c>
      <c r="Y82" s="487">
        <f>'Average Validator'!AU87</f>
        <v>0.05344400347</v>
      </c>
      <c r="AO82" s="23"/>
      <c r="AP82" s="23"/>
      <c r="AQ82" s="23"/>
      <c r="AR82" s="23"/>
      <c r="AS82" s="23"/>
      <c r="AT82" s="23"/>
      <c r="AU82" s="23"/>
      <c r="AV82" s="23"/>
      <c r="AW82" s="23"/>
      <c r="AX82" s="23"/>
      <c r="AY82" s="23"/>
      <c r="AZ82" s="23"/>
      <c r="BA82" s="23"/>
      <c r="BB82" s="23"/>
      <c r="BC82" s="23"/>
    </row>
    <row r="83">
      <c r="A83" s="110"/>
      <c r="B83" s="301">
        <f t="shared" si="12"/>
        <v>9500000</v>
      </c>
      <c r="C83" s="485">
        <f>'Average Validator'!AL110</f>
        <v>-0.006904564095</v>
      </c>
      <c r="D83" s="485">
        <f>'Average Validator'!AM110</f>
        <v>-0.00460999864</v>
      </c>
      <c r="E83" s="485">
        <f>'Average Validator'!AN110</f>
        <v>-0.002349775469</v>
      </c>
      <c r="F83" s="485">
        <f>'Average Validator'!AO110</f>
        <v>-0.0001171707235</v>
      </c>
      <c r="G83" s="486">
        <f>'Average Validator'!AP110</f>
        <v>0.002094539454</v>
      </c>
      <c r="H83" s="485">
        <f>'Average Validator'!AQ110</f>
        <v>0.00297487919</v>
      </c>
      <c r="I83" s="485">
        <f>'Average Validator'!AR110</f>
        <v>0.003853381939</v>
      </c>
      <c r="J83" s="485">
        <f>'Average Validator'!AS110</f>
        <v>0.004730478028</v>
      </c>
      <c r="K83" s="485">
        <f>'Average Validator'!AT110</f>
        <v>0.005606597784</v>
      </c>
      <c r="L83" s="487">
        <f>'Average Validator'!AU110</f>
        <v>0.006482171534</v>
      </c>
      <c r="N83" s="110"/>
      <c r="O83" s="301">
        <f t="shared" si="13"/>
        <v>9500000</v>
      </c>
      <c r="P83" s="485">
        <f>'Average Validator'!AL88</f>
        <v>0.03863183753</v>
      </c>
      <c r="Q83" s="485">
        <f>'Average Validator'!AM88</f>
        <v>0.04092640299</v>
      </c>
      <c r="R83" s="485">
        <f>'Average Validator'!AN88</f>
        <v>0.04318662616</v>
      </c>
      <c r="S83" s="485">
        <f>'Average Validator'!AO88</f>
        <v>0.0454192309</v>
      </c>
      <c r="T83" s="486">
        <f>'Average Validator'!AP88</f>
        <v>0.04763094108</v>
      </c>
      <c r="U83" s="485">
        <f>'Average Validator'!AQ88</f>
        <v>0.04851128082</v>
      </c>
      <c r="V83" s="485">
        <f>'Average Validator'!AR88</f>
        <v>0.04938978357</v>
      </c>
      <c r="W83" s="485">
        <f>'Average Validator'!AS88</f>
        <v>0.05026687966</v>
      </c>
      <c r="X83" s="485">
        <f>'Average Validator'!AT88</f>
        <v>0.05114299941</v>
      </c>
      <c r="Y83" s="487">
        <f>'Average Validator'!AU88</f>
        <v>0.05201857316</v>
      </c>
      <c r="AO83" s="23"/>
      <c r="AP83" s="23"/>
      <c r="AQ83" s="23"/>
      <c r="AR83" s="23"/>
      <c r="AS83" s="23"/>
      <c r="AT83" s="23"/>
      <c r="AU83" s="23"/>
      <c r="AV83" s="23"/>
      <c r="AW83" s="23"/>
      <c r="AX83" s="23"/>
      <c r="AY83" s="23"/>
      <c r="AZ83" s="23"/>
      <c r="BA83" s="23"/>
      <c r="BB83" s="23"/>
      <c r="BC83" s="23"/>
    </row>
    <row r="84">
      <c r="A84" s="146"/>
      <c r="B84" s="449">
        <f t="shared" si="12"/>
        <v>10000000</v>
      </c>
      <c r="C84" s="488">
        <f>'Average Validator'!AL111</f>
        <v>-0.007882744068</v>
      </c>
      <c r="D84" s="488">
        <f>'Average Validator'!AM111</f>
        <v>-0.005646278308</v>
      </c>
      <c r="E84" s="488">
        <f>'Average Validator'!AN111</f>
        <v>-0.003443285266</v>
      </c>
      <c r="F84" s="488">
        <f>'Average Validator'!AO111</f>
        <v>-0.001267211335</v>
      </c>
      <c r="G84" s="489">
        <f>'Average Validator'!AP111</f>
        <v>0.0008884970894</v>
      </c>
      <c r="H84" s="488">
        <f>'Average Validator'!AQ111</f>
        <v>0.001746546125</v>
      </c>
      <c r="I84" s="488">
        <f>'Average Validator'!AR111</f>
        <v>0.002602804688</v>
      </c>
      <c r="J84" s="488">
        <f>'Average Validator'!AS111</f>
        <v>0.003457692208</v>
      </c>
      <c r="K84" s="488">
        <f>'Average Validator'!AT111</f>
        <v>0.004311628117</v>
      </c>
      <c r="L84" s="490">
        <f>'Average Validator'!AU111</f>
        <v>0.005165031844</v>
      </c>
      <c r="N84" s="146"/>
      <c r="O84" s="449">
        <f t="shared" si="13"/>
        <v>10000000</v>
      </c>
      <c r="P84" s="488">
        <f>'Average Validator'!AL89</f>
        <v>0.03765365756</v>
      </c>
      <c r="Q84" s="488">
        <f>'Average Validator'!AM89</f>
        <v>0.03989012332</v>
      </c>
      <c r="R84" s="488">
        <f>'Average Validator'!AN89</f>
        <v>0.04209311636</v>
      </c>
      <c r="S84" s="488">
        <f>'Average Validator'!AO89</f>
        <v>0.04426919029</v>
      </c>
      <c r="T84" s="489">
        <f>'Average Validator'!AP89</f>
        <v>0.04642489872</v>
      </c>
      <c r="U84" s="488">
        <f>'Average Validator'!AQ89</f>
        <v>0.04728294775</v>
      </c>
      <c r="V84" s="488">
        <f>'Average Validator'!AR89</f>
        <v>0.04813920632</v>
      </c>
      <c r="W84" s="488">
        <f>'Average Validator'!AS89</f>
        <v>0.04899409384</v>
      </c>
      <c r="X84" s="488">
        <f>'Average Validator'!AT89</f>
        <v>0.04984802974</v>
      </c>
      <c r="Y84" s="490">
        <f>'Average Validator'!AU89</f>
        <v>0.05070143347</v>
      </c>
      <c r="AO84" s="23"/>
      <c r="AP84" s="23"/>
      <c r="AQ84" s="23"/>
      <c r="AR84" s="23"/>
      <c r="AS84" s="23"/>
      <c r="AT84" s="23"/>
      <c r="AU84" s="23"/>
      <c r="AV84" s="23"/>
      <c r="AW84" s="23"/>
      <c r="AX84" s="23"/>
      <c r="AY84" s="23"/>
      <c r="AZ84" s="23"/>
      <c r="BA84" s="23"/>
      <c r="BB84" s="23"/>
      <c r="BC84" s="23"/>
    </row>
    <row r="85">
      <c r="AO85" s="23"/>
      <c r="AP85" s="23"/>
      <c r="AQ85" s="23"/>
      <c r="AR85" s="23"/>
      <c r="AS85" s="23"/>
      <c r="AT85" s="23"/>
      <c r="AU85" s="23"/>
      <c r="AV85" s="23"/>
      <c r="AW85" s="23"/>
      <c r="AX85" s="23"/>
      <c r="AY85" s="23"/>
      <c r="AZ85" s="23"/>
      <c r="BA85" s="23"/>
      <c r="BB85" s="23"/>
      <c r="BC85" s="23"/>
    </row>
    <row r="86">
      <c r="AO86" s="23"/>
      <c r="AP86" s="23"/>
      <c r="AQ86" s="23"/>
      <c r="AR86" s="23"/>
      <c r="AS86" s="23"/>
      <c r="AT86" s="23"/>
      <c r="AU86" s="23"/>
      <c r="AV86" s="23"/>
      <c r="AW86" s="23"/>
      <c r="AX86" s="23"/>
      <c r="AY86" s="23"/>
      <c r="AZ86" s="23"/>
      <c r="BA86" s="23"/>
      <c r="BB86" s="23"/>
      <c r="BC86" s="23"/>
    </row>
    <row r="87">
      <c r="A87" s="491" t="s">
        <v>88</v>
      </c>
      <c r="B87" s="492"/>
      <c r="C87" s="493"/>
      <c r="D87" s="493"/>
      <c r="E87" s="74"/>
      <c r="F87" s="494"/>
      <c r="G87" s="495"/>
      <c r="H87" s="495"/>
      <c r="I87" s="495"/>
      <c r="J87" s="495"/>
      <c r="K87" s="495"/>
      <c r="L87" s="496"/>
      <c r="AO87" s="23"/>
      <c r="AP87" s="23"/>
      <c r="AQ87" s="23"/>
      <c r="AR87" s="23"/>
      <c r="AS87" s="23"/>
      <c r="AT87" s="23"/>
      <c r="AU87" s="23"/>
      <c r="AV87" s="23"/>
      <c r="AW87" s="23"/>
      <c r="AX87" s="23"/>
      <c r="AY87" s="23"/>
      <c r="AZ87" s="23"/>
      <c r="BA87" s="23"/>
      <c r="BB87" s="23"/>
      <c r="BC87" s="23"/>
    </row>
    <row r="88">
      <c r="A88" s="497" t="s">
        <v>58</v>
      </c>
      <c r="B88" s="498"/>
      <c r="C88" s="499"/>
      <c r="D88" s="499"/>
      <c r="E88" s="500" t="s">
        <v>59</v>
      </c>
      <c r="F88" s="501"/>
      <c r="G88" s="502"/>
      <c r="H88" s="501"/>
      <c r="I88" s="503"/>
      <c r="J88" s="503"/>
      <c r="K88" s="503"/>
      <c r="L88" s="504"/>
      <c r="N88" s="505"/>
      <c r="AO88" s="23"/>
      <c r="AP88" s="23"/>
      <c r="AQ88" s="23"/>
      <c r="AR88" s="23"/>
      <c r="AS88" s="23"/>
      <c r="AT88" s="23"/>
      <c r="AU88" s="23"/>
      <c r="AV88" s="23"/>
      <c r="AW88" s="23"/>
      <c r="AX88" s="23"/>
      <c r="AY88" s="23"/>
      <c r="AZ88" s="23"/>
      <c r="BA88" s="23"/>
      <c r="BB88" s="23"/>
      <c r="BC88" s="23"/>
    </row>
    <row r="89">
      <c r="A89" s="506"/>
      <c r="B89" s="483">
        <f>$F$13</f>
        <v>0.08457503111</v>
      </c>
      <c r="C89" s="97">
        <f t="shared" ref="C89:E89" si="14">D89-0.05</f>
        <v>0.7</v>
      </c>
      <c r="D89" s="97">
        <f t="shared" si="14"/>
        <v>0.75</v>
      </c>
      <c r="E89" s="97">
        <f t="shared" si="14"/>
        <v>0.8</v>
      </c>
      <c r="F89" s="484">
        <v>0.85</v>
      </c>
      <c r="G89" s="98">
        <v>0.9</v>
      </c>
      <c r="H89" s="97">
        <f t="shared" ref="H89:L89" si="15">G89+0.02</f>
        <v>0.92</v>
      </c>
      <c r="I89" s="97">
        <f t="shared" si="15"/>
        <v>0.94</v>
      </c>
      <c r="J89" s="97">
        <f t="shared" si="15"/>
        <v>0.96</v>
      </c>
      <c r="K89" s="97">
        <f t="shared" si="15"/>
        <v>0.98</v>
      </c>
      <c r="L89" s="99">
        <f t="shared" si="15"/>
        <v>1</v>
      </c>
      <c r="M89" s="507"/>
      <c r="N89" s="505"/>
      <c r="O89" s="505"/>
      <c r="P89" s="505"/>
      <c r="Q89" s="505"/>
      <c r="R89" s="505"/>
      <c r="S89" s="508"/>
      <c r="T89" s="508"/>
      <c r="U89" s="508"/>
      <c r="V89" s="508"/>
      <c r="W89" s="508"/>
      <c r="AO89" s="23"/>
      <c r="AP89" s="23"/>
      <c r="AQ89" s="23"/>
      <c r="AR89" s="23"/>
      <c r="AS89" s="23"/>
      <c r="AT89" s="23"/>
      <c r="AU89" s="23"/>
      <c r="AV89" s="23"/>
      <c r="AW89" s="23"/>
      <c r="AX89" s="23"/>
      <c r="AY89" s="23"/>
      <c r="AZ89" s="23"/>
      <c r="BA89" s="23"/>
      <c r="BB89" s="23"/>
      <c r="BC89" s="23"/>
    </row>
    <row r="90">
      <c r="A90" s="102" t="s">
        <v>66</v>
      </c>
      <c r="B90" s="301">
        <v>2000000.0</v>
      </c>
      <c r="C90" s="509">
        <f>'Average Validator'!AL116</f>
        <v>0.0005887190431</v>
      </c>
      <c r="D90" s="509">
        <f>'Average Validator'!AM116</f>
        <v>0.0008269278155</v>
      </c>
      <c r="E90" s="509">
        <f>'Average Validator'!AN116</f>
        <v>0.001073525805</v>
      </c>
      <c r="F90" s="509">
        <f>'Average Validator'!AO116</f>
        <v>0.001328236748</v>
      </c>
      <c r="G90" s="510">
        <f>'Average Validator'!AP116</f>
        <v>0.001590784378</v>
      </c>
      <c r="H90" s="509">
        <f>'Average Validator'!AQ116</f>
        <v>0.001697935819</v>
      </c>
      <c r="I90" s="509">
        <f>'Average Validator'!AR116</f>
        <v>0.001806279248</v>
      </c>
      <c r="J90" s="509">
        <f>'Average Validator'!AS116</f>
        <v>0.001915796982</v>
      </c>
      <c r="K90" s="509">
        <f>'Average Validator'!AT116</f>
        <v>0.002026471341</v>
      </c>
      <c r="L90" s="511">
        <f>'Average Validator'!AU116</f>
        <v>0.002138284644</v>
      </c>
      <c r="AO90" s="23"/>
      <c r="AP90" s="23"/>
      <c r="AQ90" s="23"/>
      <c r="AR90" s="23"/>
      <c r="AS90" s="23"/>
      <c r="AT90" s="23"/>
      <c r="AU90" s="23"/>
      <c r="AV90" s="23"/>
      <c r="AW90" s="23"/>
      <c r="AX90" s="23"/>
      <c r="AY90" s="23"/>
      <c r="AZ90" s="23"/>
      <c r="BA90" s="23"/>
      <c r="BB90" s="23"/>
      <c r="BC90" s="23"/>
    </row>
    <row r="91">
      <c r="A91" s="110"/>
      <c r="B91" s="301">
        <f t="shared" ref="B91:B106" si="16">B90+500000</f>
        <v>2500000</v>
      </c>
      <c r="C91" s="509">
        <f>'Average Validator'!AL117</f>
        <v>0.0006582079001</v>
      </c>
      <c r="D91" s="509">
        <f>'Average Validator'!AM117</f>
        <v>0.000924533404</v>
      </c>
      <c r="E91" s="509">
        <f>'Average Validator'!AN117</f>
        <v>0.001200238338</v>
      </c>
      <c r="F91" s="509">
        <f>'Average Validator'!AO117</f>
        <v>0.001485013829</v>
      </c>
      <c r="G91" s="510">
        <f>'Average Validator'!AP117</f>
        <v>0.001778551003</v>
      </c>
      <c r="H91" s="509">
        <f>'Average Validator'!AQ117</f>
        <v>0.001898349957</v>
      </c>
      <c r="I91" s="509">
        <f>'Average Validator'!AR117</f>
        <v>0.002019481592</v>
      </c>
      <c r="J91" s="509">
        <f>'Average Validator'!AS117</f>
        <v>0.002141926141</v>
      </c>
      <c r="K91" s="509">
        <f>'Average Validator'!AT117</f>
        <v>0.002265663836</v>
      </c>
      <c r="L91" s="511">
        <f>'Average Validator'!AU117</f>
        <v>0.002390674909</v>
      </c>
      <c r="AO91" s="23"/>
      <c r="AP91" s="23"/>
      <c r="AQ91" s="23"/>
      <c r="AR91" s="23"/>
      <c r="AS91" s="23"/>
      <c r="AT91" s="23"/>
      <c r="AU91" s="23"/>
      <c r="AV91" s="23"/>
      <c r="AW91" s="23"/>
      <c r="AX91" s="23"/>
      <c r="AY91" s="23"/>
      <c r="AZ91" s="23"/>
      <c r="BA91" s="23"/>
      <c r="BB91" s="23"/>
      <c r="BC91" s="23"/>
    </row>
    <row r="92">
      <c r="A92" s="110"/>
      <c r="B92" s="301">
        <f t="shared" si="16"/>
        <v>3000000</v>
      </c>
      <c r="C92" s="509">
        <f>'Average Validator'!AL118</f>
        <v>0.0007210306288</v>
      </c>
      <c r="D92" s="509">
        <f>'Average Validator'!AM118</f>
        <v>0.001012775601</v>
      </c>
      <c r="E92" s="509">
        <f>'Average Validator'!AN118</f>
        <v>0.001314795224</v>
      </c>
      <c r="F92" s="509">
        <f>'Average Validator'!AO118</f>
        <v>0.001626751145</v>
      </c>
      <c r="G92" s="510">
        <f>'Average Validator'!AP118</f>
        <v>0.001948305008</v>
      </c>
      <c r="H92" s="509">
        <f>'Average Validator'!AQ118</f>
        <v>0.002079538187</v>
      </c>
      <c r="I92" s="509">
        <f>'Average Validator'!AR118</f>
        <v>0.002212231245</v>
      </c>
      <c r="J92" s="509">
        <f>'Average Validator'!AS118</f>
        <v>0.002346362528</v>
      </c>
      <c r="K92" s="509">
        <f>'Average Validator'!AT118</f>
        <v>0.002481910381</v>
      </c>
      <c r="L92" s="511">
        <f>'Average Validator'!AU118</f>
        <v>0.002618853151</v>
      </c>
      <c r="AO92" s="23"/>
      <c r="AP92" s="23"/>
      <c r="AQ92" s="23"/>
      <c r="AR92" s="23"/>
      <c r="AS92" s="23"/>
      <c r="AT92" s="23"/>
      <c r="AU92" s="23"/>
      <c r="AV92" s="23"/>
      <c r="AW92" s="23"/>
      <c r="AX92" s="23"/>
      <c r="AY92" s="23"/>
      <c r="AZ92" s="23"/>
      <c r="BA92" s="23"/>
      <c r="BB92" s="23"/>
      <c r="BC92" s="23"/>
    </row>
    <row r="93">
      <c r="A93" s="110"/>
      <c r="B93" s="301">
        <f t="shared" si="16"/>
        <v>3500000</v>
      </c>
      <c r="C93" s="509">
        <f>'Average Validator'!AL119</f>
        <v>0.0007788020901</v>
      </c>
      <c r="D93" s="509">
        <f>'Average Validator'!AM119</f>
        <v>0.001093922676</v>
      </c>
      <c r="E93" s="509">
        <f>'Average Validator'!AN119</f>
        <v>0.001420141153</v>
      </c>
      <c r="F93" s="509">
        <f>'Average Validator'!AO119</f>
        <v>0.001757092058</v>
      </c>
      <c r="G93" s="510">
        <f>'Average Validator'!AP119</f>
        <v>0.002104409927</v>
      </c>
      <c r="H93" s="509">
        <f>'Average Validator'!AQ119</f>
        <v>0.00224615796</v>
      </c>
      <c r="I93" s="509">
        <f>'Average Validator'!AR119</f>
        <v>0.002389482844</v>
      </c>
      <c r="J93" s="509">
        <f>'Average Validator'!AS119</f>
        <v>0.002534361188</v>
      </c>
      <c r="K93" s="509">
        <f>'Average Validator'!AT119</f>
        <v>0.002680769603</v>
      </c>
      <c r="L93" s="511">
        <f>'Average Validator'!AU119</f>
        <v>0.0028286847</v>
      </c>
      <c r="AO93" s="23"/>
      <c r="AP93" s="23"/>
      <c r="AQ93" s="23"/>
      <c r="AR93" s="23"/>
      <c r="AS93" s="23"/>
      <c r="AT93" s="23"/>
      <c r="AU93" s="23"/>
      <c r="AV93" s="23"/>
      <c r="AW93" s="23"/>
      <c r="AX93" s="23"/>
      <c r="AY93" s="23"/>
      <c r="AZ93" s="23"/>
      <c r="BA93" s="23"/>
      <c r="BB93" s="23"/>
      <c r="BC93" s="23"/>
    </row>
    <row r="94">
      <c r="A94" s="110"/>
      <c r="B94" s="301">
        <f t="shared" si="16"/>
        <v>4000000</v>
      </c>
      <c r="C94" s="509">
        <f>'Average Validator'!AL120</f>
        <v>0.0008325744552</v>
      </c>
      <c r="D94" s="509">
        <f>'Average Validator'!AM120</f>
        <v>0.001169452532</v>
      </c>
      <c r="E94" s="509">
        <f>'Average Validator'!AN120</f>
        <v>0.001518194753</v>
      </c>
      <c r="F94" s="509">
        <f>'Average Validator'!AO120</f>
        <v>0.001878410423</v>
      </c>
      <c r="G94" s="510">
        <f>'Average Validator'!AP120</f>
        <v>0.002249708842</v>
      </c>
      <c r="H94" s="509">
        <f>'Average Validator'!AQ120</f>
        <v>0.002401243864</v>
      </c>
      <c r="I94" s="509">
        <f>'Average Validator'!AR120</f>
        <v>0.002554464609</v>
      </c>
      <c r="J94" s="509">
        <f>'Average Validator'!AS120</f>
        <v>0.002709346074</v>
      </c>
      <c r="K94" s="509">
        <f>'Average Validator'!AT120</f>
        <v>0.002865863254</v>
      </c>
      <c r="L94" s="511">
        <f>'Average Validator'!AU120</f>
        <v>0.003023991143</v>
      </c>
      <c r="AO94" s="23"/>
      <c r="AP94" s="23"/>
      <c r="AQ94" s="23"/>
      <c r="AR94" s="23"/>
      <c r="AS94" s="23"/>
      <c r="AT94" s="23"/>
      <c r="AU94" s="23"/>
      <c r="AV94" s="23"/>
      <c r="AW94" s="23"/>
      <c r="AX94" s="23"/>
      <c r="AY94" s="23"/>
      <c r="AZ94" s="23"/>
      <c r="BA94" s="23"/>
      <c r="BB94" s="23"/>
      <c r="BC94" s="23"/>
    </row>
    <row r="95">
      <c r="A95" s="110"/>
      <c r="B95" s="301">
        <f t="shared" si="16"/>
        <v>4500000</v>
      </c>
      <c r="C95" s="509">
        <f>'Average Validator'!AL121</f>
        <v>0.0008830785647</v>
      </c>
      <c r="D95" s="509">
        <f>'Average Validator'!AM121</f>
        <v>0.001240391723</v>
      </c>
      <c r="E95" s="509">
        <f>'Average Validator'!AN121</f>
        <v>0.001610288708</v>
      </c>
      <c r="F95" s="509">
        <f>'Average Validator'!AO121</f>
        <v>0.001992355121</v>
      </c>
      <c r="G95" s="510">
        <f>'Average Validator'!AP121</f>
        <v>0.002386176567</v>
      </c>
      <c r="H95" s="509">
        <f>'Average Validator'!AQ121</f>
        <v>0.002546903729</v>
      </c>
      <c r="I95" s="509">
        <f>'Average Validator'!AR121</f>
        <v>0.002709418871</v>
      </c>
      <c r="J95" s="509">
        <f>'Average Validator'!AS121</f>
        <v>0.002873695473</v>
      </c>
      <c r="K95" s="509">
        <f>'Average Validator'!AT121</f>
        <v>0.003039707011</v>
      </c>
      <c r="L95" s="511">
        <f>'Average Validator'!AU121</f>
        <v>0.003207426965</v>
      </c>
      <c r="AO95" s="23"/>
      <c r="AP95" s="23"/>
      <c r="AQ95" s="23"/>
      <c r="AR95" s="23"/>
      <c r="AS95" s="23"/>
      <c r="AT95" s="23"/>
      <c r="AU95" s="23"/>
      <c r="AV95" s="23"/>
      <c r="AW95" s="23"/>
      <c r="AX95" s="23"/>
      <c r="AY95" s="23"/>
      <c r="AZ95" s="23"/>
      <c r="BA95" s="23"/>
      <c r="BB95" s="23"/>
      <c r="BC95" s="23"/>
    </row>
    <row r="96">
      <c r="A96" s="110"/>
      <c r="B96" s="301">
        <f t="shared" si="16"/>
        <v>5000000</v>
      </c>
      <c r="C96" s="509">
        <f>'Average Validator'!AL122</f>
        <v>0.0009308465391</v>
      </c>
      <c r="D96" s="509">
        <f>'Average Validator'!AM122</f>
        <v>0.001307487679</v>
      </c>
      <c r="E96" s="509">
        <f>'Average Validator'!AN122</f>
        <v>0.001697393336</v>
      </c>
      <c r="F96" s="509">
        <f>'Average Validator'!AO122</f>
        <v>0.002100126697</v>
      </c>
      <c r="G96" s="510">
        <f>'Average Validator'!AP122</f>
        <v>0.00251525095</v>
      </c>
      <c r="H96" s="509">
        <f>'Average Validator'!AQ122</f>
        <v>0.002684672255</v>
      </c>
      <c r="I96" s="509">
        <f>'Average Validator'!AR122</f>
        <v>0.002855978256</v>
      </c>
      <c r="J96" s="509">
        <f>'Average Validator'!AS122</f>
        <v>0.003029140998</v>
      </c>
      <c r="K96" s="509">
        <f>'Average Validator'!AT122</f>
        <v>0.003204132525</v>
      </c>
      <c r="L96" s="511">
        <f>'Average Validator'!AU122</f>
        <v>0.00338092488</v>
      </c>
      <c r="AO96" s="23"/>
      <c r="AP96" s="23"/>
      <c r="AQ96" s="23"/>
      <c r="AR96" s="23"/>
      <c r="AS96" s="23"/>
      <c r="AT96" s="23"/>
      <c r="AU96" s="23"/>
      <c r="AV96" s="23"/>
      <c r="AW96" s="23"/>
      <c r="AX96" s="23"/>
      <c r="AY96" s="23"/>
      <c r="AZ96" s="23"/>
      <c r="BA96" s="23"/>
      <c r="BB96" s="23"/>
      <c r="BC96" s="23"/>
    </row>
    <row r="97">
      <c r="A97" s="110"/>
      <c r="B97" s="301">
        <f t="shared" si="16"/>
        <v>5500000</v>
      </c>
      <c r="C97" s="509">
        <f>'Average Validator'!AL123</f>
        <v>0.0009762800865</v>
      </c>
      <c r="D97" s="509">
        <f>'Average Validator'!AM123</f>
        <v>0.001371304646</v>
      </c>
      <c r="E97" s="509">
        <f>'Average Validator'!AN123</f>
        <v>0.001780241149</v>
      </c>
      <c r="F97" s="509">
        <f>'Average Validator'!AO123</f>
        <v>0.002202631462</v>
      </c>
      <c r="G97" s="510">
        <f>'Average Validator'!AP123</f>
        <v>0.002638017452</v>
      </c>
      <c r="H97" s="509">
        <f>'Average Validator'!AQ123</f>
        <v>0.002815708016</v>
      </c>
      <c r="I97" s="509">
        <f>'Average Validator'!AR123</f>
        <v>0.002995375265</v>
      </c>
      <c r="J97" s="509">
        <f>'Average Validator'!AS123</f>
        <v>0.003176989881</v>
      </c>
      <c r="K97" s="509">
        <f>'Average Validator'!AT123</f>
        <v>0.003360522543</v>
      </c>
      <c r="L97" s="511">
        <f>'Average Validator'!AU123</f>
        <v>0.003545943929</v>
      </c>
      <c r="AO97" s="23"/>
      <c r="AP97" s="23"/>
      <c r="AQ97" s="23"/>
      <c r="AR97" s="23"/>
      <c r="AS97" s="23"/>
      <c r="AT97" s="23"/>
      <c r="AU97" s="23"/>
      <c r="AV97" s="23"/>
      <c r="AW97" s="23"/>
      <c r="AX97" s="23"/>
      <c r="AY97" s="23"/>
      <c r="AZ97" s="23"/>
      <c r="BA97" s="23"/>
      <c r="BB97" s="23"/>
      <c r="BC97" s="23"/>
    </row>
    <row r="98">
      <c r="A98" s="110"/>
      <c r="B98" s="301">
        <f t="shared" si="16"/>
        <v>6000000</v>
      </c>
      <c r="C98" s="509">
        <f>'Average Validator'!AL124</f>
        <v>0.001019691294</v>
      </c>
      <c r="D98" s="509">
        <f>'Average Validator'!AM124</f>
        <v>0.001432280991</v>
      </c>
      <c r="E98" s="509">
        <f>'Average Validator'!AN124</f>
        <v>0.001859401238</v>
      </c>
      <c r="F98" s="509">
        <f>'Average Validator'!AO124</f>
        <v>0.002300573531</v>
      </c>
      <c r="G98" s="510">
        <f>'Average Validator'!AP124</f>
        <v>0.002755319367</v>
      </c>
      <c r="H98" s="509">
        <f>'Average Validator'!AQ124</f>
        <v>0.002940911107</v>
      </c>
      <c r="I98" s="509">
        <f>'Average Validator'!AR124</f>
        <v>0.00312856743</v>
      </c>
      <c r="J98" s="509">
        <f>'Average Validator'!AS124</f>
        <v>0.003318257709</v>
      </c>
      <c r="K98" s="509">
        <f>'Average Validator'!AT124</f>
        <v>0.003509951322</v>
      </c>
      <c r="L98" s="511">
        <f>'Average Validator'!AU124</f>
        <v>0.003703617644</v>
      </c>
      <c r="AO98" s="23"/>
      <c r="AP98" s="23"/>
      <c r="AQ98" s="23"/>
      <c r="AR98" s="23"/>
      <c r="AS98" s="23"/>
      <c r="AT98" s="23"/>
      <c r="AU98" s="23"/>
      <c r="AV98" s="23"/>
      <c r="AW98" s="23"/>
      <c r="AX98" s="23"/>
      <c r="AY98" s="23"/>
      <c r="AZ98" s="23"/>
      <c r="BA98" s="23"/>
      <c r="BB98" s="23"/>
      <c r="BC98" s="23"/>
    </row>
    <row r="99">
      <c r="A99" s="110"/>
      <c r="B99" s="301">
        <f t="shared" si="16"/>
        <v>6500000</v>
      </c>
      <c r="C99" s="509">
        <f>'Average Validator'!AL125</f>
        <v>0.001061328348</v>
      </c>
      <c r="D99" s="509">
        <f>'Average Validator'!AM125</f>
        <v>0.00149076532</v>
      </c>
      <c r="E99" s="509">
        <f>'Average Validator'!AN125</f>
        <v>0.001935326168</v>
      </c>
      <c r="F99" s="509">
        <f>'Average Validator'!AO125</f>
        <v>0.00239451285</v>
      </c>
      <c r="G99" s="510">
        <f>'Average Validator'!AP125</f>
        <v>0.002867827321</v>
      </c>
      <c r="H99" s="509">
        <f>'Average Validator'!AQ125</f>
        <v>0.00306099733</v>
      </c>
      <c r="I99" s="509">
        <f>'Average Validator'!AR125</f>
        <v>0.003256316223</v>
      </c>
      <c r="J99" s="509">
        <f>'Average Validator'!AS125</f>
        <v>0.003453752125</v>
      </c>
      <c r="K99" s="509">
        <f>'Average Validator'!AT125</f>
        <v>0.003653273163</v>
      </c>
      <c r="L99" s="511">
        <f>'Average Validator'!AU125</f>
        <v>0.003854847462</v>
      </c>
      <c r="AO99" s="23"/>
      <c r="AP99" s="23"/>
      <c r="AQ99" s="23"/>
      <c r="AR99" s="23"/>
      <c r="AS99" s="23"/>
      <c r="AT99" s="23"/>
      <c r="AU99" s="23"/>
      <c r="AV99" s="23"/>
      <c r="AW99" s="23"/>
      <c r="AX99" s="23"/>
      <c r="AY99" s="23"/>
      <c r="AZ99" s="23"/>
      <c r="BA99" s="23"/>
      <c r="BB99" s="23"/>
      <c r="BC99" s="23"/>
    </row>
    <row r="100">
      <c r="A100" s="110"/>
      <c r="B100" s="301">
        <f t="shared" si="16"/>
        <v>7000000</v>
      </c>
      <c r="C100" s="509">
        <f>'Average Validator'!AL126</f>
        <v>0.001101392478</v>
      </c>
      <c r="D100" s="509">
        <f>'Average Validator'!AM126</f>
        <v>0.001547040285</v>
      </c>
      <c r="E100" s="509">
        <f>'Average Validator'!AN126</f>
        <v>0.00200838288</v>
      </c>
      <c r="F100" s="509">
        <f>'Average Validator'!AO126</f>
        <v>0.002484903419</v>
      </c>
      <c r="G100" s="510">
        <f>'Average Validator'!AP126</f>
        <v>0.002976085059</v>
      </c>
      <c r="H100" s="509">
        <f>'Average Validator'!AQ126</f>
        <v>0.00317654705</v>
      </c>
      <c r="I100" s="509">
        <f>'Average Validator'!AR126</f>
        <v>0.003379239045</v>
      </c>
      <c r="J100" s="509">
        <f>'Average Validator'!AS126</f>
        <v>0.003584127964</v>
      </c>
      <c r="K100" s="509">
        <f>'Average Validator'!AT126</f>
        <v>0.00379118073</v>
      </c>
      <c r="L100" s="511">
        <f>'Average Validator'!AU126</f>
        <v>0.004000364266</v>
      </c>
      <c r="AO100" s="23"/>
      <c r="AP100" s="23"/>
      <c r="AQ100" s="23"/>
      <c r="AR100" s="23"/>
      <c r="AS100" s="23"/>
      <c r="AT100" s="23"/>
      <c r="AU100" s="23"/>
      <c r="AV100" s="23"/>
      <c r="AW100" s="23"/>
      <c r="AX100" s="23"/>
      <c r="AY100" s="23"/>
      <c r="AZ100" s="23"/>
      <c r="BA100" s="23"/>
      <c r="BB100" s="23"/>
      <c r="BC100" s="23"/>
    </row>
    <row r="101">
      <c r="A101" s="110"/>
      <c r="B101" s="301">
        <f t="shared" si="16"/>
        <v>7500000</v>
      </c>
      <c r="C101" s="509">
        <f>'Average Validator'!AL127</f>
        <v>0.001140049525</v>
      </c>
      <c r="D101" s="509">
        <f>'Average Validator'!AM127</f>
        <v>0.001601338829</v>
      </c>
      <c r="E101" s="509">
        <f>'Average Validator'!AN127</f>
        <v>0.002078873783</v>
      </c>
      <c r="F101" s="509">
        <f>'Average Validator'!AO127</f>
        <v>0.002572119402</v>
      </c>
      <c r="G101" s="510">
        <f>'Average Validator'!AP127</f>
        <v>0.003080540702</v>
      </c>
      <c r="H101" s="509">
        <f>'Average Validator'!AQ127</f>
        <v>0.003288038576</v>
      </c>
      <c r="I101" s="509">
        <f>'Average Validator'!AR127</f>
        <v>0.003497844722</v>
      </c>
      <c r="J101" s="509">
        <f>'Average Validator'!AS127</f>
        <v>0.003709924902</v>
      </c>
      <c r="K101" s="509">
        <f>'Average Validator'!AT127</f>
        <v>0.003924244877</v>
      </c>
      <c r="L101" s="511">
        <f>'Average Validator'!AU127</f>
        <v>0.004140770407</v>
      </c>
      <c r="AO101" s="23"/>
      <c r="AP101" s="23"/>
      <c r="AQ101" s="23"/>
      <c r="AR101" s="23"/>
      <c r="AS101" s="23"/>
      <c r="AT101" s="23"/>
      <c r="AU101" s="23"/>
      <c r="AV101" s="23"/>
      <c r="AW101" s="23"/>
      <c r="AX101" s="23"/>
      <c r="AY101" s="23"/>
      <c r="AZ101" s="23"/>
      <c r="BA101" s="23"/>
      <c r="BB101" s="23"/>
      <c r="BC101" s="23"/>
    </row>
    <row r="102">
      <c r="A102" s="110"/>
      <c r="B102" s="301">
        <f t="shared" si="16"/>
        <v>8000000</v>
      </c>
      <c r="C102" s="509">
        <f>'Average Validator'!AL128</f>
        <v>0.001177438086</v>
      </c>
      <c r="D102" s="509">
        <f>'Average Validator'!AM128</f>
        <v>0.001653855631</v>
      </c>
      <c r="E102" s="509">
        <f>'Average Validator'!AN128</f>
        <v>0.002147051611</v>
      </c>
      <c r="F102" s="509">
        <f>'Average Validator'!AO128</f>
        <v>0.002656473495</v>
      </c>
      <c r="G102" s="510">
        <f>'Average Validator'!AP128</f>
        <v>0.003181568756</v>
      </c>
      <c r="H102" s="509">
        <f>'Average Validator'!AQ128</f>
        <v>0.003395871639</v>
      </c>
      <c r="I102" s="509">
        <f>'Average Validator'!AR128</f>
        <v>0.003612558495</v>
      </c>
      <c r="J102" s="509">
        <f>'Average Validator'!AS128</f>
        <v>0.003831593963</v>
      </c>
      <c r="K102" s="509">
        <f>'Average Validator'!AT128</f>
        <v>0.004052942681</v>
      </c>
      <c r="L102" s="511">
        <f>'Average Validator'!AU128</f>
        <v>0.004276569287</v>
      </c>
      <c r="AO102" s="23"/>
      <c r="AP102" s="23"/>
      <c r="AQ102" s="23"/>
      <c r="AR102" s="23"/>
      <c r="AS102" s="23"/>
      <c r="AT102" s="23"/>
      <c r="AU102" s="23"/>
      <c r="AV102" s="23"/>
      <c r="AW102" s="23"/>
      <c r="AX102" s="23"/>
      <c r="AY102" s="23"/>
      <c r="AZ102" s="23"/>
      <c r="BA102" s="23"/>
      <c r="BB102" s="23"/>
      <c r="BC102" s="23"/>
    </row>
    <row r="103">
      <c r="A103" s="110"/>
      <c r="B103" s="301">
        <f t="shared" si="16"/>
        <v>8500000</v>
      </c>
      <c r="C103" s="509">
        <f>'Average Validator'!AL129</f>
        <v>0.001213675399</v>
      </c>
      <c r="D103" s="509">
        <f>'Average Validator'!AM129</f>
        <v>0.001704755364</v>
      </c>
      <c r="E103" s="509">
        <f>'Average Validator'!AN129</f>
        <v>0.002213130144</v>
      </c>
      <c r="F103" s="509">
        <f>'Average Validator'!AO129</f>
        <v>0.002738230203</v>
      </c>
      <c r="G103" s="510">
        <f>'Average Validator'!AP129</f>
        <v>0.003279486009</v>
      </c>
      <c r="H103" s="509">
        <f>'Average Validator'!AQ129</f>
        <v>0.003500384364</v>
      </c>
      <c r="I103" s="509">
        <f>'Average Validator'!AR129</f>
        <v>0.003723740064</v>
      </c>
      <c r="J103" s="509">
        <f>'Average Validator'!AS129</f>
        <v>0.003949516656</v>
      </c>
      <c r="K103" s="509">
        <f>'Average Validator'!AT129</f>
        <v>0.004177677692</v>
      </c>
      <c r="L103" s="511">
        <f>'Average Validator'!AU129</f>
        <v>0.004408186721</v>
      </c>
      <c r="AO103" s="23"/>
      <c r="AP103" s="23"/>
      <c r="AQ103" s="23"/>
      <c r="AR103" s="23"/>
      <c r="AS103" s="23"/>
      <c r="AT103" s="23"/>
      <c r="AU103" s="23"/>
      <c r="AV103" s="23"/>
      <c r="AW103" s="23"/>
      <c r="AX103" s="23"/>
      <c r="AY103" s="23"/>
      <c r="AZ103" s="23"/>
      <c r="BA103" s="23"/>
      <c r="BB103" s="23"/>
      <c r="BC103" s="23"/>
    </row>
    <row r="104">
      <c r="A104" s="110"/>
      <c r="B104" s="301">
        <f t="shared" si="16"/>
        <v>9000000</v>
      </c>
      <c r="C104" s="509">
        <f>'Average Validator'!AL130</f>
        <v>0.001248861683</v>
      </c>
      <c r="D104" s="509">
        <f>'Average Validator'!AM130</f>
        <v>0.001754178798</v>
      </c>
      <c r="E104" s="509">
        <f>'Average Validator'!AN130</f>
        <v>0.00227729213</v>
      </c>
      <c r="F104" s="509">
        <f>'Average Validator'!AO130</f>
        <v>0.002817615634</v>
      </c>
      <c r="G104" s="510">
        <f>'Average Validator'!AP130</f>
        <v>0.003374563263</v>
      </c>
      <c r="H104" s="509">
        <f>'Average Validator'!AQ130</f>
        <v>0.003601865796</v>
      </c>
      <c r="I104" s="509">
        <f>'Average Validator'!AR130</f>
        <v>0.003831696914</v>
      </c>
      <c r="J104" s="509">
        <f>'Average Validator'!AS130</f>
        <v>0.004064019111</v>
      </c>
      <c r="K104" s="509">
        <f>'Average Validator'!AT130</f>
        <v>0.004298794881</v>
      </c>
      <c r="L104" s="511">
        <f>'Average Validator'!AU130</f>
        <v>0.004535986715</v>
      </c>
      <c r="AO104" s="23"/>
      <c r="AP104" s="23"/>
      <c r="AQ104" s="23"/>
      <c r="AR104" s="23"/>
      <c r="AS104" s="23"/>
      <c r="AT104" s="23"/>
      <c r="AU104" s="23"/>
      <c r="AV104" s="23"/>
      <c r="AW104" s="23"/>
      <c r="AX104" s="23"/>
      <c r="AY104" s="23"/>
      <c r="AZ104" s="23"/>
      <c r="BA104" s="23"/>
      <c r="BB104" s="23"/>
      <c r="BC104" s="23"/>
    </row>
    <row r="105">
      <c r="A105" s="110"/>
      <c r="B105" s="301">
        <f t="shared" si="16"/>
        <v>9500000</v>
      </c>
      <c r="C105" s="509">
        <f>'Average Validator'!AL131</f>
        <v>0.001283083408</v>
      </c>
      <c r="D105" s="509">
        <f>'Average Validator'!AM131</f>
        <v>0.001802247391</v>
      </c>
      <c r="E105" s="509">
        <f>'Average Validator'!AN131</f>
        <v>0.002339695249</v>
      </c>
      <c r="F105" s="509">
        <f>'Average Validator'!AO131</f>
        <v>0.002894824878</v>
      </c>
      <c r="G105" s="510">
        <f>'Average Validator'!AP131</f>
        <v>0.003467034172</v>
      </c>
      <c r="H105" s="509">
        <f>'Average Validator'!AQ131</f>
        <v>0.003700565325</v>
      </c>
      <c r="I105" s="509">
        <f>'Average Validator'!AR131</f>
        <v>0.003936694352</v>
      </c>
      <c r="J105" s="509">
        <f>'Average Validator'!AS131</f>
        <v>0.00417538272</v>
      </c>
      <c r="K105" s="509">
        <f>'Average Validator'!AT131</f>
        <v>0.004416591893</v>
      </c>
      <c r="L105" s="511">
        <f>'Average Validator'!AU131</f>
        <v>0.004660283337</v>
      </c>
      <c r="AO105" s="23"/>
      <c r="AP105" s="23"/>
      <c r="AQ105" s="23"/>
      <c r="AR105" s="23"/>
      <c r="AS105" s="23"/>
      <c r="AT105" s="23"/>
      <c r="AU105" s="23"/>
      <c r="AV105" s="23"/>
      <c r="AW105" s="23"/>
      <c r="AX105" s="23"/>
      <c r="AY105" s="23"/>
      <c r="AZ105" s="23"/>
      <c r="BA105" s="23"/>
      <c r="BB105" s="23"/>
      <c r="BC105" s="23"/>
    </row>
    <row r="106">
      <c r="A106" s="146"/>
      <c r="B106" s="449">
        <f t="shared" si="16"/>
        <v>10000000</v>
      </c>
      <c r="C106" s="512">
        <f>'Average Validator'!AL132</f>
        <v>0.0013164158</v>
      </c>
      <c r="D106" s="512">
        <f>'Average Validator'!AM132</f>
        <v>0.001849066808</v>
      </c>
      <c r="E106" s="512">
        <f>'Average Validator'!AN132</f>
        <v>0.002400476676</v>
      </c>
      <c r="F106" s="512">
        <f>'Average Validator'!AO132</f>
        <v>0.002970027658</v>
      </c>
      <c r="G106" s="513">
        <f>'Average Validator'!AP132</f>
        <v>0.003557102007</v>
      </c>
      <c r="H106" s="512">
        <f>'Average Validator'!AQ132</f>
        <v>0.003796699914</v>
      </c>
      <c r="I106" s="512">
        <f>'Average Validator'!AR132</f>
        <v>0.004038963184</v>
      </c>
      <c r="J106" s="512">
        <f>'Average Validator'!AS132</f>
        <v>0.004283852282</v>
      </c>
      <c r="K106" s="512">
        <f>'Average Validator'!AT132</f>
        <v>0.004531327672</v>
      </c>
      <c r="L106" s="514">
        <f>'Average Validator'!AU132</f>
        <v>0.004781349818</v>
      </c>
      <c r="AO106" s="23"/>
      <c r="AP106" s="23"/>
      <c r="AQ106" s="23"/>
      <c r="AR106" s="23"/>
      <c r="AS106" s="23"/>
      <c r="AT106" s="23"/>
      <c r="AU106" s="23"/>
      <c r="AV106" s="23"/>
      <c r="AW106" s="23"/>
      <c r="AX106" s="23"/>
      <c r="AY106" s="23"/>
      <c r="AZ106" s="23"/>
      <c r="BA106" s="23"/>
      <c r="BB106" s="23"/>
      <c r="BC106" s="23"/>
    </row>
    <row r="107">
      <c r="AO107" s="23"/>
      <c r="AP107" s="23"/>
      <c r="AQ107" s="23"/>
      <c r="AR107" s="23"/>
      <c r="AS107" s="23"/>
      <c r="AT107" s="23"/>
      <c r="AU107" s="23"/>
      <c r="AV107" s="23"/>
      <c r="AW107" s="23"/>
      <c r="AX107" s="23"/>
      <c r="AY107" s="23"/>
      <c r="AZ107" s="23"/>
      <c r="BA107" s="23"/>
      <c r="BB107" s="23"/>
      <c r="BC107" s="23"/>
    </row>
    <row r="108">
      <c r="AO108" s="23"/>
      <c r="AP108" s="23"/>
      <c r="AQ108" s="23"/>
      <c r="AR108" s="23"/>
      <c r="AS108" s="23"/>
      <c r="AT108" s="23"/>
      <c r="AU108" s="23"/>
      <c r="AV108" s="23"/>
      <c r="AW108" s="23"/>
      <c r="AX108" s="23"/>
      <c r="AY108" s="23"/>
      <c r="AZ108" s="23"/>
      <c r="BA108" s="23"/>
      <c r="BB108" s="23"/>
      <c r="BC108" s="23"/>
    </row>
    <row r="109">
      <c r="AO109" s="23"/>
      <c r="AP109" s="23"/>
      <c r="AQ109" s="23"/>
      <c r="AR109" s="23"/>
      <c r="AS109" s="23"/>
      <c r="AT109" s="23"/>
      <c r="AU109" s="23"/>
      <c r="AV109" s="23"/>
      <c r="AW109" s="23"/>
      <c r="AX109" s="23"/>
      <c r="AY109" s="23"/>
      <c r="AZ109" s="23"/>
      <c r="BA109" s="23"/>
      <c r="BB109" s="23"/>
      <c r="BC109" s="23"/>
    </row>
    <row r="110">
      <c r="AO110" s="23"/>
      <c r="AP110" s="23"/>
      <c r="AQ110" s="23"/>
      <c r="AR110" s="23"/>
      <c r="AS110" s="23"/>
      <c r="AT110" s="23"/>
      <c r="AU110" s="23"/>
      <c r="AV110" s="23"/>
      <c r="AW110" s="23"/>
      <c r="AX110" s="23"/>
      <c r="AY110" s="23"/>
      <c r="AZ110" s="23"/>
      <c r="BA110" s="23"/>
      <c r="BB110" s="23"/>
      <c r="BC110" s="23"/>
    </row>
    <row r="111">
      <c r="AO111" s="23"/>
      <c r="AP111" s="23"/>
      <c r="AQ111" s="23"/>
      <c r="AR111" s="23"/>
      <c r="AS111" s="23"/>
      <c r="AT111" s="23"/>
      <c r="AU111" s="23"/>
      <c r="AV111" s="23"/>
      <c r="AW111" s="23"/>
      <c r="AX111" s="23"/>
      <c r="AY111" s="23"/>
      <c r="AZ111" s="23"/>
      <c r="BA111" s="23"/>
      <c r="BB111" s="23"/>
      <c r="BC111" s="23"/>
    </row>
    <row r="112">
      <c r="AO112" s="23"/>
      <c r="AP112" s="23"/>
      <c r="AQ112" s="23"/>
      <c r="AR112" s="23"/>
      <c r="AS112" s="23"/>
      <c r="AT112" s="23"/>
      <c r="AU112" s="23"/>
      <c r="AV112" s="23"/>
      <c r="AW112" s="23"/>
      <c r="AX112" s="23"/>
      <c r="AY112" s="23"/>
      <c r="AZ112" s="23"/>
      <c r="BA112" s="23"/>
      <c r="BB112" s="23"/>
      <c r="BC112" s="23"/>
    </row>
    <row r="113">
      <c r="AO113" s="23"/>
      <c r="AP113" s="23"/>
      <c r="AQ113" s="23"/>
      <c r="AR113" s="23"/>
      <c r="AS113" s="23"/>
      <c r="AT113" s="23"/>
      <c r="AU113" s="23"/>
      <c r="AV113" s="23"/>
      <c r="AW113" s="23"/>
      <c r="AX113" s="23"/>
      <c r="AY113" s="23"/>
      <c r="AZ113" s="23"/>
      <c r="BA113" s="23"/>
      <c r="BB113" s="23"/>
      <c r="BC113" s="23"/>
    </row>
    <row r="114">
      <c r="AO114" s="23"/>
      <c r="AP114" s="23"/>
      <c r="AQ114" s="23"/>
      <c r="AR114" s="23"/>
      <c r="AS114" s="23"/>
      <c r="AT114" s="23"/>
      <c r="AU114" s="23"/>
      <c r="AV114" s="23"/>
      <c r="AW114" s="23"/>
      <c r="AX114" s="23"/>
      <c r="AY114" s="23"/>
      <c r="AZ114" s="23"/>
      <c r="BA114" s="23"/>
      <c r="BB114" s="23"/>
      <c r="BC114" s="23"/>
    </row>
    <row r="115">
      <c r="AO115" s="23"/>
      <c r="AP115" s="23"/>
      <c r="AQ115" s="23"/>
      <c r="AR115" s="23"/>
      <c r="AS115" s="23"/>
      <c r="AT115" s="23"/>
      <c r="AU115" s="23"/>
      <c r="AV115" s="23"/>
      <c r="AW115" s="23"/>
      <c r="AX115" s="23"/>
      <c r="AY115" s="23"/>
      <c r="AZ115" s="23"/>
      <c r="BA115" s="23"/>
      <c r="BB115" s="23"/>
      <c r="BC115" s="23"/>
    </row>
    <row r="116">
      <c r="AO116" s="23"/>
      <c r="AP116" s="23"/>
      <c r="AQ116" s="23"/>
      <c r="AR116" s="23"/>
      <c r="AS116" s="23"/>
      <c r="AT116" s="23"/>
      <c r="AU116" s="23"/>
      <c r="AV116" s="23"/>
      <c r="AW116" s="23"/>
      <c r="AX116" s="23"/>
      <c r="AY116" s="23"/>
      <c r="AZ116" s="23"/>
      <c r="BA116" s="23"/>
      <c r="BB116" s="23"/>
      <c r="BC116" s="23"/>
    </row>
    <row r="117">
      <c r="AO117" s="23"/>
      <c r="AP117" s="23"/>
      <c r="AQ117" s="23"/>
      <c r="AR117" s="23"/>
      <c r="AS117" s="23"/>
      <c r="AT117" s="23"/>
      <c r="AU117" s="23"/>
      <c r="AV117" s="23"/>
      <c r="AW117" s="23"/>
      <c r="AX117" s="23"/>
      <c r="AY117" s="23"/>
      <c r="AZ117" s="23"/>
      <c r="BA117" s="23"/>
      <c r="BB117" s="23"/>
      <c r="BC117" s="23"/>
    </row>
    <row r="118">
      <c r="AO118" s="23"/>
      <c r="AP118" s="23"/>
      <c r="AQ118" s="23"/>
      <c r="AR118" s="23"/>
      <c r="AS118" s="23"/>
      <c r="AT118" s="23"/>
      <c r="AU118" s="23"/>
      <c r="AV118" s="23"/>
      <c r="AW118" s="23"/>
      <c r="AX118" s="23"/>
      <c r="AY118" s="23"/>
      <c r="AZ118" s="23"/>
      <c r="BA118" s="23"/>
      <c r="BB118" s="23"/>
      <c r="BC118" s="23"/>
    </row>
    <row r="119">
      <c r="AO119" s="23"/>
      <c r="AP119" s="23"/>
      <c r="AQ119" s="23"/>
      <c r="AR119" s="23"/>
      <c r="AS119" s="23"/>
      <c r="AT119" s="23"/>
      <c r="AU119" s="23"/>
      <c r="AV119" s="23"/>
      <c r="AW119" s="23"/>
      <c r="AX119" s="23"/>
      <c r="AY119" s="23"/>
      <c r="AZ119" s="23"/>
      <c r="BA119" s="23"/>
      <c r="BB119" s="23"/>
      <c r="BC119" s="23"/>
    </row>
    <row r="120">
      <c r="AO120" s="23"/>
      <c r="AP120" s="23"/>
      <c r="AQ120" s="23"/>
      <c r="AR120" s="23"/>
      <c r="AS120" s="23"/>
      <c r="AT120" s="23"/>
      <c r="AU120" s="23"/>
      <c r="AV120" s="23"/>
      <c r="AW120" s="23"/>
      <c r="AX120" s="23"/>
      <c r="AY120" s="23"/>
      <c r="AZ120" s="23"/>
      <c r="BA120" s="23"/>
      <c r="BB120" s="23"/>
      <c r="BC120" s="23"/>
    </row>
    <row r="121">
      <c r="AO121" s="23"/>
      <c r="AP121" s="23"/>
      <c r="AQ121" s="23"/>
      <c r="AR121" s="23"/>
      <c r="AS121" s="23"/>
      <c r="AT121" s="23"/>
      <c r="AU121" s="23"/>
      <c r="AV121" s="23"/>
      <c r="AW121" s="23"/>
      <c r="AX121" s="23"/>
      <c r="AY121" s="23"/>
      <c r="AZ121" s="23"/>
      <c r="BA121" s="23"/>
      <c r="BB121" s="23"/>
      <c r="BC121" s="23"/>
    </row>
    <row r="122">
      <c r="AO122" s="23"/>
      <c r="AP122" s="23"/>
      <c r="AQ122" s="23"/>
      <c r="AR122" s="23"/>
      <c r="AS122" s="23"/>
      <c r="AT122" s="23"/>
      <c r="AU122" s="23"/>
      <c r="AV122" s="23"/>
      <c r="AW122" s="23"/>
      <c r="AX122" s="23"/>
      <c r="AY122" s="23"/>
      <c r="AZ122" s="23"/>
      <c r="BA122" s="23"/>
      <c r="BB122" s="23"/>
      <c r="BC122" s="23"/>
    </row>
    <row r="123">
      <c r="AO123" s="23"/>
      <c r="AP123" s="23"/>
      <c r="AQ123" s="23"/>
      <c r="AR123" s="23"/>
      <c r="AS123" s="23"/>
      <c r="AT123" s="23"/>
      <c r="AU123" s="23"/>
      <c r="AV123" s="23"/>
      <c r="AW123" s="23"/>
      <c r="AX123" s="23"/>
      <c r="AY123" s="23"/>
      <c r="AZ123" s="23"/>
      <c r="BA123" s="23"/>
      <c r="BB123" s="23"/>
      <c r="BC123" s="23"/>
    </row>
    <row r="124">
      <c r="AO124" s="23"/>
      <c r="AP124" s="23"/>
      <c r="AQ124" s="23"/>
      <c r="AR124" s="23"/>
      <c r="AS124" s="23"/>
      <c r="AT124" s="23"/>
      <c r="AU124" s="23"/>
      <c r="AV124" s="23"/>
      <c r="AW124" s="23"/>
      <c r="AX124" s="23"/>
      <c r="AY124" s="23"/>
      <c r="AZ124" s="23"/>
      <c r="BA124" s="23"/>
      <c r="BB124" s="23"/>
      <c r="BC124" s="23"/>
    </row>
    <row r="125">
      <c r="AO125" s="23"/>
      <c r="AP125" s="23"/>
      <c r="AQ125" s="23"/>
      <c r="AR125" s="23"/>
      <c r="AS125" s="23"/>
      <c r="AT125" s="23"/>
      <c r="AU125" s="23"/>
      <c r="AV125" s="23"/>
      <c r="AW125" s="23"/>
      <c r="AX125" s="23"/>
      <c r="AY125" s="23"/>
      <c r="AZ125" s="23"/>
      <c r="BA125" s="23"/>
      <c r="BB125" s="23"/>
      <c r="BC125" s="23"/>
    </row>
    <row r="126">
      <c r="AO126" s="23"/>
      <c r="AP126" s="23"/>
      <c r="AQ126" s="23"/>
      <c r="AR126" s="23"/>
      <c r="AS126" s="23"/>
      <c r="AT126" s="23"/>
      <c r="AU126" s="23"/>
      <c r="AV126" s="23"/>
      <c r="AW126" s="23"/>
      <c r="AX126" s="23"/>
      <c r="AY126" s="23"/>
      <c r="AZ126" s="23"/>
      <c r="BA126" s="23"/>
      <c r="BB126" s="23"/>
      <c r="BC126" s="23"/>
    </row>
    <row r="127">
      <c r="AO127" s="23"/>
      <c r="AP127" s="23"/>
      <c r="AQ127" s="23"/>
      <c r="AR127" s="23"/>
      <c r="AS127" s="23"/>
      <c r="AT127" s="23"/>
      <c r="AU127" s="23"/>
      <c r="AV127" s="23"/>
      <c r="AW127" s="23"/>
      <c r="AX127" s="23"/>
      <c r="AY127" s="23"/>
      <c r="AZ127" s="23"/>
      <c r="BA127" s="23"/>
      <c r="BB127" s="23"/>
      <c r="BC127" s="23"/>
    </row>
    <row r="128">
      <c r="AO128" s="23"/>
      <c r="AP128" s="23"/>
      <c r="AQ128" s="23"/>
      <c r="AR128" s="23"/>
      <c r="AS128" s="23"/>
      <c r="AT128" s="23"/>
      <c r="AU128" s="23"/>
      <c r="AV128" s="23"/>
      <c r="AW128" s="23"/>
      <c r="AX128" s="23"/>
      <c r="AY128" s="23"/>
      <c r="AZ128" s="23"/>
      <c r="BA128" s="23"/>
      <c r="BB128" s="23"/>
      <c r="BC128" s="23"/>
    </row>
    <row r="129">
      <c r="AO129" s="23"/>
      <c r="AP129" s="23"/>
      <c r="AQ129" s="23"/>
      <c r="AR129" s="23"/>
      <c r="AS129" s="23"/>
      <c r="AT129" s="23"/>
      <c r="AU129" s="23"/>
      <c r="AV129" s="23"/>
      <c r="AW129" s="23"/>
      <c r="AX129" s="23"/>
      <c r="AY129" s="23"/>
      <c r="AZ129" s="23"/>
      <c r="BA129" s="23"/>
      <c r="BB129" s="23"/>
      <c r="BC129" s="23"/>
    </row>
    <row r="130">
      <c r="AO130" s="23"/>
      <c r="AP130" s="23"/>
      <c r="AQ130" s="23"/>
      <c r="AR130" s="23"/>
      <c r="AS130" s="23"/>
      <c r="AT130" s="23"/>
      <c r="AU130" s="23"/>
      <c r="AV130" s="23"/>
      <c r="AW130" s="23"/>
      <c r="AX130" s="23"/>
      <c r="AY130" s="23"/>
      <c r="AZ130" s="23"/>
      <c r="BA130" s="23"/>
      <c r="BB130" s="23"/>
      <c r="BC130" s="23"/>
    </row>
    <row r="131">
      <c r="AO131" s="23"/>
      <c r="AP131" s="23"/>
      <c r="AQ131" s="23"/>
      <c r="AR131" s="23"/>
      <c r="AS131" s="23"/>
      <c r="AT131" s="23"/>
      <c r="AU131" s="23"/>
      <c r="AV131" s="23"/>
      <c r="AW131" s="23"/>
      <c r="AX131" s="23"/>
      <c r="AY131" s="23"/>
      <c r="AZ131" s="23"/>
      <c r="BA131" s="23"/>
      <c r="BB131" s="23"/>
      <c r="BC131" s="23"/>
    </row>
    <row r="132">
      <c r="AO132" s="23"/>
      <c r="AP132" s="23"/>
      <c r="AQ132" s="23"/>
      <c r="AR132" s="23"/>
      <c r="AS132" s="23"/>
      <c r="AT132" s="23"/>
      <c r="AU132" s="23"/>
      <c r="AV132" s="23"/>
      <c r="AW132" s="23"/>
      <c r="AX132" s="23"/>
      <c r="AY132" s="23"/>
      <c r="AZ132" s="23"/>
      <c r="BA132" s="23"/>
      <c r="BB132" s="23"/>
      <c r="BC132" s="23"/>
    </row>
    <row r="133">
      <c r="AO133" s="23"/>
      <c r="AP133" s="23"/>
      <c r="AQ133" s="23"/>
      <c r="AR133" s="23"/>
      <c r="AS133" s="23"/>
      <c r="AT133" s="23"/>
      <c r="AU133" s="23"/>
      <c r="AV133" s="23"/>
      <c r="AW133" s="23"/>
      <c r="AX133" s="23"/>
      <c r="AY133" s="23"/>
      <c r="AZ133" s="23"/>
      <c r="BA133" s="23"/>
      <c r="BB133" s="23"/>
      <c r="BC133" s="23"/>
    </row>
    <row r="134">
      <c r="AO134" s="23"/>
      <c r="AP134" s="23"/>
      <c r="AQ134" s="23"/>
      <c r="AR134" s="23"/>
      <c r="AS134" s="23"/>
      <c r="AT134" s="23"/>
      <c r="AU134" s="23"/>
      <c r="AV134" s="23"/>
      <c r="AW134" s="23"/>
      <c r="AX134" s="23"/>
      <c r="AY134" s="23"/>
      <c r="AZ134" s="23"/>
      <c r="BA134" s="23"/>
      <c r="BB134" s="23"/>
      <c r="BC134" s="23"/>
    </row>
    <row r="135">
      <c r="AO135" s="23"/>
      <c r="AP135" s="23"/>
      <c r="AQ135" s="23"/>
      <c r="AR135" s="23"/>
      <c r="AS135" s="23"/>
      <c r="AT135" s="23"/>
      <c r="AU135" s="23"/>
      <c r="AV135" s="23"/>
      <c r="AW135" s="23"/>
      <c r="AX135" s="23"/>
      <c r="AY135" s="23"/>
      <c r="AZ135" s="23"/>
      <c r="BA135" s="23"/>
      <c r="BB135" s="23"/>
      <c r="BC135" s="23"/>
    </row>
    <row r="136">
      <c r="AO136" s="23"/>
      <c r="AP136" s="23"/>
      <c r="AQ136" s="23"/>
      <c r="AR136" s="23"/>
      <c r="AS136" s="23"/>
      <c r="AT136" s="23"/>
      <c r="AU136" s="23"/>
      <c r="AV136" s="23"/>
      <c r="AW136" s="23"/>
      <c r="AX136" s="23"/>
      <c r="AY136" s="23"/>
      <c r="AZ136" s="23"/>
      <c r="BA136" s="23"/>
      <c r="BB136" s="23"/>
      <c r="BC136" s="23"/>
    </row>
    <row r="137">
      <c r="AO137" s="23"/>
      <c r="AP137" s="23"/>
      <c r="AQ137" s="23"/>
      <c r="AR137" s="23"/>
      <c r="AS137" s="23"/>
      <c r="AT137" s="23"/>
      <c r="AU137" s="23"/>
      <c r="AV137" s="23"/>
      <c r="AW137" s="23"/>
      <c r="AX137" s="23"/>
      <c r="AY137" s="23"/>
      <c r="AZ137" s="23"/>
      <c r="BA137" s="23"/>
      <c r="BB137" s="23"/>
      <c r="BC137" s="23"/>
    </row>
    <row r="138">
      <c r="AO138" s="23"/>
      <c r="AP138" s="23"/>
      <c r="AQ138" s="23"/>
      <c r="AR138" s="23"/>
      <c r="AS138" s="23"/>
      <c r="AT138" s="23"/>
      <c r="AU138" s="23"/>
      <c r="AV138" s="23"/>
      <c r="AW138" s="23"/>
      <c r="AX138" s="23"/>
      <c r="AY138" s="23"/>
      <c r="AZ138" s="23"/>
      <c r="BA138" s="23"/>
      <c r="BB138" s="23"/>
      <c r="BC138" s="23"/>
    </row>
    <row r="139">
      <c r="AO139" s="23"/>
      <c r="AP139" s="23"/>
      <c r="AQ139" s="23"/>
      <c r="AR139" s="23"/>
      <c r="AS139" s="23"/>
      <c r="AT139" s="23"/>
      <c r="AU139" s="23"/>
      <c r="AV139" s="23"/>
      <c r="AW139" s="23"/>
      <c r="AX139" s="23"/>
      <c r="AY139" s="23"/>
      <c r="AZ139" s="23"/>
      <c r="BA139" s="23"/>
      <c r="BB139" s="23"/>
      <c r="BC139" s="23"/>
    </row>
    <row r="140">
      <c r="AO140" s="23"/>
      <c r="AP140" s="23"/>
      <c r="AQ140" s="23"/>
      <c r="AR140" s="23"/>
      <c r="AS140" s="23"/>
      <c r="AT140" s="23"/>
      <c r="AU140" s="23"/>
      <c r="AV140" s="23"/>
      <c r="AW140" s="23"/>
      <c r="AX140" s="23"/>
      <c r="AY140" s="23"/>
      <c r="AZ140" s="23"/>
      <c r="BA140" s="23"/>
      <c r="BB140" s="23"/>
      <c r="BC140" s="23"/>
    </row>
    <row r="141">
      <c r="AO141" s="23"/>
      <c r="AP141" s="23"/>
      <c r="AQ141" s="23"/>
      <c r="AR141" s="23"/>
      <c r="AS141" s="23"/>
      <c r="AT141" s="23"/>
      <c r="AU141" s="23"/>
      <c r="AV141" s="23"/>
      <c r="AW141" s="23"/>
      <c r="AX141" s="23"/>
      <c r="AY141" s="23"/>
      <c r="AZ141" s="23"/>
      <c r="BA141" s="23"/>
      <c r="BB141" s="23"/>
      <c r="BC141" s="23"/>
    </row>
    <row r="142">
      <c r="AO142" s="23"/>
      <c r="AP142" s="23"/>
      <c r="AQ142" s="23"/>
      <c r="AR142" s="23"/>
      <c r="AS142" s="23"/>
      <c r="AT142" s="23"/>
      <c r="AU142" s="23"/>
      <c r="AV142" s="23"/>
      <c r="AW142" s="23"/>
      <c r="AX142" s="23"/>
      <c r="AY142" s="23"/>
      <c r="AZ142" s="23"/>
      <c r="BA142" s="23"/>
      <c r="BB142" s="23"/>
      <c r="BC142" s="23"/>
    </row>
    <row r="143">
      <c r="AO143" s="23"/>
      <c r="AP143" s="23"/>
      <c r="AQ143" s="23"/>
      <c r="AR143" s="23"/>
      <c r="AS143" s="23"/>
      <c r="AT143" s="23"/>
      <c r="AU143" s="23"/>
      <c r="AV143" s="23"/>
      <c r="AW143" s="23"/>
      <c r="AX143" s="23"/>
      <c r="AY143" s="23"/>
      <c r="AZ143" s="23"/>
      <c r="BA143" s="23"/>
      <c r="BB143" s="23"/>
      <c r="BC143" s="23"/>
    </row>
    <row r="144">
      <c r="AO144" s="23"/>
      <c r="AP144" s="23"/>
      <c r="AQ144" s="23"/>
      <c r="AR144" s="23"/>
      <c r="AS144" s="23"/>
      <c r="AT144" s="23"/>
      <c r="AU144" s="23"/>
      <c r="AV144" s="23"/>
      <c r="AW144" s="23"/>
      <c r="AX144" s="23"/>
      <c r="AY144" s="23"/>
      <c r="AZ144" s="23"/>
      <c r="BA144" s="23"/>
      <c r="BB144" s="23"/>
      <c r="BC144" s="23"/>
    </row>
    <row r="145">
      <c r="AO145" s="23"/>
      <c r="AP145" s="23"/>
      <c r="AQ145" s="23"/>
      <c r="AR145" s="23"/>
      <c r="AS145" s="23"/>
      <c r="AT145" s="23"/>
      <c r="AU145" s="23"/>
      <c r="AV145" s="23"/>
      <c r="AW145" s="23"/>
      <c r="AX145" s="23"/>
      <c r="AY145" s="23"/>
      <c r="AZ145" s="23"/>
      <c r="BA145" s="23"/>
      <c r="BB145" s="23"/>
      <c r="BC145" s="23"/>
    </row>
    <row r="146">
      <c r="AO146" s="23"/>
      <c r="AP146" s="23"/>
      <c r="AQ146" s="23"/>
      <c r="AR146" s="23"/>
      <c r="AS146" s="23"/>
      <c r="AT146" s="23"/>
      <c r="AU146" s="23"/>
      <c r="AV146" s="23"/>
      <c r="AW146" s="23"/>
      <c r="AX146" s="23"/>
      <c r="AY146" s="23"/>
      <c r="AZ146" s="23"/>
      <c r="BA146" s="23"/>
      <c r="BB146" s="23"/>
      <c r="BC146" s="23"/>
    </row>
    <row r="147">
      <c r="AO147" s="23"/>
      <c r="AP147" s="23"/>
      <c r="AQ147" s="23"/>
      <c r="AR147" s="23"/>
      <c r="AS147" s="23"/>
      <c r="AT147" s="23"/>
      <c r="AU147" s="23"/>
      <c r="AV147" s="23"/>
      <c r="AW147" s="23"/>
      <c r="AX147" s="23"/>
      <c r="AY147" s="23"/>
      <c r="AZ147" s="23"/>
      <c r="BA147" s="23"/>
      <c r="BB147" s="23"/>
      <c r="BC147" s="23"/>
    </row>
    <row r="148">
      <c r="AO148" s="23"/>
      <c r="AP148" s="23"/>
      <c r="AQ148" s="23"/>
      <c r="AR148" s="23"/>
      <c r="AS148" s="23"/>
      <c r="AT148" s="23"/>
      <c r="AU148" s="23"/>
      <c r="AV148" s="23"/>
      <c r="AW148" s="23"/>
      <c r="AX148" s="23"/>
      <c r="AY148" s="23"/>
      <c r="AZ148" s="23"/>
      <c r="BA148" s="23"/>
      <c r="BB148" s="23"/>
      <c r="BC148" s="23"/>
    </row>
    <row r="149">
      <c r="AO149" s="23"/>
      <c r="AP149" s="23"/>
      <c r="AQ149" s="23"/>
      <c r="AR149" s="23"/>
      <c r="AS149" s="23"/>
      <c r="AT149" s="23"/>
      <c r="AU149" s="23"/>
      <c r="AV149" s="23"/>
      <c r="AW149" s="23"/>
      <c r="AX149" s="23"/>
      <c r="AY149" s="23"/>
      <c r="AZ149" s="23"/>
      <c r="BA149" s="23"/>
      <c r="BB149" s="23"/>
      <c r="BC149" s="23"/>
    </row>
    <row r="150">
      <c r="AO150" s="23"/>
      <c r="AP150" s="23"/>
      <c r="AQ150" s="23"/>
      <c r="AR150" s="23"/>
      <c r="AS150" s="23"/>
      <c r="AT150" s="23"/>
      <c r="AU150" s="23"/>
      <c r="AV150" s="23"/>
      <c r="AW150" s="23"/>
      <c r="AX150" s="23"/>
      <c r="AY150" s="23"/>
      <c r="AZ150" s="23"/>
      <c r="BA150" s="23"/>
      <c r="BB150" s="23"/>
      <c r="BC150" s="23"/>
    </row>
    <row r="151">
      <c r="AO151" s="23"/>
      <c r="AP151" s="23"/>
      <c r="AQ151" s="23"/>
      <c r="AR151" s="23"/>
      <c r="AS151" s="23"/>
      <c r="AT151" s="23"/>
      <c r="AU151" s="23"/>
      <c r="AV151" s="23"/>
      <c r="AW151" s="23"/>
      <c r="AX151" s="23"/>
      <c r="AY151" s="23"/>
      <c r="AZ151" s="23"/>
      <c r="BA151" s="23"/>
      <c r="BB151" s="23"/>
      <c r="BC151" s="23"/>
    </row>
    <row r="152">
      <c r="AO152" s="23"/>
      <c r="AP152" s="23"/>
      <c r="AQ152" s="23"/>
      <c r="AR152" s="23"/>
      <c r="AS152" s="23"/>
      <c r="AT152" s="23"/>
      <c r="AU152" s="23"/>
      <c r="AV152" s="23"/>
      <c r="AW152" s="23"/>
      <c r="AX152" s="23"/>
      <c r="AY152" s="23"/>
      <c r="AZ152" s="23"/>
      <c r="BA152" s="23"/>
      <c r="BB152" s="23"/>
      <c r="BC152" s="23"/>
    </row>
    <row r="153">
      <c r="AO153" s="23"/>
      <c r="AP153" s="23"/>
      <c r="AQ153" s="23"/>
      <c r="AR153" s="23"/>
      <c r="AS153" s="23"/>
      <c r="AT153" s="23"/>
      <c r="AU153" s="23"/>
      <c r="AV153" s="23"/>
      <c r="AW153" s="23"/>
      <c r="AX153" s="23"/>
      <c r="AY153" s="23"/>
      <c r="AZ153" s="23"/>
      <c r="BA153" s="23"/>
      <c r="BB153" s="23"/>
      <c r="BC153" s="23"/>
    </row>
    <row r="154">
      <c r="AO154" s="23"/>
      <c r="AP154" s="23"/>
      <c r="AQ154" s="23"/>
      <c r="AR154" s="23"/>
      <c r="AS154" s="23"/>
      <c r="AT154" s="23"/>
      <c r="AU154" s="23"/>
      <c r="AV154" s="23"/>
      <c r="AW154" s="23"/>
      <c r="AX154" s="23"/>
      <c r="AY154" s="23"/>
      <c r="AZ154" s="23"/>
      <c r="BA154" s="23"/>
      <c r="BB154" s="23"/>
      <c r="BC154" s="23"/>
    </row>
    <row r="155">
      <c r="AO155" s="23"/>
      <c r="AP155" s="23"/>
      <c r="AQ155" s="23"/>
      <c r="AR155" s="23"/>
      <c r="AS155" s="23"/>
      <c r="AT155" s="23"/>
      <c r="AU155" s="23"/>
      <c r="AV155" s="23"/>
      <c r="AW155" s="23"/>
      <c r="AX155" s="23"/>
      <c r="AY155" s="23"/>
      <c r="AZ155" s="23"/>
      <c r="BA155" s="23"/>
      <c r="BB155" s="23"/>
      <c r="BC155" s="23"/>
    </row>
    <row r="156">
      <c r="AO156" s="23"/>
      <c r="AP156" s="23"/>
      <c r="AQ156" s="23"/>
      <c r="AR156" s="23"/>
      <c r="AS156" s="23"/>
      <c r="AT156" s="23"/>
      <c r="AU156" s="23"/>
      <c r="AV156" s="23"/>
      <c r="AW156" s="23"/>
      <c r="AX156" s="23"/>
      <c r="AY156" s="23"/>
      <c r="AZ156" s="23"/>
      <c r="BA156" s="23"/>
      <c r="BB156" s="23"/>
      <c r="BC156" s="23"/>
    </row>
    <row r="157">
      <c r="AO157" s="23"/>
      <c r="AP157" s="23"/>
      <c r="AQ157" s="23"/>
      <c r="AR157" s="23"/>
      <c r="AS157" s="23"/>
      <c r="AT157" s="23"/>
      <c r="AU157" s="23"/>
      <c r="AV157" s="23"/>
      <c r="AW157" s="23"/>
      <c r="AX157" s="23"/>
      <c r="AY157" s="23"/>
      <c r="AZ157" s="23"/>
      <c r="BA157" s="23"/>
      <c r="BB157" s="23"/>
      <c r="BC157" s="23"/>
    </row>
    <row r="158">
      <c r="AO158" s="23"/>
      <c r="AP158" s="23"/>
      <c r="AQ158" s="23"/>
      <c r="AR158" s="23"/>
      <c r="AS158" s="23"/>
      <c r="AT158" s="23"/>
      <c r="AU158" s="23"/>
      <c r="AV158" s="23"/>
      <c r="AW158" s="23"/>
      <c r="AX158" s="23"/>
      <c r="AY158" s="23"/>
      <c r="AZ158" s="23"/>
      <c r="BA158" s="23"/>
      <c r="BB158" s="23"/>
      <c r="BC158" s="23"/>
    </row>
    <row r="159">
      <c r="AO159" s="23"/>
      <c r="AP159" s="23"/>
      <c r="AQ159" s="23"/>
      <c r="AR159" s="23"/>
      <c r="AS159" s="23"/>
      <c r="AT159" s="23"/>
      <c r="AU159" s="23"/>
      <c r="AV159" s="23"/>
      <c r="AW159" s="23"/>
      <c r="AX159" s="23"/>
      <c r="AY159" s="23"/>
      <c r="AZ159" s="23"/>
      <c r="BA159" s="23"/>
      <c r="BB159" s="23"/>
      <c r="BC159" s="23"/>
    </row>
    <row r="160">
      <c r="AO160" s="23"/>
      <c r="AP160" s="23"/>
      <c r="AQ160" s="23"/>
      <c r="AR160" s="23"/>
      <c r="AS160" s="23"/>
      <c r="AT160" s="23"/>
      <c r="AU160" s="23"/>
      <c r="AV160" s="23"/>
      <c r="AW160" s="23"/>
      <c r="AX160" s="23"/>
      <c r="AY160" s="23"/>
      <c r="AZ160" s="23"/>
      <c r="BA160" s="23"/>
      <c r="BB160" s="23"/>
      <c r="BC160" s="23"/>
    </row>
    <row r="161">
      <c r="AO161" s="23"/>
      <c r="AP161" s="23"/>
      <c r="AQ161" s="23"/>
      <c r="AR161" s="23"/>
      <c r="AS161" s="23"/>
      <c r="AT161" s="23"/>
      <c r="AU161" s="23"/>
      <c r="AV161" s="23"/>
      <c r="AW161" s="23"/>
      <c r="AX161" s="23"/>
      <c r="AY161" s="23"/>
      <c r="AZ161" s="23"/>
      <c r="BA161" s="23"/>
      <c r="BB161" s="23"/>
      <c r="BC161" s="23"/>
    </row>
    <row r="162">
      <c r="AO162" s="23"/>
      <c r="AP162" s="23"/>
      <c r="AQ162" s="23"/>
      <c r="AR162" s="23"/>
      <c r="AS162" s="23"/>
      <c r="AT162" s="23"/>
      <c r="AU162" s="23"/>
      <c r="AV162" s="23"/>
      <c r="AW162" s="23"/>
      <c r="AX162" s="23"/>
      <c r="AY162" s="23"/>
      <c r="AZ162" s="23"/>
      <c r="BA162" s="23"/>
      <c r="BB162" s="23"/>
      <c r="BC162" s="23"/>
    </row>
    <row r="163">
      <c r="AO163" s="23"/>
      <c r="AP163" s="23"/>
      <c r="AQ163" s="23"/>
      <c r="AR163" s="23"/>
      <c r="AS163" s="23"/>
      <c r="AT163" s="23"/>
      <c r="AU163" s="23"/>
      <c r="AV163" s="23"/>
      <c r="AW163" s="23"/>
      <c r="AX163" s="23"/>
      <c r="AY163" s="23"/>
      <c r="AZ163" s="23"/>
      <c r="BA163" s="23"/>
      <c r="BB163" s="23"/>
      <c r="BC163" s="23"/>
    </row>
    <row r="164">
      <c r="AO164" s="23"/>
      <c r="AP164" s="23"/>
      <c r="AQ164" s="23"/>
      <c r="AR164" s="23"/>
      <c r="AS164" s="23"/>
      <c r="AT164" s="23"/>
      <c r="AU164" s="23"/>
      <c r="AV164" s="23"/>
      <c r="AW164" s="23"/>
      <c r="AX164" s="23"/>
      <c r="AY164" s="23"/>
      <c r="AZ164" s="23"/>
      <c r="BA164" s="23"/>
      <c r="BB164" s="23"/>
      <c r="BC164" s="23"/>
    </row>
    <row r="165">
      <c r="AO165" s="23"/>
      <c r="AP165" s="23"/>
      <c r="AQ165" s="23"/>
      <c r="AR165" s="23"/>
      <c r="AS165" s="23"/>
      <c r="AT165" s="23"/>
      <c r="AU165" s="23"/>
      <c r="AV165" s="23"/>
      <c r="AW165" s="23"/>
      <c r="AX165" s="23"/>
      <c r="AY165" s="23"/>
      <c r="AZ165" s="23"/>
      <c r="BA165" s="23"/>
      <c r="BB165" s="23"/>
      <c r="BC165" s="23"/>
    </row>
    <row r="166">
      <c r="AO166" s="23"/>
      <c r="AP166" s="23"/>
      <c r="AQ166" s="23"/>
      <c r="AR166" s="23"/>
      <c r="AS166" s="23"/>
      <c r="AT166" s="23"/>
      <c r="AU166" s="23"/>
      <c r="AV166" s="23"/>
      <c r="AW166" s="23"/>
      <c r="AX166" s="23"/>
      <c r="AY166" s="23"/>
      <c r="AZ166" s="23"/>
      <c r="BA166" s="23"/>
      <c r="BB166" s="23"/>
      <c r="BC166" s="23"/>
    </row>
    <row r="167">
      <c r="AO167" s="23"/>
      <c r="AP167" s="23"/>
      <c r="AQ167" s="23"/>
      <c r="AR167" s="23"/>
      <c r="AS167" s="23"/>
      <c r="AT167" s="23"/>
      <c r="AU167" s="23"/>
      <c r="AV167" s="23"/>
      <c r="AW167" s="23"/>
      <c r="AX167" s="23"/>
      <c r="AY167" s="23"/>
      <c r="AZ167" s="23"/>
      <c r="BA167" s="23"/>
      <c r="BB167" s="23"/>
      <c r="BC167" s="23"/>
    </row>
    <row r="168">
      <c r="AO168" s="23"/>
      <c r="AP168" s="23"/>
      <c r="AQ168" s="23"/>
      <c r="AR168" s="23"/>
      <c r="AS168" s="23"/>
      <c r="AT168" s="23"/>
      <c r="AU168" s="23"/>
      <c r="AV168" s="23"/>
      <c r="AW168" s="23"/>
      <c r="AX168" s="23"/>
      <c r="AY168" s="23"/>
      <c r="AZ168" s="23"/>
      <c r="BA168" s="23"/>
      <c r="BB168" s="23"/>
      <c r="BC168" s="23"/>
    </row>
    <row r="169">
      <c r="AO169" s="23"/>
      <c r="AP169" s="23"/>
      <c r="AQ169" s="23"/>
      <c r="AR169" s="23"/>
      <c r="AS169" s="23"/>
      <c r="AT169" s="23"/>
      <c r="AU169" s="23"/>
      <c r="AV169" s="23"/>
      <c r="AW169" s="23"/>
      <c r="AX169" s="23"/>
      <c r="AY169" s="23"/>
      <c r="AZ169" s="23"/>
      <c r="BA169" s="23"/>
      <c r="BB169" s="23"/>
      <c r="BC169" s="23"/>
    </row>
    <row r="170">
      <c r="AO170" s="23"/>
      <c r="AP170" s="23"/>
      <c r="AQ170" s="23"/>
      <c r="AR170" s="23"/>
      <c r="AS170" s="23"/>
      <c r="AT170" s="23"/>
      <c r="AU170" s="23"/>
      <c r="AV170" s="23"/>
      <c r="AW170" s="23"/>
      <c r="AX170" s="23"/>
      <c r="AY170" s="23"/>
      <c r="AZ170" s="23"/>
      <c r="BA170" s="23"/>
      <c r="BB170" s="23"/>
      <c r="BC170" s="23"/>
    </row>
    <row r="171">
      <c r="AO171" s="23"/>
      <c r="AP171" s="23"/>
      <c r="AQ171" s="23"/>
      <c r="AR171" s="23"/>
      <c r="AS171" s="23"/>
      <c r="AT171" s="23"/>
      <c r="AU171" s="23"/>
      <c r="AV171" s="23"/>
      <c r="AW171" s="23"/>
      <c r="AX171" s="23"/>
      <c r="AY171" s="23"/>
      <c r="AZ171" s="23"/>
      <c r="BA171" s="23"/>
      <c r="BB171" s="23"/>
      <c r="BC171" s="23"/>
    </row>
    <row r="172">
      <c r="AO172" s="23"/>
      <c r="AP172" s="23"/>
      <c r="AQ172" s="23"/>
      <c r="AR172" s="23"/>
      <c r="AS172" s="23"/>
      <c r="AT172" s="23"/>
      <c r="AU172" s="23"/>
      <c r="AV172" s="23"/>
      <c r="AW172" s="23"/>
      <c r="AX172" s="23"/>
      <c r="AY172" s="23"/>
      <c r="AZ172" s="23"/>
      <c r="BA172" s="23"/>
      <c r="BB172" s="23"/>
      <c r="BC172" s="23"/>
    </row>
    <row r="173">
      <c r="AO173" s="23"/>
      <c r="AP173" s="23"/>
      <c r="AQ173" s="23"/>
      <c r="AR173" s="23"/>
      <c r="AS173" s="23"/>
      <c r="AT173" s="23"/>
      <c r="AU173" s="23"/>
      <c r="AV173" s="23"/>
      <c r="AW173" s="23"/>
      <c r="AX173" s="23"/>
      <c r="AY173" s="23"/>
      <c r="AZ173" s="23"/>
      <c r="BA173" s="23"/>
      <c r="BB173" s="23"/>
      <c r="BC173" s="23"/>
    </row>
    <row r="174">
      <c r="AO174" s="23"/>
      <c r="AP174" s="23"/>
      <c r="AQ174" s="23"/>
      <c r="AR174" s="23"/>
      <c r="AS174" s="23"/>
      <c r="AT174" s="23"/>
      <c r="AU174" s="23"/>
      <c r="AV174" s="23"/>
      <c r="AW174" s="23"/>
      <c r="AX174" s="23"/>
      <c r="AY174" s="23"/>
      <c r="AZ174" s="23"/>
      <c r="BA174" s="23"/>
      <c r="BB174" s="23"/>
      <c r="BC174" s="23"/>
    </row>
    <row r="175">
      <c r="AO175" s="23"/>
      <c r="AP175" s="23"/>
      <c r="AQ175" s="23"/>
      <c r="AR175" s="23"/>
      <c r="AS175" s="23"/>
      <c r="AT175" s="23"/>
      <c r="AU175" s="23"/>
      <c r="AV175" s="23"/>
      <c r="AW175" s="23"/>
      <c r="AX175" s="23"/>
      <c r="AY175" s="23"/>
      <c r="AZ175" s="23"/>
      <c r="BA175" s="23"/>
      <c r="BB175" s="23"/>
      <c r="BC175" s="23"/>
    </row>
    <row r="176">
      <c r="AO176" s="23"/>
      <c r="AP176" s="23"/>
      <c r="AQ176" s="23"/>
      <c r="AR176" s="23"/>
      <c r="AS176" s="23"/>
      <c r="AT176" s="23"/>
      <c r="AU176" s="23"/>
      <c r="AV176" s="23"/>
      <c r="AW176" s="23"/>
      <c r="AX176" s="23"/>
      <c r="AY176" s="23"/>
      <c r="AZ176" s="23"/>
      <c r="BA176" s="23"/>
      <c r="BB176" s="23"/>
      <c r="BC176" s="23"/>
    </row>
    <row r="177">
      <c r="AO177" s="23"/>
      <c r="AP177" s="23"/>
      <c r="AQ177" s="23"/>
      <c r="AR177" s="23"/>
      <c r="AS177" s="23"/>
      <c r="AT177" s="23"/>
      <c r="AU177" s="23"/>
      <c r="AV177" s="23"/>
      <c r="AW177" s="23"/>
      <c r="AX177" s="23"/>
      <c r="AY177" s="23"/>
      <c r="AZ177" s="23"/>
      <c r="BA177" s="23"/>
      <c r="BB177" s="23"/>
      <c r="BC177" s="23"/>
    </row>
    <row r="178">
      <c r="AO178" s="23"/>
      <c r="AP178" s="23"/>
      <c r="AQ178" s="23"/>
      <c r="AR178" s="23"/>
      <c r="AS178" s="23"/>
      <c r="AT178" s="23"/>
      <c r="AU178" s="23"/>
      <c r="AV178" s="23"/>
      <c r="AW178" s="23"/>
      <c r="AX178" s="23"/>
      <c r="AY178" s="23"/>
      <c r="AZ178" s="23"/>
      <c r="BA178" s="23"/>
      <c r="BB178" s="23"/>
      <c r="BC178" s="23"/>
    </row>
    <row r="179">
      <c r="AO179" s="23"/>
      <c r="AP179" s="23"/>
      <c r="AQ179" s="23"/>
      <c r="AR179" s="23"/>
      <c r="AS179" s="23"/>
      <c r="AT179" s="23"/>
      <c r="AU179" s="23"/>
      <c r="AV179" s="23"/>
      <c r="AW179" s="23"/>
      <c r="AX179" s="23"/>
      <c r="AY179" s="23"/>
      <c r="AZ179" s="23"/>
      <c r="BA179" s="23"/>
      <c r="BB179" s="23"/>
      <c r="BC179" s="23"/>
    </row>
    <row r="180">
      <c r="AO180" s="23"/>
      <c r="AP180" s="23"/>
      <c r="AQ180" s="23"/>
      <c r="AR180" s="23"/>
      <c r="AS180" s="23"/>
      <c r="AT180" s="23"/>
      <c r="AU180" s="23"/>
      <c r="AV180" s="23"/>
      <c r="AW180" s="23"/>
      <c r="AX180" s="23"/>
      <c r="AY180" s="23"/>
      <c r="AZ180" s="23"/>
      <c r="BA180" s="23"/>
      <c r="BB180" s="23"/>
      <c r="BC180" s="23"/>
    </row>
    <row r="181">
      <c r="AO181" s="23"/>
      <c r="AP181" s="23"/>
      <c r="AQ181" s="23"/>
      <c r="AR181" s="23"/>
      <c r="AS181" s="23"/>
      <c r="AT181" s="23"/>
      <c r="AU181" s="23"/>
      <c r="AV181" s="23"/>
      <c r="AW181" s="23"/>
      <c r="AX181" s="23"/>
      <c r="AY181" s="23"/>
      <c r="AZ181" s="23"/>
      <c r="BA181" s="23"/>
      <c r="BB181" s="23"/>
      <c r="BC181" s="23"/>
    </row>
    <row r="182">
      <c r="AO182" s="23"/>
      <c r="AP182" s="23"/>
      <c r="AQ182" s="23"/>
      <c r="AR182" s="23"/>
      <c r="AS182" s="23"/>
      <c r="AT182" s="23"/>
      <c r="AU182" s="23"/>
      <c r="AV182" s="23"/>
      <c r="AW182" s="23"/>
      <c r="AX182" s="23"/>
      <c r="AY182" s="23"/>
      <c r="AZ182" s="23"/>
      <c r="BA182" s="23"/>
      <c r="BB182" s="23"/>
      <c r="BC182" s="23"/>
    </row>
    <row r="183">
      <c r="AO183" s="23"/>
      <c r="AP183" s="23"/>
      <c r="AQ183" s="23"/>
      <c r="AR183" s="23"/>
      <c r="AS183" s="23"/>
      <c r="AT183" s="23"/>
      <c r="AU183" s="23"/>
      <c r="AV183" s="23"/>
      <c r="AW183" s="23"/>
      <c r="AX183" s="23"/>
      <c r="AY183" s="23"/>
      <c r="AZ183" s="23"/>
      <c r="BA183" s="23"/>
      <c r="BB183" s="23"/>
      <c r="BC183" s="23"/>
    </row>
    <row r="184">
      <c r="AO184" s="23"/>
      <c r="AP184" s="23"/>
      <c r="AQ184" s="23"/>
      <c r="AR184" s="23"/>
      <c r="AS184" s="23"/>
      <c r="AT184" s="23"/>
      <c r="AU184" s="23"/>
      <c r="AV184" s="23"/>
      <c r="AW184" s="23"/>
      <c r="AX184" s="23"/>
      <c r="AY184" s="23"/>
      <c r="AZ184" s="23"/>
      <c r="BA184" s="23"/>
      <c r="BB184" s="23"/>
      <c r="BC184" s="23"/>
    </row>
    <row r="185">
      <c r="AO185" s="23"/>
      <c r="AP185" s="23"/>
      <c r="AQ185" s="23"/>
      <c r="AR185" s="23"/>
      <c r="AS185" s="23"/>
      <c r="AT185" s="23"/>
      <c r="AU185" s="23"/>
      <c r="AV185" s="23"/>
      <c r="AW185" s="23"/>
      <c r="AX185" s="23"/>
      <c r="AY185" s="23"/>
      <c r="AZ185" s="23"/>
      <c r="BA185" s="23"/>
      <c r="BB185" s="23"/>
      <c r="BC185" s="23"/>
    </row>
    <row r="186">
      <c r="AO186" s="23"/>
      <c r="AP186" s="23"/>
      <c r="AQ186" s="23"/>
      <c r="AR186" s="23"/>
      <c r="AS186" s="23"/>
      <c r="AT186" s="23"/>
      <c r="AU186" s="23"/>
      <c r="AV186" s="23"/>
      <c r="AW186" s="23"/>
      <c r="AX186" s="23"/>
      <c r="AY186" s="23"/>
      <c r="AZ186" s="23"/>
      <c r="BA186" s="23"/>
      <c r="BB186" s="23"/>
      <c r="BC186" s="23"/>
    </row>
    <row r="187">
      <c r="AO187" s="23"/>
      <c r="AP187" s="23"/>
      <c r="AQ187" s="23"/>
      <c r="AR187" s="23"/>
      <c r="AS187" s="23"/>
      <c r="AT187" s="23"/>
      <c r="AU187" s="23"/>
      <c r="AV187" s="23"/>
      <c r="AW187" s="23"/>
      <c r="AX187" s="23"/>
      <c r="AY187" s="23"/>
      <c r="AZ187" s="23"/>
      <c r="BA187" s="23"/>
      <c r="BB187" s="23"/>
      <c r="BC187" s="23"/>
    </row>
    <row r="188">
      <c r="AO188" s="23"/>
      <c r="AP188" s="23"/>
      <c r="AQ188" s="23"/>
      <c r="AR188" s="23"/>
      <c r="AS188" s="23"/>
      <c r="AT188" s="23"/>
      <c r="AU188" s="23"/>
      <c r="AV188" s="23"/>
      <c r="AW188" s="23"/>
      <c r="AX188" s="23"/>
      <c r="AY188" s="23"/>
      <c r="AZ188" s="23"/>
      <c r="BA188" s="23"/>
      <c r="BB188" s="23"/>
      <c r="BC188" s="23"/>
    </row>
    <row r="189">
      <c r="AO189" s="23"/>
      <c r="AP189" s="23"/>
      <c r="AQ189" s="23"/>
      <c r="AR189" s="23"/>
      <c r="AS189" s="23"/>
      <c r="AT189" s="23"/>
      <c r="AU189" s="23"/>
      <c r="AV189" s="23"/>
      <c r="AW189" s="23"/>
      <c r="AX189" s="23"/>
      <c r="AY189" s="23"/>
      <c r="AZ189" s="23"/>
      <c r="BA189" s="23"/>
      <c r="BB189" s="23"/>
      <c r="BC189" s="23"/>
    </row>
    <row r="190">
      <c r="AO190" s="23"/>
      <c r="AP190" s="23"/>
      <c r="AQ190" s="23"/>
      <c r="AR190" s="23"/>
      <c r="AS190" s="23"/>
      <c r="AT190" s="23"/>
      <c r="AU190" s="23"/>
      <c r="AV190" s="23"/>
      <c r="AW190" s="23"/>
      <c r="AX190" s="23"/>
      <c r="AY190" s="23"/>
      <c r="AZ190" s="23"/>
      <c r="BA190" s="23"/>
      <c r="BB190" s="23"/>
      <c r="BC190" s="23"/>
    </row>
    <row r="191">
      <c r="AO191" s="23"/>
      <c r="AP191" s="23"/>
      <c r="AQ191" s="23"/>
      <c r="AR191" s="23"/>
      <c r="AS191" s="23"/>
      <c r="AT191" s="23"/>
      <c r="AU191" s="23"/>
      <c r="AV191" s="23"/>
      <c r="AW191" s="23"/>
      <c r="AX191" s="23"/>
      <c r="AY191" s="23"/>
      <c r="AZ191" s="23"/>
      <c r="BA191" s="23"/>
      <c r="BB191" s="23"/>
      <c r="BC191" s="23"/>
    </row>
    <row r="192">
      <c r="AO192" s="23"/>
      <c r="AP192" s="23"/>
      <c r="AQ192" s="23"/>
      <c r="AR192" s="23"/>
      <c r="AS192" s="23"/>
      <c r="AT192" s="23"/>
      <c r="AU192" s="23"/>
      <c r="AV192" s="23"/>
      <c r="AW192" s="23"/>
      <c r="AX192" s="23"/>
      <c r="AY192" s="23"/>
      <c r="AZ192" s="23"/>
      <c r="BA192" s="23"/>
      <c r="BB192" s="23"/>
      <c r="BC192" s="23"/>
    </row>
    <row r="193">
      <c r="AO193" s="23"/>
      <c r="AP193" s="23"/>
      <c r="AQ193" s="23"/>
      <c r="AR193" s="23"/>
      <c r="AS193" s="23"/>
      <c r="AT193" s="23"/>
      <c r="AU193" s="23"/>
      <c r="AV193" s="23"/>
      <c r="AW193" s="23"/>
      <c r="AX193" s="23"/>
      <c r="AY193" s="23"/>
      <c r="AZ193" s="23"/>
      <c r="BA193" s="23"/>
      <c r="BB193" s="23"/>
      <c r="BC193" s="23"/>
    </row>
    <row r="194">
      <c r="AO194" s="23"/>
      <c r="AP194" s="23"/>
      <c r="AQ194" s="23"/>
      <c r="AR194" s="23"/>
      <c r="AS194" s="23"/>
      <c r="AT194" s="23"/>
      <c r="AU194" s="23"/>
      <c r="AV194" s="23"/>
      <c r="AW194" s="23"/>
      <c r="AX194" s="23"/>
      <c r="AY194" s="23"/>
      <c r="AZ194" s="23"/>
      <c r="BA194" s="23"/>
      <c r="BB194" s="23"/>
      <c r="BC194" s="23"/>
    </row>
    <row r="195">
      <c r="AO195" s="23"/>
      <c r="AP195" s="23"/>
      <c r="AQ195" s="23"/>
      <c r="AR195" s="23"/>
      <c r="AS195" s="23"/>
      <c r="AT195" s="23"/>
      <c r="AU195" s="23"/>
      <c r="AV195" s="23"/>
      <c r="AW195" s="23"/>
      <c r="AX195" s="23"/>
      <c r="AY195" s="23"/>
      <c r="AZ195" s="23"/>
      <c r="BA195" s="23"/>
      <c r="BB195" s="23"/>
      <c r="BC195" s="23"/>
    </row>
    <row r="196">
      <c r="AO196" s="23"/>
      <c r="AP196" s="23"/>
      <c r="AQ196" s="23"/>
      <c r="AR196" s="23"/>
      <c r="AS196" s="23"/>
      <c r="AT196" s="23"/>
      <c r="AU196" s="23"/>
      <c r="AV196" s="23"/>
      <c r="AW196" s="23"/>
      <c r="AX196" s="23"/>
      <c r="AY196" s="23"/>
      <c r="AZ196" s="23"/>
      <c r="BA196" s="23"/>
      <c r="BB196" s="23"/>
      <c r="BC196" s="23"/>
    </row>
    <row r="197">
      <c r="AO197" s="23"/>
      <c r="AP197" s="23"/>
      <c r="AQ197" s="23"/>
      <c r="AR197" s="23"/>
      <c r="AS197" s="23"/>
      <c r="AT197" s="23"/>
      <c r="AU197" s="23"/>
      <c r="AV197" s="23"/>
      <c r="AW197" s="23"/>
      <c r="AX197" s="23"/>
      <c r="AY197" s="23"/>
      <c r="AZ197" s="23"/>
      <c r="BA197" s="23"/>
      <c r="BB197" s="23"/>
      <c r="BC197" s="23"/>
    </row>
    <row r="198">
      <c r="AO198" s="23"/>
      <c r="AP198" s="23"/>
      <c r="AQ198" s="23"/>
      <c r="AR198" s="23"/>
      <c r="AS198" s="23"/>
      <c r="AT198" s="23"/>
      <c r="AU198" s="23"/>
      <c r="AV198" s="23"/>
      <c r="AW198" s="23"/>
      <c r="AX198" s="23"/>
      <c r="AY198" s="23"/>
      <c r="AZ198" s="23"/>
      <c r="BA198" s="23"/>
      <c r="BB198" s="23"/>
      <c r="BC198" s="23"/>
    </row>
    <row r="199">
      <c r="AO199" s="23"/>
      <c r="AP199" s="23"/>
      <c r="AQ199" s="23"/>
      <c r="AR199" s="23"/>
      <c r="AS199" s="23"/>
      <c r="AT199" s="23"/>
      <c r="AU199" s="23"/>
      <c r="AV199" s="23"/>
      <c r="AW199" s="23"/>
      <c r="AX199" s="23"/>
      <c r="AY199" s="23"/>
      <c r="AZ199" s="23"/>
      <c r="BA199" s="23"/>
      <c r="BB199" s="23"/>
      <c r="BC199" s="23"/>
    </row>
    <row r="200">
      <c r="AO200" s="23"/>
      <c r="AP200" s="23"/>
      <c r="AQ200" s="23"/>
      <c r="AR200" s="23"/>
      <c r="AS200" s="23"/>
      <c r="AT200" s="23"/>
      <c r="AU200" s="23"/>
      <c r="AV200" s="23"/>
      <c r="AW200" s="23"/>
      <c r="AX200" s="23"/>
      <c r="AY200" s="23"/>
      <c r="AZ200" s="23"/>
      <c r="BA200" s="23"/>
      <c r="BB200" s="23"/>
      <c r="BC200" s="23"/>
    </row>
    <row r="201">
      <c r="AO201" s="23"/>
      <c r="AP201" s="23"/>
      <c r="AQ201" s="23"/>
      <c r="AR201" s="23"/>
      <c r="AS201" s="23"/>
      <c r="AT201" s="23"/>
      <c r="AU201" s="23"/>
      <c r="AV201" s="23"/>
      <c r="AW201" s="23"/>
      <c r="AX201" s="23"/>
      <c r="AY201" s="23"/>
      <c r="AZ201" s="23"/>
      <c r="BA201" s="23"/>
      <c r="BB201" s="23"/>
      <c r="BC201" s="23"/>
    </row>
    <row r="202">
      <c r="AO202" s="23"/>
      <c r="AP202" s="23"/>
      <c r="AQ202" s="23"/>
      <c r="AR202" s="23"/>
      <c r="AS202" s="23"/>
      <c r="AT202" s="23"/>
      <c r="AU202" s="23"/>
      <c r="AV202" s="23"/>
      <c r="AW202" s="23"/>
      <c r="AX202" s="23"/>
      <c r="AY202" s="23"/>
      <c r="AZ202" s="23"/>
      <c r="BA202" s="23"/>
      <c r="BB202" s="23"/>
      <c r="BC202" s="23"/>
    </row>
    <row r="203">
      <c r="AO203" s="23"/>
      <c r="AP203" s="23"/>
      <c r="AQ203" s="23"/>
      <c r="AR203" s="23"/>
      <c r="AS203" s="23"/>
      <c r="AT203" s="23"/>
      <c r="AU203" s="23"/>
      <c r="AV203" s="23"/>
      <c r="AW203" s="23"/>
      <c r="AX203" s="23"/>
      <c r="AY203" s="23"/>
      <c r="AZ203" s="23"/>
      <c r="BA203" s="23"/>
      <c r="BB203" s="23"/>
      <c r="BC203" s="23"/>
    </row>
    <row r="204">
      <c r="AO204" s="23"/>
      <c r="AP204" s="23"/>
      <c r="AQ204" s="23"/>
      <c r="AR204" s="23"/>
      <c r="AS204" s="23"/>
      <c r="AT204" s="23"/>
      <c r="AU204" s="23"/>
      <c r="AV204" s="23"/>
      <c r="AW204" s="23"/>
      <c r="AX204" s="23"/>
      <c r="AY204" s="23"/>
      <c r="AZ204" s="23"/>
      <c r="BA204" s="23"/>
      <c r="BB204" s="23"/>
      <c r="BC204" s="23"/>
    </row>
    <row r="205">
      <c r="AO205" s="23"/>
      <c r="AP205" s="23"/>
      <c r="AQ205" s="23"/>
      <c r="AR205" s="23"/>
      <c r="AS205" s="23"/>
      <c r="AT205" s="23"/>
      <c r="AU205" s="23"/>
      <c r="AV205" s="23"/>
      <c r="AW205" s="23"/>
      <c r="AX205" s="23"/>
      <c r="AY205" s="23"/>
      <c r="AZ205" s="23"/>
      <c r="BA205" s="23"/>
      <c r="BB205" s="23"/>
      <c r="BC205" s="23"/>
    </row>
    <row r="206">
      <c r="AO206" s="23"/>
      <c r="AP206" s="23"/>
      <c r="AQ206" s="23"/>
      <c r="AR206" s="23"/>
      <c r="AS206" s="23"/>
      <c r="AT206" s="23"/>
      <c r="AU206" s="23"/>
      <c r="AV206" s="23"/>
      <c r="AW206" s="23"/>
      <c r="AX206" s="23"/>
      <c r="AY206" s="23"/>
      <c r="AZ206" s="23"/>
      <c r="BA206" s="23"/>
      <c r="BB206" s="23"/>
      <c r="BC206" s="23"/>
    </row>
    <row r="207">
      <c r="AO207" s="23"/>
      <c r="AP207" s="23"/>
      <c r="AQ207" s="23"/>
      <c r="AR207" s="23"/>
      <c r="AS207" s="23"/>
      <c r="AT207" s="23"/>
      <c r="AU207" s="23"/>
      <c r="AV207" s="23"/>
      <c r="AW207" s="23"/>
      <c r="AX207" s="23"/>
      <c r="AY207" s="23"/>
      <c r="AZ207" s="23"/>
      <c r="BA207" s="23"/>
      <c r="BB207" s="23"/>
      <c r="BC207" s="23"/>
    </row>
    <row r="208">
      <c r="AO208" s="23"/>
      <c r="AP208" s="23"/>
      <c r="AQ208" s="23"/>
      <c r="AR208" s="23"/>
      <c r="AS208" s="23"/>
      <c r="AT208" s="23"/>
      <c r="AU208" s="23"/>
      <c r="AV208" s="23"/>
      <c r="AW208" s="23"/>
      <c r="AX208" s="23"/>
      <c r="AY208" s="23"/>
      <c r="AZ208" s="23"/>
      <c r="BA208" s="23"/>
      <c r="BB208" s="23"/>
      <c r="BC208" s="23"/>
    </row>
    <row r="209">
      <c r="AO209" s="23"/>
      <c r="AP209" s="23"/>
      <c r="AQ209" s="23"/>
      <c r="AR209" s="23"/>
      <c r="AS209" s="23"/>
      <c r="AT209" s="23"/>
      <c r="AU209" s="23"/>
      <c r="AV209" s="23"/>
      <c r="AW209" s="23"/>
      <c r="AX209" s="23"/>
      <c r="AY209" s="23"/>
      <c r="AZ209" s="23"/>
      <c r="BA209" s="23"/>
      <c r="BB209" s="23"/>
      <c r="BC209" s="23"/>
    </row>
    <row r="210">
      <c r="AO210" s="23"/>
      <c r="AP210" s="23"/>
      <c r="AQ210" s="23"/>
      <c r="AR210" s="23"/>
      <c r="AS210" s="23"/>
      <c r="AT210" s="23"/>
      <c r="AU210" s="23"/>
      <c r="AV210" s="23"/>
      <c r="AW210" s="23"/>
      <c r="AX210" s="23"/>
      <c r="AY210" s="23"/>
      <c r="AZ210" s="23"/>
      <c r="BA210" s="23"/>
      <c r="BB210" s="23"/>
      <c r="BC210" s="23"/>
    </row>
    <row r="211">
      <c r="AO211" s="23"/>
      <c r="AP211" s="23"/>
      <c r="AQ211" s="23"/>
      <c r="AR211" s="23"/>
      <c r="AS211" s="23"/>
      <c r="AT211" s="23"/>
      <c r="AU211" s="23"/>
      <c r="AV211" s="23"/>
      <c r="AW211" s="23"/>
      <c r="AX211" s="23"/>
      <c r="AY211" s="23"/>
      <c r="AZ211" s="23"/>
      <c r="BA211" s="23"/>
      <c r="BB211" s="23"/>
      <c r="BC211" s="23"/>
    </row>
    <row r="212">
      <c r="AO212" s="23"/>
      <c r="AP212" s="23"/>
      <c r="AQ212" s="23"/>
      <c r="AR212" s="23"/>
      <c r="AS212" s="23"/>
      <c r="AT212" s="23"/>
      <c r="AU212" s="23"/>
      <c r="AV212" s="23"/>
      <c r="AW212" s="23"/>
      <c r="AX212" s="23"/>
      <c r="AY212" s="23"/>
      <c r="AZ212" s="23"/>
      <c r="BA212" s="23"/>
      <c r="BB212" s="23"/>
      <c r="BC212" s="23"/>
    </row>
    <row r="213">
      <c r="AO213" s="23"/>
      <c r="AP213" s="23"/>
      <c r="AQ213" s="23"/>
      <c r="AR213" s="23"/>
      <c r="AS213" s="23"/>
      <c r="AT213" s="23"/>
      <c r="AU213" s="23"/>
      <c r="AV213" s="23"/>
      <c r="AW213" s="23"/>
      <c r="AX213" s="23"/>
      <c r="AY213" s="23"/>
      <c r="AZ213" s="23"/>
      <c r="BA213" s="23"/>
      <c r="BB213" s="23"/>
      <c r="BC213" s="23"/>
    </row>
    <row r="214">
      <c r="AO214" s="23"/>
      <c r="AP214" s="23"/>
      <c r="AQ214" s="23"/>
      <c r="AR214" s="23"/>
      <c r="AS214" s="23"/>
      <c r="AT214" s="23"/>
      <c r="AU214" s="23"/>
      <c r="AV214" s="23"/>
      <c r="AW214" s="23"/>
      <c r="AX214" s="23"/>
      <c r="AY214" s="23"/>
      <c r="AZ214" s="23"/>
      <c r="BA214" s="23"/>
      <c r="BB214" s="23"/>
      <c r="BC214" s="23"/>
    </row>
    <row r="215">
      <c r="AO215" s="23"/>
      <c r="AP215" s="23"/>
      <c r="AQ215" s="23"/>
      <c r="AR215" s="23"/>
      <c r="AS215" s="23"/>
      <c r="AT215" s="23"/>
      <c r="AU215" s="23"/>
      <c r="AV215" s="23"/>
      <c r="AW215" s="23"/>
      <c r="AX215" s="23"/>
      <c r="AY215" s="23"/>
      <c r="AZ215" s="23"/>
      <c r="BA215" s="23"/>
      <c r="BB215" s="23"/>
      <c r="BC215" s="23"/>
    </row>
    <row r="216">
      <c r="AO216" s="23"/>
      <c r="AP216" s="23"/>
      <c r="AQ216" s="23"/>
      <c r="AR216" s="23"/>
      <c r="AS216" s="23"/>
      <c r="AT216" s="23"/>
      <c r="AU216" s="23"/>
      <c r="AV216" s="23"/>
      <c r="AW216" s="23"/>
      <c r="AX216" s="23"/>
      <c r="AY216" s="23"/>
      <c r="AZ216" s="23"/>
      <c r="BA216" s="23"/>
      <c r="BB216" s="23"/>
      <c r="BC216" s="23"/>
    </row>
    <row r="217">
      <c r="AO217" s="23"/>
      <c r="AP217" s="23"/>
      <c r="AQ217" s="23"/>
      <c r="AR217" s="23"/>
      <c r="AS217" s="23"/>
      <c r="AT217" s="23"/>
      <c r="AU217" s="23"/>
      <c r="AV217" s="23"/>
      <c r="AW217" s="23"/>
      <c r="AX217" s="23"/>
      <c r="AY217" s="23"/>
      <c r="AZ217" s="23"/>
      <c r="BA217" s="23"/>
      <c r="BB217" s="23"/>
      <c r="BC217" s="23"/>
    </row>
    <row r="218">
      <c r="AO218" s="23"/>
      <c r="AP218" s="23"/>
      <c r="AQ218" s="23"/>
      <c r="AR218" s="23"/>
      <c r="AS218" s="23"/>
      <c r="AT218" s="23"/>
      <c r="AU218" s="23"/>
      <c r="AV218" s="23"/>
      <c r="AW218" s="23"/>
      <c r="AX218" s="23"/>
      <c r="AY218" s="23"/>
      <c r="AZ218" s="23"/>
      <c r="BA218" s="23"/>
      <c r="BB218" s="23"/>
      <c r="BC218" s="23"/>
    </row>
    <row r="219">
      <c r="AO219" s="23"/>
      <c r="AP219" s="23"/>
      <c r="AQ219" s="23"/>
      <c r="AR219" s="23"/>
      <c r="AS219" s="23"/>
      <c r="AT219" s="23"/>
      <c r="AU219" s="23"/>
      <c r="AV219" s="23"/>
      <c r="AW219" s="23"/>
      <c r="AX219" s="23"/>
      <c r="AY219" s="23"/>
      <c r="AZ219" s="23"/>
      <c r="BA219" s="23"/>
      <c r="BB219" s="23"/>
      <c r="BC219" s="23"/>
    </row>
    <row r="220">
      <c r="AO220" s="23"/>
      <c r="AP220" s="23"/>
      <c r="AQ220" s="23"/>
      <c r="AR220" s="23"/>
      <c r="AS220" s="23"/>
      <c r="AT220" s="23"/>
      <c r="AU220" s="23"/>
      <c r="AV220" s="23"/>
      <c r="AW220" s="23"/>
      <c r="AX220" s="23"/>
      <c r="AY220" s="23"/>
      <c r="AZ220" s="23"/>
      <c r="BA220" s="23"/>
      <c r="BB220" s="23"/>
      <c r="BC220" s="23"/>
    </row>
    <row r="221">
      <c r="AO221" s="23"/>
      <c r="AP221" s="23"/>
      <c r="AQ221" s="23"/>
      <c r="AR221" s="23"/>
      <c r="AS221" s="23"/>
      <c r="AT221" s="23"/>
      <c r="AU221" s="23"/>
      <c r="AV221" s="23"/>
      <c r="AW221" s="23"/>
      <c r="AX221" s="23"/>
      <c r="AY221" s="23"/>
      <c r="AZ221" s="23"/>
      <c r="BA221" s="23"/>
      <c r="BB221" s="23"/>
      <c r="BC221" s="23"/>
    </row>
    <row r="222">
      <c r="AO222" s="23"/>
      <c r="AP222" s="23"/>
      <c r="AQ222" s="23"/>
      <c r="AR222" s="23"/>
      <c r="AS222" s="23"/>
      <c r="AT222" s="23"/>
      <c r="AU222" s="23"/>
      <c r="AV222" s="23"/>
      <c r="AW222" s="23"/>
      <c r="AX222" s="23"/>
      <c r="AY222" s="23"/>
      <c r="AZ222" s="23"/>
      <c r="BA222" s="23"/>
      <c r="BB222" s="23"/>
      <c r="BC222" s="23"/>
    </row>
    <row r="223">
      <c r="AO223" s="23"/>
      <c r="AP223" s="23"/>
      <c r="AQ223" s="23"/>
      <c r="AR223" s="23"/>
      <c r="AS223" s="23"/>
      <c r="AT223" s="23"/>
      <c r="AU223" s="23"/>
      <c r="AV223" s="23"/>
      <c r="AW223" s="23"/>
      <c r="AX223" s="23"/>
      <c r="AY223" s="23"/>
      <c r="AZ223" s="23"/>
      <c r="BA223" s="23"/>
      <c r="BB223" s="23"/>
      <c r="BC223" s="23"/>
    </row>
    <row r="224">
      <c r="AO224" s="23"/>
      <c r="AP224" s="23"/>
      <c r="AQ224" s="23"/>
      <c r="AR224" s="23"/>
      <c r="AS224" s="23"/>
      <c r="AT224" s="23"/>
      <c r="AU224" s="23"/>
      <c r="AV224" s="23"/>
      <c r="AW224" s="23"/>
      <c r="AX224" s="23"/>
      <c r="AY224" s="23"/>
      <c r="AZ224" s="23"/>
      <c r="BA224" s="23"/>
      <c r="BB224" s="23"/>
      <c r="BC224" s="23"/>
    </row>
    <row r="225">
      <c r="AO225" s="23"/>
      <c r="AP225" s="23"/>
      <c r="AQ225" s="23"/>
      <c r="AR225" s="23"/>
      <c r="AS225" s="23"/>
      <c r="AT225" s="23"/>
      <c r="AU225" s="23"/>
      <c r="AV225" s="23"/>
      <c r="AW225" s="23"/>
      <c r="AX225" s="23"/>
      <c r="AY225" s="23"/>
      <c r="AZ225" s="23"/>
      <c r="BA225" s="23"/>
      <c r="BB225" s="23"/>
      <c r="BC225" s="23"/>
    </row>
    <row r="226">
      <c r="AO226" s="23"/>
      <c r="AP226" s="23"/>
      <c r="AQ226" s="23"/>
      <c r="AR226" s="23"/>
      <c r="AS226" s="23"/>
      <c r="AT226" s="23"/>
      <c r="AU226" s="23"/>
      <c r="AV226" s="23"/>
      <c r="AW226" s="23"/>
      <c r="AX226" s="23"/>
      <c r="AY226" s="23"/>
      <c r="AZ226" s="23"/>
      <c r="BA226" s="23"/>
      <c r="BB226" s="23"/>
      <c r="BC226" s="23"/>
    </row>
    <row r="227">
      <c r="AO227" s="23"/>
      <c r="AP227" s="23"/>
      <c r="AQ227" s="23"/>
      <c r="AR227" s="23"/>
      <c r="AS227" s="23"/>
      <c r="AT227" s="23"/>
      <c r="AU227" s="23"/>
      <c r="AV227" s="23"/>
      <c r="AW227" s="23"/>
      <c r="AX227" s="23"/>
      <c r="AY227" s="23"/>
      <c r="AZ227" s="23"/>
      <c r="BA227" s="23"/>
      <c r="BB227" s="23"/>
      <c r="BC227" s="23"/>
    </row>
    <row r="228">
      <c r="AO228" s="23"/>
      <c r="AP228" s="23"/>
      <c r="AQ228" s="23"/>
      <c r="AR228" s="23"/>
      <c r="AS228" s="23"/>
      <c r="AT228" s="23"/>
      <c r="AU228" s="23"/>
      <c r="AV228" s="23"/>
      <c r="AW228" s="23"/>
      <c r="AX228" s="23"/>
      <c r="AY228" s="23"/>
      <c r="AZ228" s="23"/>
      <c r="BA228" s="23"/>
      <c r="BB228" s="23"/>
      <c r="BC228" s="23"/>
    </row>
    <row r="229">
      <c r="AO229" s="23"/>
      <c r="AP229" s="23"/>
      <c r="AQ229" s="23"/>
      <c r="AR229" s="23"/>
      <c r="AS229" s="23"/>
      <c r="AT229" s="23"/>
      <c r="AU229" s="23"/>
      <c r="AV229" s="23"/>
      <c r="AW229" s="23"/>
      <c r="AX229" s="23"/>
      <c r="AY229" s="23"/>
      <c r="AZ229" s="23"/>
      <c r="BA229" s="23"/>
      <c r="BB229" s="23"/>
      <c r="BC229" s="23"/>
    </row>
    <row r="230">
      <c r="AO230" s="23"/>
      <c r="AP230" s="23"/>
      <c r="AQ230" s="23"/>
      <c r="AR230" s="23"/>
      <c r="AS230" s="23"/>
      <c r="AT230" s="23"/>
      <c r="AU230" s="23"/>
      <c r="AV230" s="23"/>
      <c r="AW230" s="23"/>
      <c r="AX230" s="23"/>
      <c r="AY230" s="23"/>
      <c r="AZ230" s="23"/>
      <c r="BA230" s="23"/>
      <c r="BB230" s="23"/>
      <c r="BC230" s="23"/>
    </row>
    <row r="231">
      <c r="AO231" s="23"/>
      <c r="AP231" s="23"/>
      <c r="AQ231" s="23"/>
      <c r="AR231" s="23"/>
      <c r="AS231" s="23"/>
      <c r="AT231" s="23"/>
      <c r="AU231" s="23"/>
      <c r="AV231" s="23"/>
      <c r="AW231" s="23"/>
      <c r="AX231" s="23"/>
      <c r="AY231" s="23"/>
      <c r="AZ231" s="23"/>
      <c r="BA231" s="23"/>
      <c r="BB231" s="23"/>
      <c r="BC231" s="23"/>
    </row>
    <row r="232">
      <c r="AO232" s="23"/>
      <c r="AP232" s="23"/>
      <c r="AQ232" s="23"/>
      <c r="AR232" s="23"/>
      <c r="AS232" s="23"/>
      <c r="AT232" s="23"/>
      <c r="AU232" s="23"/>
      <c r="AV232" s="23"/>
      <c r="AW232" s="23"/>
      <c r="AX232" s="23"/>
      <c r="AY232" s="23"/>
      <c r="AZ232" s="23"/>
      <c r="BA232" s="23"/>
      <c r="BB232" s="23"/>
      <c r="BC232" s="23"/>
    </row>
    <row r="233">
      <c r="AO233" s="23"/>
      <c r="AP233" s="23"/>
      <c r="AQ233" s="23"/>
      <c r="AR233" s="23"/>
      <c r="AS233" s="23"/>
      <c r="AT233" s="23"/>
      <c r="AU233" s="23"/>
      <c r="AV233" s="23"/>
      <c r="AW233" s="23"/>
      <c r="AX233" s="23"/>
      <c r="AY233" s="23"/>
      <c r="AZ233" s="23"/>
      <c r="BA233" s="23"/>
      <c r="BB233" s="23"/>
      <c r="BC233" s="23"/>
    </row>
    <row r="234">
      <c r="AO234" s="23"/>
      <c r="AP234" s="23"/>
      <c r="AQ234" s="23"/>
      <c r="AR234" s="23"/>
      <c r="AS234" s="23"/>
      <c r="AT234" s="23"/>
      <c r="AU234" s="23"/>
      <c r="AV234" s="23"/>
      <c r="AW234" s="23"/>
      <c r="AX234" s="23"/>
      <c r="AY234" s="23"/>
      <c r="AZ234" s="23"/>
      <c r="BA234" s="23"/>
      <c r="BB234" s="23"/>
      <c r="BC234" s="23"/>
    </row>
    <row r="235">
      <c r="AO235" s="23"/>
      <c r="AP235" s="23"/>
      <c r="AQ235" s="23"/>
      <c r="AR235" s="23"/>
      <c r="AS235" s="23"/>
      <c r="AT235" s="23"/>
      <c r="AU235" s="23"/>
      <c r="AV235" s="23"/>
      <c r="AW235" s="23"/>
      <c r="AX235" s="23"/>
      <c r="AY235" s="23"/>
      <c r="AZ235" s="23"/>
      <c r="BA235" s="23"/>
      <c r="BB235" s="23"/>
      <c r="BC235" s="23"/>
    </row>
    <row r="236">
      <c r="AO236" s="23"/>
      <c r="AP236" s="23"/>
      <c r="AQ236" s="23"/>
      <c r="AR236" s="23"/>
      <c r="AS236" s="23"/>
      <c r="AT236" s="23"/>
      <c r="AU236" s="23"/>
      <c r="AV236" s="23"/>
      <c r="AW236" s="23"/>
      <c r="AX236" s="23"/>
      <c r="AY236" s="23"/>
      <c r="AZ236" s="23"/>
      <c r="BA236" s="23"/>
      <c r="BB236" s="23"/>
      <c r="BC236" s="23"/>
    </row>
    <row r="237">
      <c r="AO237" s="23"/>
      <c r="AP237" s="23"/>
      <c r="AQ237" s="23"/>
      <c r="AR237" s="23"/>
      <c r="AS237" s="23"/>
      <c r="AT237" s="23"/>
      <c r="AU237" s="23"/>
      <c r="AV237" s="23"/>
      <c r="AW237" s="23"/>
      <c r="AX237" s="23"/>
      <c r="AY237" s="23"/>
      <c r="AZ237" s="23"/>
      <c r="BA237" s="23"/>
      <c r="BB237" s="23"/>
      <c r="BC237" s="23"/>
    </row>
    <row r="238">
      <c r="AO238" s="23"/>
      <c r="AP238" s="23"/>
      <c r="AQ238" s="23"/>
      <c r="AR238" s="23"/>
      <c r="AS238" s="23"/>
      <c r="AT238" s="23"/>
      <c r="AU238" s="23"/>
      <c r="AV238" s="23"/>
      <c r="AW238" s="23"/>
      <c r="AX238" s="23"/>
      <c r="AY238" s="23"/>
      <c r="AZ238" s="23"/>
      <c r="BA238" s="23"/>
      <c r="BB238" s="23"/>
      <c r="BC238" s="23"/>
    </row>
    <row r="239">
      <c r="AO239" s="23"/>
      <c r="AP239" s="23"/>
      <c r="AQ239" s="23"/>
      <c r="AR239" s="23"/>
      <c r="AS239" s="23"/>
      <c r="AT239" s="23"/>
      <c r="AU239" s="23"/>
      <c r="AV239" s="23"/>
      <c r="AW239" s="23"/>
      <c r="AX239" s="23"/>
      <c r="AY239" s="23"/>
      <c r="AZ239" s="23"/>
      <c r="BA239" s="23"/>
      <c r="BB239" s="23"/>
      <c r="BC239" s="23"/>
    </row>
    <row r="240">
      <c r="AO240" s="23"/>
      <c r="AP240" s="23"/>
      <c r="AQ240" s="23"/>
      <c r="AR240" s="23"/>
      <c r="AS240" s="23"/>
      <c r="AT240" s="23"/>
      <c r="AU240" s="23"/>
      <c r="AV240" s="23"/>
      <c r="AW240" s="23"/>
      <c r="AX240" s="23"/>
      <c r="AY240" s="23"/>
      <c r="AZ240" s="23"/>
      <c r="BA240" s="23"/>
      <c r="BB240" s="23"/>
      <c r="BC240" s="23"/>
    </row>
    <row r="241">
      <c r="AO241" s="23"/>
      <c r="AP241" s="23"/>
      <c r="AQ241" s="23"/>
      <c r="AR241" s="23"/>
      <c r="AS241" s="23"/>
      <c r="AT241" s="23"/>
      <c r="AU241" s="23"/>
      <c r="AV241" s="23"/>
      <c r="AW241" s="23"/>
      <c r="AX241" s="23"/>
      <c r="AY241" s="23"/>
      <c r="AZ241" s="23"/>
      <c r="BA241" s="23"/>
      <c r="BB241" s="23"/>
      <c r="BC241" s="23"/>
    </row>
    <row r="242">
      <c r="AO242" s="23"/>
      <c r="AP242" s="23"/>
      <c r="AQ242" s="23"/>
      <c r="AR242" s="23"/>
      <c r="AS242" s="23"/>
      <c r="AT242" s="23"/>
      <c r="AU242" s="23"/>
      <c r="AV242" s="23"/>
      <c r="AW242" s="23"/>
      <c r="AX242" s="23"/>
      <c r="AY242" s="23"/>
      <c r="AZ242" s="23"/>
      <c r="BA242" s="23"/>
      <c r="BB242" s="23"/>
      <c r="BC242" s="23"/>
    </row>
    <row r="243">
      <c r="AO243" s="23"/>
      <c r="AP243" s="23"/>
      <c r="AQ243" s="23"/>
      <c r="AR243" s="23"/>
      <c r="AS243" s="23"/>
      <c r="AT243" s="23"/>
      <c r="AU243" s="23"/>
      <c r="AV243" s="23"/>
      <c r="AW243" s="23"/>
      <c r="AX243" s="23"/>
      <c r="AY243" s="23"/>
      <c r="AZ243" s="23"/>
      <c r="BA243" s="23"/>
      <c r="BB243" s="23"/>
      <c r="BC243" s="23"/>
    </row>
    <row r="244">
      <c r="AO244" s="23"/>
      <c r="AP244" s="23"/>
      <c r="AQ244" s="23"/>
      <c r="AR244" s="23"/>
      <c r="AS244" s="23"/>
      <c r="AT244" s="23"/>
      <c r="AU244" s="23"/>
      <c r="AV244" s="23"/>
      <c r="AW244" s="23"/>
      <c r="AX244" s="23"/>
      <c r="AY244" s="23"/>
      <c r="AZ244" s="23"/>
      <c r="BA244" s="23"/>
      <c r="BB244" s="23"/>
      <c r="BC244" s="23"/>
    </row>
    <row r="245">
      <c r="AO245" s="23"/>
      <c r="AP245" s="23"/>
      <c r="AQ245" s="23"/>
      <c r="AR245" s="23"/>
      <c r="AS245" s="23"/>
      <c r="AT245" s="23"/>
      <c r="AU245" s="23"/>
      <c r="AV245" s="23"/>
      <c r="AW245" s="23"/>
      <c r="AX245" s="23"/>
      <c r="AY245" s="23"/>
      <c r="AZ245" s="23"/>
      <c r="BA245" s="23"/>
      <c r="BB245" s="23"/>
      <c r="BC245" s="23"/>
    </row>
    <row r="246">
      <c r="AO246" s="23"/>
      <c r="AP246" s="23"/>
      <c r="AQ246" s="23"/>
      <c r="AR246" s="23"/>
      <c r="AS246" s="23"/>
      <c r="AT246" s="23"/>
      <c r="AU246" s="23"/>
      <c r="AV246" s="23"/>
      <c r="AW246" s="23"/>
      <c r="AX246" s="23"/>
      <c r="AY246" s="23"/>
      <c r="AZ246" s="23"/>
      <c r="BA246" s="23"/>
      <c r="BB246" s="23"/>
      <c r="BC246" s="23"/>
    </row>
    <row r="247">
      <c r="AO247" s="23"/>
      <c r="AP247" s="23"/>
      <c r="AQ247" s="23"/>
      <c r="AR247" s="23"/>
      <c r="AS247" s="23"/>
      <c r="AT247" s="23"/>
      <c r="AU247" s="23"/>
      <c r="AV247" s="23"/>
      <c r="AW247" s="23"/>
      <c r="AX247" s="23"/>
      <c r="AY247" s="23"/>
      <c r="AZ247" s="23"/>
      <c r="BA247" s="23"/>
      <c r="BB247" s="23"/>
      <c r="BC247" s="23"/>
    </row>
    <row r="248">
      <c r="AO248" s="23"/>
      <c r="AP248" s="23"/>
      <c r="AQ248" s="23"/>
      <c r="AR248" s="23"/>
      <c r="AS248" s="23"/>
      <c r="AT248" s="23"/>
      <c r="AU248" s="23"/>
      <c r="AV248" s="23"/>
      <c r="AW248" s="23"/>
      <c r="AX248" s="23"/>
      <c r="AY248" s="23"/>
      <c r="AZ248" s="23"/>
      <c r="BA248" s="23"/>
      <c r="BB248" s="23"/>
      <c r="BC248" s="23"/>
    </row>
    <row r="249">
      <c r="AO249" s="23"/>
      <c r="AP249" s="23"/>
      <c r="AQ249" s="23"/>
      <c r="AR249" s="23"/>
      <c r="AS249" s="23"/>
      <c r="AT249" s="23"/>
      <c r="AU249" s="23"/>
      <c r="AV249" s="23"/>
      <c r="AW249" s="23"/>
      <c r="AX249" s="23"/>
      <c r="AY249" s="23"/>
      <c r="AZ249" s="23"/>
      <c r="BA249" s="23"/>
      <c r="BB249" s="23"/>
      <c r="BC249" s="23"/>
    </row>
    <row r="250">
      <c r="AO250" s="23"/>
      <c r="AP250" s="23"/>
      <c r="AQ250" s="23"/>
      <c r="AR250" s="23"/>
      <c r="AS250" s="23"/>
      <c r="AT250" s="23"/>
      <c r="AU250" s="23"/>
      <c r="AV250" s="23"/>
      <c r="AW250" s="23"/>
      <c r="AX250" s="23"/>
      <c r="AY250" s="23"/>
      <c r="AZ250" s="23"/>
      <c r="BA250" s="23"/>
      <c r="BB250" s="23"/>
      <c r="BC250" s="23"/>
    </row>
    <row r="251">
      <c r="AO251" s="23"/>
      <c r="AP251" s="23"/>
      <c r="AQ251" s="23"/>
      <c r="AR251" s="23"/>
      <c r="AS251" s="23"/>
      <c r="AT251" s="23"/>
      <c r="AU251" s="23"/>
      <c r="AV251" s="23"/>
      <c r="AW251" s="23"/>
      <c r="AX251" s="23"/>
      <c r="AY251" s="23"/>
      <c r="AZ251" s="23"/>
      <c r="BA251" s="23"/>
      <c r="BB251" s="23"/>
      <c r="BC251" s="23"/>
    </row>
    <row r="252">
      <c r="AO252" s="23"/>
      <c r="AP252" s="23"/>
      <c r="AQ252" s="23"/>
      <c r="AR252" s="23"/>
      <c r="AS252" s="23"/>
      <c r="AT252" s="23"/>
      <c r="AU252" s="23"/>
      <c r="AV252" s="23"/>
      <c r="AW252" s="23"/>
      <c r="AX252" s="23"/>
      <c r="AY252" s="23"/>
      <c r="AZ252" s="23"/>
      <c r="BA252" s="23"/>
      <c r="BB252" s="23"/>
      <c r="BC252" s="23"/>
    </row>
    <row r="253">
      <c r="AO253" s="23"/>
      <c r="AP253" s="23"/>
      <c r="AQ253" s="23"/>
      <c r="AR253" s="23"/>
      <c r="AS253" s="23"/>
      <c r="AT253" s="23"/>
      <c r="AU253" s="23"/>
      <c r="AV253" s="23"/>
      <c r="AW253" s="23"/>
      <c r="AX253" s="23"/>
      <c r="AY253" s="23"/>
      <c r="AZ253" s="23"/>
      <c r="BA253" s="23"/>
      <c r="BB253" s="23"/>
      <c r="BC253" s="23"/>
    </row>
    <row r="254">
      <c r="AO254" s="23"/>
      <c r="AP254" s="23"/>
      <c r="AQ254" s="23"/>
      <c r="AR254" s="23"/>
      <c r="AS254" s="23"/>
      <c r="AT254" s="23"/>
      <c r="AU254" s="23"/>
      <c r="AV254" s="23"/>
      <c r="AW254" s="23"/>
      <c r="AX254" s="23"/>
      <c r="AY254" s="23"/>
      <c r="AZ254" s="23"/>
      <c r="BA254" s="23"/>
      <c r="BB254" s="23"/>
      <c r="BC254" s="23"/>
    </row>
    <row r="255">
      <c r="AO255" s="23"/>
      <c r="AP255" s="23"/>
      <c r="AQ255" s="23"/>
      <c r="AR255" s="23"/>
      <c r="AS255" s="23"/>
      <c r="AT255" s="23"/>
      <c r="AU255" s="23"/>
      <c r="AV255" s="23"/>
      <c r="AW255" s="23"/>
      <c r="AX255" s="23"/>
      <c r="AY255" s="23"/>
      <c r="AZ255" s="23"/>
      <c r="BA255" s="23"/>
      <c r="BB255" s="23"/>
      <c r="BC255" s="23"/>
    </row>
    <row r="256">
      <c r="AO256" s="23"/>
      <c r="AP256" s="23"/>
      <c r="AQ256" s="23"/>
      <c r="AR256" s="23"/>
      <c r="AS256" s="23"/>
      <c r="AT256" s="23"/>
      <c r="AU256" s="23"/>
      <c r="AV256" s="23"/>
      <c r="AW256" s="23"/>
      <c r="AX256" s="23"/>
      <c r="AY256" s="23"/>
      <c r="AZ256" s="23"/>
      <c r="BA256" s="23"/>
      <c r="BB256" s="23"/>
      <c r="BC256" s="23"/>
    </row>
    <row r="257">
      <c r="AO257" s="23"/>
      <c r="AP257" s="23"/>
      <c r="AQ257" s="23"/>
      <c r="AR257" s="23"/>
      <c r="AS257" s="23"/>
      <c r="AT257" s="23"/>
      <c r="AU257" s="23"/>
      <c r="AV257" s="23"/>
      <c r="AW257" s="23"/>
      <c r="AX257" s="23"/>
      <c r="AY257" s="23"/>
      <c r="AZ257" s="23"/>
      <c r="BA257" s="23"/>
      <c r="BB257" s="23"/>
      <c r="BC257" s="23"/>
    </row>
    <row r="258">
      <c r="AO258" s="23"/>
      <c r="AP258" s="23"/>
      <c r="AQ258" s="23"/>
      <c r="AR258" s="23"/>
      <c r="AS258" s="23"/>
      <c r="AT258" s="23"/>
      <c r="AU258" s="23"/>
      <c r="AV258" s="23"/>
      <c r="AW258" s="23"/>
      <c r="AX258" s="23"/>
      <c r="AY258" s="23"/>
      <c r="AZ258" s="23"/>
      <c r="BA258" s="23"/>
      <c r="BB258" s="23"/>
      <c r="BC258" s="23"/>
    </row>
    <row r="259">
      <c r="AO259" s="23"/>
      <c r="AP259" s="23"/>
      <c r="AQ259" s="23"/>
      <c r="AR259" s="23"/>
      <c r="AS259" s="23"/>
      <c r="AT259" s="23"/>
      <c r="AU259" s="23"/>
      <c r="AV259" s="23"/>
      <c r="AW259" s="23"/>
      <c r="AX259" s="23"/>
      <c r="AY259" s="23"/>
      <c r="AZ259" s="23"/>
      <c r="BA259" s="23"/>
      <c r="BB259" s="23"/>
      <c r="BC259" s="23"/>
    </row>
    <row r="260">
      <c r="AO260" s="23"/>
      <c r="AP260" s="23"/>
      <c r="AQ260" s="23"/>
      <c r="AR260" s="23"/>
      <c r="AS260" s="23"/>
      <c r="AT260" s="23"/>
      <c r="AU260" s="23"/>
      <c r="AV260" s="23"/>
      <c r="AW260" s="23"/>
      <c r="AX260" s="23"/>
      <c r="AY260" s="23"/>
      <c r="AZ260" s="23"/>
      <c r="BA260" s="23"/>
      <c r="BB260" s="23"/>
      <c r="BC260" s="23"/>
    </row>
    <row r="261">
      <c r="AO261" s="23"/>
      <c r="AP261" s="23"/>
      <c r="AQ261" s="23"/>
      <c r="AR261" s="23"/>
      <c r="AS261" s="23"/>
      <c r="AT261" s="23"/>
      <c r="AU261" s="23"/>
      <c r="AV261" s="23"/>
      <c r="AW261" s="23"/>
      <c r="AX261" s="23"/>
      <c r="AY261" s="23"/>
      <c r="AZ261" s="23"/>
      <c r="BA261" s="23"/>
      <c r="BB261" s="23"/>
      <c r="BC261" s="23"/>
    </row>
    <row r="262">
      <c r="AO262" s="23"/>
      <c r="AP262" s="23"/>
      <c r="AQ262" s="23"/>
      <c r="AR262" s="23"/>
      <c r="AS262" s="23"/>
      <c r="AT262" s="23"/>
      <c r="AU262" s="23"/>
      <c r="AV262" s="23"/>
      <c r="AW262" s="23"/>
      <c r="AX262" s="23"/>
      <c r="AY262" s="23"/>
      <c r="AZ262" s="23"/>
      <c r="BA262" s="23"/>
      <c r="BB262" s="23"/>
      <c r="BC262" s="23"/>
    </row>
    <row r="263">
      <c r="AO263" s="23"/>
      <c r="AP263" s="23"/>
      <c r="AQ263" s="23"/>
      <c r="AR263" s="23"/>
      <c r="AS263" s="23"/>
      <c r="AT263" s="23"/>
      <c r="AU263" s="23"/>
      <c r="AV263" s="23"/>
      <c r="AW263" s="23"/>
      <c r="AX263" s="23"/>
      <c r="AY263" s="23"/>
      <c r="AZ263" s="23"/>
      <c r="BA263" s="23"/>
      <c r="BB263" s="23"/>
      <c r="BC263" s="23"/>
    </row>
    <row r="264">
      <c r="AO264" s="23"/>
      <c r="AP264" s="23"/>
      <c r="AQ264" s="23"/>
      <c r="AR264" s="23"/>
      <c r="AS264" s="23"/>
      <c r="AT264" s="23"/>
      <c r="AU264" s="23"/>
      <c r="AV264" s="23"/>
      <c r="AW264" s="23"/>
      <c r="AX264" s="23"/>
      <c r="AY264" s="23"/>
      <c r="AZ264" s="23"/>
      <c r="BA264" s="23"/>
      <c r="BB264" s="23"/>
      <c r="BC264" s="23"/>
    </row>
    <row r="265">
      <c r="AO265" s="23"/>
      <c r="AP265" s="23"/>
      <c r="AQ265" s="23"/>
      <c r="AR265" s="23"/>
      <c r="AS265" s="23"/>
      <c r="AT265" s="23"/>
      <c r="AU265" s="23"/>
      <c r="AV265" s="23"/>
      <c r="AW265" s="23"/>
      <c r="AX265" s="23"/>
      <c r="AY265" s="23"/>
      <c r="AZ265" s="23"/>
      <c r="BA265" s="23"/>
      <c r="BB265" s="23"/>
      <c r="BC265" s="23"/>
    </row>
    <row r="266">
      <c r="AO266" s="23"/>
      <c r="AP266" s="23"/>
      <c r="AQ266" s="23"/>
      <c r="AR266" s="23"/>
      <c r="AS266" s="23"/>
      <c r="AT266" s="23"/>
      <c r="AU266" s="23"/>
      <c r="AV266" s="23"/>
      <c r="AW266" s="23"/>
      <c r="AX266" s="23"/>
      <c r="AY266" s="23"/>
      <c r="AZ266" s="23"/>
      <c r="BA266" s="23"/>
      <c r="BB266" s="23"/>
      <c r="BC266" s="23"/>
    </row>
    <row r="267">
      <c r="AO267" s="23"/>
      <c r="AP267" s="23"/>
      <c r="AQ267" s="23"/>
      <c r="AR267" s="23"/>
      <c r="AS267" s="23"/>
      <c r="AT267" s="23"/>
      <c r="AU267" s="23"/>
      <c r="AV267" s="23"/>
      <c r="AW267" s="23"/>
      <c r="AX267" s="23"/>
      <c r="AY267" s="23"/>
      <c r="AZ267" s="23"/>
      <c r="BA267" s="23"/>
      <c r="BB267" s="23"/>
      <c r="BC267" s="23"/>
    </row>
    <row r="268">
      <c r="AO268" s="23"/>
      <c r="AP268" s="23"/>
      <c r="AQ268" s="23"/>
      <c r="AR268" s="23"/>
      <c r="AS268" s="23"/>
      <c r="AT268" s="23"/>
      <c r="AU268" s="23"/>
      <c r="AV268" s="23"/>
      <c r="AW268" s="23"/>
      <c r="AX268" s="23"/>
      <c r="AY268" s="23"/>
      <c r="AZ268" s="23"/>
      <c r="BA268" s="23"/>
      <c r="BB268" s="23"/>
      <c r="BC268" s="23"/>
    </row>
    <row r="269">
      <c r="AO269" s="23"/>
      <c r="AP269" s="23"/>
      <c r="AQ269" s="23"/>
      <c r="AR269" s="23"/>
      <c r="AS269" s="23"/>
      <c r="AT269" s="23"/>
      <c r="AU269" s="23"/>
      <c r="AV269" s="23"/>
      <c r="AW269" s="23"/>
      <c r="AX269" s="23"/>
      <c r="AY269" s="23"/>
      <c r="AZ269" s="23"/>
      <c r="BA269" s="23"/>
      <c r="BB269" s="23"/>
      <c r="BC269" s="23"/>
    </row>
    <row r="270">
      <c r="AO270" s="23"/>
      <c r="AP270" s="23"/>
      <c r="AQ270" s="23"/>
      <c r="AR270" s="23"/>
      <c r="AS270" s="23"/>
      <c r="AT270" s="23"/>
      <c r="AU270" s="23"/>
      <c r="AV270" s="23"/>
      <c r="AW270" s="23"/>
      <c r="AX270" s="23"/>
      <c r="AY270" s="23"/>
      <c r="AZ270" s="23"/>
      <c r="BA270" s="23"/>
      <c r="BB270" s="23"/>
      <c r="BC270" s="23"/>
    </row>
    <row r="271">
      <c r="AO271" s="23"/>
      <c r="AP271" s="23"/>
      <c r="AQ271" s="23"/>
      <c r="AR271" s="23"/>
      <c r="AS271" s="23"/>
      <c r="AT271" s="23"/>
      <c r="AU271" s="23"/>
      <c r="AV271" s="23"/>
      <c r="AW271" s="23"/>
      <c r="AX271" s="23"/>
      <c r="AY271" s="23"/>
      <c r="AZ271" s="23"/>
      <c r="BA271" s="23"/>
      <c r="BB271" s="23"/>
      <c r="BC271" s="23"/>
    </row>
    <row r="272">
      <c r="AO272" s="23"/>
      <c r="AP272" s="23"/>
      <c r="AQ272" s="23"/>
      <c r="AR272" s="23"/>
      <c r="AS272" s="23"/>
      <c r="AT272" s="23"/>
      <c r="AU272" s="23"/>
      <c r="AV272" s="23"/>
      <c r="AW272" s="23"/>
      <c r="AX272" s="23"/>
      <c r="AY272" s="23"/>
      <c r="AZ272" s="23"/>
      <c r="BA272" s="23"/>
      <c r="BB272" s="23"/>
      <c r="BC272" s="23"/>
    </row>
    <row r="273">
      <c r="AO273" s="23"/>
      <c r="AP273" s="23"/>
      <c r="AQ273" s="23"/>
      <c r="AR273" s="23"/>
      <c r="AS273" s="23"/>
      <c r="AT273" s="23"/>
      <c r="AU273" s="23"/>
      <c r="AV273" s="23"/>
      <c r="AW273" s="23"/>
      <c r="AX273" s="23"/>
      <c r="AY273" s="23"/>
      <c r="AZ273" s="23"/>
      <c r="BA273" s="23"/>
      <c r="BB273" s="23"/>
      <c r="BC273" s="23"/>
    </row>
    <row r="274">
      <c r="AO274" s="23"/>
      <c r="AP274" s="23"/>
      <c r="AQ274" s="23"/>
      <c r="AR274" s="23"/>
      <c r="AS274" s="23"/>
      <c r="AT274" s="23"/>
      <c r="AU274" s="23"/>
      <c r="AV274" s="23"/>
      <c r="AW274" s="23"/>
      <c r="AX274" s="23"/>
      <c r="AY274" s="23"/>
      <c r="AZ274" s="23"/>
      <c r="BA274" s="23"/>
      <c r="BB274" s="23"/>
      <c r="BC274" s="23"/>
    </row>
    <row r="275">
      <c r="AO275" s="23"/>
      <c r="AP275" s="23"/>
      <c r="AQ275" s="23"/>
      <c r="AR275" s="23"/>
      <c r="AS275" s="23"/>
      <c r="AT275" s="23"/>
      <c r="AU275" s="23"/>
      <c r="AV275" s="23"/>
      <c r="AW275" s="23"/>
      <c r="AX275" s="23"/>
      <c r="AY275" s="23"/>
      <c r="AZ275" s="23"/>
      <c r="BA275" s="23"/>
      <c r="BB275" s="23"/>
      <c r="BC275" s="23"/>
    </row>
    <row r="276">
      <c r="AO276" s="23"/>
      <c r="AP276" s="23"/>
      <c r="AQ276" s="23"/>
      <c r="AR276" s="23"/>
      <c r="AS276" s="23"/>
      <c r="AT276" s="23"/>
      <c r="AU276" s="23"/>
      <c r="AV276" s="23"/>
      <c r="AW276" s="23"/>
      <c r="AX276" s="23"/>
      <c r="AY276" s="23"/>
      <c r="AZ276" s="23"/>
      <c r="BA276" s="23"/>
      <c r="BB276" s="23"/>
      <c r="BC276" s="23"/>
    </row>
    <row r="277">
      <c r="AO277" s="23"/>
      <c r="AP277" s="23"/>
      <c r="AQ277" s="23"/>
      <c r="AR277" s="23"/>
      <c r="AS277" s="23"/>
      <c r="AT277" s="23"/>
      <c r="AU277" s="23"/>
      <c r="AV277" s="23"/>
      <c r="AW277" s="23"/>
      <c r="AX277" s="23"/>
      <c r="AY277" s="23"/>
      <c r="AZ277" s="23"/>
      <c r="BA277" s="23"/>
      <c r="BB277" s="23"/>
      <c r="BC277" s="23"/>
    </row>
    <row r="278">
      <c r="AO278" s="23"/>
      <c r="AP278" s="23"/>
      <c r="AQ278" s="23"/>
      <c r="AR278" s="23"/>
      <c r="AS278" s="23"/>
      <c r="AT278" s="23"/>
      <c r="AU278" s="23"/>
      <c r="AV278" s="23"/>
      <c r="AW278" s="23"/>
      <c r="AX278" s="23"/>
      <c r="AY278" s="23"/>
      <c r="AZ278" s="23"/>
      <c r="BA278" s="23"/>
      <c r="BB278" s="23"/>
      <c r="BC278" s="23"/>
    </row>
    <row r="279">
      <c r="AO279" s="23"/>
      <c r="AP279" s="23"/>
      <c r="AQ279" s="23"/>
      <c r="AR279" s="23"/>
      <c r="AS279" s="23"/>
      <c r="AT279" s="23"/>
      <c r="AU279" s="23"/>
      <c r="AV279" s="23"/>
      <c r="AW279" s="23"/>
      <c r="AX279" s="23"/>
      <c r="AY279" s="23"/>
      <c r="AZ279" s="23"/>
      <c r="BA279" s="23"/>
      <c r="BB279" s="23"/>
      <c r="BC279" s="23"/>
    </row>
    <row r="280">
      <c r="AO280" s="23"/>
      <c r="AP280" s="23"/>
      <c r="AQ280" s="23"/>
      <c r="AR280" s="23"/>
      <c r="AS280" s="23"/>
      <c r="AT280" s="23"/>
      <c r="AU280" s="23"/>
      <c r="AV280" s="23"/>
      <c r="AW280" s="23"/>
      <c r="AX280" s="23"/>
      <c r="AY280" s="23"/>
      <c r="AZ280" s="23"/>
      <c r="BA280" s="23"/>
      <c r="BB280" s="23"/>
      <c r="BC280" s="23"/>
    </row>
    <row r="281">
      <c r="AO281" s="23"/>
      <c r="AP281" s="23"/>
      <c r="AQ281" s="23"/>
      <c r="AR281" s="23"/>
      <c r="AS281" s="23"/>
      <c r="AT281" s="23"/>
      <c r="AU281" s="23"/>
      <c r="AV281" s="23"/>
      <c r="AW281" s="23"/>
      <c r="AX281" s="23"/>
      <c r="AY281" s="23"/>
      <c r="AZ281" s="23"/>
      <c r="BA281" s="23"/>
      <c r="BB281" s="23"/>
      <c r="BC281" s="23"/>
    </row>
    <row r="282">
      <c r="AO282" s="23"/>
      <c r="AP282" s="23"/>
      <c r="AQ282" s="23"/>
      <c r="AR282" s="23"/>
      <c r="AS282" s="23"/>
      <c r="AT282" s="23"/>
      <c r="AU282" s="23"/>
      <c r="AV282" s="23"/>
      <c r="AW282" s="23"/>
      <c r="AX282" s="23"/>
      <c r="AY282" s="23"/>
      <c r="AZ282" s="23"/>
      <c r="BA282" s="23"/>
      <c r="BB282" s="23"/>
      <c r="BC282" s="23"/>
    </row>
    <row r="283">
      <c r="AO283" s="23"/>
      <c r="AP283" s="23"/>
      <c r="AQ283" s="23"/>
      <c r="AR283" s="23"/>
      <c r="AS283" s="23"/>
      <c r="AT283" s="23"/>
      <c r="AU283" s="23"/>
      <c r="AV283" s="23"/>
      <c r="AW283" s="23"/>
      <c r="AX283" s="23"/>
      <c r="AY283" s="23"/>
      <c r="AZ283" s="23"/>
      <c r="BA283" s="23"/>
      <c r="BB283" s="23"/>
      <c r="BC283" s="23"/>
    </row>
    <row r="284">
      <c r="AO284" s="23"/>
      <c r="AP284" s="23"/>
      <c r="AQ284" s="23"/>
      <c r="AR284" s="23"/>
      <c r="AS284" s="23"/>
      <c r="AT284" s="23"/>
      <c r="AU284" s="23"/>
      <c r="AV284" s="23"/>
      <c r="AW284" s="23"/>
      <c r="AX284" s="23"/>
      <c r="AY284" s="23"/>
      <c r="AZ284" s="23"/>
      <c r="BA284" s="23"/>
      <c r="BB284" s="23"/>
      <c r="BC284" s="23"/>
    </row>
    <row r="285">
      <c r="AO285" s="23"/>
      <c r="AP285" s="23"/>
      <c r="AQ285" s="23"/>
      <c r="AR285" s="23"/>
      <c r="AS285" s="23"/>
      <c r="AT285" s="23"/>
      <c r="AU285" s="23"/>
      <c r="AV285" s="23"/>
      <c r="AW285" s="23"/>
      <c r="AX285" s="23"/>
      <c r="AY285" s="23"/>
      <c r="AZ285" s="23"/>
      <c r="BA285" s="23"/>
      <c r="BB285" s="23"/>
      <c r="BC285" s="23"/>
    </row>
    <row r="286">
      <c r="AO286" s="23"/>
      <c r="AP286" s="23"/>
      <c r="AQ286" s="23"/>
      <c r="AR286" s="23"/>
      <c r="AS286" s="23"/>
      <c r="AT286" s="23"/>
      <c r="AU286" s="23"/>
      <c r="AV286" s="23"/>
      <c r="AW286" s="23"/>
      <c r="AX286" s="23"/>
      <c r="AY286" s="23"/>
      <c r="AZ286" s="23"/>
      <c r="BA286" s="23"/>
      <c r="BB286" s="23"/>
      <c r="BC286" s="23"/>
    </row>
    <row r="287">
      <c r="AO287" s="23"/>
      <c r="AP287" s="23"/>
      <c r="AQ287" s="23"/>
      <c r="AR287" s="23"/>
      <c r="AS287" s="23"/>
      <c r="AT287" s="23"/>
      <c r="AU287" s="23"/>
      <c r="AV287" s="23"/>
      <c r="AW287" s="23"/>
      <c r="AX287" s="23"/>
      <c r="AY287" s="23"/>
      <c r="AZ287" s="23"/>
      <c r="BA287" s="23"/>
      <c r="BB287" s="23"/>
      <c r="BC287" s="23"/>
    </row>
    <row r="288">
      <c r="AO288" s="23"/>
      <c r="AP288" s="23"/>
      <c r="AQ288" s="23"/>
      <c r="AR288" s="23"/>
      <c r="AS288" s="23"/>
      <c r="AT288" s="23"/>
      <c r="AU288" s="23"/>
      <c r="AV288" s="23"/>
      <c r="AW288" s="23"/>
      <c r="AX288" s="23"/>
      <c r="AY288" s="23"/>
      <c r="AZ288" s="23"/>
      <c r="BA288" s="23"/>
      <c r="BB288" s="23"/>
      <c r="BC288" s="23"/>
    </row>
    <row r="289">
      <c r="AO289" s="23"/>
      <c r="AP289" s="23"/>
      <c r="AQ289" s="23"/>
      <c r="AR289" s="23"/>
      <c r="AS289" s="23"/>
      <c r="AT289" s="23"/>
      <c r="AU289" s="23"/>
      <c r="AV289" s="23"/>
      <c r="AW289" s="23"/>
      <c r="AX289" s="23"/>
      <c r="AY289" s="23"/>
      <c r="AZ289" s="23"/>
      <c r="BA289" s="23"/>
      <c r="BB289" s="23"/>
      <c r="BC289" s="23"/>
    </row>
    <row r="290">
      <c r="AO290" s="23"/>
      <c r="AP290" s="23"/>
      <c r="AQ290" s="23"/>
      <c r="AR290" s="23"/>
      <c r="AS290" s="23"/>
      <c r="AT290" s="23"/>
      <c r="AU290" s="23"/>
      <c r="AV290" s="23"/>
      <c r="AW290" s="23"/>
      <c r="AX290" s="23"/>
      <c r="AY290" s="23"/>
      <c r="AZ290" s="23"/>
      <c r="BA290" s="23"/>
      <c r="BB290" s="23"/>
      <c r="BC290" s="23"/>
    </row>
    <row r="291">
      <c r="AO291" s="23"/>
      <c r="AP291" s="23"/>
      <c r="AQ291" s="23"/>
      <c r="AR291" s="23"/>
      <c r="AS291" s="23"/>
      <c r="AT291" s="23"/>
      <c r="AU291" s="23"/>
      <c r="AV291" s="23"/>
      <c r="AW291" s="23"/>
      <c r="AX291" s="23"/>
      <c r="AY291" s="23"/>
      <c r="AZ291" s="23"/>
      <c r="BA291" s="23"/>
      <c r="BB291" s="23"/>
      <c r="BC291" s="23"/>
    </row>
    <row r="292">
      <c r="AO292" s="23"/>
      <c r="AP292" s="23"/>
      <c r="AQ292" s="23"/>
      <c r="AR292" s="23"/>
      <c r="AS292" s="23"/>
      <c r="AT292" s="23"/>
      <c r="AU292" s="23"/>
      <c r="AV292" s="23"/>
      <c r="AW292" s="23"/>
      <c r="AX292" s="23"/>
      <c r="AY292" s="23"/>
      <c r="AZ292" s="23"/>
      <c r="BA292" s="23"/>
      <c r="BB292" s="23"/>
      <c r="BC292" s="23"/>
    </row>
    <row r="293">
      <c r="AO293" s="23"/>
      <c r="AP293" s="23"/>
      <c r="AQ293" s="23"/>
      <c r="AR293" s="23"/>
      <c r="AS293" s="23"/>
      <c r="AT293" s="23"/>
      <c r="AU293" s="23"/>
      <c r="AV293" s="23"/>
      <c r="AW293" s="23"/>
      <c r="AX293" s="23"/>
      <c r="AY293" s="23"/>
      <c r="AZ293" s="23"/>
      <c r="BA293" s="23"/>
      <c r="BB293" s="23"/>
      <c r="BC293" s="23"/>
    </row>
    <row r="294">
      <c r="AO294" s="23"/>
      <c r="AP294" s="23"/>
      <c r="AQ294" s="23"/>
      <c r="AR294" s="23"/>
      <c r="AS294" s="23"/>
      <c r="AT294" s="23"/>
      <c r="AU294" s="23"/>
      <c r="AV294" s="23"/>
      <c r="AW294" s="23"/>
      <c r="AX294" s="23"/>
      <c r="AY294" s="23"/>
      <c r="AZ294" s="23"/>
      <c r="BA294" s="23"/>
      <c r="BB294" s="23"/>
      <c r="BC294" s="23"/>
    </row>
    <row r="295">
      <c r="AO295" s="23"/>
      <c r="AP295" s="23"/>
      <c r="AQ295" s="23"/>
      <c r="AR295" s="23"/>
      <c r="AS295" s="23"/>
      <c r="AT295" s="23"/>
      <c r="AU295" s="23"/>
      <c r="AV295" s="23"/>
      <c r="AW295" s="23"/>
      <c r="AX295" s="23"/>
      <c r="AY295" s="23"/>
      <c r="AZ295" s="23"/>
      <c r="BA295" s="23"/>
      <c r="BB295" s="23"/>
      <c r="BC295" s="23"/>
    </row>
    <row r="296">
      <c r="AO296" s="23"/>
      <c r="AP296" s="23"/>
      <c r="AQ296" s="23"/>
      <c r="AR296" s="23"/>
      <c r="AS296" s="23"/>
      <c r="AT296" s="23"/>
      <c r="AU296" s="23"/>
      <c r="AV296" s="23"/>
      <c r="AW296" s="23"/>
      <c r="AX296" s="23"/>
      <c r="AY296" s="23"/>
      <c r="AZ296" s="23"/>
      <c r="BA296" s="23"/>
      <c r="BB296" s="23"/>
      <c r="BC296" s="23"/>
    </row>
    <row r="297">
      <c r="AO297" s="23"/>
      <c r="AP297" s="23"/>
      <c r="AQ297" s="23"/>
      <c r="AR297" s="23"/>
      <c r="AS297" s="23"/>
      <c r="AT297" s="23"/>
      <c r="AU297" s="23"/>
      <c r="AV297" s="23"/>
      <c r="AW297" s="23"/>
      <c r="AX297" s="23"/>
      <c r="AY297" s="23"/>
      <c r="AZ297" s="23"/>
      <c r="BA297" s="23"/>
      <c r="BB297" s="23"/>
      <c r="BC297" s="23"/>
    </row>
    <row r="298">
      <c r="AO298" s="23"/>
      <c r="AP298" s="23"/>
      <c r="AQ298" s="23"/>
      <c r="AR298" s="23"/>
      <c r="AS298" s="23"/>
      <c r="AT298" s="23"/>
      <c r="AU298" s="23"/>
      <c r="AV298" s="23"/>
      <c r="AW298" s="23"/>
      <c r="AX298" s="23"/>
      <c r="AY298" s="23"/>
      <c r="AZ298" s="23"/>
      <c r="BA298" s="23"/>
      <c r="BB298" s="23"/>
      <c r="BC298" s="23"/>
    </row>
    <row r="299">
      <c r="AO299" s="23"/>
      <c r="AP299" s="23"/>
      <c r="AQ299" s="23"/>
      <c r="AR299" s="23"/>
      <c r="AS299" s="23"/>
      <c r="AT299" s="23"/>
      <c r="AU299" s="23"/>
      <c r="AV299" s="23"/>
      <c r="AW299" s="23"/>
      <c r="AX299" s="23"/>
      <c r="AY299" s="23"/>
      <c r="AZ299" s="23"/>
      <c r="BA299" s="23"/>
      <c r="BB299" s="23"/>
      <c r="BC299" s="23"/>
    </row>
    <row r="300">
      <c r="AO300" s="23"/>
      <c r="AP300" s="23"/>
      <c r="AQ300" s="23"/>
      <c r="AR300" s="23"/>
      <c r="AS300" s="23"/>
      <c r="AT300" s="23"/>
      <c r="AU300" s="23"/>
      <c r="AV300" s="23"/>
      <c r="AW300" s="23"/>
      <c r="AX300" s="23"/>
      <c r="AY300" s="23"/>
      <c r="AZ300" s="23"/>
      <c r="BA300" s="23"/>
      <c r="BB300" s="23"/>
      <c r="BC300" s="23"/>
    </row>
    <row r="301">
      <c r="AO301" s="23"/>
      <c r="AP301" s="23"/>
      <c r="AQ301" s="23"/>
      <c r="AR301" s="23"/>
      <c r="AS301" s="23"/>
      <c r="AT301" s="23"/>
      <c r="AU301" s="23"/>
      <c r="AV301" s="23"/>
      <c r="AW301" s="23"/>
      <c r="AX301" s="23"/>
      <c r="AY301" s="23"/>
      <c r="AZ301" s="23"/>
      <c r="BA301" s="23"/>
      <c r="BB301" s="23"/>
      <c r="BC301" s="23"/>
    </row>
    <row r="302">
      <c r="AO302" s="23"/>
      <c r="AP302" s="23"/>
      <c r="AQ302" s="23"/>
      <c r="AR302" s="23"/>
      <c r="AS302" s="23"/>
      <c r="AT302" s="23"/>
      <c r="AU302" s="23"/>
      <c r="AV302" s="23"/>
      <c r="AW302" s="23"/>
      <c r="AX302" s="23"/>
      <c r="AY302" s="23"/>
      <c r="AZ302" s="23"/>
      <c r="BA302" s="23"/>
      <c r="BB302" s="23"/>
      <c r="BC302" s="23"/>
    </row>
    <row r="303">
      <c r="AO303" s="23"/>
      <c r="AP303" s="23"/>
      <c r="AQ303" s="23"/>
      <c r="AR303" s="23"/>
      <c r="AS303" s="23"/>
      <c r="AT303" s="23"/>
      <c r="AU303" s="23"/>
      <c r="AV303" s="23"/>
      <c r="AW303" s="23"/>
      <c r="AX303" s="23"/>
      <c r="AY303" s="23"/>
      <c r="AZ303" s="23"/>
      <c r="BA303" s="23"/>
      <c r="BB303" s="23"/>
      <c r="BC303" s="23"/>
    </row>
    <row r="304">
      <c r="AO304" s="23"/>
      <c r="AP304" s="23"/>
      <c r="AQ304" s="23"/>
      <c r="AR304" s="23"/>
      <c r="AS304" s="23"/>
      <c r="AT304" s="23"/>
      <c r="AU304" s="23"/>
      <c r="AV304" s="23"/>
      <c r="AW304" s="23"/>
      <c r="AX304" s="23"/>
      <c r="AY304" s="23"/>
      <c r="AZ304" s="23"/>
      <c r="BA304" s="23"/>
      <c r="BB304" s="23"/>
      <c r="BC304" s="23"/>
    </row>
    <row r="305">
      <c r="AO305" s="23"/>
      <c r="AP305" s="23"/>
      <c r="AQ305" s="23"/>
      <c r="AR305" s="23"/>
      <c r="AS305" s="23"/>
      <c r="AT305" s="23"/>
      <c r="AU305" s="23"/>
      <c r="AV305" s="23"/>
      <c r="AW305" s="23"/>
      <c r="AX305" s="23"/>
      <c r="AY305" s="23"/>
      <c r="AZ305" s="23"/>
      <c r="BA305" s="23"/>
      <c r="BB305" s="23"/>
      <c r="BC305" s="23"/>
    </row>
    <row r="306">
      <c r="AO306" s="23"/>
      <c r="AP306" s="23"/>
      <c r="AQ306" s="23"/>
      <c r="AR306" s="23"/>
      <c r="AS306" s="23"/>
      <c r="AT306" s="23"/>
      <c r="AU306" s="23"/>
      <c r="AV306" s="23"/>
      <c r="AW306" s="23"/>
      <c r="AX306" s="23"/>
      <c r="AY306" s="23"/>
      <c r="AZ306" s="23"/>
      <c r="BA306" s="23"/>
      <c r="BB306" s="23"/>
      <c r="BC306" s="23"/>
    </row>
    <row r="307">
      <c r="AO307" s="23"/>
      <c r="AP307" s="23"/>
      <c r="AQ307" s="23"/>
      <c r="AR307" s="23"/>
      <c r="AS307" s="23"/>
      <c r="AT307" s="23"/>
      <c r="AU307" s="23"/>
      <c r="AV307" s="23"/>
      <c r="AW307" s="23"/>
      <c r="AX307" s="23"/>
      <c r="AY307" s="23"/>
      <c r="AZ307" s="23"/>
      <c r="BA307" s="23"/>
      <c r="BB307" s="23"/>
      <c r="BC307" s="23"/>
    </row>
    <row r="308">
      <c r="AO308" s="23"/>
      <c r="AP308" s="23"/>
      <c r="AQ308" s="23"/>
      <c r="AR308" s="23"/>
      <c r="AS308" s="23"/>
      <c r="AT308" s="23"/>
      <c r="AU308" s="23"/>
      <c r="AV308" s="23"/>
      <c r="AW308" s="23"/>
      <c r="AX308" s="23"/>
      <c r="AY308" s="23"/>
      <c r="AZ308" s="23"/>
      <c r="BA308" s="23"/>
      <c r="BB308" s="23"/>
      <c r="BC308" s="23"/>
    </row>
    <row r="309">
      <c r="AO309" s="23"/>
      <c r="AP309" s="23"/>
      <c r="AQ309" s="23"/>
      <c r="AR309" s="23"/>
      <c r="AS309" s="23"/>
      <c r="AT309" s="23"/>
      <c r="AU309" s="23"/>
      <c r="AV309" s="23"/>
      <c r="AW309" s="23"/>
      <c r="AX309" s="23"/>
      <c r="AY309" s="23"/>
      <c r="AZ309" s="23"/>
      <c r="BA309" s="23"/>
      <c r="BB309" s="23"/>
      <c r="BC309" s="23"/>
    </row>
    <row r="310">
      <c r="AO310" s="23"/>
      <c r="AP310" s="23"/>
      <c r="AQ310" s="23"/>
      <c r="AR310" s="23"/>
      <c r="AS310" s="23"/>
      <c r="AT310" s="23"/>
      <c r="AU310" s="23"/>
      <c r="AV310" s="23"/>
      <c r="AW310" s="23"/>
      <c r="AX310" s="23"/>
      <c r="AY310" s="23"/>
      <c r="AZ310" s="23"/>
      <c r="BA310" s="23"/>
      <c r="BB310" s="23"/>
      <c r="BC310" s="23"/>
    </row>
    <row r="311">
      <c r="AO311" s="23"/>
      <c r="AP311" s="23"/>
      <c r="AQ311" s="23"/>
      <c r="AR311" s="23"/>
      <c r="AS311" s="23"/>
      <c r="AT311" s="23"/>
      <c r="AU311" s="23"/>
      <c r="AV311" s="23"/>
      <c r="AW311" s="23"/>
      <c r="AX311" s="23"/>
      <c r="AY311" s="23"/>
      <c r="AZ311" s="23"/>
      <c r="BA311" s="23"/>
      <c r="BB311" s="23"/>
      <c r="BC311" s="23"/>
    </row>
    <row r="312">
      <c r="AO312" s="23"/>
      <c r="AP312" s="23"/>
      <c r="AQ312" s="23"/>
      <c r="AR312" s="23"/>
      <c r="AS312" s="23"/>
      <c r="AT312" s="23"/>
      <c r="AU312" s="23"/>
      <c r="AV312" s="23"/>
      <c r="AW312" s="23"/>
      <c r="AX312" s="23"/>
      <c r="AY312" s="23"/>
      <c r="AZ312" s="23"/>
      <c r="BA312" s="23"/>
      <c r="BB312" s="23"/>
      <c r="BC312" s="23"/>
    </row>
    <row r="313">
      <c r="AO313" s="23"/>
      <c r="AP313" s="23"/>
      <c r="AQ313" s="23"/>
      <c r="AR313" s="23"/>
      <c r="AS313" s="23"/>
      <c r="AT313" s="23"/>
      <c r="AU313" s="23"/>
      <c r="AV313" s="23"/>
      <c r="AW313" s="23"/>
      <c r="AX313" s="23"/>
      <c r="AY313" s="23"/>
      <c r="AZ313" s="23"/>
      <c r="BA313" s="23"/>
      <c r="BB313" s="23"/>
      <c r="BC313" s="23"/>
    </row>
    <row r="314">
      <c r="AO314" s="23"/>
      <c r="AP314" s="23"/>
      <c r="AQ314" s="23"/>
      <c r="AR314" s="23"/>
      <c r="AS314" s="23"/>
      <c r="AT314" s="23"/>
      <c r="AU314" s="23"/>
      <c r="AV314" s="23"/>
      <c r="AW314" s="23"/>
      <c r="AX314" s="23"/>
      <c r="AY314" s="23"/>
      <c r="AZ314" s="23"/>
      <c r="BA314" s="23"/>
      <c r="BB314" s="23"/>
      <c r="BC314" s="23"/>
    </row>
    <row r="315">
      <c r="AO315" s="23"/>
      <c r="AP315" s="23"/>
      <c r="AQ315" s="23"/>
      <c r="AR315" s="23"/>
      <c r="AS315" s="23"/>
      <c r="AT315" s="23"/>
      <c r="AU315" s="23"/>
      <c r="AV315" s="23"/>
      <c r="AW315" s="23"/>
      <c r="AX315" s="23"/>
      <c r="AY315" s="23"/>
      <c r="AZ315" s="23"/>
      <c r="BA315" s="23"/>
      <c r="BB315" s="23"/>
      <c r="BC315" s="23"/>
    </row>
    <row r="316">
      <c r="AO316" s="23"/>
      <c r="AP316" s="23"/>
      <c r="AQ316" s="23"/>
      <c r="AR316" s="23"/>
      <c r="AS316" s="23"/>
      <c r="AT316" s="23"/>
      <c r="AU316" s="23"/>
      <c r="AV316" s="23"/>
      <c r="AW316" s="23"/>
      <c r="AX316" s="23"/>
      <c r="AY316" s="23"/>
      <c r="AZ316" s="23"/>
      <c r="BA316" s="23"/>
      <c r="BB316" s="23"/>
      <c r="BC316" s="23"/>
    </row>
    <row r="317">
      <c r="AO317" s="23"/>
      <c r="AP317" s="23"/>
      <c r="AQ317" s="23"/>
      <c r="AR317" s="23"/>
      <c r="AS317" s="23"/>
      <c r="AT317" s="23"/>
      <c r="AU317" s="23"/>
      <c r="AV317" s="23"/>
      <c r="AW317" s="23"/>
      <c r="AX317" s="23"/>
      <c r="AY317" s="23"/>
      <c r="AZ317" s="23"/>
      <c r="BA317" s="23"/>
      <c r="BB317" s="23"/>
      <c r="BC317" s="23"/>
    </row>
    <row r="318">
      <c r="AO318" s="23"/>
      <c r="AP318" s="23"/>
      <c r="AQ318" s="23"/>
      <c r="AR318" s="23"/>
      <c r="AS318" s="23"/>
      <c r="AT318" s="23"/>
      <c r="AU318" s="23"/>
      <c r="AV318" s="23"/>
      <c r="AW318" s="23"/>
      <c r="AX318" s="23"/>
      <c r="AY318" s="23"/>
      <c r="AZ318" s="23"/>
      <c r="BA318" s="23"/>
      <c r="BB318" s="23"/>
      <c r="BC318" s="23"/>
    </row>
    <row r="319">
      <c r="AO319" s="23"/>
      <c r="AP319" s="23"/>
      <c r="AQ319" s="23"/>
      <c r="AR319" s="23"/>
      <c r="AS319" s="23"/>
      <c r="AT319" s="23"/>
      <c r="AU319" s="23"/>
      <c r="AV319" s="23"/>
      <c r="AW319" s="23"/>
      <c r="AX319" s="23"/>
      <c r="AY319" s="23"/>
      <c r="AZ319" s="23"/>
      <c r="BA319" s="23"/>
      <c r="BB319" s="23"/>
      <c r="BC319" s="23"/>
    </row>
    <row r="320">
      <c r="AO320" s="23"/>
      <c r="AP320" s="23"/>
      <c r="AQ320" s="23"/>
      <c r="AR320" s="23"/>
      <c r="AS320" s="23"/>
      <c r="AT320" s="23"/>
      <c r="AU320" s="23"/>
      <c r="AV320" s="23"/>
      <c r="AW320" s="23"/>
      <c r="AX320" s="23"/>
      <c r="AY320" s="23"/>
      <c r="AZ320" s="23"/>
      <c r="BA320" s="23"/>
      <c r="BB320" s="23"/>
      <c r="BC320" s="23"/>
    </row>
    <row r="321">
      <c r="AO321" s="23"/>
      <c r="AP321" s="23"/>
      <c r="AQ321" s="23"/>
      <c r="AR321" s="23"/>
      <c r="AS321" s="23"/>
      <c r="AT321" s="23"/>
      <c r="AU321" s="23"/>
      <c r="AV321" s="23"/>
      <c r="AW321" s="23"/>
      <c r="AX321" s="23"/>
      <c r="AY321" s="23"/>
      <c r="AZ321" s="23"/>
      <c r="BA321" s="23"/>
      <c r="BB321" s="23"/>
      <c r="BC321" s="23"/>
    </row>
    <row r="322">
      <c r="AO322" s="23"/>
      <c r="AP322" s="23"/>
      <c r="AQ322" s="23"/>
      <c r="AR322" s="23"/>
      <c r="AS322" s="23"/>
      <c r="AT322" s="23"/>
      <c r="AU322" s="23"/>
      <c r="AV322" s="23"/>
      <c r="AW322" s="23"/>
      <c r="AX322" s="23"/>
      <c r="AY322" s="23"/>
      <c r="AZ322" s="23"/>
      <c r="BA322" s="23"/>
      <c r="BB322" s="23"/>
      <c r="BC322" s="23"/>
    </row>
    <row r="323">
      <c r="AO323" s="23"/>
      <c r="AP323" s="23"/>
      <c r="AQ323" s="23"/>
      <c r="AR323" s="23"/>
      <c r="AS323" s="23"/>
      <c r="AT323" s="23"/>
      <c r="AU323" s="23"/>
      <c r="AV323" s="23"/>
      <c r="AW323" s="23"/>
      <c r="AX323" s="23"/>
      <c r="AY323" s="23"/>
      <c r="AZ323" s="23"/>
      <c r="BA323" s="23"/>
      <c r="BB323" s="23"/>
      <c r="BC323" s="23"/>
    </row>
    <row r="324">
      <c r="AO324" s="23"/>
      <c r="AP324" s="23"/>
      <c r="AQ324" s="23"/>
      <c r="AR324" s="23"/>
      <c r="AS324" s="23"/>
      <c r="AT324" s="23"/>
      <c r="AU324" s="23"/>
      <c r="AV324" s="23"/>
      <c r="AW324" s="23"/>
      <c r="AX324" s="23"/>
      <c r="AY324" s="23"/>
      <c r="AZ324" s="23"/>
      <c r="BA324" s="23"/>
      <c r="BB324" s="23"/>
      <c r="BC324" s="23"/>
    </row>
    <row r="325">
      <c r="AO325" s="23"/>
      <c r="AP325" s="23"/>
      <c r="AQ325" s="23"/>
      <c r="AR325" s="23"/>
      <c r="AS325" s="23"/>
      <c r="AT325" s="23"/>
      <c r="AU325" s="23"/>
      <c r="AV325" s="23"/>
      <c r="AW325" s="23"/>
      <c r="AX325" s="23"/>
      <c r="AY325" s="23"/>
      <c r="AZ325" s="23"/>
      <c r="BA325" s="23"/>
      <c r="BB325" s="23"/>
      <c r="BC325" s="23"/>
    </row>
    <row r="326">
      <c r="AO326" s="23"/>
      <c r="AP326" s="23"/>
      <c r="AQ326" s="23"/>
      <c r="AR326" s="23"/>
      <c r="AS326" s="23"/>
      <c r="AT326" s="23"/>
      <c r="AU326" s="23"/>
      <c r="AV326" s="23"/>
      <c r="AW326" s="23"/>
      <c r="AX326" s="23"/>
      <c r="AY326" s="23"/>
      <c r="AZ326" s="23"/>
      <c r="BA326" s="23"/>
      <c r="BB326" s="23"/>
      <c r="BC326" s="23"/>
    </row>
    <row r="327">
      <c r="AO327" s="23"/>
      <c r="AP327" s="23"/>
      <c r="AQ327" s="23"/>
      <c r="AR327" s="23"/>
      <c r="AS327" s="23"/>
      <c r="AT327" s="23"/>
      <c r="AU327" s="23"/>
      <c r="AV327" s="23"/>
      <c r="AW327" s="23"/>
      <c r="AX327" s="23"/>
      <c r="AY327" s="23"/>
      <c r="AZ327" s="23"/>
      <c r="BA327" s="23"/>
      <c r="BB327" s="23"/>
      <c r="BC327" s="23"/>
    </row>
    <row r="328">
      <c r="AO328" s="23"/>
      <c r="AP328" s="23"/>
      <c r="AQ328" s="23"/>
      <c r="AR328" s="23"/>
      <c r="AS328" s="23"/>
      <c r="AT328" s="23"/>
      <c r="AU328" s="23"/>
      <c r="AV328" s="23"/>
      <c r="AW328" s="23"/>
      <c r="AX328" s="23"/>
      <c r="AY328" s="23"/>
      <c r="AZ328" s="23"/>
      <c r="BA328" s="23"/>
      <c r="BB328" s="23"/>
      <c r="BC328" s="23"/>
    </row>
    <row r="329">
      <c r="AO329" s="23"/>
      <c r="AP329" s="23"/>
      <c r="AQ329" s="23"/>
      <c r="AR329" s="23"/>
      <c r="AS329" s="23"/>
      <c r="AT329" s="23"/>
      <c r="AU329" s="23"/>
      <c r="AV329" s="23"/>
      <c r="AW329" s="23"/>
      <c r="AX329" s="23"/>
      <c r="AY329" s="23"/>
      <c r="AZ329" s="23"/>
      <c r="BA329" s="23"/>
      <c r="BB329" s="23"/>
      <c r="BC329" s="23"/>
    </row>
    <row r="330">
      <c r="AO330" s="23"/>
      <c r="AP330" s="23"/>
      <c r="AQ330" s="23"/>
      <c r="AR330" s="23"/>
      <c r="AS330" s="23"/>
      <c r="AT330" s="23"/>
      <c r="AU330" s="23"/>
      <c r="AV330" s="23"/>
      <c r="AW330" s="23"/>
      <c r="AX330" s="23"/>
      <c r="AY330" s="23"/>
      <c r="AZ330" s="23"/>
      <c r="BA330" s="23"/>
      <c r="BB330" s="23"/>
      <c r="BC330" s="23"/>
    </row>
    <row r="331">
      <c r="AO331" s="23"/>
      <c r="AP331" s="23"/>
      <c r="AQ331" s="23"/>
      <c r="AR331" s="23"/>
      <c r="AS331" s="23"/>
      <c r="AT331" s="23"/>
      <c r="AU331" s="23"/>
      <c r="AV331" s="23"/>
      <c r="AW331" s="23"/>
      <c r="AX331" s="23"/>
      <c r="AY331" s="23"/>
      <c r="AZ331" s="23"/>
      <c r="BA331" s="23"/>
      <c r="BB331" s="23"/>
      <c r="BC331" s="23"/>
    </row>
    <row r="332">
      <c r="AO332" s="23"/>
      <c r="AP332" s="23"/>
      <c r="AQ332" s="23"/>
      <c r="AR332" s="23"/>
      <c r="AS332" s="23"/>
      <c r="AT332" s="23"/>
      <c r="AU332" s="23"/>
      <c r="AV332" s="23"/>
      <c r="AW332" s="23"/>
      <c r="AX332" s="23"/>
      <c r="AY332" s="23"/>
      <c r="AZ332" s="23"/>
      <c r="BA332" s="23"/>
      <c r="BB332" s="23"/>
      <c r="BC332" s="23"/>
    </row>
    <row r="333">
      <c r="AO333" s="23"/>
      <c r="AP333" s="23"/>
      <c r="AQ333" s="23"/>
      <c r="AR333" s="23"/>
      <c r="AS333" s="23"/>
      <c r="AT333" s="23"/>
      <c r="AU333" s="23"/>
      <c r="AV333" s="23"/>
      <c r="AW333" s="23"/>
      <c r="AX333" s="23"/>
      <c r="AY333" s="23"/>
      <c r="AZ333" s="23"/>
      <c r="BA333" s="23"/>
      <c r="BB333" s="23"/>
      <c r="BC333" s="23"/>
    </row>
    <row r="334">
      <c r="AO334" s="23"/>
      <c r="AP334" s="23"/>
      <c r="AQ334" s="23"/>
      <c r="AR334" s="23"/>
      <c r="AS334" s="23"/>
      <c r="AT334" s="23"/>
      <c r="AU334" s="23"/>
      <c r="AV334" s="23"/>
      <c r="AW334" s="23"/>
      <c r="AX334" s="23"/>
      <c r="AY334" s="23"/>
      <c r="AZ334" s="23"/>
      <c r="BA334" s="23"/>
      <c r="BB334" s="23"/>
      <c r="BC334" s="23"/>
    </row>
    <row r="335">
      <c r="AO335" s="23"/>
      <c r="AP335" s="23"/>
      <c r="AQ335" s="23"/>
      <c r="AR335" s="23"/>
      <c r="AS335" s="23"/>
      <c r="AT335" s="23"/>
      <c r="AU335" s="23"/>
      <c r="AV335" s="23"/>
      <c r="AW335" s="23"/>
      <c r="AX335" s="23"/>
      <c r="AY335" s="23"/>
      <c r="AZ335" s="23"/>
      <c r="BA335" s="23"/>
      <c r="BB335" s="23"/>
      <c r="BC335" s="23"/>
    </row>
    <row r="336">
      <c r="AO336" s="23"/>
      <c r="AP336" s="23"/>
      <c r="AQ336" s="23"/>
      <c r="AR336" s="23"/>
      <c r="AS336" s="23"/>
      <c r="AT336" s="23"/>
      <c r="AU336" s="23"/>
      <c r="AV336" s="23"/>
      <c r="AW336" s="23"/>
      <c r="AX336" s="23"/>
      <c r="AY336" s="23"/>
      <c r="AZ336" s="23"/>
      <c r="BA336" s="23"/>
      <c r="BB336" s="23"/>
      <c r="BC336" s="23"/>
    </row>
    <row r="337">
      <c r="AO337" s="23"/>
      <c r="AP337" s="23"/>
      <c r="AQ337" s="23"/>
      <c r="AR337" s="23"/>
      <c r="AS337" s="23"/>
      <c r="AT337" s="23"/>
      <c r="AU337" s="23"/>
      <c r="AV337" s="23"/>
      <c r="AW337" s="23"/>
      <c r="AX337" s="23"/>
      <c r="AY337" s="23"/>
      <c r="AZ337" s="23"/>
      <c r="BA337" s="23"/>
      <c r="BB337" s="23"/>
      <c r="BC337" s="23"/>
    </row>
    <row r="338">
      <c r="AO338" s="23"/>
      <c r="AP338" s="23"/>
      <c r="AQ338" s="23"/>
      <c r="AR338" s="23"/>
      <c r="AS338" s="23"/>
      <c r="AT338" s="23"/>
      <c r="AU338" s="23"/>
      <c r="AV338" s="23"/>
      <c r="AW338" s="23"/>
      <c r="AX338" s="23"/>
      <c r="AY338" s="23"/>
      <c r="AZ338" s="23"/>
      <c r="BA338" s="23"/>
      <c r="BB338" s="23"/>
      <c r="BC338" s="23"/>
    </row>
    <row r="339">
      <c r="AO339" s="23"/>
      <c r="AP339" s="23"/>
      <c r="AQ339" s="23"/>
      <c r="AR339" s="23"/>
      <c r="AS339" s="23"/>
      <c r="AT339" s="23"/>
      <c r="AU339" s="23"/>
      <c r="AV339" s="23"/>
      <c r="AW339" s="23"/>
      <c r="AX339" s="23"/>
      <c r="AY339" s="23"/>
      <c r="AZ339" s="23"/>
      <c r="BA339" s="23"/>
      <c r="BB339" s="23"/>
      <c r="BC339" s="23"/>
    </row>
    <row r="340">
      <c r="AO340" s="23"/>
      <c r="AP340" s="23"/>
      <c r="AQ340" s="23"/>
      <c r="AR340" s="23"/>
      <c r="AS340" s="23"/>
      <c r="AT340" s="23"/>
      <c r="AU340" s="23"/>
      <c r="AV340" s="23"/>
      <c r="AW340" s="23"/>
      <c r="AX340" s="23"/>
      <c r="AY340" s="23"/>
      <c r="AZ340" s="23"/>
      <c r="BA340" s="23"/>
      <c r="BB340" s="23"/>
      <c r="BC340" s="23"/>
    </row>
    <row r="341">
      <c r="AO341" s="23"/>
      <c r="AP341" s="23"/>
      <c r="AQ341" s="23"/>
      <c r="AR341" s="23"/>
      <c r="AS341" s="23"/>
      <c r="AT341" s="23"/>
      <c r="AU341" s="23"/>
      <c r="AV341" s="23"/>
      <c r="AW341" s="23"/>
      <c r="AX341" s="23"/>
      <c r="AY341" s="23"/>
      <c r="AZ341" s="23"/>
      <c r="BA341" s="23"/>
      <c r="BB341" s="23"/>
      <c r="BC341" s="23"/>
    </row>
    <row r="342">
      <c r="AO342" s="23"/>
      <c r="AP342" s="23"/>
      <c r="AQ342" s="23"/>
      <c r="AR342" s="23"/>
      <c r="AS342" s="23"/>
      <c r="AT342" s="23"/>
      <c r="AU342" s="23"/>
      <c r="AV342" s="23"/>
      <c r="AW342" s="23"/>
      <c r="AX342" s="23"/>
      <c r="AY342" s="23"/>
      <c r="AZ342" s="23"/>
      <c r="BA342" s="23"/>
      <c r="BB342" s="23"/>
      <c r="BC342" s="23"/>
    </row>
    <row r="343">
      <c r="AO343" s="23"/>
      <c r="AP343" s="23"/>
      <c r="AQ343" s="23"/>
      <c r="AR343" s="23"/>
      <c r="AS343" s="23"/>
      <c r="AT343" s="23"/>
      <c r="AU343" s="23"/>
      <c r="AV343" s="23"/>
      <c r="AW343" s="23"/>
      <c r="AX343" s="23"/>
      <c r="AY343" s="23"/>
      <c r="AZ343" s="23"/>
      <c r="BA343" s="23"/>
      <c r="BB343" s="23"/>
      <c r="BC343" s="23"/>
    </row>
    <row r="344">
      <c r="AO344" s="23"/>
      <c r="AP344" s="23"/>
      <c r="AQ344" s="23"/>
      <c r="AR344" s="23"/>
      <c r="AS344" s="23"/>
      <c r="AT344" s="23"/>
      <c r="AU344" s="23"/>
      <c r="AV344" s="23"/>
      <c r="AW344" s="23"/>
      <c r="AX344" s="23"/>
      <c r="AY344" s="23"/>
      <c r="AZ344" s="23"/>
      <c r="BA344" s="23"/>
      <c r="BB344" s="23"/>
      <c r="BC344" s="23"/>
    </row>
    <row r="345">
      <c r="AO345" s="23"/>
      <c r="AP345" s="23"/>
      <c r="AQ345" s="23"/>
      <c r="AR345" s="23"/>
      <c r="AS345" s="23"/>
      <c r="AT345" s="23"/>
      <c r="AU345" s="23"/>
      <c r="AV345" s="23"/>
      <c r="AW345" s="23"/>
      <c r="AX345" s="23"/>
      <c r="AY345" s="23"/>
      <c r="AZ345" s="23"/>
      <c r="BA345" s="23"/>
      <c r="BB345" s="23"/>
      <c r="BC345" s="23"/>
    </row>
    <row r="346">
      <c r="AO346" s="23"/>
      <c r="AP346" s="23"/>
      <c r="AQ346" s="23"/>
      <c r="AR346" s="23"/>
      <c r="AS346" s="23"/>
      <c r="AT346" s="23"/>
      <c r="AU346" s="23"/>
      <c r="AV346" s="23"/>
      <c r="AW346" s="23"/>
      <c r="AX346" s="23"/>
      <c r="AY346" s="23"/>
      <c r="AZ346" s="23"/>
      <c r="BA346" s="23"/>
      <c r="BB346" s="23"/>
      <c r="BC346" s="23"/>
    </row>
    <row r="347">
      <c r="AO347" s="23"/>
      <c r="AP347" s="23"/>
      <c r="AQ347" s="23"/>
      <c r="AR347" s="23"/>
      <c r="AS347" s="23"/>
      <c r="AT347" s="23"/>
      <c r="AU347" s="23"/>
      <c r="AV347" s="23"/>
      <c r="AW347" s="23"/>
      <c r="AX347" s="23"/>
      <c r="AY347" s="23"/>
      <c r="AZ347" s="23"/>
      <c r="BA347" s="23"/>
      <c r="BB347" s="23"/>
      <c r="BC347" s="23"/>
    </row>
    <row r="348">
      <c r="AO348" s="23"/>
      <c r="AP348" s="23"/>
      <c r="AQ348" s="23"/>
      <c r="AR348" s="23"/>
      <c r="AS348" s="23"/>
      <c r="AT348" s="23"/>
      <c r="AU348" s="23"/>
      <c r="AV348" s="23"/>
      <c r="AW348" s="23"/>
      <c r="AX348" s="23"/>
      <c r="AY348" s="23"/>
      <c r="AZ348" s="23"/>
      <c r="BA348" s="23"/>
      <c r="BB348" s="23"/>
      <c r="BC348" s="23"/>
    </row>
    <row r="349">
      <c r="AO349" s="23"/>
      <c r="AP349" s="23"/>
      <c r="AQ349" s="23"/>
      <c r="AR349" s="23"/>
      <c r="AS349" s="23"/>
      <c r="AT349" s="23"/>
      <c r="AU349" s="23"/>
      <c r="AV349" s="23"/>
      <c r="AW349" s="23"/>
      <c r="AX349" s="23"/>
      <c r="AY349" s="23"/>
      <c r="AZ349" s="23"/>
      <c r="BA349" s="23"/>
      <c r="BB349" s="23"/>
      <c r="BC349" s="23"/>
    </row>
    <row r="350">
      <c r="AO350" s="23"/>
      <c r="AP350" s="23"/>
      <c r="AQ350" s="23"/>
      <c r="AR350" s="23"/>
      <c r="AS350" s="23"/>
      <c r="AT350" s="23"/>
      <c r="AU350" s="23"/>
      <c r="AV350" s="23"/>
      <c r="AW350" s="23"/>
      <c r="AX350" s="23"/>
      <c r="AY350" s="23"/>
      <c r="AZ350" s="23"/>
      <c r="BA350" s="23"/>
      <c r="BB350" s="23"/>
      <c r="BC350" s="23"/>
    </row>
    <row r="351">
      <c r="AO351" s="23"/>
      <c r="AP351" s="23"/>
      <c r="AQ351" s="23"/>
      <c r="AR351" s="23"/>
      <c r="AS351" s="23"/>
      <c r="AT351" s="23"/>
      <c r="AU351" s="23"/>
      <c r="AV351" s="23"/>
      <c r="AW351" s="23"/>
      <c r="AX351" s="23"/>
      <c r="AY351" s="23"/>
      <c r="AZ351" s="23"/>
      <c r="BA351" s="23"/>
      <c r="BB351" s="23"/>
      <c r="BC351" s="23"/>
    </row>
    <row r="352">
      <c r="AO352" s="23"/>
      <c r="AP352" s="23"/>
      <c r="AQ352" s="23"/>
      <c r="AR352" s="23"/>
      <c r="AS352" s="23"/>
      <c r="AT352" s="23"/>
      <c r="AU352" s="23"/>
      <c r="AV352" s="23"/>
      <c r="AW352" s="23"/>
      <c r="AX352" s="23"/>
      <c r="AY352" s="23"/>
      <c r="AZ352" s="23"/>
      <c r="BA352" s="23"/>
      <c r="BB352" s="23"/>
      <c r="BC352" s="23"/>
    </row>
    <row r="353">
      <c r="AO353" s="23"/>
      <c r="AP353" s="23"/>
      <c r="AQ353" s="23"/>
      <c r="AR353" s="23"/>
      <c r="AS353" s="23"/>
      <c r="AT353" s="23"/>
      <c r="AU353" s="23"/>
      <c r="AV353" s="23"/>
      <c r="AW353" s="23"/>
      <c r="AX353" s="23"/>
      <c r="AY353" s="23"/>
      <c r="AZ353" s="23"/>
      <c r="BA353" s="23"/>
      <c r="BB353" s="23"/>
      <c r="BC353" s="23"/>
    </row>
    <row r="354">
      <c r="AO354" s="23"/>
      <c r="AP354" s="23"/>
      <c r="AQ354" s="23"/>
      <c r="AR354" s="23"/>
      <c r="AS354" s="23"/>
      <c r="AT354" s="23"/>
      <c r="AU354" s="23"/>
      <c r="AV354" s="23"/>
      <c r="AW354" s="23"/>
      <c r="AX354" s="23"/>
      <c r="AY354" s="23"/>
      <c r="AZ354" s="23"/>
      <c r="BA354" s="23"/>
      <c r="BB354" s="23"/>
      <c r="BC354" s="23"/>
    </row>
    <row r="355">
      <c r="AO355" s="23"/>
      <c r="AP355" s="23"/>
      <c r="AQ355" s="23"/>
      <c r="AR355" s="23"/>
      <c r="AS355" s="23"/>
      <c r="AT355" s="23"/>
      <c r="AU355" s="23"/>
      <c r="AV355" s="23"/>
      <c r="AW355" s="23"/>
      <c r="AX355" s="23"/>
      <c r="AY355" s="23"/>
      <c r="AZ355" s="23"/>
      <c r="BA355" s="23"/>
      <c r="BB355" s="23"/>
      <c r="BC355" s="23"/>
    </row>
    <row r="356">
      <c r="AO356" s="23"/>
      <c r="AP356" s="23"/>
      <c r="AQ356" s="23"/>
      <c r="AR356" s="23"/>
      <c r="AS356" s="23"/>
      <c r="AT356" s="23"/>
      <c r="AU356" s="23"/>
      <c r="AV356" s="23"/>
      <c r="AW356" s="23"/>
      <c r="AX356" s="23"/>
      <c r="AY356" s="23"/>
      <c r="AZ356" s="23"/>
      <c r="BA356" s="23"/>
      <c r="BB356" s="23"/>
      <c r="BC356" s="23"/>
    </row>
    <row r="357">
      <c r="AO357" s="23"/>
      <c r="AP357" s="23"/>
      <c r="AQ357" s="23"/>
      <c r="AR357" s="23"/>
      <c r="AS357" s="23"/>
      <c r="AT357" s="23"/>
      <c r="AU357" s="23"/>
      <c r="AV357" s="23"/>
      <c r="AW357" s="23"/>
      <c r="AX357" s="23"/>
      <c r="AY357" s="23"/>
      <c r="AZ357" s="23"/>
      <c r="BA357" s="23"/>
      <c r="BB357" s="23"/>
      <c r="BC357" s="23"/>
    </row>
    <row r="358">
      <c r="AO358" s="23"/>
      <c r="AP358" s="23"/>
      <c r="AQ358" s="23"/>
      <c r="AR358" s="23"/>
      <c r="AS358" s="23"/>
      <c r="AT358" s="23"/>
      <c r="AU358" s="23"/>
      <c r="AV358" s="23"/>
      <c r="AW358" s="23"/>
      <c r="AX358" s="23"/>
      <c r="AY358" s="23"/>
      <c r="AZ358" s="23"/>
      <c r="BA358" s="23"/>
      <c r="BB358" s="23"/>
      <c r="BC358" s="23"/>
    </row>
    <row r="359">
      <c r="AO359" s="23"/>
      <c r="AP359" s="23"/>
      <c r="AQ359" s="23"/>
      <c r="AR359" s="23"/>
      <c r="AS359" s="23"/>
      <c r="AT359" s="23"/>
      <c r="AU359" s="23"/>
      <c r="AV359" s="23"/>
      <c r="AW359" s="23"/>
      <c r="AX359" s="23"/>
      <c r="AY359" s="23"/>
      <c r="AZ359" s="23"/>
      <c r="BA359" s="23"/>
      <c r="BB359" s="23"/>
      <c r="BC359" s="23"/>
    </row>
    <row r="360">
      <c r="AO360" s="23"/>
      <c r="AP360" s="23"/>
      <c r="AQ360" s="23"/>
      <c r="AR360" s="23"/>
      <c r="AS360" s="23"/>
      <c r="AT360" s="23"/>
      <c r="AU360" s="23"/>
      <c r="AV360" s="23"/>
      <c r="AW360" s="23"/>
      <c r="AX360" s="23"/>
      <c r="AY360" s="23"/>
      <c r="AZ360" s="23"/>
      <c r="BA360" s="23"/>
      <c r="BB360" s="23"/>
      <c r="BC360" s="23"/>
    </row>
    <row r="361">
      <c r="AO361" s="23"/>
      <c r="AP361" s="23"/>
      <c r="AQ361" s="23"/>
      <c r="AR361" s="23"/>
      <c r="AS361" s="23"/>
      <c r="AT361" s="23"/>
      <c r="AU361" s="23"/>
      <c r="AV361" s="23"/>
      <c r="AW361" s="23"/>
      <c r="AX361" s="23"/>
      <c r="AY361" s="23"/>
      <c r="AZ361" s="23"/>
      <c r="BA361" s="23"/>
      <c r="BB361" s="23"/>
      <c r="BC361" s="23"/>
    </row>
    <row r="362">
      <c r="AO362" s="23"/>
      <c r="AP362" s="23"/>
      <c r="AQ362" s="23"/>
      <c r="AR362" s="23"/>
      <c r="AS362" s="23"/>
      <c r="AT362" s="23"/>
      <c r="AU362" s="23"/>
      <c r="AV362" s="23"/>
      <c r="AW362" s="23"/>
      <c r="AX362" s="23"/>
      <c r="AY362" s="23"/>
      <c r="AZ362" s="23"/>
      <c r="BA362" s="23"/>
      <c r="BB362" s="23"/>
      <c r="BC362" s="23"/>
    </row>
    <row r="363">
      <c r="AO363" s="23"/>
      <c r="AP363" s="23"/>
      <c r="AQ363" s="23"/>
      <c r="AR363" s="23"/>
      <c r="AS363" s="23"/>
      <c r="AT363" s="23"/>
      <c r="AU363" s="23"/>
      <c r="AV363" s="23"/>
      <c r="AW363" s="23"/>
      <c r="AX363" s="23"/>
      <c r="AY363" s="23"/>
      <c r="AZ363" s="23"/>
      <c r="BA363" s="23"/>
      <c r="BB363" s="23"/>
      <c r="BC363" s="23"/>
    </row>
    <row r="364">
      <c r="AO364" s="23"/>
      <c r="AP364" s="23"/>
      <c r="AQ364" s="23"/>
      <c r="AR364" s="23"/>
      <c r="AS364" s="23"/>
      <c r="AT364" s="23"/>
      <c r="AU364" s="23"/>
      <c r="AV364" s="23"/>
      <c r="AW364" s="23"/>
      <c r="AX364" s="23"/>
      <c r="AY364" s="23"/>
      <c r="AZ364" s="23"/>
      <c r="BA364" s="23"/>
      <c r="BB364" s="23"/>
      <c r="BC364" s="23"/>
    </row>
    <row r="365">
      <c r="AO365" s="23"/>
      <c r="AP365" s="23"/>
      <c r="AQ365" s="23"/>
      <c r="AR365" s="23"/>
      <c r="AS365" s="23"/>
      <c r="AT365" s="23"/>
      <c r="AU365" s="23"/>
      <c r="AV365" s="23"/>
      <c r="AW365" s="23"/>
      <c r="AX365" s="23"/>
      <c r="AY365" s="23"/>
      <c r="AZ365" s="23"/>
      <c r="BA365" s="23"/>
      <c r="BB365" s="23"/>
      <c r="BC365" s="23"/>
    </row>
    <row r="366">
      <c r="AO366" s="23"/>
      <c r="AP366" s="23"/>
      <c r="AQ366" s="23"/>
      <c r="AR366" s="23"/>
      <c r="AS366" s="23"/>
      <c r="AT366" s="23"/>
      <c r="AU366" s="23"/>
      <c r="AV366" s="23"/>
      <c r="AW366" s="23"/>
      <c r="AX366" s="23"/>
      <c r="AY366" s="23"/>
      <c r="AZ366" s="23"/>
      <c r="BA366" s="23"/>
      <c r="BB366" s="23"/>
      <c r="BC366" s="23"/>
    </row>
    <row r="367">
      <c r="AO367" s="23"/>
      <c r="AP367" s="23"/>
      <c r="AQ367" s="23"/>
      <c r="AR367" s="23"/>
      <c r="AS367" s="23"/>
      <c r="AT367" s="23"/>
      <c r="AU367" s="23"/>
      <c r="AV367" s="23"/>
      <c r="AW367" s="23"/>
      <c r="AX367" s="23"/>
      <c r="AY367" s="23"/>
      <c r="AZ367" s="23"/>
      <c r="BA367" s="23"/>
      <c r="BB367" s="23"/>
      <c r="BC367" s="23"/>
    </row>
    <row r="368">
      <c r="AO368" s="23"/>
      <c r="AP368" s="23"/>
      <c r="AQ368" s="23"/>
      <c r="AR368" s="23"/>
      <c r="AS368" s="23"/>
      <c r="AT368" s="23"/>
      <c r="AU368" s="23"/>
      <c r="AV368" s="23"/>
      <c r="AW368" s="23"/>
      <c r="AX368" s="23"/>
      <c r="AY368" s="23"/>
      <c r="AZ368" s="23"/>
      <c r="BA368" s="23"/>
      <c r="BB368" s="23"/>
      <c r="BC368" s="23"/>
    </row>
    <row r="369">
      <c r="AO369" s="23"/>
      <c r="AP369" s="23"/>
      <c r="AQ369" s="23"/>
      <c r="AR369" s="23"/>
      <c r="AS369" s="23"/>
      <c r="AT369" s="23"/>
      <c r="AU369" s="23"/>
      <c r="AV369" s="23"/>
      <c r="AW369" s="23"/>
      <c r="AX369" s="23"/>
      <c r="AY369" s="23"/>
      <c r="AZ369" s="23"/>
      <c r="BA369" s="23"/>
      <c r="BB369" s="23"/>
      <c r="BC369" s="23"/>
    </row>
    <row r="370">
      <c r="AO370" s="23"/>
      <c r="AP370" s="23"/>
      <c r="AQ370" s="23"/>
      <c r="AR370" s="23"/>
      <c r="AS370" s="23"/>
      <c r="AT370" s="23"/>
      <c r="AU370" s="23"/>
      <c r="AV370" s="23"/>
      <c r="AW370" s="23"/>
      <c r="AX370" s="23"/>
      <c r="AY370" s="23"/>
      <c r="AZ370" s="23"/>
      <c r="BA370" s="23"/>
      <c r="BB370" s="23"/>
      <c r="BC370" s="23"/>
    </row>
    <row r="371">
      <c r="AO371" s="23"/>
      <c r="AP371" s="23"/>
      <c r="AQ371" s="23"/>
      <c r="AR371" s="23"/>
      <c r="AS371" s="23"/>
      <c r="AT371" s="23"/>
      <c r="AU371" s="23"/>
      <c r="AV371" s="23"/>
      <c r="AW371" s="23"/>
      <c r="AX371" s="23"/>
      <c r="AY371" s="23"/>
      <c r="AZ371" s="23"/>
      <c r="BA371" s="23"/>
      <c r="BB371" s="23"/>
      <c r="BC371" s="23"/>
    </row>
    <row r="372">
      <c r="AO372" s="23"/>
      <c r="AP372" s="23"/>
      <c r="AQ372" s="23"/>
      <c r="AR372" s="23"/>
      <c r="AS372" s="23"/>
      <c r="AT372" s="23"/>
      <c r="AU372" s="23"/>
      <c r="AV372" s="23"/>
      <c r="AW372" s="23"/>
      <c r="AX372" s="23"/>
      <c r="AY372" s="23"/>
      <c r="AZ372" s="23"/>
      <c r="BA372" s="23"/>
      <c r="BB372" s="23"/>
      <c r="BC372" s="23"/>
    </row>
    <row r="373">
      <c r="AO373" s="23"/>
      <c r="AP373" s="23"/>
      <c r="AQ373" s="23"/>
      <c r="AR373" s="23"/>
      <c r="AS373" s="23"/>
      <c r="AT373" s="23"/>
      <c r="AU373" s="23"/>
      <c r="AV373" s="23"/>
      <c r="AW373" s="23"/>
      <c r="AX373" s="23"/>
      <c r="AY373" s="23"/>
      <c r="AZ373" s="23"/>
      <c r="BA373" s="23"/>
      <c r="BB373" s="23"/>
      <c r="BC373" s="23"/>
    </row>
    <row r="374">
      <c r="AO374" s="23"/>
      <c r="AP374" s="23"/>
      <c r="AQ374" s="23"/>
      <c r="AR374" s="23"/>
      <c r="AS374" s="23"/>
      <c r="AT374" s="23"/>
      <c r="AU374" s="23"/>
      <c r="AV374" s="23"/>
      <c r="AW374" s="23"/>
      <c r="AX374" s="23"/>
      <c r="AY374" s="23"/>
      <c r="AZ374" s="23"/>
      <c r="BA374" s="23"/>
      <c r="BB374" s="23"/>
      <c r="BC374" s="23"/>
    </row>
    <row r="375">
      <c r="AO375" s="23"/>
      <c r="AP375" s="23"/>
      <c r="AQ375" s="23"/>
      <c r="AR375" s="23"/>
      <c r="AS375" s="23"/>
      <c r="AT375" s="23"/>
      <c r="AU375" s="23"/>
      <c r="AV375" s="23"/>
      <c r="AW375" s="23"/>
      <c r="AX375" s="23"/>
      <c r="AY375" s="23"/>
      <c r="AZ375" s="23"/>
      <c r="BA375" s="23"/>
      <c r="BB375" s="23"/>
      <c r="BC375" s="23"/>
    </row>
    <row r="376">
      <c r="AO376" s="23"/>
      <c r="AP376" s="23"/>
      <c r="AQ376" s="23"/>
      <c r="AR376" s="23"/>
      <c r="AS376" s="23"/>
      <c r="AT376" s="23"/>
      <c r="AU376" s="23"/>
      <c r="AV376" s="23"/>
      <c r="AW376" s="23"/>
      <c r="AX376" s="23"/>
      <c r="AY376" s="23"/>
      <c r="AZ376" s="23"/>
      <c r="BA376" s="23"/>
      <c r="BB376" s="23"/>
      <c r="BC376" s="23"/>
    </row>
    <row r="377">
      <c r="AO377" s="23"/>
      <c r="AP377" s="23"/>
      <c r="AQ377" s="23"/>
      <c r="AR377" s="23"/>
      <c r="AS377" s="23"/>
      <c r="AT377" s="23"/>
      <c r="AU377" s="23"/>
      <c r="AV377" s="23"/>
      <c r="AW377" s="23"/>
      <c r="AX377" s="23"/>
      <c r="AY377" s="23"/>
      <c r="AZ377" s="23"/>
      <c r="BA377" s="23"/>
      <c r="BB377" s="23"/>
      <c r="BC377" s="23"/>
    </row>
    <row r="378">
      <c r="AO378" s="23"/>
      <c r="AP378" s="23"/>
      <c r="AQ378" s="23"/>
      <c r="AR378" s="23"/>
      <c r="AS378" s="23"/>
      <c r="AT378" s="23"/>
      <c r="AU378" s="23"/>
      <c r="AV378" s="23"/>
      <c r="AW378" s="23"/>
      <c r="AX378" s="23"/>
      <c r="AY378" s="23"/>
      <c r="AZ378" s="23"/>
      <c r="BA378" s="23"/>
      <c r="BB378" s="23"/>
      <c r="BC378" s="23"/>
    </row>
    <row r="379">
      <c r="AO379" s="23"/>
      <c r="AP379" s="23"/>
      <c r="AQ379" s="23"/>
      <c r="AR379" s="23"/>
      <c r="AS379" s="23"/>
      <c r="AT379" s="23"/>
      <c r="AU379" s="23"/>
      <c r="AV379" s="23"/>
      <c r="AW379" s="23"/>
      <c r="AX379" s="23"/>
      <c r="AY379" s="23"/>
      <c r="AZ379" s="23"/>
      <c r="BA379" s="23"/>
      <c r="BB379" s="23"/>
      <c r="BC379" s="23"/>
    </row>
    <row r="380">
      <c r="AO380" s="23"/>
      <c r="AP380" s="23"/>
      <c r="AQ380" s="23"/>
      <c r="AR380" s="23"/>
      <c r="AS380" s="23"/>
      <c r="AT380" s="23"/>
      <c r="AU380" s="23"/>
      <c r="AV380" s="23"/>
      <c r="AW380" s="23"/>
      <c r="AX380" s="23"/>
      <c r="AY380" s="23"/>
      <c r="AZ380" s="23"/>
      <c r="BA380" s="23"/>
      <c r="BB380" s="23"/>
      <c r="BC380" s="23"/>
    </row>
    <row r="381">
      <c r="AO381" s="23"/>
      <c r="AP381" s="23"/>
      <c r="AQ381" s="23"/>
      <c r="AR381" s="23"/>
      <c r="AS381" s="23"/>
      <c r="AT381" s="23"/>
      <c r="AU381" s="23"/>
      <c r="AV381" s="23"/>
      <c r="AW381" s="23"/>
      <c r="AX381" s="23"/>
      <c r="AY381" s="23"/>
      <c r="AZ381" s="23"/>
      <c r="BA381" s="23"/>
      <c r="BB381" s="23"/>
      <c r="BC381" s="23"/>
    </row>
    <row r="382">
      <c r="AO382" s="23"/>
      <c r="AP382" s="23"/>
      <c r="AQ382" s="23"/>
      <c r="AR382" s="23"/>
      <c r="AS382" s="23"/>
      <c r="AT382" s="23"/>
      <c r="AU382" s="23"/>
      <c r="AV382" s="23"/>
      <c r="AW382" s="23"/>
      <c r="AX382" s="23"/>
      <c r="AY382" s="23"/>
      <c r="AZ382" s="23"/>
      <c r="BA382" s="23"/>
      <c r="BB382" s="23"/>
      <c r="BC382" s="23"/>
    </row>
    <row r="383">
      <c r="AO383" s="23"/>
      <c r="AP383" s="23"/>
      <c r="AQ383" s="23"/>
      <c r="AR383" s="23"/>
      <c r="AS383" s="23"/>
      <c r="AT383" s="23"/>
      <c r="AU383" s="23"/>
      <c r="AV383" s="23"/>
      <c r="AW383" s="23"/>
      <c r="AX383" s="23"/>
      <c r="AY383" s="23"/>
      <c r="AZ383" s="23"/>
      <c r="BA383" s="23"/>
      <c r="BB383" s="23"/>
      <c r="BC383" s="23"/>
    </row>
    <row r="384">
      <c r="AO384" s="23"/>
      <c r="AP384" s="23"/>
      <c r="AQ384" s="23"/>
      <c r="AR384" s="23"/>
      <c r="AS384" s="23"/>
      <c r="AT384" s="23"/>
      <c r="AU384" s="23"/>
      <c r="AV384" s="23"/>
      <c r="AW384" s="23"/>
      <c r="AX384" s="23"/>
      <c r="AY384" s="23"/>
      <c r="AZ384" s="23"/>
      <c r="BA384" s="23"/>
      <c r="BB384" s="23"/>
      <c r="BC384" s="23"/>
    </row>
    <row r="385">
      <c r="AO385" s="23"/>
      <c r="AP385" s="23"/>
      <c r="AQ385" s="23"/>
      <c r="AR385" s="23"/>
      <c r="AS385" s="23"/>
      <c r="AT385" s="23"/>
      <c r="AU385" s="23"/>
      <c r="AV385" s="23"/>
      <c r="AW385" s="23"/>
      <c r="AX385" s="23"/>
      <c r="AY385" s="23"/>
      <c r="AZ385" s="23"/>
      <c r="BA385" s="23"/>
      <c r="BB385" s="23"/>
      <c r="BC385" s="23"/>
    </row>
    <row r="386">
      <c r="AO386" s="23"/>
      <c r="AP386" s="23"/>
      <c r="AQ386" s="23"/>
      <c r="AR386" s="23"/>
      <c r="AS386" s="23"/>
      <c r="AT386" s="23"/>
      <c r="AU386" s="23"/>
      <c r="AV386" s="23"/>
      <c r="AW386" s="23"/>
      <c r="AX386" s="23"/>
      <c r="AY386" s="23"/>
      <c r="AZ386" s="23"/>
      <c r="BA386" s="23"/>
      <c r="BB386" s="23"/>
      <c r="BC386" s="23"/>
    </row>
    <row r="387">
      <c r="AO387" s="23"/>
      <c r="AP387" s="23"/>
      <c r="AQ387" s="23"/>
      <c r="AR387" s="23"/>
      <c r="AS387" s="23"/>
      <c r="AT387" s="23"/>
      <c r="AU387" s="23"/>
      <c r="AV387" s="23"/>
      <c r="AW387" s="23"/>
      <c r="AX387" s="23"/>
      <c r="AY387" s="23"/>
      <c r="AZ387" s="23"/>
      <c r="BA387" s="23"/>
      <c r="BB387" s="23"/>
      <c r="BC387" s="23"/>
    </row>
    <row r="388">
      <c r="AO388" s="23"/>
      <c r="AP388" s="23"/>
      <c r="AQ388" s="23"/>
      <c r="AR388" s="23"/>
      <c r="AS388" s="23"/>
      <c r="AT388" s="23"/>
      <c r="AU388" s="23"/>
      <c r="AV388" s="23"/>
      <c r="AW388" s="23"/>
      <c r="AX388" s="23"/>
      <c r="AY388" s="23"/>
      <c r="AZ388" s="23"/>
      <c r="BA388" s="23"/>
      <c r="BB388" s="23"/>
      <c r="BC388" s="23"/>
    </row>
    <row r="389">
      <c r="AO389" s="23"/>
      <c r="AP389" s="23"/>
      <c r="AQ389" s="23"/>
      <c r="AR389" s="23"/>
      <c r="AS389" s="23"/>
      <c r="AT389" s="23"/>
      <c r="AU389" s="23"/>
      <c r="AV389" s="23"/>
      <c r="AW389" s="23"/>
      <c r="AX389" s="23"/>
      <c r="AY389" s="23"/>
      <c r="AZ389" s="23"/>
      <c r="BA389" s="23"/>
      <c r="BB389" s="23"/>
      <c r="BC389" s="23"/>
    </row>
    <row r="390">
      <c r="AO390" s="23"/>
      <c r="AP390" s="23"/>
      <c r="AQ390" s="23"/>
      <c r="AR390" s="23"/>
      <c r="AS390" s="23"/>
      <c r="AT390" s="23"/>
      <c r="AU390" s="23"/>
      <c r="AV390" s="23"/>
      <c r="AW390" s="23"/>
      <c r="AX390" s="23"/>
      <c r="AY390" s="23"/>
      <c r="AZ390" s="23"/>
      <c r="BA390" s="23"/>
      <c r="BB390" s="23"/>
      <c r="BC390" s="23"/>
    </row>
    <row r="391">
      <c r="AO391" s="23"/>
      <c r="AP391" s="23"/>
      <c r="AQ391" s="23"/>
      <c r="AR391" s="23"/>
      <c r="AS391" s="23"/>
      <c r="AT391" s="23"/>
      <c r="AU391" s="23"/>
      <c r="AV391" s="23"/>
      <c r="AW391" s="23"/>
      <c r="AX391" s="23"/>
      <c r="AY391" s="23"/>
      <c r="AZ391" s="23"/>
      <c r="BA391" s="23"/>
      <c r="BB391" s="23"/>
      <c r="BC391" s="23"/>
    </row>
    <row r="392">
      <c r="AO392" s="23"/>
      <c r="AP392" s="23"/>
      <c r="AQ392" s="23"/>
      <c r="AR392" s="23"/>
      <c r="AS392" s="23"/>
      <c r="AT392" s="23"/>
      <c r="AU392" s="23"/>
      <c r="AV392" s="23"/>
      <c r="AW392" s="23"/>
      <c r="AX392" s="23"/>
      <c r="AY392" s="23"/>
      <c r="AZ392" s="23"/>
      <c r="BA392" s="23"/>
      <c r="BB392" s="23"/>
      <c r="BC392" s="23"/>
    </row>
    <row r="393">
      <c r="AO393" s="23"/>
      <c r="AP393" s="23"/>
      <c r="AQ393" s="23"/>
      <c r="AR393" s="23"/>
      <c r="AS393" s="23"/>
      <c r="AT393" s="23"/>
      <c r="AU393" s="23"/>
      <c r="AV393" s="23"/>
      <c r="AW393" s="23"/>
      <c r="AX393" s="23"/>
      <c r="AY393" s="23"/>
      <c r="AZ393" s="23"/>
      <c r="BA393" s="23"/>
      <c r="BB393" s="23"/>
      <c r="BC393" s="23"/>
    </row>
    <row r="394">
      <c r="AO394" s="23"/>
      <c r="AP394" s="23"/>
      <c r="AQ394" s="23"/>
      <c r="AR394" s="23"/>
      <c r="AS394" s="23"/>
      <c r="AT394" s="23"/>
      <c r="AU394" s="23"/>
      <c r="AV394" s="23"/>
      <c r="AW394" s="23"/>
      <c r="AX394" s="23"/>
      <c r="AY394" s="23"/>
      <c r="AZ394" s="23"/>
      <c r="BA394" s="23"/>
      <c r="BB394" s="23"/>
      <c r="BC394" s="23"/>
    </row>
    <row r="395">
      <c r="AO395" s="23"/>
      <c r="AP395" s="23"/>
      <c r="AQ395" s="23"/>
      <c r="AR395" s="23"/>
      <c r="AS395" s="23"/>
      <c r="AT395" s="23"/>
      <c r="AU395" s="23"/>
      <c r="AV395" s="23"/>
      <c r="AW395" s="23"/>
      <c r="AX395" s="23"/>
      <c r="AY395" s="23"/>
      <c r="AZ395" s="23"/>
      <c r="BA395" s="23"/>
      <c r="BB395" s="23"/>
      <c r="BC395" s="23"/>
    </row>
    <row r="396">
      <c r="AO396" s="23"/>
      <c r="AP396" s="23"/>
      <c r="AQ396" s="23"/>
      <c r="AR396" s="23"/>
      <c r="AS396" s="23"/>
      <c r="AT396" s="23"/>
      <c r="AU396" s="23"/>
      <c r="AV396" s="23"/>
      <c r="AW396" s="23"/>
      <c r="AX396" s="23"/>
      <c r="AY396" s="23"/>
      <c r="AZ396" s="23"/>
      <c r="BA396" s="23"/>
      <c r="BB396" s="23"/>
      <c r="BC396" s="23"/>
    </row>
    <row r="397">
      <c r="AO397" s="23"/>
      <c r="AP397" s="23"/>
      <c r="AQ397" s="23"/>
      <c r="AR397" s="23"/>
      <c r="AS397" s="23"/>
      <c r="AT397" s="23"/>
      <c r="AU397" s="23"/>
      <c r="AV397" s="23"/>
      <c r="AW397" s="23"/>
      <c r="AX397" s="23"/>
      <c r="AY397" s="23"/>
      <c r="AZ397" s="23"/>
      <c r="BA397" s="23"/>
      <c r="BB397" s="23"/>
      <c r="BC397" s="23"/>
    </row>
    <row r="398">
      <c r="AO398" s="23"/>
      <c r="AP398" s="23"/>
      <c r="AQ398" s="23"/>
      <c r="AR398" s="23"/>
      <c r="AS398" s="23"/>
      <c r="AT398" s="23"/>
      <c r="AU398" s="23"/>
      <c r="AV398" s="23"/>
      <c r="AW398" s="23"/>
      <c r="AX398" s="23"/>
      <c r="AY398" s="23"/>
      <c r="AZ398" s="23"/>
      <c r="BA398" s="23"/>
      <c r="BB398" s="23"/>
      <c r="BC398" s="23"/>
    </row>
    <row r="399">
      <c r="AO399" s="23"/>
      <c r="AP399" s="23"/>
      <c r="AQ399" s="23"/>
      <c r="AR399" s="23"/>
      <c r="AS399" s="23"/>
      <c r="AT399" s="23"/>
      <c r="AU399" s="23"/>
      <c r="AV399" s="23"/>
      <c r="AW399" s="23"/>
      <c r="AX399" s="23"/>
      <c r="AY399" s="23"/>
      <c r="AZ399" s="23"/>
      <c r="BA399" s="23"/>
      <c r="BB399" s="23"/>
      <c r="BC399" s="23"/>
    </row>
    <row r="400">
      <c r="AO400" s="23"/>
      <c r="AP400" s="23"/>
      <c r="AQ400" s="23"/>
      <c r="AR400" s="23"/>
      <c r="AS400" s="23"/>
      <c r="AT400" s="23"/>
      <c r="AU400" s="23"/>
      <c r="AV400" s="23"/>
      <c r="AW400" s="23"/>
      <c r="AX400" s="23"/>
      <c r="AY400" s="23"/>
      <c r="AZ400" s="23"/>
      <c r="BA400" s="23"/>
      <c r="BB400" s="23"/>
      <c r="BC400" s="23"/>
    </row>
    <row r="401">
      <c r="AO401" s="23"/>
      <c r="AP401" s="23"/>
      <c r="AQ401" s="23"/>
      <c r="AR401" s="23"/>
      <c r="AS401" s="23"/>
      <c r="AT401" s="23"/>
      <c r="AU401" s="23"/>
      <c r="AV401" s="23"/>
      <c r="AW401" s="23"/>
      <c r="AX401" s="23"/>
      <c r="AY401" s="23"/>
      <c r="AZ401" s="23"/>
      <c r="BA401" s="23"/>
      <c r="BB401" s="23"/>
      <c r="BC401" s="23"/>
    </row>
    <row r="402">
      <c r="AO402" s="23"/>
      <c r="AP402" s="23"/>
      <c r="AQ402" s="23"/>
      <c r="AR402" s="23"/>
      <c r="AS402" s="23"/>
      <c r="AT402" s="23"/>
      <c r="AU402" s="23"/>
      <c r="AV402" s="23"/>
      <c r="AW402" s="23"/>
      <c r="AX402" s="23"/>
      <c r="AY402" s="23"/>
      <c r="AZ402" s="23"/>
      <c r="BA402" s="23"/>
      <c r="BB402" s="23"/>
      <c r="BC402" s="23"/>
    </row>
    <row r="403">
      <c r="AO403" s="23"/>
      <c r="AP403" s="23"/>
      <c r="AQ403" s="23"/>
      <c r="AR403" s="23"/>
      <c r="AS403" s="23"/>
      <c r="AT403" s="23"/>
      <c r="AU403" s="23"/>
      <c r="AV403" s="23"/>
      <c r="AW403" s="23"/>
      <c r="AX403" s="23"/>
      <c r="AY403" s="23"/>
      <c r="AZ403" s="23"/>
      <c r="BA403" s="23"/>
      <c r="BB403" s="23"/>
      <c r="BC403" s="23"/>
    </row>
    <row r="404">
      <c r="AO404" s="23"/>
      <c r="AP404" s="23"/>
      <c r="AQ404" s="23"/>
      <c r="AR404" s="23"/>
      <c r="AS404" s="23"/>
      <c r="AT404" s="23"/>
      <c r="AU404" s="23"/>
      <c r="AV404" s="23"/>
      <c r="AW404" s="23"/>
      <c r="AX404" s="23"/>
      <c r="AY404" s="23"/>
      <c r="AZ404" s="23"/>
      <c r="BA404" s="23"/>
      <c r="BB404" s="23"/>
      <c r="BC404" s="23"/>
    </row>
    <row r="405">
      <c r="AO405" s="23"/>
      <c r="AP405" s="23"/>
      <c r="AQ405" s="23"/>
      <c r="AR405" s="23"/>
      <c r="AS405" s="23"/>
      <c r="AT405" s="23"/>
      <c r="AU405" s="23"/>
      <c r="AV405" s="23"/>
      <c r="AW405" s="23"/>
      <c r="AX405" s="23"/>
      <c r="AY405" s="23"/>
      <c r="AZ405" s="23"/>
      <c r="BA405" s="23"/>
      <c r="BB405" s="23"/>
      <c r="BC405" s="23"/>
    </row>
    <row r="406">
      <c r="AO406" s="23"/>
      <c r="AP406" s="23"/>
      <c r="AQ406" s="23"/>
      <c r="AR406" s="23"/>
      <c r="AS406" s="23"/>
      <c r="AT406" s="23"/>
      <c r="AU406" s="23"/>
      <c r="AV406" s="23"/>
      <c r="AW406" s="23"/>
      <c r="AX406" s="23"/>
      <c r="AY406" s="23"/>
      <c r="AZ406" s="23"/>
      <c r="BA406" s="23"/>
      <c r="BB406" s="23"/>
      <c r="BC406" s="23"/>
    </row>
    <row r="407">
      <c r="AO407" s="23"/>
      <c r="AP407" s="23"/>
      <c r="AQ407" s="23"/>
      <c r="AR407" s="23"/>
      <c r="AS407" s="23"/>
      <c r="AT407" s="23"/>
      <c r="AU407" s="23"/>
      <c r="AV407" s="23"/>
      <c r="AW407" s="23"/>
      <c r="AX407" s="23"/>
      <c r="AY407" s="23"/>
      <c r="AZ407" s="23"/>
      <c r="BA407" s="23"/>
      <c r="BB407" s="23"/>
      <c r="BC407" s="23"/>
    </row>
    <row r="408">
      <c r="AO408" s="23"/>
      <c r="AP408" s="23"/>
      <c r="AQ408" s="23"/>
      <c r="AR408" s="23"/>
      <c r="AS408" s="23"/>
      <c r="AT408" s="23"/>
      <c r="AU408" s="23"/>
      <c r="AV408" s="23"/>
      <c r="AW408" s="23"/>
      <c r="AX408" s="23"/>
      <c r="AY408" s="23"/>
      <c r="AZ408" s="23"/>
      <c r="BA408" s="23"/>
      <c r="BB408" s="23"/>
      <c r="BC408" s="23"/>
    </row>
    <row r="409">
      <c r="AO409" s="23"/>
      <c r="AP409" s="23"/>
      <c r="AQ409" s="23"/>
      <c r="AR409" s="23"/>
      <c r="AS409" s="23"/>
      <c r="AT409" s="23"/>
      <c r="AU409" s="23"/>
      <c r="AV409" s="23"/>
      <c r="AW409" s="23"/>
      <c r="AX409" s="23"/>
      <c r="AY409" s="23"/>
      <c r="AZ409" s="23"/>
      <c r="BA409" s="23"/>
      <c r="BB409" s="23"/>
      <c r="BC409" s="23"/>
    </row>
    <row r="410">
      <c r="AO410" s="23"/>
      <c r="AP410" s="23"/>
      <c r="AQ410" s="23"/>
      <c r="AR410" s="23"/>
      <c r="AS410" s="23"/>
      <c r="AT410" s="23"/>
      <c r="AU410" s="23"/>
      <c r="AV410" s="23"/>
      <c r="AW410" s="23"/>
      <c r="AX410" s="23"/>
      <c r="AY410" s="23"/>
      <c r="AZ410" s="23"/>
      <c r="BA410" s="23"/>
      <c r="BB410" s="23"/>
      <c r="BC410" s="23"/>
    </row>
    <row r="411">
      <c r="AO411" s="23"/>
      <c r="AP411" s="23"/>
      <c r="AQ411" s="23"/>
      <c r="AR411" s="23"/>
      <c r="AS411" s="23"/>
      <c r="AT411" s="23"/>
      <c r="AU411" s="23"/>
      <c r="AV411" s="23"/>
      <c r="AW411" s="23"/>
      <c r="AX411" s="23"/>
      <c r="AY411" s="23"/>
      <c r="AZ411" s="23"/>
      <c r="BA411" s="23"/>
      <c r="BB411" s="23"/>
      <c r="BC411" s="23"/>
    </row>
    <row r="412">
      <c r="AO412" s="23"/>
      <c r="AP412" s="23"/>
      <c r="AQ412" s="23"/>
      <c r="AR412" s="23"/>
      <c r="AS412" s="23"/>
      <c r="AT412" s="23"/>
      <c r="AU412" s="23"/>
      <c r="AV412" s="23"/>
      <c r="AW412" s="23"/>
      <c r="AX412" s="23"/>
      <c r="AY412" s="23"/>
      <c r="AZ412" s="23"/>
      <c r="BA412" s="23"/>
      <c r="BB412" s="23"/>
      <c r="BC412" s="23"/>
    </row>
    <row r="413">
      <c r="AO413" s="23"/>
      <c r="AP413" s="23"/>
      <c r="AQ413" s="23"/>
      <c r="AR413" s="23"/>
      <c r="AS413" s="23"/>
      <c r="AT413" s="23"/>
      <c r="AU413" s="23"/>
      <c r="AV413" s="23"/>
      <c r="AW413" s="23"/>
      <c r="AX413" s="23"/>
      <c r="AY413" s="23"/>
      <c r="AZ413" s="23"/>
      <c r="BA413" s="23"/>
      <c r="BB413" s="23"/>
      <c r="BC413" s="23"/>
    </row>
    <row r="414">
      <c r="AO414" s="23"/>
      <c r="AP414" s="23"/>
      <c r="AQ414" s="23"/>
      <c r="AR414" s="23"/>
      <c r="AS414" s="23"/>
      <c r="AT414" s="23"/>
      <c r="AU414" s="23"/>
      <c r="AV414" s="23"/>
      <c r="AW414" s="23"/>
      <c r="AX414" s="23"/>
      <c r="AY414" s="23"/>
      <c r="AZ414" s="23"/>
      <c r="BA414" s="23"/>
      <c r="BB414" s="23"/>
      <c r="BC414" s="23"/>
    </row>
    <row r="415">
      <c r="AO415" s="23"/>
      <c r="AP415" s="23"/>
      <c r="AQ415" s="23"/>
      <c r="AR415" s="23"/>
      <c r="AS415" s="23"/>
      <c r="AT415" s="23"/>
      <c r="AU415" s="23"/>
      <c r="AV415" s="23"/>
      <c r="AW415" s="23"/>
      <c r="AX415" s="23"/>
      <c r="AY415" s="23"/>
      <c r="AZ415" s="23"/>
      <c r="BA415" s="23"/>
      <c r="BB415" s="23"/>
      <c r="BC415" s="23"/>
    </row>
    <row r="416">
      <c r="AO416" s="23"/>
      <c r="AP416" s="23"/>
      <c r="AQ416" s="23"/>
      <c r="AR416" s="23"/>
      <c r="AS416" s="23"/>
      <c r="AT416" s="23"/>
      <c r="AU416" s="23"/>
      <c r="AV416" s="23"/>
      <c r="AW416" s="23"/>
      <c r="AX416" s="23"/>
      <c r="AY416" s="23"/>
      <c r="AZ416" s="23"/>
      <c r="BA416" s="23"/>
      <c r="BB416" s="23"/>
      <c r="BC416" s="23"/>
    </row>
    <row r="417">
      <c r="AO417" s="23"/>
      <c r="AP417" s="23"/>
      <c r="AQ417" s="23"/>
      <c r="AR417" s="23"/>
      <c r="AS417" s="23"/>
      <c r="AT417" s="23"/>
      <c r="AU417" s="23"/>
      <c r="AV417" s="23"/>
      <c r="AW417" s="23"/>
      <c r="AX417" s="23"/>
      <c r="AY417" s="23"/>
      <c r="AZ417" s="23"/>
      <c r="BA417" s="23"/>
      <c r="BB417" s="23"/>
      <c r="BC417" s="23"/>
    </row>
    <row r="418">
      <c r="AO418" s="23"/>
      <c r="AP418" s="23"/>
      <c r="AQ418" s="23"/>
      <c r="AR418" s="23"/>
      <c r="AS418" s="23"/>
      <c r="AT418" s="23"/>
      <c r="AU418" s="23"/>
      <c r="AV418" s="23"/>
      <c r="AW418" s="23"/>
      <c r="AX418" s="23"/>
      <c r="AY418" s="23"/>
      <c r="AZ418" s="23"/>
      <c r="BA418" s="23"/>
      <c r="BB418" s="23"/>
      <c r="BC418" s="23"/>
    </row>
    <row r="419">
      <c r="AO419" s="23"/>
      <c r="AP419" s="23"/>
      <c r="AQ419" s="23"/>
      <c r="AR419" s="23"/>
      <c r="AS419" s="23"/>
      <c r="AT419" s="23"/>
      <c r="AU419" s="23"/>
      <c r="AV419" s="23"/>
      <c r="AW419" s="23"/>
      <c r="AX419" s="23"/>
      <c r="AY419" s="23"/>
      <c r="AZ419" s="23"/>
      <c r="BA419" s="23"/>
      <c r="BB419" s="23"/>
      <c r="BC419" s="23"/>
    </row>
    <row r="420">
      <c r="AO420" s="23"/>
      <c r="AP420" s="23"/>
      <c r="AQ420" s="23"/>
      <c r="AR420" s="23"/>
      <c r="AS420" s="23"/>
      <c r="AT420" s="23"/>
      <c r="AU420" s="23"/>
      <c r="AV420" s="23"/>
      <c r="AW420" s="23"/>
      <c r="AX420" s="23"/>
      <c r="AY420" s="23"/>
      <c r="AZ420" s="23"/>
      <c r="BA420" s="23"/>
      <c r="BB420" s="23"/>
      <c r="BC420" s="23"/>
    </row>
    <row r="421">
      <c r="AO421" s="23"/>
      <c r="AP421" s="23"/>
      <c r="AQ421" s="23"/>
      <c r="AR421" s="23"/>
      <c r="AS421" s="23"/>
      <c r="AT421" s="23"/>
      <c r="AU421" s="23"/>
      <c r="AV421" s="23"/>
      <c r="AW421" s="23"/>
      <c r="AX421" s="23"/>
      <c r="AY421" s="23"/>
      <c r="AZ421" s="23"/>
      <c r="BA421" s="23"/>
      <c r="BB421" s="23"/>
      <c r="BC421" s="23"/>
    </row>
    <row r="422">
      <c r="AO422" s="23"/>
      <c r="AP422" s="23"/>
      <c r="AQ422" s="23"/>
      <c r="AR422" s="23"/>
      <c r="AS422" s="23"/>
      <c r="AT422" s="23"/>
      <c r="AU422" s="23"/>
      <c r="AV422" s="23"/>
      <c r="AW422" s="23"/>
      <c r="AX422" s="23"/>
      <c r="AY422" s="23"/>
      <c r="AZ422" s="23"/>
      <c r="BA422" s="23"/>
      <c r="BB422" s="23"/>
      <c r="BC422" s="23"/>
    </row>
    <row r="423">
      <c r="AO423" s="23"/>
      <c r="AP423" s="23"/>
      <c r="AQ423" s="23"/>
      <c r="AR423" s="23"/>
      <c r="AS423" s="23"/>
      <c r="AT423" s="23"/>
      <c r="AU423" s="23"/>
      <c r="AV423" s="23"/>
      <c r="AW423" s="23"/>
      <c r="AX423" s="23"/>
      <c r="AY423" s="23"/>
      <c r="AZ423" s="23"/>
      <c r="BA423" s="23"/>
      <c r="BB423" s="23"/>
      <c r="BC423" s="23"/>
    </row>
    <row r="424">
      <c r="AO424" s="23"/>
      <c r="AP424" s="23"/>
      <c r="AQ424" s="23"/>
      <c r="AR424" s="23"/>
      <c r="AS424" s="23"/>
      <c r="AT424" s="23"/>
      <c r="AU424" s="23"/>
      <c r="AV424" s="23"/>
      <c r="AW424" s="23"/>
      <c r="AX424" s="23"/>
      <c r="AY424" s="23"/>
      <c r="AZ424" s="23"/>
      <c r="BA424" s="23"/>
      <c r="BB424" s="23"/>
      <c r="BC424" s="23"/>
    </row>
    <row r="425">
      <c r="AO425" s="23"/>
      <c r="AP425" s="23"/>
      <c r="AQ425" s="23"/>
      <c r="AR425" s="23"/>
      <c r="AS425" s="23"/>
      <c r="AT425" s="23"/>
      <c r="AU425" s="23"/>
      <c r="AV425" s="23"/>
      <c r="AW425" s="23"/>
      <c r="AX425" s="23"/>
      <c r="AY425" s="23"/>
      <c r="AZ425" s="23"/>
      <c r="BA425" s="23"/>
      <c r="BB425" s="23"/>
      <c r="BC425" s="23"/>
    </row>
    <row r="426">
      <c r="AO426" s="23"/>
      <c r="AP426" s="23"/>
      <c r="AQ426" s="23"/>
      <c r="AR426" s="23"/>
      <c r="AS426" s="23"/>
      <c r="AT426" s="23"/>
      <c r="AU426" s="23"/>
      <c r="AV426" s="23"/>
      <c r="AW426" s="23"/>
      <c r="AX426" s="23"/>
      <c r="AY426" s="23"/>
      <c r="AZ426" s="23"/>
      <c r="BA426" s="23"/>
      <c r="BB426" s="23"/>
      <c r="BC426" s="23"/>
    </row>
    <row r="427">
      <c r="AO427" s="23"/>
      <c r="AP427" s="23"/>
      <c r="AQ427" s="23"/>
      <c r="AR427" s="23"/>
      <c r="AS427" s="23"/>
      <c r="AT427" s="23"/>
      <c r="AU427" s="23"/>
      <c r="AV427" s="23"/>
      <c r="AW427" s="23"/>
      <c r="AX427" s="23"/>
      <c r="AY427" s="23"/>
      <c r="AZ427" s="23"/>
      <c r="BA427" s="23"/>
      <c r="BB427" s="23"/>
      <c r="BC427" s="23"/>
    </row>
    <row r="428">
      <c r="AO428" s="23"/>
      <c r="AP428" s="23"/>
      <c r="AQ428" s="23"/>
      <c r="AR428" s="23"/>
      <c r="AS428" s="23"/>
      <c r="AT428" s="23"/>
      <c r="AU428" s="23"/>
      <c r="AV428" s="23"/>
      <c r="AW428" s="23"/>
      <c r="AX428" s="23"/>
      <c r="AY428" s="23"/>
      <c r="AZ428" s="23"/>
      <c r="BA428" s="23"/>
      <c r="BB428" s="23"/>
      <c r="BC428" s="23"/>
    </row>
    <row r="429">
      <c r="AO429" s="23"/>
      <c r="AP429" s="23"/>
      <c r="AQ429" s="23"/>
      <c r="AR429" s="23"/>
      <c r="AS429" s="23"/>
      <c r="AT429" s="23"/>
      <c r="AU429" s="23"/>
      <c r="AV429" s="23"/>
      <c r="AW429" s="23"/>
      <c r="AX429" s="23"/>
      <c r="AY429" s="23"/>
      <c r="AZ429" s="23"/>
      <c r="BA429" s="23"/>
      <c r="BB429" s="23"/>
      <c r="BC429" s="23"/>
    </row>
    <row r="430">
      <c r="AO430" s="23"/>
      <c r="AP430" s="23"/>
      <c r="AQ430" s="23"/>
      <c r="AR430" s="23"/>
      <c r="AS430" s="23"/>
      <c r="AT430" s="23"/>
      <c r="AU430" s="23"/>
      <c r="AV430" s="23"/>
      <c r="AW430" s="23"/>
      <c r="AX430" s="23"/>
      <c r="AY430" s="23"/>
      <c r="AZ430" s="23"/>
      <c r="BA430" s="23"/>
      <c r="BB430" s="23"/>
      <c r="BC430" s="23"/>
    </row>
    <row r="431">
      <c r="AO431" s="23"/>
      <c r="AP431" s="23"/>
      <c r="AQ431" s="23"/>
      <c r="AR431" s="23"/>
      <c r="AS431" s="23"/>
      <c r="AT431" s="23"/>
      <c r="AU431" s="23"/>
      <c r="AV431" s="23"/>
      <c r="AW431" s="23"/>
      <c r="AX431" s="23"/>
      <c r="AY431" s="23"/>
      <c r="AZ431" s="23"/>
      <c r="BA431" s="23"/>
      <c r="BB431" s="23"/>
      <c r="BC431" s="23"/>
    </row>
    <row r="432">
      <c r="AO432" s="23"/>
      <c r="AP432" s="23"/>
      <c r="AQ432" s="23"/>
      <c r="AR432" s="23"/>
      <c r="AS432" s="23"/>
      <c r="AT432" s="23"/>
      <c r="AU432" s="23"/>
      <c r="AV432" s="23"/>
      <c r="AW432" s="23"/>
      <c r="AX432" s="23"/>
      <c r="AY432" s="23"/>
      <c r="AZ432" s="23"/>
      <c r="BA432" s="23"/>
      <c r="BB432" s="23"/>
      <c r="BC432" s="23"/>
    </row>
    <row r="433">
      <c r="AO433" s="23"/>
      <c r="AP433" s="23"/>
      <c r="AQ433" s="23"/>
      <c r="AR433" s="23"/>
      <c r="AS433" s="23"/>
      <c r="AT433" s="23"/>
      <c r="AU433" s="23"/>
      <c r="AV433" s="23"/>
      <c r="AW433" s="23"/>
      <c r="AX433" s="23"/>
      <c r="AY433" s="23"/>
      <c r="AZ433" s="23"/>
      <c r="BA433" s="23"/>
      <c r="BB433" s="23"/>
      <c r="BC433" s="23"/>
    </row>
    <row r="434">
      <c r="AO434" s="23"/>
      <c r="AP434" s="23"/>
      <c r="AQ434" s="23"/>
      <c r="AR434" s="23"/>
      <c r="AS434" s="23"/>
      <c r="AT434" s="23"/>
      <c r="AU434" s="23"/>
      <c r="AV434" s="23"/>
      <c r="AW434" s="23"/>
      <c r="AX434" s="23"/>
      <c r="AY434" s="23"/>
      <c r="AZ434" s="23"/>
      <c r="BA434" s="23"/>
      <c r="BB434" s="23"/>
      <c r="BC434" s="23"/>
    </row>
    <row r="435">
      <c r="AO435" s="23"/>
      <c r="AP435" s="23"/>
      <c r="AQ435" s="23"/>
      <c r="AR435" s="23"/>
      <c r="AS435" s="23"/>
      <c r="AT435" s="23"/>
      <c r="AU435" s="23"/>
      <c r="AV435" s="23"/>
      <c r="AW435" s="23"/>
      <c r="AX435" s="23"/>
      <c r="AY435" s="23"/>
      <c r="AZ435" s="23"/>
      <c r="BA435" s="23"/>
      <c r="BB435" s="23"/>
      <c r="BC435" s="23"/>
    </row>
    <row r="436">
      <c r="AO436" s="23"/>
      <c r="AP436" s="23"/>
      <c r="AQ436" s="23"/>
      <c r="AR436" s="23"/>
      <c r="AS436" s="23"/>
      <c r="AT436" s="23"/>
      <c r="AU436" s="23"/>
      <c r="AV436" s="23"/>
      <c r="AW436" s="23"/>
      <c r="AX436" s="23"/>
      <c r="AY436" s="23"/>
      <c r="AZ436" s="23"/>
      <c r="BA436" s="23"/>
      <c r="BB436" s="23"/>
      <c r="BC436" s="23"/>
    </row>
    <row r="437">
      <c r="AO437" s="23"/>
      <c r="AP437" s="23"/>
      <c r="AQ437" s="23"/>
      <c r="AR437" s="23"/>
      <c r="AS437" s="23"/>
      <c r="AT437" s="23"/>
      <c r="AU437" s="23"/>
      <c r="AV437" s="23"/>
      <c r="AW437" s="23"/>
      <c r="AX437" s="23"/>
      <c r="AY437" s="23"/>
      <c r="AZ437" s="23"/>
      <c r="BA437" s="23"/>
      <c r="BB437" s="23"/>
      <c r="BC437" s="23"/>
    </row>
    <row r="438">
      <c r="AO438" s="23"/>
      <c r="AP438" s="23"/>
      <c r="AQ438" s="23"/>
      <c r="AR438" s="23"/>
      <c r="AS438" s="23"/>
      <c r="AT438" s="23"/>
      <c r="AU438" s="23"/>
      <c r="AV438" s="23"/>
      <c r="AW438" s="23"/>
      <c r="AX438" s="23"/>
      <c r="AY438" s="23"/>
      <c r="AZ438" s="23"/>
      <c r="BA438" s="23"/>
      <c r="BB438" s="23"/>
      <c r="BC438" s="23"/>
    </row>
    <row r="439">
      <c r="AO439" s="23"/>
      <c r="AP439" s="23"/>
      <c r="AQ439" s="23"/>
      <c r="AR439" s="23"/>
      <c r="AS439" s="23"/>
      <c r="AT439" s="23"/>
      <c r="AU439" s="23"/>
      <c r="AV439" s="23"/>
      <c r="AW439" s="23"/>
      <c r="AX439" s="23"/>
      <c r="AY439" s="23"/>
      <c r="AZ439" s="23"/>
      <c r="BA439" s="23"/>
      <c r="BB439" s="23"/>
      <c r="BC439" s="23"/>
    </row>
    <row r="440">
      <c r="AO440" s="23"/>
      <c r="AP440" s="23"/>
      <c r="AQ440" s="23"/>
      <c r="AR440" s="23"/>
      <c r="AS440" s="23"/>
      <c r="AT440" s="23"/>
      <c r="AU440" s="23"/>
      <c r="AV440" s="23"/>
      <c r="AW440" s="23"/>
      <c r="AX440" s="23"/>
      <c r="AY440" s="23"/>
      <c r="AZ440" s="23"/>
      <c r="BA440" s="23"/>
      <c r="BB440" s="23"/>
      <c r="BC440" s="23"/>
    </row>
    <row r="441">
      <c r="AO441" s="23"/>
      <c r="AP441" s="23"/>
      <c r="AQ441" s="23"/>
      <c r="AR441" s="23"/>
      <c r="AS441" s="23"/>
      <c r="AT441" s="23"/>
      <c r="AU441" s="23"/>
      <c r="AV441" s="23"/>
      <c r="AW441" s="23"/>
      <c r="AX441" s="23"/>
      <c r="AY441" s="23"/>
      <c r="AZ441" s="23"/>
      <c r="BA441" s="23"/>
      <c r="BB441" s="23"/>
      <c r="BC441" s="23"/>
    </row>
    <row r="442">
      <c r="AO442" s="23"/>
      <c r="AP442" s="23"/>
      <c r="AQ442" s="23"/>
      <c r="AR442" s="23"/>
      <c r="AS442" s="23"/>
      <c r="AT442" s="23"/>
      <c r="AU442" s="23"/>
      <c r="AV442" s="23"/>
      <c r="AW442" s="23"/>
      <c r="AX442" s="23"/>
      <c r="AY442" s="23"/>
      <c r="AZ442" s="23"/>
      <c r="BA442" s="23"/>
      <c r="BB442" s="23"/>
      <c r="BC442" s="23"/>
    </row>
    <row r="443">
      <c r="AO443" s="23"/>
      <c r="AP443" s="23"/>
      <c r="AQ443" s="23"/>
      <c r="AR443" s="23"/>
      <c r="AS443" s="23"/>
      <c r="AT443" s="23"/>
      <c r="AU443" s="23"/>
      <c r="AV443" s="23"/>
      <c r="AW443" s="23"/>
      <c r="AX443" s="23"/>
      <c r="AY443" s="23"/>
      <c r="AZ443" s="23"/>
      <c r="BA443" s="23"/>
      <c r="BB443" s="23"/>
      <c r="BC443" s="23"/>
    </row>
    <row r="444">
      <c r="AO444" s="23"/>
      <c r="AP444" s="23"/>
      <c r="AQ444" s="23"/>
      <c r="AR444" s="23"/>
      <c r="AS444" s="23"/>
      <c r="AT444" s="23"/>
      <c r="AU444" s="23"/>
      <c r="AV444" s="23"/>
      <c r="AW444" s="23"/>
      <c r="AX444" s="23"/>
      <c r="AY444" s="23"/>
      <c r="AZ444" s="23"/>
      <c r="BA444" s="23"/>
      <c r="BB444" s="23"/>
      <c r="BC444" s="23"/>
    </row>
    <row r="445">
      <c r="AO445" s="23"/>
      <c r="AP445" s="23"/>
      <c r="AQ445" s="23"/>
      <c r="AR445" s="23"/>
      <c r="AS445" s="23"/>
      <c r="AT445" s="23"/>
      <c r="AU445" s="23"/>
      <c r="AV445" s="23"/>
      <c r="AW445" s="23"/>
      <c r="AX445" s="23"/>
      <c r="AY445" s="23"/>
      <c r="AZ445" s="23"/>
      <c r="BA445" s="23"/>
      <c r="BB445" s="23"/>
      <c r="BC445" s="23"/>
    </row>
    <row r="446">
      <c r="AO446" s="23"/>
      <c r="AP446" s="23"/>
      <c r="AQ446" s="23"/>
      <c r="AR446" s="23"/>
      <c r="AS446" s="23"/>
      <c r="AT446" s="23"/>
      <c r="AU446" s="23"/>
      <c r="AV446" s="23"/>
      <c r="AW446" s="23"/>
      <c r="AX446" s="23"/>
      <c r="AY446" s="23"/>
      <c r="AZ446" s="23"/>
      <c r="BA446" s="23"/>
      <c r="BB446" s="23"/>
      <c r="BC446" s="23"/>
    </row>
    <row r="447">
      <c r="AO447" s="23"/>
      <c r="AP447" s="23"/>
      <c r="AQ447" s="23"/>
      <c r="AR447" s="23"/>
      <c r="AS447" s="23"/>
      <c r="AT447" s="23"/>
      <c r="AU447" s="23"/>
      <c r="AV447" s="23"/>
      <c r="AW447" s="23"/>
      <c r="AX447" s="23"/>
      <c r="AY447" s="23"/>
      <c r="AZ447" s="23"/>
      <c r="BA447" s="23"/>
      <c r="BB447" s="23"/>
      <c r="BC447" s="23"/>
    </row>
    <row r="448">
      <c r="AO448" s="23"/>
      <c r="AP448" s="23"/>
      <c r="AQ448" s="23"/>
      <c r="AR448" s="23"/>
      <c r="AS448" s="23"/>
      <c r="AT448" s="23"/>
      <c r="AU448" s="23"/>
      <c r="AV448" s="23"/>
      <c r="AW448" s="23"/>
      <c r="AX448" s="23"/>
      <c r="AY448" s="23"/>
      <c r="AZ448" s="23"/>
      <c r="BA448" s="23"/>
      <c r="BB448" s="23"/>
      <c r="BC448" s="23"/>
    </row>
    <row r="449">
      <c r="AO449" s="23"/>
      <c r="AP449" s="23"/>
      <c r="AQ449" s="23"/>
      <c r="AR449" s="23"/>
      <c r="AS449" s="23"/>
      <c r="AT449" s="23"/>
      <c r="AU449" s="23"/>
      <c r="AV449" s="23"/>
      <c r="AW449" s="23"/>
      <c r="AX449" s="23"/>
      <c r="AY449" s="23"/>
      <c r="AZ449" s="23"/>
      <c r="BA449" s="23"/>
      <c r="BB449" s="23"/>
      <c r="BC449" s="23"/>
    </row>
    <row r="450">
      <c r="AO450" s="23"/>
      <c r="AP450" s="23"/>
      <c r="AQ450" s="23"/>
      <c r="AR450" s="23"/>
      <c r="AS450" s="23"/>
      <c r="AT450" s="23"/>
      <c r="AU450" s="23"/>
      <c r="AV450" s="23"/>
      <c r="AW450" s="23"/>
      <c r="AX450" s="23"/>
      <c r="AY450" s="23"/>
      <c r="AZ450" s="23"/>
      <c r="BA450" s="23"/>
      <c r="BB450" s="23"/>
      <c r="BC450" s="23"/>
    </row>
    <row r="451">
      <c r="AO451" s="23"/>
      <c r="AP451" s="23"/>
      <c r="AQ451" s="23"/>
      <c r="AR451" s="23"/>
      <c r="AS451" s="23"/>
      <c r="AT451" s="23"/>
      <c r="AU451" s="23"/>
      <c r="AV451" s="23"/>
      <c r="AW451" s="23"/>
      <c r="AX451" s="23"/>
      <c r="AY451" s="23"/>
      <c r="AZ451" s="23"/>
      <c r="BA451" s="23"/>
      <c r="BB451" s="23"/>
      <c r="BC451" s="23"/>
    </row>
    <row r="452">
      <c r="AO452" s="23"/>
      <c r="AP452" s="23"/>
      <c r="AQ452" s="23"/>
      <c r="AR452" s="23"/>
      <c r="AS452" s="23"/>
      <c r="AT452" s="23"/>
      <c r="AU452" s="23"/>
      <c r="AV452" s="23"/>
      <c r="AW452" s="23"/>
      <c r="AX452" s="23"/>
      <c r="AY452" s="23"/>
      <c r="AZ452" s="23"/>
      <c r="BA452" s="23"/>
      <c r="BB452" s="23"/>
      <c r="BC452" s="23"/>
    </row>
    <row r="453">
      <c r="AO453" s="23"/>
      <c r="AP453" s="23"/>
      <c r="AQ453" s="23"/>
      <c r="AR453" s="23"/>
      <c r="AS453" s="23"/>
      <c r="AT453" s="23"/>
      <c r="AU453" s="23"/>
      <c r="AV453" s="23"/>
      <c r="AW453" s="23"/>
      <c r="AX453" s="23"/>
      <c r="AY453" s="23"/>
      <c r="AZ453" s="23"/>
      <c r="BA453" s="23"/>
      <c r="BB453" s="23"/>
      <c r="BC453" s="23"/>
    </row>
    <row r="454">
      <c r="AO454" s="23"/>
      <c r="AP454" s="23"/>
      <c r="AQ454" s="23"/>
      <c r="AR454" s="23"/>
      <c r="AS454" s="23"/>
      <c r="AT454" s="23"/>
      <c r="AU454" s="23"/>
      <c r="AV454" s="23"/>
      <c r="AW454" s="23"/>
      <c r="AX454" s="23"/>
      <c r="AY454" s="23"/>
      <c r="AZ454" s="23"/>
      <c r="BA454" s="23"/>
      <c r="BB454" s="23"/>
      <c r="BC454" s="23"/>
    </row>
    <row r="455">
      <c r="AO455" s="23"/>
      <c r="AP455" s="23"/>
      <c r="AQ455" s="23"/>
      <c r="AR455" s="23"/>
      <c r="AS455" s="23"/>
      <c r="AT455" s="23"/>
      <c r="AU455" s="23"/>
      <c r="AV455" s="23"/>
      <c r="AW455" s="23"/>
      <c r="AX455" s="23"/>
      <c r="AY455" s="23"/>
      <c r="AZ455" s="23"/>
      <c r="BA455" s="23"/>
      <c r="BB455" s="23"/>
      <c r="BC455" s="23"/>
    </row>
    <row r="456">
      <c r="AO456" s="23"/>
      <c r="AP456" s="23"/>
      <c r="AQ456" s="23"/>
      <c r="AR456" s="23"/>
      <c r="AS456" s="23"/>
      <c r="AT456" s="23"/>
      <c r="AU456" s="23"/>
      <c r="AV456" s="23"/>
      <c r="AW456" s="23"/>
      <c r="AX456" s="23"/>
      <c r="AY456" s="23"/>
      <c r="AZ456" s="23"/>
      <c r="BA456" s="23"/>
      <c r="BB456" s="23"/>
      <c r="BC456" s="23"/>
    </row>
    <row r="457">
      <c r="AO457" s="23"/>
      <c r="AP457" s="23"/>
      <c r="AQ457" s="23"/>
      <c r="AR457" s="23"/>
      <c r="AS457" s="23"/>
      <c r="AT457" s="23"/>
      <c r="AU457" s="23"/>
      <c r="AV457" s="23"/>
      <c r="AW457" s="23"/>
      <c r="AX457" s="23"/>
      <c r="AY457" s="23"/>
      <c r="AZ457" s="23"/>
      <c r="BA457" s="23"/>
      <c r="BB457" s="23"/>
      <c r="BC457" s="23"/>
    </row>
    <row r="458">
      <c r="AO458" s="23"/>
      <c r="AP458" s="23"/>
      <c r="AQ458" s="23"/>
      <c r="AR458" s="23"/>
      <c r="AS458" s="23"/>
      <c r="AT458" s="23"/>
      <c r="AU458" s="23"/>
      <c r="AV458" s="23"/>
      <c r="AW458" s="23"/>
      <c r="AX458" s="23"/>
      <c r="AY458" s="23"/>
      <c r="AZ458" s="23"/>
      <c r="BA458" s="23"/>
      <c r="BB458" s="23"/>
      <c r="BC458" s="23"/>
    </row>
    <row r="459">
      <c r="AO459" s="23"/>
      <c r="AP459" s="23"/>
      <c r="AQ459" s="23"/>
      <c r="AR459" s="23"/>
      <c r="AS459" s="23"/>
      <c r="AT459" s="23"/>
      <c r="AU459" s="23"/>
      <c r="AV459" s="23"/>
      <c r="AW459" s="23"/>
      <c r="AX459" s="23"/>
      <c r="AY459" s="23"/>
      <c r="AZ459" s="23"/>
      <c r="BA459" s="23"/>
      <c r="BB459" s="23"/>
      <c r="BC459" s="23"/>
    </row>
    <row r="460">
      <c r="AO460" s="23"/>
      <c r="AP460" s="23"/>
      <c r="AQ460" s="23"/>
      <c r="AR460" s="23"/>
      <c r="AS460" s="23"/>
      <c r="AT460" s="23"/>
      <c r="AU460" s="23"/>
      <c r="AV460" s="23"/>
      <c r="AW460" s="23"/>
      <c r="AX460" s="23"/>
      <c r="AY460" s="23"/>
      <c r="AZ460" s="23"/>
      <c r="BA460" s="23"/>
      <c r="BB460" s="23"/>
      <c r="BC460" s="23"/>
    </row>
    <row r="461">
      <c r="AO461" s="23"/>
      <c r="AP461" s="23"/>
      <c r="AQ461" s="23"/>
      <c r="AR461" s="23"/>
      <c r="AS461" s="23"/>
      <c r="AT461" s="23"/>
      <c r="AU461" s="23"/>
      <c r="AV461" s="23"/>
      <c r="AW461" s="23"/>
      <c r="AX461" s="23"/>
      <c r="AY461" s="23"/>
      <c r="AZ461" s="23"/>
      <c r="BA461" s="23"/>
      <c r="BB461" s="23"/>
      <c r="BC461" s="23"/>
    </row>
    <row r="462">
      <c r="AO462" s="23"/>
      <c r="AP462" s="23"/>
      <c r="AQ462" s="23"/>
      <c r="AR462" s="23"/>
      <c r="AS462" s="23"/>
      <c r="AT462" s="23"/>
      <c r="AU462" s="23"/>
      <c r="AV462" s="23"/>
      <c r="AW462" s="23"/>
      <c r="AX462" s="23"/>
      <c r="AY462" s="23"/>
      <c r="AZ462" s="23"/>
      <c r="BA462" s="23"/>
      <c r="BB462" s="23"/>
      <c r="BC462" s="23"/>
    </row>
    <row r="463">
      <c r="AO463" s="23"/>
      <c r="AP463" s="23"/>
      <c r="AQ463" s="23"/>
      <c r="AR463" s="23"/>
      <c r="AS463" s="23"/>
      <c r="AT463" s="23"/>
      <c r="AU463" s="23"/>
      <c r="AV463" s="23"/>
      <c r="AW463" s="23"/>
      <c r="AX463" s="23"/>
      <c r="AY463" s="23"/>
      <c r="AZ463" s="23"/>
      <c r="BA463" s="23"/>
      <c r="BB463" s="23"/>
      <c r="BC463" s="23"/>
    </row>
    <row r="464">
      <c r="AO464" s="23"/>
      <c r="AP464" s="23"/>
      <c r="AQ464" s="23"/>
      <c r="AR464" s="23"/>
      <c r="AS464" s="23"/>
      <c r="AT464" s="23"/>
      <c r="AU464" s="23"/>
      <c r="AV464" s="23"/>
      <c r="AW464" s="23"/>
      <c r="AX464" s="23"/>
      <c r="AY464" s="23"/>
      <c r="AZ464" s="23"/>
      <c r="BA464" s="23"/>
      <c r="BB464" s="23"/>
      <c r="BC464" s="23"/>
    </row>
    <row r="465">
      <c r="AO465" s="23"/>
      <c r="AP465" s="23"/>
      <c r="AQ465" s="23"/>
      <c r="AR465" s="23"/>
      <c r="AS465" s="23"/>
      <c r="AT465" s="23"/>
      <c r="AU465" s="23"/>
      <c r="AV465" s="23"/>
      <c r="AW465" s="23"/>
      <c r="AX465" s="23"/>
      <c r="AY465" s="23"/>
      <c r="AZ465" s="23"/>
      <c r="BA465" s="23"/>
      <c r="BB465" s="23"/>
      <c r="BC465" s="23"/>
    </row>
    <row r="466">
      <c r="AO466" s="23"/>
      <c r="AP466" s="23"/>
      <c r="AQ466" s="23"/>
      <c r="AR466" s="23"/>
      <c r="AS466" s="23"/>
      <c r="AT466" s="23"/>
      <c r="AU466" s="23"/>
      <c r="AV466" s="23"/>
      <c r="AW466" s="23"/>
      <c r="AX466" s="23"/>
      <c r="AY466" s="23"/>
      <c r="AZ466" s="23"/>
      <c r="BA466" s="23"/>
      <c r="BB466" s="23"/>
      <c r="BC466" s="23"/>
    </row>
    <row r="467">
      <c r="AO467" s="23"/>
      <c r="AP467" s="23"/>
      <c r="AQ467" s="23"/>
      <c r="AR467" s="23"/>
      <c r="AS467" s="23"/>
      <c r="AT467" s="23"/>
      <c r="AU467" s="23"/>
      <c r="AV467" s="23"/>
      <c r="AW467" s="23"/>
      <c r="AX467" s="23"/>
      <c r="AY467" s="23"/>
      <c r="AZ467" s="23"/>
      <c r="BA467" s="23"/>
      <c r="BB467" s="23"/>
      <c r="BC467" s="23"/>
    </row>
    <row r="468">
      <c r="AO468" s="23"/>
      <c r="AP468" s="23"/>
      <c r="AQ468" s="23"/>
      <c r="AR468" s="23"/>
      <c r="AS468" s="23"/>
      <c r="AT468" s="23"/>
      <c r="AU468" s="23"/>
      <c r="AV468" s="23"/>
      <c r="AW468" s="23"/>
      <c r="AX468" s="23"/>
      <c r="AY468" s="23"/>
      <c r="AZ468" s="23"/>
      <c r="BA468" s="23"/>
      <c r="BB468" s="23"/>
      <c r="BC468" s="23"/>
    </row>
    <row r="469">
      <c r="AO469" s="23"/>
      <c r="AP469" s="23"/>
      <c r="AQ469" s="23"/>
      <c r="AR469" s="23"/>
      <c r="AS469" s="23"/>
      <c r="AT469" s="23"/>
      <c r="AU469" s="23"/>
      <c r="AV469" s="23"/>
      <c r="AW469" s="23"/>
      <c r="AX469" s="23"/>
      <c r="AY469" s="23"/>
      <c r="AZ469" s="23"/>
      <c r="BA469" s="23"/>
      <c r="BB469" s="23"/>
      <c r="BC469" s="23"/>
    </row>
    <row r="470">
      <c r="AO470" s="23"/>
      <c r="AP470" s="23"/>
      <c r="AQ470" s="23"/>
      <c r="AR470" s="23"/>
      <c r="AS470" s="23"/>
      <c r="AT470" s="23"/>
      <c r="AU470" s="23"/>
      <c r="AV470" s="23"/>
      <c r="AW470" s="23"/>
      <c r="AX470" s="23"/>
      <c r="AY470" s="23"/>
      <c r="AZ470" s="23"/>
      <c r="BA470" s="23"/>
      <c r="BB470" s="23"/>
      <c r="BC470" s="23"/>
    </row>
    <row r="471">
      <c r="AO471" s="23"/>
      <c r="AP471" s="23"/>
      <c r="AQ471" s="23"/>
      <c r="AR471" s="23"/>
      <c r="AS471" s="23"/>
      <c r="AT471" s="23"/>
      <c r="AU471" s="23"/>
      <c r="AV471" s="23"/>
      <c r="AW471" s="23"/>
      <c r="AX471" s="23"/>
      <c r="AY471" s="23"/>
      <c r="AZ471" s="23"/>
      <c r="BA471" s="23"/>
      <c r="BB471" s="23"/>
      <c r="BC471" s="23"/>
    </row>
    <row r="472">
      <c r="AO472" s="23"/>
      <c r="AP472" s="23"/>
      <c r="AQ472" s="23"/>
      <c r="AR472" s="23"/>
      <c r="AS472" s="23"/>
      <c r="AT472" s="23"/>
      <c r="AU472" s="23"/>
      <c r="AV472" s="23"/>
      <c r="AW472" s="23"/>
      <c r="AX472" s="23"/>
      <c r="AY472" s="23"/>
      <c r="AZ472" s="23"/>
      <c r="BA472" s="23"/>
      <c r="BB472" s="23"/>
      <c r="BC472" s="23"/>
    </row>
    <row r="473">
      <c r="AO473" s="23"/>
      <c r="AP473" s="23"/>
      <c r="AQ473" s="23"/>
      <c r="AR473" s="23"/>
      <c r="AS473" s="23"/>
      <c r="AT473" s="23"/>
      <c r="AU473" s="23"/>
      <c r="AV473" s="23"/>
      <c r="AW473" s="23"/>
      <c r="AX473" s="23"/>
      <c r="AY473" s="23"/>
      <c r="AZ473" s="23"/>
      <c r="BA473" s="23"/>
      <c r="BB473" s="23"/>
      <c r="BC473" s="23"/>
    </row>
    <row r="474">
      <c r="AO474" s="23"/>
      <c r="AP474" s="23"/>
      <c r="AQ474" s="23"/>
      <c r="AR474" s="23"/>
      <c r="AS474" s="23"/>
      <c r="AT474" s="23"/>
      <c r="AU474" s="23"/>
      <c r="AV474" s="23"/>
      <c r="AW474" s="23"/>
      <c r="AX474" s="23"/>
      <c r="AY474" s="23"/>
      <c r="AZ474" s="23"/>
      <c r="BA474" s="23"/>
      <c r="BB474" s="23"/>
      <c r="BC474" s="23"/>
    </row>
    <row r="475">
      <c r="AO475" s="23"/>
      <c r="AP475" s="23"/>
      <c r="AQ475" s="23"/>
      <c r="AR475" s="23"/>
      <c r="AS475" s="23"/>
      <c r="AT475" s="23"/>
      <c r="AU475" s="23"/>
      <c r="AV475" s="23"/>
      <c r="AW475" s="23"/>
      <c r="AX475" s="23"/>
      <c r="AY475" s="23"/>
      <c r="AZ475" s="23"/>
      <c r="BA475" s="23"/>
      <c r="BB475" s="23"/>
      <c r="BC475" s="23"/>
    </row>
    <row r="476">
      <c r="AO476" s="23"/>
      <c r="AP476" s="23"/>
      <c r="AQ476" s="23"/>
      <c r="AR476" s="23"/>
      <c r="AS476" s="23"/>
      <c r="AT476" s="23"/>
      <c r="AU476" s="23"/>
      <c r="AV476" s="23"/>
      <c r="AW476" s="23"/>
      <c r="AX476" s="23"/>
      <c r="AY476" s="23"/>
      <c r="AZ476" s="23"/>
      <c r="BA476" s="23"/>
      <c r="BB476" s="23"/>
      <c r="BC476" s="23"/>
    </row>
    <row r="477">
      <c r="AO477" s="23"/>
      <c r="AP477" s="23"/>
      <c r="AQ477" s="23"/>
      <c r="AR477" s="23"/>
      <c r="AS477" s="23"/>
      <c r="AT477" s="23"/>
      <c r="AU477" s="23"/>
      <c r="AV477" s="23"/>
      <c r="AW477" s="23"/>
      <c r="AX477" s="23"/>
      <c r="AY477" s="23"/>
      <c r="AZ477" s="23"/>
      <c r="BA477" s="23"/>
      <c r="BB477" s="23"/>
      <c r="BC477" s="23"/>
    </row>
    <row r="478">
      <c r="AO478" s="23"/>
      <c r="AP478" s="23"/>
      <c r="AQ478" s="23"/>
      <c r="AR478" s="23"/>
      <c r="AS478" s="23"/>
      <c r="AT478" s="23"/>
      <c r="AU478" s="23"/>
      <c r="AV478" s="23"/>
      <c r="AW478" s="23"/>
      <c r="AX478" s="23"/>
      <c r="AY478" s="23"/>
      <c r="AZ478" s="23"/>
      <c r="BA478" s="23"/>
      <c r="BB478" s="23"/>
      <c r="BC478" s="23"/>
    </row>
    <row r="479">
      <c r="AO479" s="23"/>
      <c r="AP479" s="23"/>
      <c r="AQ479" s="23"/>
      <c r="AR479" s="23"/>
      <c r="AS479" s="23"/>
      <c r="AT479" s="23"/>
      <c r="AU479" s="23"/>
      <c r="AV479" s="23"/>
      <c r="AW479" s="23"/>
      <c r="AX479" s="23"/>
      <c r="AY479" s="23"/>
      <c r="AZ479" s="23"/>
      <c r="BA479" s="23"/>
      <c r="BB479" s="23"/>
      <c r="BC479" s="23"/>
    </row>
    <row r="480">
      <c r="AO480" s="23"/>
      <c r="AP480" s="23"/>
      <c r="AQ480" s="23"/>
      <c r="AR480" s="23"/>
      <c r="AS480" s="23"/>
      <c r="AT480" s="23"/>
      <c r="AU480" s="23"/>
      <c r="AV480" s="23"/>
      <c r="AW480" s="23"/>
      <c r="AX480" s="23"/>
      <c r="AY480" s="23"/>
      <c r="AZ480" s="23"/>
      <c r="BA480" s="23"/>
      <c r="BB480" s="23"/>
      <c r="BC480" s="23"/>
    </row>
    <row r="481">
      <c r="AO481" s="23"/>
      <c r="AP481" s="23"/>
      <c r="AQ481" s="23"/>
      <c r="AR481" s="23"/>
      <c r="AS481" s="23"/>
      <c r="AT481" s="23"/>
      <c r="AU481" s="23"/>
      <c r="AV481" s="23"/>
      <c r="AW481" s="23"/>
      <c r="AX481" s="23"/>
      <c r="AY481" s="23"/>
      <c r="AZ481" s="23"/>
      <c r="BA481" s="23"/>
      <c r="BB481" s="23"/>
      <c r="BC481" s="23"/>
    </row>
    <row r="482">
      <c r="AO482" s="23"/>
      <c r="AP482" s="23"/>
      <c r="AQ482" s="23"/>
      <c r="AR482" s="23"/>
      <c r="AS482" s="23"/>
      <c r="AT482" s="23"/>
      <c r="AU482" s="23"/>
      <c r="AV482" s="23"/>
      <c r="AW482" s="23"/>
      <c r="AX482" s="23"/>
      <c r="AY482" s="23"/>
      <c r="AZ482" s="23"/>
      <c r="BA482" s="23"/>
      <c r="BB482" s="23"/>
      <c r="BC482" s="23"/>
    </row>
    <row r="483">
      <c r="AO483" s="23"/>
      <c r="AP483" s="23"/>
      <c r="AQ483" s="23"/>
      <c r="AR483" s="23"/>
      <c r="AS483" s="23"/>
      <c r="AT483" s="23"/>
      <c r="AU483" s="23"/>
      <c r="AV483" s="23"/>
      <c r="AW483" s="23"/>
      <c r="AX483" s="23"/>
      <c r="AY483" s="23"/>
      <c r="AZ483" s="23"/>
      <c r="BA483" s="23"/>
      <c r="BB483" s="23"/>
      <c r="BC483" s="23"/>
    </row>
    <row r="484">
      <c r="AO484" s="23"/>
      <c r="AP484" s="23"/>
      <c r="AQ484" s="23"/>
      <c r="AR484" s="23"/>
      <c r="AS484" s="23"/>
      <c r="AT484" s="23"/>
      <c r="AU484" s="23"/>
      <c r="AV484" s="23"/>
      <c r="AW484" s="23"/>
      <c r="AX484" s="23"/>
      <c r="AY484" s="23"/>
      <c r="AZ484" s="23"/>
      <c r="BA484" s="23"/>
      <c r="BB484" s="23"/>
      <c r="BC484" s="23"/>
    </row>
    <row r="485">
      <c r="AO485" s="23"/>
      <c r="AP485" s="23"/>
      <c r="AQ485" s="23"/>
      <c r="AR485" s="23"/>
      <c r="AS485" s="23"/>
      <c r="AT485" s="23"/>
      <c r="AU485" s="23"/>
      <c r="AV485" s="23"/>
      <c r="AW485" s="23"/>
      <c r="AX485" s="23"/>
      <c r="AY485" s="23"/>
      <c r="AZ485" s="23"/>
      <c r="BA485" s="23"/>
      <c r="BB485" s="23"/>
      <c r="BC485" s="23"/>
    </row>
    <row r="486">
      <c r="AO486" s="23"/>
      <c r="AP486" s="23"/>
      <c r="AQ486" s="23"/>
      <c r="AR486" s="23"/>
      <c r="AS486" s="23"/>
      <c r="AT486" s="23"/>
      <c r="AU486" s="23"/>
      <c r="AV486" s="23"/>
      <c r="AW486" s="23"/>
      <c r="AX486" s="23"/>
      <c r="AY486" s="23"/>
      <c r="AZ486" s="23"/>
      <c r="BA486" s="23"/>
      <c r="BB486" s="23"/>
      <c r="BC486" s="23"/>
    </row>
    <row r="487">
      <c r="AO487" s="23"/>
      <c r="AP487" s="23"/>
      <c r="AQ487" s="23"/>
      <c r="AR487" s="23"/>
      <c r="AS487" s="23"/>
      <c r="AT487" s="23"/>
      <c r="AU487" s="23"/>
      <c r="AV487" s="23"/>
      <c r="AW487" s="23"/>
      <c r="AX487" s="23"/>
      <c r="AY487" s="23"/>
      <c r="AZ487" s="23"/>
      <c r="BA487" s="23"/>
      <c r="BB487" s="23"/>
      <c r="BC487" s="23"/>
    </row>
    <row r="488">
      <c r="AO488" s="23"/>
      <c r="AP488" s="23"/>
      <c r="AQ488" s="23"/>
      <c r="AR488" s="23"/>
      <c r="AS488" s="23"/>
      <c r="AT488" s="23"/>
      <c r="AU488" s="23"/>
      <c r="AV488" s="23"/>
      <c r="AW488" s="23"/>
      <c r="AX488" s="23"/>
      <c r="AY488" s="23"/>
      <c r="AZ488" s="23"/>
      <c r="BA488" s="23"/>
      <c r="BB488" s="23"/>
      <c r="BC488" s="23"/>
    </row>
    <row r="489">
      <c r="AO489" s="23"/>
      <c r="AP489" s="23"/>
      <c r="AQ489" s="23"/>
      <c r="AR489" s="23"/>
      <c r="AS489" s="23"/>
      <c r="AT489" s="23"/>
      <c r="AU489" s="23"/>
      <c r="AV489" s="23"/>
      <c r="AW489" s="23"/>
      <c r="AX489" s="23"/>
      <c r="AY489" s="23"/>
      <c r="AZ489" s="23"/>
      <c r="BA489" s="23"/>
      <c r="BB489" s="23"/>
      <c r="BC489" s="23"/>
    </row>
    <row r="490">
      <c r="AO490" s="23"/>
      <c r="AP490" s="23"/>
      <c r="AQ490" s="23"/>
      <c r="AR490" s="23"/>
      <c r="AS490" s="23"/>
      <c r="AT490" s="23"/>
      <c r="AU490" s="23"/>
      <c r="AV490" s="23"/>
      <c r="AW490" s="23"/>
      <c r="AX490" s="23"/>
      <c r="AY490" s="23"/>
      <c r="AZ490" s="23"/>
      <c r="BA490" s="23"/>
      <c r="BB490" s="23"/>
      <c r="BC490" s="23"/>
    </row>
    <row r="491">
      <c r="AO491" s="23"/>
      <c r="AP491" s="23"/>
      <c r="AQ491" s="23"/>
      <c r="AR491" s="23"/>
      <c r="AS491" s="23"/>
      <c r="AT491" s="23"/>
      <c r="AU491" s="23"/>
      <c r="AV491" s="23"/>
      <c r="AW491" s="23"/>
      <c r="AX491" s="23"/>
      <c r="AY491" s="23"/>
      <c r="AZ491" s="23"/>
      <c r="BA491" s="23"/>
      <c r="BB491" s="23"/>
      <c r="BC491" s="23"/>
    </row>
    <row r="492">
      <c r="AO492" s="23"/>
      <c r="AP492" s="23"/>
      <c r="AQ492" s="23"/>
      <c r="AR492" s="23"/>
      <c r="AS492" s="23"/>
      <c r="AT492" s="23"/>
      <c r="AU492" s="23"/>
      <c r="AV492" s="23"/>
      <c r="AW492" s="23"/>
      <c r="AX492" s="23"/>
      <c r="AY492" s="23"/>
      <c r="AZ492" s="23"/>
      <c r="BA492" s="23"/>
      <c r="BB492" s="23"/>
      <c r="BC492" s="23"/>
    </row>
    <row r="493">
      <c r="AO493" s="23"/>
      <c r="AP493" s="23"/>
      <c r="AQ493" s="23"/>
      <c r="AR493" s="23"/>
      <c r="AS493" s="23"/>
      <c r="AT493" s="23"/>
      <c r="AU493" s="23"/>
      <c r="AV493" s="23"/>
      <c r="AW493" s="23"/>
      <c r="AX493" s="23"/>
      <c r="AY493" s="23"/>
      <c r="AZ493" s="23"/>
      <c r="BA493" s="23"/>
      <c r="BB493" s="23"/>
      <c r="BC493" s="23"/>
    </row>
    <row r="494">
      <c r="AO494" s="23"/>
      <c r="AP494" s="23"/>
      <c r="AQ494" s="23"/>
      <c r="AR494" s="23"/>
      <c r="AS494" s="23"/>
      <c r="AT494" s="23"/>
      <c r="AU494" s="23"/>
      <c r="AV494" s="23"/>
      <c r="AW494" s="23"/>
      <c r="AX494" s="23"/>
      <c r="AY494" s="23"/>
      <c r="AZ494" s="23"/>
      <c r="BA494" s="23"/>
      <c r="BB494" s="23"/>
      <c r="BC494" s="23"/>
    </row>
    <row r="495">
      <c r="AO495" s="23"/>
      <c r="AP495" s="23"/>
      <c r="AQ495" s="23"/>
      <c r="AR495" s="23"/>
      <c r="AS495" s="23"/>
      <c r="AT495" s="23"/>
      <c r="AU495" s="23"/>
      <c r="AV495" s="23"/>
      <c r="AW495" s="23"/>
      <c r="AX495" s="23"/>
      <c r="AY495" s="23"/>
      <c r="AZ495" s="23"/>
      <c r="BA495" s="23"/>
      <c r="BB495" s="23"/>
      <c r="BC495" s="23"/>
    </row>
    <row r="496">
      <c r="AO496" s="23"/>
      <c r="AP496" s="23"/>
      <c r="AQ496" s="23"/>
      <c r="AR496" s="23"/>
      <c r="AS496" s="23"/>
      <c r="AT496" s="23"/>
      <c r="AU496" s="23"/>
      <c r="AV496" s="23"/>
      <c r="AW496" s="23"/>
      <c r="AX496" s="23"/>
      <c r="AY496" s="23"/>
      <c r="AZ496" s="23"/>
      <c r="BA496" s="23"/>
      <c r="BB496" s="23"/>
      <c r="BC496" s="23"/>
    </row>
    <row r="497">
      <c r="AO497" s="23"/>
      <c r="AP497" s="23"/>
      <c r="AQ497" s="23"/>
      <c r="AR497" s="23"/>
      <c r="AS497" s="23"/>
      <c r="AT497" s="23"/>
      <c r="AU497" s="23"/>
      <c r="AV497" s="23"/>
      <c r="AW497" s="23"/>
      <c r="AX497" s="23"/>
      <c r="AY497" s="23"/>
      <c r="AZ497" s="23"/>
      <c r="BA497" s="23"/>
      <c r="BB497" s="23"/>
      <c r="BC497" s="23"/>
    </row>
    <row r="498">
      <c r="AO498" s="23"/>
      <c r="AP498" s="23"/>
      <c r="AQ498" s="23"/>
      <c r="AR498" s="23"/>
      <c r="AS498" s="23"/>
      <c r="AT498" s="23"/>
      <c r="AU498" s="23"/>
      <c r="AV498" s="23"/>
      <c r="AW498" s="23"/>
      <c r="AX498" s="23"/>
      <c r="AY498" s="23"/>
      <c r="AZ498" s="23"/>
      <c r="BA498" s="23"/>
      <c r="BB498" s="23"/>
      <c r="BC498" s="23"/>
    </row>
    <row r="499">
      <c r="AO499" s="23"/>
      <c r="AP499" s="23"/>
      <c r="AQ499" s="23"/>
      <c r="AR499" s="23"/>
      <c r="AS499" s="23"/>
      <c r="AT499" s="23"/>
      <c r="AU499" s="23"/>
      <c r="AV499" s="23"/>
      <c r="AW499" s="23"/>
      <c r="AX499" s="23"/>
      <c r="AY499" s="23"/>
      <c r="AZ499" s="23"/>
      <c r="BA499" s="23"/>
      <c r="BB499" s="23"/>
      <c r="BC499" s="23"/>
    </row>
    <row r="500">
      <c r="AO500" s="23"/>
      <c r="AP500" s="23"/>
      <c r="AQ500" s="23"/>
      <c r="AR500" s="23"/>
      <c r="AS500" s="23"/>
      <c r="AT500" s="23"/>
      <c r="AU500" s="23"/>
      <c r="AV500" s="23"/>
      <c r="AW500" s="23"/>
      <c r="AX500" s="23"/>
      <c r="AY500" s="23"/>
      <c r="AZ500" s="23"/>
      <c r="BA500" s="23"/>
      <c r="BB500" s="23"/>
      <c r="BC500" s="23"/>
    </row>
    <row r="501">
      <c r="AO501" s="23"/>
      <c r="AP501" s="23"/>
      <c r="AQ501" s="23"/>
      <c r="AR501" s="23"/>
      <c r="AS501" s="23"/>
      <c r="AT501" s="23"/>
      <c r="AU501" s="23"/>
      <c r="AV501" s="23"/>
      <c r="AW501" s="23"/>
      <c r="AX501" s="23"/>
      <c r="AY501" s="23"/>
      <c r="AZ501" s="23"/>
      <c r="BA501" s="23"/>
      <c r="BB501" s="23"/>
      <c r="BC501" s="23"/>
    </row>
    <row r="502">
      <c r="AO502" s="23"/>
      <c r="AP502" s="23"/>
      <c r="AQ502" s="23"/>
      <c r="AR502" s="23"/>
      <c r="AS502" s="23"/>
      <c r="AT502" s="23"/>
      <c r="AU502" s="23"/>
      <c r="AV502" s="23"/>
      <c r="AW502" s="23"/>
      <c r="AX502" s="23"/>
      <c r="AY502" s="23"/>
      <c r="AZ502" s="23"/>
      <c r="BA502" s="23"/>
      <c r="BB502" s="23"/>
      <c r="BC502" s="23"/>
    </row>
    <row r="503">
      <c r="AO503" s="23"/>
      <c r="AP503" s="23"/>
      <c r="AQ503" s="23"/>
      <c r="AR503" s="23"/>
      <c r="AS503" s="23"/>
      <c r="AT503" s="23"/>
      <c r="AU503" s="23"/>
      <c r="AV503" s="23"/>
      <c r="AW503" s="23"/>
      <c r="AX503" s="23"/>
      <c r="AY503" s="23"/>
      <c r="AZ503" s="23"/>
      <c r="BA503" s="23"/>
      <c r="BB503" s="23"/>
      <c r="BC503" s="23"/>
    </row>
    <row r="504">
      <c r="AO504" s="23"/>
      <c r="AP504" s="23"/>
      <c r="AQ504" s="23"/>
      <c r="AR504" s="23"/>
      <c r="AS504" s="23"/>
      <c r="AT504" s="23"/>
      <c r="AU504" s="23"/>
      <c r="AV504" s="23"/>
      <c r="AW504" s="23"/>
      <c r="AX504" s="23"/>
      <c r="AY504" s="23"/>
      <c r="AZ504" s="23"/>
      <c r="BA504" s="23"/>
      <c r="BB504" s="23"/>
      <c r="BC504" s="23"/>
    </row>
    <row r="505">
      <c r="AO505" s="23"/>
      <c r="AP505" s="23"/>
      <c r="AQ505" s="23"/>
      <c r="AR505" s="23"/>
      <c r="AS505" s="23"/>
      <c r="AT505" s="23"/>
      <c r="AU505" s="23"/>
      <c r="AV505" s="23"/>
      <c r="AW505" s="23"/>
      <c r="AX505" s="23"/>
      <c r="AY505" s="23"/>
      <c r="AZ505" s="23"/>
      <c r="BA505" s="23"/>
      <c r="BB505" s="23"/>
      <c r="BC505" s="23"/>
    </row>
    <row r="506">
      <c r="AO506" s="23"/>
      <c r="AP506" s="23"/>
      <c r="AQ506" s="23"/>
      <c r="AR506" s="23"/>
      <c r="AS506" s="23"/>
      <c r="AT506" s="23"/>
      <c r="AU506" s="23"/>
      <c r="AV506" s="23"/>
      <c r="AW506" s="23"/>
      <c r="AX506" s="23"/>
      <c r="AY506" s="23"/>
      <c r="AZ506" s="23"/>
      <c r="BA506" s="23"/>
      <c r="BB506" s="23"/>
      <c r="BC506" s="23"/>
    </row>
    <row r="507">
      <c r="AO507" s="23"/>
      <c r="AP507" s="23"/>
      <c r="AQ507" s="23"/>
      <c r="AR507" s="23"/>
      <c r="AS507" s="23"/>
      <c r="AT507" s="23"/>
      <c r="AU507" s="23"/>
      <c r="AV507" s="23"/>
      <c r="AW507" s="23"/>
      <c r="AX507" s="23"/>
      <c r="AY507" s="23"/>
      <c r="AZ507" s="23"/>
      <c r="BA507" s="23"/>
      <c r="BB507" s="23"/>
      <c r="BC507" s="23"/>
    </row>
    <row r="508">
      <c r="AO508" s="23"/>
      <c r="AP508" s="23"/>
      <c r="AQ508" s="23"/>
      <c r="AR508" s="23"/>
      <c r="AS508" s="23"/>
      <c r="AT508" s="23"/>
      <c r="AU508" s="23"/>
      <c r="AV508" s="23"/>
      <c r="AW508" s="23"/>
      <c r="AX508" s="23"/>
      <c r="AY508" s="23"/>
      <c r="AZ508" s="23"/>
      <c r="BA508" s="23"/>
      <c r="BB508" s="23"/>
      <c r="BC508" s="23"/>
    </row>
    <row r="509">
      <c r="AO509" s="23"/>
      <c r="AP509" s="23"/>
      <c r="AQ509" s="23"/>
      <c r="AR509" s="23"/>
      <c r="AS509" s="23"/>
      <c r="AT509" s="23"/>
      <c r="AU509" s="23"/>
      <c r="AV509" s="23"/>
      <c r="AW509" s="23"/>
      <c r="AX509" s="23"/>
      <c r="AY509" s="23"/>
      <c r="AZ509" s="23"/>
      <c r="BA509" s="23"/>
      <c r="BB509" s="23"/>
      <c r="BC509" s="23"/>
    </row>
    <row r="510">
      <c r="AO510" s="23"/>
      <c r="AP510" s="23"/>
      <c r="AQ510" s="23"/>
      <c r="AR510" s="23"/>
      <c r="AS510" s="23"/>
      <c r="AT510" s="23"/>
      <c r="AU510" s="23"/>
      <c r="AV510" s="23"/>
      <c r="AW510" s="23"/>
      <c r="AX510" s="23"/>
      <c r="AY510" s="23"/>
      <c r="AZ510" s="23"/>
      <c r="BA510" s="23"/>
      <c r="BB510" s="23"/>
      <c r="BC510" s="23"/>
    </row>
    <row r="511">
      <c r="AO511" s="23"/>
      <c r="AP511" s="23"/>
      <c r="AQ511" s="23"/>
      <c r="AR511" s="23"/>
      <c r="AS511" s="23"/>
      <c r="AT511" s="23"/>
      <c r="AU511" s="23"/>
      <c r="AV511" s="23"/>
      <c r="AW511" s="23"/>
      <c r="AX511" s="23"/>
      <c r="AY511" s="23"/>
      <c r="AZ511" s="23"/>
      <c r="BA511" s="23"/>
      <c r="BB511" s="23"/>
      <c r="BC511" s="23"/>
    </row>
    <row r="512">
      <c r="AO512" s="23"/>
      <c r="AP512" s="23"/>
      <c r="AQ512" s="23"/>
      <c r="AR512" s="23"/>
      <c r="AS512" s="23"/>
      <c r="AT512" s="23"/>
      <c r="AU512" s="23"/>
      <c r="AV512" s="23"/>
      <c r="AW512" s="23"/>
      <c r="AX512" s="23"/>
      <c r="AY512" s="23"/>
      <c r="AZ512" s="23"/>
      <c r="BA512" s="23"/>
      <c r="BB512" s="23"/>
      <c r="BC512" s="23"/>
    </row>
    <row r="513">
      <c r="AO513" s="23"/>
      <c r="AP513" s="23"/>
      <c r="AQ513" s="23"/>
      <c r="AR513" s="23"/>
      <c r="AS513" s="23"/>
      <c r="AT513" s="23"/>
      <c r="AU513" s="23"/>
      <c r="AV513" s="23"/>
      <c r="AW513" s="23"/>
      <c r="AX513" s="23"/>
      <c r="AY513" s="23"/>
      <c r="AZ513" s="23"/>
      <c r="BA513" s="23"/>
      <c r="BB513" s="23"/>
      <c r="BC513" s="23"/>
    </row>
    <row r="514">
      <c r="AO514" s="23"/>
      <c r="AP514" s="23"/>
      <c r="AQ514" s="23"/>
      <c r="AR514" s="23"/>
      <c r="AS514" s="23"/>
      <c r="AT514" s="23"/>
      <c r="AU514" s="23"/>
      <c r="AV514" s="23"/>
      <c r="AW514" s="23"/>
      <c r="AX514" s="23"/>
      <c r="AY514" s="23"/>
      <c r="AZ514" s="23"/>
      <c r="BA514" s="23"/>
      <c r="BB514" s="23"/>
      <c r="BC514" s="23"/>
    </row>
    <row r="515">
      <c r="AO515" s="23"/>
      <c r="AP515" s="23"/>
      <c r="AQ515" s="23"/>
      <c r="AR515" s="23"/>
      <c r="AS515" s="23"/>
      <c r="AT515" s="23"/>
      <c r="AU515" s="23"/>
      <c r="AV515" s="23"/>
      <c r="AW515" s="23"/>
      <c r="AX515" s="23"/>
      <c r="AY515" s="23"/>
      <c r="AZ515" s="23"/>
      <c r="BA515" s="23"/>
      <c r="BB515" s="23"/>
      <c r="BC515" s="23"/>
    </row>
    <row r="516">
      <c r="AO516" s="23"/>
      <c r="AP516" s="23"/>
      <c r="AQ516" s="23"/>
      <c r="AR516" s="23"/>
      <c r="AS516" s="23"/>
      <c r="AT516" s="23"/>
      <c r="AU516" s="23"/>
      <c r="AV516" s="23"/>
      <c r="AW516" s="23"/>
      <c r="AX516" s="23"/>
      <c r="AY516" s="23"/>
      <c r="AZ516" s="23"/>
      <c r="BA516" s="23"/>
      <c r="BB516" s="23"/>
      <c r="BC516" s="23"/>
    </row>
    <row r="517">
      <c r="AO517" s="23"/>
      <c r="AP517" s="23"/>
      <c r="AQ517" s="23"/>
      <c r="AR517" s="23"/>
      <c r="AS517" s="23"/>
      <c r="AT517" s="23"/>
      <c r="AU517" s="23"/>
      <c r="AV517" s="23"/>
      <c r="AW517" s="23"/>
      <c r="AX517" s="23"/>
      <c r="AY517" s="23"/>
      <c r="AZ517" s="23"/>
      <c r="BA517" s="23"/>
      <c r="BB517" s="23"/>
      <c r="BC517" s="23"/>
    </row>
    <row r="518">
      <c r="AO518" s="23"/>
      <c r="AP518" s="23"/>
      <c r="AQ518" s="23"/>
      <c r="AR518" s="23"/>
      <c r="AS518" s="23"/>
      <c r="AT518" s="23"/>
      <c r="AU518" s="23"/>
      <c r="AV518" s="23"/>
      <c r="AW518" s="23"/>
      <c r="AX518" s="23"/>
      <c r="AY518" s="23"/>
      <c r="AZ518" s="23"/>
      <c r="BA518" s="23"/>
      <c r="BB518" s="23"/>
      <c r="BC518" s="23"/>
    </row>
    <row r="519">
      <c r="AO519" s="23"/>
      <c r="AP519" s="23"/>
      <c r="AQ519" s="23"/>
      <c r="AR519" s="23"/>
      <c r="AS519" s="23"/>
      <c r="AT519" s="23"/>
      <c r="AU519" s="23"/>
      <c r="AV519" s="23"/>
      <c r="AW519" s="23"/>
      <c r="AX519" s="23"/>
      <c r="AY519" s="23"/>
      <c r="AZ519" s="23"/>
      <c r="BA519" s="23"/>
      <c r="BB519" s="23"/>
      <c r="BC519" s="23"/>
    </row>
    <row r="520">
      <c r="AO520" s="23"/>
      <c r="AP520" s="23"/>
      <c r="AQ520" s="23"/>
      <c r="AR520" s="23"/>
      <c r="AS520" s="23"/>
      <c r="AT520" s="23"/>
      <c r="AU520" s="23"/>
      <c r="AV520" s="23"/>
      <c r="AW520" s="23"/>
      <c r="AX520" s="23"/>
      <c r="AY520" s="23"/>
      <c r="AZ520" s="23"/>
      <c r="BA520" s="23"/>
      <c r="BB520" s="23"/>
      <c r="BC520" s="23"/>
    </row>
    <row r="521">
      <c r="AO521" s="23"/>
      <c r="AP521" s="23"/>
      <c r="AQ521" s="23"/>
      <c r="AR521" s="23"/>
      <c r="AS521" s="23"/>
      <c r="AT521" s="23"/>
      <c r="AU521" s="23"/>
      <c r="AV521" s="23"/>
      <c r="AW521" s="23"/>
      <c r="AX521" s="23"/>
      <c r="AY521" s="23"/>
      <c r="AZ521" s="23"/>
      <c r="BA521" s="23"/>
      <c r="BB521" s="23"/>
      <c r="BC521" s="23"/>
    </row>
    <row r="522">
      <c r="AO522" s="23"/>
      <c r="AP522" s="23"/>
      <c r="AQ522" s="23"/>
      <c r="AR522" s="23"/>
      <c r="AS522" s="23"/>
      <c r="AT522" s="23"/>
      <c r="AU522" s="23"/>
      <c r="AV522" s="23"/>
      <c r="AW522" s="23"/>
      <c r="AX522" s="23"/>
      <c r="AY522" s="23"/>
      <c r="AZ522" s="23"/>
      <c r="BA522" s="23"/>
      <c r="BB522" s="23"/>
      <c r="BC522" s="23"/>
    </row>
    <row r="523">
      <c r="AO523" s="23"/>
      <c r="AP523" s="23"/>
      <c r="AQ523" s="23"/>
      <c r="AR523" s="23"/>
      <c r="AS523" s="23"/>
      <c r="AT523" s="23"/>
      <c r="AU523" s="23"/>
      <c r="AV523" s="23"/>
      <c r="AW523" s="23"/>
      <c r="AX523" s="23"/>
      <c r="AY523" s="23"/>
      <c r="AZ523" s="23"/>
      <c r="BA523" s="23"/>
      <c r="BB523" s="23"/>
      <c r="BC523" s="23"/>
    </row>
    <row r="524">
      <c r="AO524" s="23"/>
      <c r="AP524" s="23"/>
      <c r="AQ524" s="23"/>
      <c r="AR524" s="23"/>
      <c r="AS524" s="23"/>
      <c r="AT524" s="23"/>
      <c r="AU524" s="23"/>
      <c r="AV524" s="23"/>
      <c r="AW524" s="23"/>
      <c r="AX524" s="23"/>
      <c r="AY524" s="23"/>
      <c r="AZ524" s="23"/>
      <c r="BA524" s="23"/>
      <c r="BB524" s="23"/>
      <c r="BC524" s="23"/>
    </row>
    <row r="525">
      <c r="AO525" s="23"/>
      <c r="AP525" s="23"/>
      <c r="AQ525" s="23"/>
      <c r="AR525" s="23"/>
      <c r="AS525" s="23"/>
      <c r="AT525" s="23"/>
      <c r="AU525" s="23"/>
      <c r="AV525" s="23"/>
      <c r="AW525" s="23"/>
      <c r="AX525" s="23"/>
      <c r="AY525" s="23"/>
      <c r="AZ525" s="23"/>
      <c r="BA525" s="23"/>
      <c r="BB525" s="23"/>
      <c r="BC525" s="23"/>
    </row>
    <row r="526">
      <c r="AO526" s="23"/>
      <c r="AP526" s="23"/>
      <c r="AQ526" s="23"/>
      <c r="AR526" s="23"/>
      <c r="AS526" s="23"/>
      <c r="AT526" s="23"/>
      <c r="AU526" s="23"/>
      <c r="AV526" s="23"/>
      <c r="AW526" s="23"/>
      <c r="AX526" s="23"/>
      <c r="AY526" s="23"/>
      <c r="AZ526" s="23"/>
      <c r="BA526" s="23"/>
      <c r="BB526" s="23"/>
      <c r="BC526" s="23"/>
    </row>
    <row r="527">
      <c r="AO527" s="23"/>
      <c r="AP527" s="23"/>
      <c r="AQ527" s="23"/>
      <c r="AR527" s="23"/>
      <c r="AS527" s="23"/>
      <c r="AT527" s="23"/>
      <c r="AU527" s="23"/>
      <c r="AV527" s="23"/>
      <c r="AW527" s="23"/>
      <c r="AX527" s="23"/>
      <c r="AY527" s="23"/>
      <c r="AZ527" s="23"/>
      <c r="BA527" s="23"/>
      <c r="BB527" s="23"/>
      <c r="BC527" s="23"/>
    </row>
    <row r="528">
      <c r="AO528" s="23"/>
      <c r="AP528" s="23"/>
      <c r="AQ528" s="23"/>
      <c r="AR528" s="23"/>
      <c r="AS528" s="23"/>
      <c r="AT528" s="23"/>
      <c r="AU528" s="23"/>
      <c r="AV528" s="23"/>
      <c r="AW528" s="23"/>
      <c r="AX528" s="23"/>
      <c r="AY528" s="23"/>
      <c r="AZ528" s="23"/>
      <c r="BA528" s="23"/>
      <c r="BB528" s="23"/>
      <c r="BC528" s="23"/>
    </row>
    <row r="529">
      <c r="AO529" s="23"/>
      <c r="AP529" s="23"/>
      <c r="AQ529" s="23"/>
      <c r="AR529" s="23"/>
      <c r="AS529" s="23"/>
      <c r="AT529" s="23"/>
      <c r="AU529" s="23"/>
      <c r="AV529" s="23"/>
      <c r="AW529" s="23"/>
      <c r="AX529" s="23"/>
      <c r="AY529" s="23"/>
      <c r="AZ529" s="23"/>
      <c r="BA529" s="23"/>
      <c r="BB529" s="23"/>
      <c r="BC529" s="23"/>
    </row>
    <row r="530">
      <c r="AO530" s="23"/>
      <c r="AP530" s="23"/>
      <c r="AQ530" s="23"/>
      <c r="AR530" s="23"/>
      <c r="AS530" s="23"/>
      <c r="AT530" s="23"/>
      <c r="AU530" s="23"/>
      <c r="AV530" s="23"/>
      <c r="AW530" s="23"/>
      <c r="AX530" s="23"/>
      <c r="AY530" s="23"/>
      <c r="AZ530" s="23"/>
      <c r="BA530" s="23"/>
      <c r="BB530" s="23"/>
      <c r="BC530" s="23"/>
    </row>
    <row r="531">
      <c r="AO531" s="23"/>
      <c r="AP531" s="23"/>
      <c r="AQ531" s="23"/>
      <c r="AR531" s="23"/>
      <c r="AS531" s="23"/>
      <c r="AT531" s="23"/>
      <c r="AU531" s="23"/>
      <c r="AV531" s="23"/>
      <c r="AW531" s="23"/>
      <c r="AX531" s="23"/>
      <c r="AY531" s="23"/>
      <c r="AZ531" s="23"/>
      <c r="BA531" s="23"/>
      <c r="BB531" s="23"/>
      <c r="BC531" s="23"/>
    </row>
    <row r="532">
      <c r="AO532" s="23"/>
      <c r="AP532" s="23"/>
      <c r="AQ532" s="23"/>
      <c r="AR532" s="23"/>
      <c r="AS532" s="23"/>
      <c r="AT532" s="23"/>
      <c r="AU532" s="23"/>
      <c r="AV532" s="23"/>
      <c r="AW532" s="23"/>
      <c r="AX532" s="23"/>
      <c r="AY532" s="23"/>
      <c r="AZ532" s="23"/>
      <c r="BA532" s="23"/>
      <c r="BB532" s="23"/>
      <c r="BC532" s="23"/>
    </row>
    <row r="533">
      <c r="AO533" s="23"/>
      <c r="AP533" s="23"/>
      <c r="AQ533" s="23"/>
      <c r="AR533" s="23"/>
      <c r="AS533" s="23"/>
      <c r="AT533" s="23"/>
      <c r="AU533" s="23"/>
      <c r="AV533" s="23"/>
      <c r="AW533" s="23"/>
      <c r="AX533" s="23"/>
      <c r="AY533" s="23"/>
      <c r="AZ533" s="23"/>
      <c r="BA533" s="23"/>
      <c r="BB533" s="23"/>
      <c r="BC533" s="23"/>
    </row>
    <row r="534">
      <c r="AO534" s="23"/>
      <c r="AP534" s="23"/>
      <c r="AQ534" s="23"/>
      <c r="AR534" s="23"/>
      <c r="AS534" s="23"/>
      <c r="AT534" s="23"/>
      <c r="AU534" s="23"/>
      <c r="AV534" s="23"/>
      <c r="AW534" s="23"/>
      <c r="AX534" s="23"/>
      <c r="AY534" s="23"/>
      <c r="AZ534" s="23"/>
      <c r="BA534" s="23"/>
      <c r="BB534" s="23"/>
      <c r="BC534" s="23"/>
    </row>
    <row r="535">
      <c r="AO535" s="23"/>
      <c r="AP535" s="23"/>
      <c r="AQ535" s="23"/>
      <c r="AR535" s="23"/>
      <c r="AS535" s="23"/>
      <c r="AT535" s="23"/>
      <c r="AU535" s="23"/>
      <c r="AV535" s="23"/>
      <c r="AW535" s="23"/>
      <c r="AX535" s="23"/>
      <c r="AY535" s="23"/>
      <c r="AZ535" s="23"/>
      <c r="BA535" s="23"/>
      <c r="BB535" s="23"/>
      <c r="BC535" s="23"/>
    </row>
    <row r="536">
      <c r="AO536" s="23"/>
      <c r="AP536" s="23"/>
      <c r="AQ536" s="23"/>
      <c r="AR536" s="23"/>
      <c r="AS536" s="23"/>
      <c r="AT536" s="23"/>
      <c r="AU536" s="23"/>
      <c r="AV536" s="23"/>
      <c r="AW536" s="23"/>
      <c r="AX536" s="23"/>
      <c r="AY536" s="23"/>
      <c r="AZ536" s="23"/>
      <c r="BA536" s="23"/>
      <c r="BB536" s="23"/>
      <c r="BC536" s="23"/>
    </row>
    <row r="537">
      <c r="AO537" s="23"/>
      <c r="AP537" s="23"/>
      <c r="AQ537" s="23"/>
      <c r="AR537" s="23"/>
      <c r="AS537" s="23"/>
      <c r="AT537" s="23"/>
      <c r="AU537" s="23"/>
      <c r="AV537" s="23"/>
      <c r="AW537" s="23"/>
      <c r="AX537" s="23"/>
      <c r="AY537" s="23"/>
      <c r="AZ537" s="23"/>
      <c r="BA537" s="23"/>
      <c r="BB537" s="23"/>
      <c r="BC537" s="23"/>
    </row>
    <row r="538">
      <c r="AO538" s="23"/>
      <c r="AP538" s="23"/>
      <c r="AQ538" s="23"/>
      <c r="AR538" s="23"/>
      <c r="AS538" s="23"/>
      <c r="AT538" s="23"/>
      <c r="AU538" s="23"/>
      <c r="AV538" s="23"/>
      <c r="AW538" s="23"/>
      <c r="AX538" s="23"/>
      <c r="AY538" s="23"/>
      <c r="AZ538" s="23"/>
      <c r="BA538" s="23"/>
      <c r="BB538" s="23"/>
      <c r="BC538" s="23"/>
    </row>
    <row r="539">
      <c r="AO539" s="23"/>
      <c r="AP539" s="23"/>
      <c r="AQ539" s="23"/>
      <c r="AR539" s="23"/>
      <c r="AS539" s="23"/>
      <c r="AT539" s="23"/>
      <c r="AU539" s="23"/>
      <c r="AV539" s="23"/>
      <c r="AW539" s="23"/>
      <c r="AX539" s="23"/>
      <c r="AY539" s="23"/>
      <c r="AZ539" s="23"/>
      <c r="BA539" s="23"/>
      <c r="BB539" s="23"/>
      <c r="BC539" s="23"/>
    </row>
    <row r="540">
      <c r="AO540" s="23"/>
      <c r="AP540" s="23"/>
      <c r="AQ540" s="23"/>
      <c r="AR540" s="23"/>
      <c r="AS540" s="23"/>
      <c r="AT540" s="23"/>
      <c r="AU540" s="23"/>
      <c r="AV540" s="23"/>
      <c r="AW540" s="23"/>
      <c r="AX540" s="23"/>
      <c r="AY540" s="23"/>
      <c r="AZ540" s="23"/>
      <c r="BA540" s="23"/>
      <c r="BB540" s="23"/>
      <c r="BC540" s="23"/>
    </row>
    <row r="541">
      <c r="AO541" s="23"/>
      <c r="AP541" s="23"/>
      <c r="AQ541" s="23"/>
      <c r="AR541" s="23"/>
      <c r="AS541" s="23"/>
      <c r="AT541" s="23"/>
      <c r="AU541" s="23"/>
      <c r="AV541" s="23"/>
      <c r="AW541" s="23"/>
      <c r="AX541" s="23"/>
      <c r="AY541" s="23"/>
      <c r="AZ541" s="23"/>
      <c r="BA541" s="23"/>
      <c r="BB541" s="23"/>
      <c r="BC541" s="23"/>
    </row>
    <row r="542">
      <c r="AO542" s="23"/>
      <c r="AP542" s="23"/>
      <c r="AQ542" s="23"/>
      <c r="AR542" s="23"/>
      <c r="AS542" s="23"/>
      <c r="AT542" s="23"/>
      <c r="AU542" s="23"/>
      <c r="AV542" s="23"/>
      <c r="AW542" s="23"/>
      <c r="AX542" s="23"/>
      <c r="AY542" s="23"/>
      <c r="AZ542" s="23"/>
      <c r="BA542" s="23"/>
      <c r="BB542" s="23"/>
      <c r="BC542" s="23"/>
    </row>
    <row r="543">
      <c r="AO543" s="23"/>
      <c r="AP543" s="23"/>
      <c r="AQ543" s="23"/>
      <c r="AR543" s="23"/>
      <c r="AS543" s="23"/>
      <c r="AT543" s="23"/>
      <c r="AU543" s="23"/>
      <c r="AV543" s="23"/>
      <c r="AW543" s="23"/>
      <c r="AX543" s="23"/>
      <c r="AY543" s="23"/>
      <c r="AZ543" s="23"/>
      <c r="BA543" s="23"/>
      <c r="BB543" s="23"/>
      <c r="BC543" s="23"/>
    </row>
    <row r="544">
      <c r="AO544" s="23"/>
      <c r="AP544" s="23"/>
      <c r="AQ544" s="23"/>
      <c r="AR544" s="23"/>
      <c r="AS544" s="23"/>
      <c r="AT544" s="23"/>
      <c r="AU544" s="23"/>
      <c r="AV544" s="23"/>
      <c r="AW544" s="23"/>
      <c r="AX544" s="23"/>
      <c r="AY544" s="23"/>
      <c r="AZ544" s="23"/>
      <c r="BA544" s="23"/>
      <c r="BB544" s="23"/>
      <c r="BC544" s="23"/>
    </row>
    <row r="545">
      <c r="AO545" s="23"/>
      <c r="AP545" s="23"/>
      <c r="AQ545" s="23"/>
      <c r="AR545" s="23"/>
      <c r="AS545" s="23"/>
      <c r="AT545" s="23"/>
      <c r="AU545" s="23"/>
      <c r="AV545" s="23"/>
      <c r="AW545" s="23"/>
      <c r="AX545" s="23"/>
      <c r="AY545" s="23"/>
      <c r="AZ545" s="23"/>
      <c r="BA545" s="23"/>
      <c r="BB545" s="23"/>
      <c r="BC545" s="23"/>
    </row>
    <row r="546">
      <c r="AO546" s="23"/>
      <c r="AP546" s="23"/>
      <c r="AQ546" s="23"/>
      <c r="AR546" s="23"/>
      <c r="AS546" s="23"/>
      <c r="AT546" s="23"/>
      <c r="AU546" s="23"/>
      <c r="AV546" s="23"/>
      <c r="AW546" s="23"/>
      <c r="AX546" s="23"/>
      <c r="AY546" s="23"/>
      <c r="AZ546" s="23"/>
      <c r="BA546" s="23"/>
      <c r="BB546" s="23"/>
      <c r="BC546" s="23"/>
    </row>
    <row r="547">
      <c r="AO547" s="23"/>
      <c r="AP547" s="23"/>
      <c r="AQ547" s="23"/>
      <c r="AR547" s="23"/>
      <c r="AS547" s="23"/>
      <c r="AT547" s="23"/>
      <c r="AU547" s="23"/>
      <c r="AV547" s="23"/>
      <c r="AW547" s="23"/>
      <c r="AX547" s="23"/>
      <c r="AY547" s="23"/>
      <c r="AZ547" s="23"/>
      <c r="BA547" s="23"/>
      <c r="BB547" s="23"/>
      <c r="BC547" s="23"/>
    </row>
    <row r="548">
      <c r="AO548" s="23"/>
      <c r="AP548" s="23"/>
      <c r="AQ548" s="23"/>
      <c r="AR548" s="23"/>
      <c r="AS548" s="23"/>
      <c r="AT548" s="23"/>
      <c r="AU548" s="23"/>
      <c r="AV548" s="23"/>
      <c r="AW548" s="23"/>
      <c r="AX548" s="23"/>
      <c r="AY548" s="23"/>
      <c r="AZ548" s="23"/>
      <c r="BA548" s="23"/>
      <c r="BB548" s="23"/>
      <c r="BC548" s="23"/>
    </row>
    <row r="549">
      <c r="AO549" s="23"/>
      <c r="AP549" s="23"/>
      <c r="AQ549" s="23"/>
      <c r="AR549" s="23"/>
      <c r="AS549" s="23"/>
      <c r="AT549" s="23"/>
      <c r="AU549" s="23"/>
      <c r="AV549" s="23"/>
      <c r="AW549" s="23"/>
      <c r="AX549" s="23"/>
      <c r="AY549" s="23"/>
      <c r="AZ549" s="23"/>
      <c r="BA549" s="23"/>
      <c r="BB549" s="23"/>
      <c r="BC549" s="23"/>
    </row>
    <row r="550">
      <c r="AO550" s="23"/>
      <c r="AP550" s="23"/>
      <c r="AQ550" s="23"/>
      <c r="AR550" s="23"/>
      <c r="AS550" s="23"/>
      <c r="AT550" s="23"/>
      <c r="AU550" s="23"/>
      <c r="AV550" s="23"/>
      <c r="AW550" s="23"/>
      <c r="AX550" s="23"/>
      <c r="AY550" s="23"/>
      <c r="AZ550" s="23"/>
      <c r="BA550" s="23"/>
      <c r="BB550" s="23"/>
      <c r="BC550" s="23"/>
    </row>
    <row r="551">
      <c r="AO551" s="23"/>
      <c r="AP551" s="23"/>
      <c r="AQ551" s="23"/>
      <c r="AR551" s="23"/>
      <c r="AS551" s="23"/>
      <c r="AT551" s="23"/>
      <c r="AU551" s="23"/>
      <c r="AV551" s="23"/>
      <c r="AW551" s="23"/>
      <c r="AX551" s="23"/>
      <c r="AY551" s="23"/>
      <c r="AZ551" s="23"/>
      <c r="BA551" s="23"/>
      <c r="BB551" s="23"/>
      <c r="BC551" s="23"/>
    </row>
    <row r="552">
      <c r="AO552" s="23"/>
      <c r="AP552" s="23"/>
      <c r="AQ552" s="23"/>
      <c r="AR552" s="23"/>
      <c r="AS552" s="23"/>
      <c r="AT552" s="23"/>
      <c r="AU552" s="23"/>
      <c r="AV552" s="23"/>
      <c r="AW552" s="23"/>
      <c r="AX552" s="23"/>
      <c r="AY552" s="23"/>
      <c r="AZ552" s="23"/>
      <c r="BA552" s="23"/>
      <c r="BB552" s="23"/>
      <c r="BC552" s="23"/>
    </row>
    <row r="553">
      <c r="AO553" s="23"/>
      <c r="AP553" s="23"/>
      <c r="AQ553" s="23"/>
      <c r="AR553" s="23"/>
      <c r="AS553" s="23"/>
      <c r="AT553" s="23"/>
      <c r="AU553" s="23"/>
      <c r="AV553" s="23"/>
      <c r="AW553" s="23"/>
      <c r="AX553" s="23"/>
      <c r="AY553" s="23"/>
      <c r="AZ553" s="23"/>
      <c r="BA553" s="23"/>
      <c r="BB553" s="23"/>
      <c r="BC553" s="23"/>
    </row>
    <row r="554">
      <c r="AO554" s="23"/>
      <c r="AP554" s="23"/>
      <c r="AQ554" s="23"/>
      <c r="AR554" s="23"/>
      <c r="AS554" s="23"/>
      <c r="AT554" s="23"/>
      <c r="AU554" s="23"/>
      <c r="AV554" s="23"/>
      <c r="AW554" s="23"/>
      <c r="AX554" s="23"/>
      <c r="AY554" s="23"/>
      <c r="AZ554" s="23"/>
      <c r="BA554" s="23"/>
      <c r="BB554" s="23"/>
      <c r="BC554" s="23"/>
    </row>
    <row r="555">
      <c r="AO555" s="23"/>
      <c r="AP555" s="23"/>
      <c r="AQ555" s="23"/>
      <c r="AR555" s="23"/>
      <c r="AS555" s="23"/>
      <c r="AT555" s="23"/>
      <c r="AU555" s="23"/>
      <c r="AV555" s="23"/>
      <c r="AW555" s="23"/>
      <c r="AX555" s="23"/>
      <c r="AY555" s="23"/>
      <c r="AZ555" s="23"/>
      <c r="BA555" s="23"/>
      <c r="BB555" s="23"/>
      <c r="BC555" s="23"/>
    </row>
    <row r="556">
      <c r="AO556" s="23"/>
      <c r="AP556" s="23"/>
      <c r="AQ556" s="23"/>
      <c r="AR556" s="23"/>
      <c r="AS556" s="23"/>
      <c r="AT556" s="23"/>
      <c r="AU556" s="23"/>
      <c r="AV556" s="23"/>
      <c r="AW556" s="23"/>
      <c r="AX556" s="23"/>
      <c r="AY556" s="23"/>
      <c r="AZ556" s="23"/>
      <c r="BA556" s="23"/>
      <c r="BB556" s="23"/>
      <c r="BC556" s="23"/>
    </row>
    <row r="557">
      <c r="AO557" s="23"/>
      <c r="AP557" s="23"/>
      <c r="AQ557" s="23"/>
      <c r="AR557" s="23"/>
      <c r="AS557" s="23"/>
      <c r="AT557" s="23"/>
      <c r="AU557" s="23"/>
      <c r="AV557" s="23"/>
      <c r="AW557" s="23"/>
      <c r="AX557" s="23"/>
      <c r="AY557" s="23"/>
      <c r="AZ557" s="23"/>
      <c r="BA557" s="23"/>
      <c r="BB557" s="23"/>
      <c r="BC557" s="23"/>
    </row>
    <row r="558">
      <c r="AO558" s="23"/>
      <c r="AP558" s="23"/>
      <c r="AQ558" s="23"/>
      <c r="AR558" s="23"/>
      <c r="AS558" s="23"/>
      <c r="AT558" s="23"/>
      <c r="AU558" s="23"/>
      <c r="AV558" s="23"/>
      <c r="AW558" s="23"/>
      <c r="AX558" s="23"/>
      <c r="AY558" s="23"/>
      <c r="AZ558" s="23"/>
      <c r="BA558" s="23"/>
      <c r="BB558" s="23"/>
      <c r="BC558" s="23"/>
    </row>
    <row r="559">
      <c r="AO559" s="23"/>
      <c r="AP559" s="23"/>
      <c r="AQ559" s="23"/>
      <c r="AR559" s="23"/>
      <c r="AS559" s="23"/>
      <c r="AT559" s="23"/>
      <c r="AU559" s="23"/>
      <c r="AV559" s="23"/>
      <c r="AW559" s="23"/>
      <c r="AX559" s="23"/>
      <c r="AY559" s="23"/>
      <c r="AZ559" s="23"/>
      <c r="BA559" s="23"/>
      <c r="BB559" s="23"/>
      <c r="BC559" s="23"/>
    </row>
    <row r="560">
      <c r="AO560" s="23"/>
      <c r="AP560" s="23"/>
      <c r="AQ560" s="23"/>
      <c r="AR560" s="23"/>
      <c r="AS560" s="23"/>
      <c r="AT560" s="23"/>
      <c r="AU560" s="23"/>
      <c r="AV560" s="23"/>
      <c r="AW560" s="23"/>
      <c r="AX560" s="23"/>
      <c r="AY560" s="23"/>
      <c r="AZ560" s="23"/>
      <c r="BA560" s="23"/>
      <c r="BB560" s="23"/>
      <c r="BC560" s="23"/>
    </row>
    <row r="561">
      <c r="AO561" s="23"/>
      <c r="AP561" s="23"/>
      <c r="AQ561" s="23"/>
      <c r="AR561" s="23"/>
      <c r="AS561" s="23"/>
      <c r="AT561" s="23"/>
      <c r="AU561" s="23"/>
      <c r="AV561" s="23"/>
      <c r="AW561" s="23"/>
      <c r="AX561" s="23"/>
      <c r="AY561" s="23"/>
      <c r="AZ561" s="23"/>
      <c r="BA561" s="23"/>
      <c r="BB561" s="23"/>
      <c r="BC561" s="23"/>
    </row>
    <row r="562">
      <c r="AO562" s="23"/>
      <c r="AP562" s="23"/>
      <c r="AQ562" s="23"/>
      <c r="AR562" s="23"/>
      <c r="AS562" s="23"/>
      <c r="AT562" s="23"/>
      <c r="AU562" s="23"/>
      <c r="AV562" s="23"/>
      <c r="AW562" s="23"/>
      <c r="AX562" s="23"/>
      <c r="AY562" s="23"/>
      <c r="AZ562" s="23"/>
      <c r="BA562" s="23"/>
      <c r="BB562" s="23"/>
      <c r="BC562" s="23"/>
    </row>
    <row r="563">
      <c r="AO563" s="23"/>
      <c r="AP563" s="23"/>
      <c r="AQ563" s="23"/>
      <c r="AR563" s="23"/>
      <c r="AS563" s="23"/>
      <c r="AT563" s="23"/>
      <c r="AU563" s="23"/>
      <c r="AV563" s="23"/>
      <c r="AW563" s="23"/>
      <c r="AX563" s="23"/>
      <c r="AY563" s="23"/>
      <c r="AZ563" s="23"/>
      <c r="BA563" s="23"/>
      <c r="BB563" s="23"/>
      <c r="BC563" s="23"/>
    </row>
    <row r="564">
      <c r="AO564" s="23"/>
      <c r="AP564" s="23"/>
      <c r="AQ564" s="23"/>
      <c r="AR564" s="23"/>
      <c r="AS564" s="23"/>
      <c r="AT564" s="23"/>
      <c r="AU564" s="23"/>
      <c r="AV564" s="23"/>
      <c r="AW564" s="23"/>
      <c r="AX564" s="23"/>
      <c r="AY564" s="23"/>
      <c r="AZ564" s="23"/>
      <c r="BA564" s="23"/>
      <c r="BB564" s="23"/>
      <c r="BC564" s="23"/>
    </row>
    <row r="565">
      <c r="AO565" s="23"/>
      <c r="AP565" s="23"/>
      <c r="AQ565" s="23"/>
      <c r="AR565" s="23"/>
      <c r="AS565" s="23"/>
      <c r="AT565" s="23"/>
      <c r="AU565" s="23"/>
      <c r="AV565" s="23"/>
      <c r="AW565" s="23"/>
      <c r="AX565" s="23"/>
      <c r="AY565" s="23"/>
      <c r="AZ565" s="23"/>
      <c r="BA565" s="23"/>
      <c r="BB565" s="23"/>
      <c r="BC565" s="23"/>
    </row>
    <row r="566">
      <c r="AO566" s="23"/>
      <c r="AP566" s="23"/>
      <c r="AQ566" s="23"/>
      <c r="AR566" s="23"/>
      <c r="AS566" s="23"/>
      <c r="AT566" s="23"/>
      <c r="AU566" s="23"/>
      <c r="AV566" s="23"/>
      <c r="AW566" s="23"/>
      <c r="AX566" s="23"/>
      <c r="AY566" s="23"/>
      <c r="AZ566" s="23"/>
      <c r="BA566" s="23"/>
      <c r="BB566" s="23"/>
      <c r="BC566" s="23"/>
    </row>
    <row r="567">
      <c r="AO567" s="23"/>
      <c r="AP567" s="23"/>
      <c r="AQ567" s="23"/>
      <c r="AR567" s="23"/>
      <c r="AS567" s="23"/>
      <c r="AT567" s="23"/>
      <c r="AU567" s="23"/>
      <c r="AV567" s="23"/>
      <c r="AW567" s="23"/>
      <c r="AX567" s="23"/>
      <c r="AY567" s="23"/>
      <c r="AZ567" s="23"/>
      <c r="BA567" s="23"/>
      <c r="BB567" s="23"/>
      <c r="BC567" s="23"/>
    </row>
    <row r="568">
      <c r="AO568" s="23"/>
      <c r="AP568" s="23"/>
      <c r="AQ568" s="23"/>
      <c r="AR568" s="23"/>
      <c r="AS568" s="23"/>
      <c r="AT568" s="23"/>
      <c r="AU568" s="23"/>
      <c r="AV568" s="23"/>
      <c r="AW568" s="23"/>
      <c r="AX568" s="23"/>
      <c r="AY568" s="23"/>
      <c r="AZ568" s="23"/>
      <c r="BA568" s="23"/>
      <c r="BB568" s="23"/>
      <c r="BC568" s="23"/>
    </row>
    <row r="569">
      <c r="AO569" s="23"/>
      <c r="AP569" s="23"/>
      <c r="AQ569" s="23"/>
      <c r="AR569" s="23"/>
      <c r="AS569" s="23"/>
      <c r="AT569" s="23"/>
      <c r="AU569" s="23"/>
      <c r="AV569" s="23"/>
      <c r="AW569" s="23"/>
      <c r="AX569" s="23"/>
      <c r="AY569" s="23"/>
      <c r="AZ569" s="23"/>
      <c r="BA569" s="23"/>
      <c r="BB569" s="23"/>
      <c r="BC569" s="23"/>
    </row>
    <row r="570">
      <c r="AO570" s="23"/>
      <c r="AP570" s="23"/>
      <c r="AQ570" s="23"/>
      <c r="AR570" s="23"/>
      <c r="AS570" s="23"/>
      <c r="AT570" s="23"/>
      <c r="AU570" s="23"/>
      <c r="AV570" s="23"/>
      <c r="AW570" s="23"/>
      <c r="AX570" s="23"/>
      <c r="AY570" s="23"/>
      <c r="AZ570" s="23"/>
      <c r="BA570" s="23"/>
      <c r="BB570" s="23"/>
      <c r="BC570" s="23"/>
    </row>
    <row r="571">
      <c r="AO571" s="23"/>
      <c r="AP571" s="23"/>
      <c r="AQ571" s="23"/>
      <c r="AR571" s="23"/>
      <c r="AS571" s="23"/>
      <c r="AT571" s="23"/>
      <c r="AU571" s="23"/>
      <c r="AV571" s="23"/>
      <c r="AW571" s="23"/>
      <c r="AX571" s="23"/>
      <c r="AY571" s="23"/>
      <c r="AZ571" s="23"/>
      <c r="BA571" s="23"/>
      <c r="BB571" s="23"/>
      <c r="BC571" s="23"/>
    </row>
    <row r="572">
      <c r="AO572" s="23"/>
      <c r="AP572" s="23"/>
      <c r="AQ572" s="23"/>
      <c r="AR572" s="23"/>
      <c r="AS572" s="23"/>
      <c r="AT572" s="23"/>
      <c r="AU572" s="23"/>
      <c r="AV572" s="23"/>
      <c r="AW572" s="23"/>
      <c r="AX572" s="23"/>
      <c r="AY572" s="23"/>
      <c r="AZ572" s="23"/>
      <c r="BA572" s="23"/>
      <c r="BB572" s="23"/>
      <c r="BC572" s="23"/>
    </row>
    <row r="573">
      <c r="AO573" s="23"/>
      <c r="AP573" s="23"/>
      <c r="AQ573" s="23"/>
      <c r="AR573" s="23"/>
      <c r="AS573" s="23"/>
      <c r="AT573" s="23"/>
      <c r="AU573" s="23"/>
      <c r="AV573" s="23"/>
      <c r="AW573" s="23"/>
      <c r="AX573" s="23"/>
      <c r="AY573" s="23"/>
      <c r="AZ573" s="23"/>
      <c r="BA573" s="23"/>
      <c r="BB573" s="23"/>
      <c r="BC573" s="23"/>
    </row>
    <row r="574">
      <c r="AO574" s="23"/>
      <c r="AP574" s="23"/>
      <c r="AQ574" s="23"/>
      <c r="AR574" s="23"/>
      <c r="AS574" s="23"/>
      <c r="AT574" s="23"/>
      <c r="AU574" s="23"/>
      <c r="AV574" s="23"/>
      <c r="AW574" s="23"/>
      <c r="AX574" s="23"/>
      <c r="AY574" s="23"/>
      <c r="AZ574" s="23"/>
      <c r="BA574" s="23"/>
      <c r="BB574" s="23"/>
      <c r="BC574" s="23"/>
    </row>
    <row r="575">
      <c r="AO575" s="23"/>
      <c r="AP575" s="23"/>
      <c r="AQ575" s="23"/>
      <c r="AR575" s="23"/>
      <c r="AS575" s="23"/>
      <c r="AT575" s="23"/>
      <c r="AU575" s="23"/>
      <c r="AV575" s="23"/>
      <c r="AW575" s="23"/>
      <c r="AX575" s="23"/>
      <c r="AY575" s="23"/>
      <c r="AZ575" s="23"/>
      <c r="BA575" s="23"/>
      <c r="BB575" s="23"/>
      <c r="BC575" s="23"/>
    </row>
    <row r="576">
      <c r="AO576" s="23"/>
      <c r="AP576" s="23"/>
      <c r="AQ576" s="23"/>
      <c r="AR576" s="23"/>
      <c r="AS576" s="23"/>
      <c r="AT576" s="23"/>
      <c r="AU576" s="23"/>
      <c r="AV576" s="23"/>
      <c r="AW576" s="23"/>
      <c r="AX576" s="23"/>
      <c r="AY576" s="23"/>
      <c r="AZ576" s="23"/>
      <c r="BA576" s="23"/>
      <c r="BB576" s="23"/>
      <c r="BC576" s="23"/>
    </row>
    <row r="577">
      <c r="AO577" s="23"/>
      <c r="AP577" s="23"/>
      <c r="AQ577" s="23"/>
      <c r="AR577" s="23"/>
      <c r="AS577" s="23"/>
      <c r="AT577" s="23"/>
      <c r="AU577" s="23"/>
      <c r="AV577" s="23"/>
      <c r="AW577" s="23"/>
      <c r="AX577" s="23"/>
      <c r="AY577" s="23"/>
      <c r="AZ577" s="23"/>
      <c r="BA577" s="23"/>
      <c r="BB577" s="23"/>
      <c r="BC577" s="23"/>
    </row>
    <row r="578">
      <c r="AO578" s="23"/>
      <c r="AP578" s="23"/>
      <c r="AQ578" s="23"/>
      <c r="AR578" s="23"/>
      <c r="AS578" s="23"/>
      <c r="AT578" s="23"/>
      <c r="AU578" s="23"/>
      <c r="AV578" s="23"/>
      <c r="AW578" s="23"/>
      <c r="AX578" s="23"/>
      <c r="AY578" s="23"/>
      <c r="AZ578" s="23"/>
      <c r="BA578" s="23"/>
      <c r="BB578" s="23"/>
      <c r="BC578" s="23"/>
    </row>
    <row r="579">
      <c r="AO579" s="23"/>
      <c r="AP579" s="23"/>
      <c r="AQ579" s="23"/>
      <c r="AR579" s="23"/>
      <c r="AS579" s="23"/>
      <c r="AT579" s="23"/>
      <c r="AU579" s="23"/>
      <c r="AV579" s="23"/>
      <c r="AW579" s="23"/>
      <c r="AX579" s="23"/>
      <c r="AY579" s="23"/>
      <c r="AZ579" s="23"/>
      <c r="BA579" s="23"/>
      <c r="BB579" s="23"/>
      <c r="BC579" s="23"/>
    </row>
    <row r="580">
      <c r="AO580" s="23"/>
      <c r="AP580" s="23"/>
      <c r="AQ580" s="23"/>
      <c r="AR580" s="23"/>
      <c r="AS580" s="23"/>
      <c r="AT580" s="23"/>
      <c r="AU580" s="23"/>
      <c r="AV580" s="23"/>
      <c r="AW580" s="23"/>
      <c r="AX580" s="23"/>
      <c r="AY580" s="23"/>
      <c r="AZ580" s="23"/>
      <c r="BA580" s="23"/>
      <c r="BB580" s="23"/>
      <c r="BC580" s="23"/>
    </row>
    <row r="581">
      <c r="AO581" s="23"/>
      <c r="AP581" s="23"/>
      <c r="AQ581" s="23"/>
      <c r="AR581" s="23"/>
      <c r="AS581" s="23"/>
      <c r="AT581" s="23"/>
      <c r="AU581" s="23"/>
      <c r="AV581" s="23"/>
      <c r="AW581" s="23"/>
      <c r="AX581" s="23"/>
      <c r="AY581" s="23"/>
      <c r="AZ581" s="23"/>
      <c r="BA581" s="23"/>
      <c r="BB581" s="23"/>
      <c r="BC581" s="23"/>
    </row>
    <row r="582">
      <c r="AO582" s="23"/>
      <c r="AP582" s="23"/>
      <c r="AQ582" s="23"/>
      <c r="AR582" s="23"/>
      <c r="AS582" s="23"/>
      <c r="AT582" s="23"/>
      <c r="AU582" s="23"/>
      <c r="AV582" s="23"/>
      <c r="AW582" s="23"/>
      <c r="AX582" s="23"/>
      <c r="AY582" s="23"/>
      <c r="AZ582" s="23"/>
      <c r="BA582" s="23"/>
      <c r="BB582" s="23"/>
      <c r="BC582" s="23"/>
    </row>
    <row r="583">
      <c r="AO583" s="23"/>
      <c r="AP583" s="23"/>
      <c r="AQ583" s="23"/>
      <c r="AR583" s="23"/>
      <c r="AS583" s="23"/>
      <c r="AT583" s="23"/>
      <c r="AU583" s="23"/>
      <c r="AV583" s="23"/>
      <c r="AW583" s="23"/>
      <c r="AX583" s="23"/>
      <c r="AY583" s="23"/>
      <c r="AZ583" s="23"/>
      <c r="BA583" s="23"/>
      <c r="BB583" s="23"/>
      <c r="BC583" s="23"/>
    </row>
    <row r="584">
      <c r="AO584" s="23"/>
      <c r="AP584" s="23"/>
      <c r="AQ584" s="23"/>
      <c r="AR584" s="23"/>
      <c r="AS584" s="23"/>
      <c r="AT584" s="23"/>
      <c r="AU584" s="23"/>
      <c r="AV584" s="23"/>
      <c r="AW584" s="23"/>
      <c r="AX584" s="23"/>
      <c r="AY584" s="23"/>
      <c r="AZ584" s="23"/>
      <c r="BA584" s="23"/>
      <c r="BB584" s="23"/>
      <c r="BC584" s="23"/>
    </row>
    <row r="585">
      <c r="AO585" s="23"/>
      <c r="AP585" s="23"/>
      <c r="AQ585" s="23"/>
      <c r="AR585" s="23"/>
      <c r="AS585" s="23"/>
      <c r="AT585" s="23"/>
      <c r="AU585" s="23"/>
      <c r="AV585" s="23"/>
      <c r="AW585" s="23"/>
      <c r="AX585" s="23"/>
      <c r="AY585" s="23"/>
      <c r="AZ585" s="23"/>
      <c r="BA585" s="23"/>
      <c r="BB585" s="23"/>
      <c r="BC585" s="23"/>
    </row>
    <row r="586">
      <c r="AO586" s="23"/>
      <c r="AP586" s="23"/>
      <c r="AQ586" s="23"/>
      <c r="AR586" s="23"/>
      <c r="AS586" s="23"/>
      <c r="AT586" s="23"/>
      <c r="AU586" s="23"/>
      <c r="AV586" s="23"/>
      <c r="AW586" s="23"/>
      <c r="AX586" s="23"/>
      <c r="AY586" s="23"/>
      <c r="AZ586" s="23"/>
      <c r="BA586" s="23"/>
      <c r="BB586" s="23"/>
      <c r="BC586" s="23"/>
    </row>
    <row r="587">
      <c r="AO587" s="23"/>
      <c r="AP587" s="23"/>
      <c r="AQ587" s="23"/>
      <c r="AR587" s="23"/>
      <c r="AS587" s="23"/>
      <c r="AT587" s="23"/>
      <c r="AU587" s="23"/>
      <c r="AV587" s="23"/>
      <c r="AW587" s="23"/>
      <c r="AX587" s="23"/>
      <c r="AY587" s="23"/>
      <c r="AZ587" s="23"/>
      <c r="BA587" s="23"/>
      <c r="BB587" s="23"/>
      <c r="BC587" s="23"/>
    </row>
    <row r="588">
      <c r="AO588" s="23"/>
      <c r="AP588" s="23"/>
      <c r="AQ588" s="23"/>
      <c r="AR588" s="23"/>
      <c r="AS588" s="23"/>
      <c r="AT588" s="23"/>
      <c r="AU588" s="23"/>
      <c r="AV588" s="23"/>
      <c r="AW588" s="23"/>
      <c r="AX588" s="23"/>
      <c r="AY588" s="23"/>
      <c r="AZ588" s="23"/>
      <c r="BA588" s="23"/>
      <c r="BB588" s="23"/>
      <c r="BC588" s="23"/>
    </row>
    <row r="589">
      <c r="AO589" s="23"/>
      <c r="AP589" s="23"/>
      <c r="AQ589" s="23"/>
      <c r="AR589" s="23"/>
      <c r="AS589" s="23"/>
      <c r="AT589" s="23"/>
      <c r="AU589" s="23"/>
      <c r="AV589" s="23"/>
      <c r="AW589" s="23"/>
      <c r="AX589" s="23"/>
      <c r="AY589" s="23"/>
      <c r="AZ589" s="23"/>
      <c r="BA589" s="23"/>
      <c r="BB589" s="23"/>
      <c r="BC589" s="23"/>
    </row>
    <row r="590">
      <c r="AO590" s="23"/>
      <c r="AP590" s="23"/>
      <c r="AQ590" s="23"/>
      <c r="AR590" s="23"/>
      <c r="AS590" s="23"/>
      <c r="AT590" s="23"/>
      <c r="AU590" s="23"/>
      <c r="AV590" s="23"/>
      <c r="AW590" s="23"/>
      <c r="AX590" s="23"/>
      <c r="AY590" s="23"/>
      <c r="AZ590" s="23"/>
      <c r="BA590" s="23"/>
      <c r="BB590" s="23"/>
      <c r="BC590" s="23"/>
    </row>
    <row r="591">
      <c r="AO591" s="23"/>
      <c r="AP591" s="23"/>
      <c r="AQ591" s="23"/>
      <c r="AR591" s="23"/>
      <c r="AS591" s="23"/>
      <c r="AT591" s="23"/>
      <c r="AU591" s="23"/>
      <c r="AV591" s="23"/>
      <c r="AW591" s="23"/>
      <c r="AX591" s="23"/>
      <c r="AY591" s="23"/>
      <c r="AZ591" s="23"/>
      <c r="BA591" s="23"/>
      <c r="BB591" s="23"/>
      <c r="BC591" s="23"/>
    </row>
    <row r="592">
      <c r="AO592" s="23"/>
      <c r="AP592" s="23"/>
      <c r="AQ592" s="23"/>
      <c r="AR592" s="23"/>
      <c r="AS592" s="23"/>
      <c r="AT592" s="23"/>
      <c r="AU592" s="23"/>
      <c r="AV592" s="23"/>
      <c r="AW592" s="23"/>
      <c r="AX592" s="23"/>
      <c r="AY592" s="23"/>
      <c r="AZ592" s="23"/>
      <c r="BA592" s="23"/>
      <c r="BB592" s="23"/>
      <c r="BC592" s="23"/>
    </row>
    <row r="593">
      <c r="AO593" s="23"/>
      <c r="AP593" s="23"/>
      <c r="AQ593" s="23"/>
      <c r="AR593" s="23"/>
      <c r="AS593" s="23"/>
      <c r="AT593" s="23"/>
      <c r="AU593" s="23"/>
      <c r="AV593" s="23"/>
      <c r="AW593" s="23"/>
      <c r="AX593" s="23"/>
      <c r="AY593" s="23"/>
      <c r="AZ593" s="23"/>
      <c r="BA593" s="23"/>
      <c r="BB593" s="23"/>
      <c r="BC593" s="23"/>
    </row>
    <row r="594">
      <c r="AO594" s="23"/>
      <c r="AP594" s="23"/>
      <c r="AQ594" s="23"/>
      <c r="AR594" s="23"/>
      <c r="AS594" s="23"/>
      <c r="AT594" s="23"/>
      <c r="AU594" s="23"/>
      <c r="AV594" s="23"/>
      <c r="AW594" s="23"/>
      <c r="AX594" s="23"/>
      <c r="AY594" s="23"/>
      <c r="AZ594" s="23"/>
      <c r="BA594" s="23"/>
      <c r="BB594" s="23"/>
      <c r="BC594" s="23"/>
    </row>
    <row r="595">
      <c r="AO595" s="23"/>
      <c r="AP595" s="23"/>
      <c r="AQ595" s="23"/>
      <c r="AR595" s="23"/>
      <c r="AS595" s="23"/>
      <c r="AT595" s="23"/>
      <c r="AU595" s="23"/>
      <c r="AV595" s="23"/>
      <c r="AW595" s="23"/>
      <c r="AX595" s="23"/>
      <c r="AY595" s="23"/>
      <c r="AZ595" s="23"/>
      <c r="BA595" s="23"/>
      <c r="BB595" s="23"/>
      <c r="BC595" s="23"/>
    </row>
    <row r="596">
      <c r="AO596" s="23"/>
      <c r="AP596" s="23"/>
      <c r="AQ596" s="23"/>
      <c r="AR596" s="23"/>
      <c r="AS596" s="23"/>
      <c r="AT596" s="23"/>
      <c r="AU596" s="23"/>
      <c r="AV596" s="23"/>
      <c r="AW596" s="23"/>
      <c r="AX596" s="23"/>
      <c r="AY596" s="23"/>
      <c r="AZ596" s="23"/>
      <c r="BA596" s="23"/>
      <c r="BB596" s="23"/>
      <c r="BC596" s="23"/>
    </row>
    <row r="597">
      <c r="AO597" s="23"/>
      <c r="AP597" s="23"/>
      <c r="AQ597" s="23"/>
      <c r="AR597" s="23"/>
      <c r="AS597" s="23"/>
      <c r="AT597" s="23"/>
      <c r="AU597" s="23"/>
      <c r="AV597" s="23"/>
      <c r="AW597" s="23"/>
      <c r="AX597" s="23"/>
      <c r="AY597" s="23"/>
      <c r="AZ597" s="23"/>
      <c r="BA597" s="23"/>
      <c r="BB597" s="23"/>
      <c r="BC597" s="23"/>
    </row>
    <row r="598">
      <c r="AO598" s="23"/>
      <c r="AP598" s="23"/>
      <c r="AQ598" s="23"/>
      <c r="AR598" s="23"/>
      <c r="AS598" s="23"/>
      <c r="AT598" s="23"/>
      <c r="AU598" s="23"/>
      <c r="AV598" s="23"/>
      <c r="AW598" s="23"/>
      <c r="AX598" s="23"/>
      <c r="AY598" s="23"/>
      <c r="AZ598" s="23"/>
      <c r="BA598" s="23"/>
      <c r="BB598" s="23"/>
      <c r="BC598" s="23"/>
    </row>
    <row r="599">
      <c r="AO599" s="23"/>
      <c r="AP599" s="23"/>
      <c r="AQ599" s="23"/>
      <c r="AR599" s="23"/>
      <c r="AS599" s="23"/>
      <c r="AT599" s="23"/>
      <c r="AU599" s="23"/>
      <c r="AV599" s="23"/>
      <c r="AW599" s="23"/>
      <c r="AX599" s="23"/>
      <c r="AY599" s="23"/>
      <c r="AZ599" s="23"/>
      <c r="BA599" s="23"/>
      <c r="BB599" s="23"/>
      <c r="BC599" s="23"/>
    </row>
    <row r="600">
      <c r="AO600" s="23"/>
      <c r="AP600" s="23"/>
      <c r="AQ600" s="23"/>
      <c r="AR600" s="23"/>
      <c r="AS600" s="23"/>
      <c r="AT600" s="23"/>
      <c r="AU600" s="23"/>
      <c r="AV600" s="23"/>
      <c r="AW600" s="23"/>
      <c r="AX600" s="23"/>
      <c r="AY600" s="23"/>
      <c r="AZ600" s="23"/>
      <c r="BA600" s="23"/>
      <c r="BB600" s="23"/>
      <c r="BC600" s="23"/>
    </row>
    <row r="601">
      <c r="AO601" s="23"/>
      <c r="AP601" s="23"/>
      <c r="AQ601" s="23"/>
      <c r="AR601" s="23"/>
      <c r="AS601" s="23"/>
      <c r="AT601" s="23"/>
      <c r="AU601" s="23"/>
      <c r="AV601" s="23"/>
      <c r="AW601" s="23"/>
      <c r="AX601" s="23"/>
      <c r="AY601" s="23"/>
      <c r="AZ601" s="23"/>
      <c r="BA601" s="23"/>
      <c r="BB601" s="23"/>
      <c r="BC601" s="23"/>
    </row>
    <row r="602">
      <c r="AO602" s="23"/>
      <c r="AP602" s="23"/>
      <c r="AQ602" s="23"/>
      <c r="AR602" s="23"/>
      <c r="AS602" s="23"/>
      <c r="AT602" s="23"/>
      <c r="AU602" s="23"/>
      <c r="AV602" s="23"/>
      <c r="AW602" s="23"/>
      <c r="AX602" s="23"/>
      <c r="AY602" s="23"/>
      <c r="AZ602" s="23"/>
      <c r="BA602" s="23"/>
      <c r="BB602" s="23"/>
      <c r="BC602" s="23"/>
    </row>
    <row r="603">
      <c r="AO603" s="23"/>
      <c r="AP603" s="23"/>
      <c r="AQ603" s="23"/>
      <c r="AR603" s="23"/>
      <c r="AS603" s="23"/>
      <c r="AT603" s="23"/>
      <c r="AU603" s="23"/>
      <c r="AV603" s="23"/>
      <c r="AW603" s="23"/>
      <c r="AX603" s="23"/>
      <c r="AY603" s="23"/>
      <c r="AZ603" s="23"/>
      <c r="BA603" s="23"/>
      <c r="BB603" s="23"/>
      <c r="BC603" s="23"/>
    </row>
    <row r="604">
      <c r="AO604" s="23"/>
      <c r="AP604" s="23"/>
      <c r="AQ604" s="23"/>
      <c r="AR604" s="23"/>
      <c r="AS604" s="23"/>
      <c r="AT604" s="23"/>
      <c r="AU604" s="23"/>
      <c r="AV604" s="23"/>
      <c r="AW604" s="23"/>
      <c r="AX604" s="23"/>
      <c r="AY604" s="23"/>
      <c r="AZ604" s="23"/>
      <c r="BA604" s="23"/>
      <c r="BB604" s="23"/>
      <c r="BC604" s="23"/>
    </row>
    <row r="605">
      <c r="AO605" s="23"/>
      <c r="AP605" s="23"/>
      <c r="AQ605" s="23"/>
      <c r="AR605" s="23"/>
      <c r="AS605" s="23"/>
      <c r="AT605" s="23"/>
      <c r="AU605" s="23"/>
      <c r="AV605" s="23"/>
      <c r="AW605" s="23"/>
      <c r="AX605" s="23"/>
      <c r="AY605" s="23"/>
      <c r="AZ605" s="23"/>
      <c r="BA605" s="23"/>
      <c r="BB605" s="23"/>
      <c r="BC605" s="23"/>
    </row>
    <row r="606">
      <c r="AO606" s="23"/>
      <c r="AP606" s="23"/>
      <c r="AQ606" s="23"/>
      <c r="AR606" s="23"/>
      <c r="AS606" s="23"/>
      <c r="AT606" s="23"/>
      <c r="AU606" s="23"/>
      <c r="AV606" s="23"/>
      <c r="AW606" s="23"/>
      <c r="AX606" s="23"/>
      <c r="AY606" s="23"/>
      <c r="AZ606" s="23"/>
      <c r="BA606" s="23"/>
      <c r="BB606" s="23"/>
      <c r="BC606" s="23"/>
    </row>
    <row r="607">
      <c r="AO607" s="23"/>
      <c r="AP607" s="23"/>
      <c r="AQ607" s="23"/>
      <c r="AR607" s="23"/>
      <c r="AS607" s="23"/>
      <c r="AT607" s="23"/>
      <c r="AU607" s="23"/>
      <c r="AV607" s="23"/>
      <c r="AW607" s="23"/>
      <c r="AX607" s="23"/>
      <c r="AY607" s="23"/>
      <c r="AZ607" s="23"/>
      <c r="BA607" s="23"/>
      <c r="BB607" s="23"/>
      <c r="BC607" s="23"/>
    </row>
    <row r="608">
      <c r="AO608" s="23"/>
      <c r="AP608" s="23"/>
      <c r="AQ608" s="23"/>
      <c r="AR608" s="23"/>
      <c r="AS608" s="23"/>
      <c r="AT608" s="23"/>
      <c r="AU608" s="23"/>
      <c r="AV608" s="23"/>
      <c r="AW608" s="23"/>
      <c r="AX608" s="23"/>
      <c r="AY608" s="23"/>
      <c r="AZ608" s="23"/>
      <c r="BA608" s="23"/>
      <c r="BB608" s="23"/>
      <c r="BC608" s="23"/>
    </row>
    <row r="609">
      <c r="AO609" s="23"/>
      <c r="AP609" s="23"/>
      <c r="AQ609" s="23"/>
      <c r="AR609" s="23"/>
      <c r="AS609" s="23"/>
      <c r="AT609" s="23"/>
      <c r="AU609" s="23"/>
      <c r="AV609" s="23"/>
      <c r="AW609" s="23"/>
      <c r="AX609" s="23"/>
      <c r="AY609" s="23"/>
      <c r="AZ609" s="23"/>
      <c r="BA609" s="23"/>
      <c r="BB609" s="23"/>
      <c r="BC609" s="23"/>
    </row>
    <row r="610">
      <c r="AO610" s="23"/>
      <c r="AP610" s="23"/>
      <c r="AQ610" s="23"/>
      <c r="AR610" s="23"/>
      <c r="AS610" s="23"/>
      <c r="AT610" s="23"/>
      <c r="AU610" s="23"/>
      <c r="AV610" s="23"/>
      <c r="AW610" s="23"/>
      <c r="AX610" s="23"/>
      <c r="AY610" s="23"/>
      <c r="AZ610" s="23"/>
      <c r="BA610" s="23"/>
      <c r="BB610" s="23"/>
      <c r="BC610" s="23"/>
    </row>
    <row r="611">
      <c r="AO611" s="23"/>
      <c r="AP611" s="23"/>
      <c r="AQ611" s="23"/>
      <c r="AR611" s="23"/>
      <c r="AS611" s="23"/>
      <c r="AT611" s="23"/>
      <c r="AU611" s="23"/>
      <c r="AV611" s="23"/>
      <c r="AW611" s="23"/>
      <c r="AX611" s="23"/>
      <c r="AY611" s="23"/>
      <c r="AZ611" s="23"/>
      <c r="BA611" s="23"/>
      <c r="BB611" s="23"/>
      <c r="BC611" s="23"/>
    </row>
    <row r="612">
      <c r="AO612" s="23"/>
      <c r="AP612" s="23"/>
      <c r="AQ612" s="23"/>
      <c r="AR612" s="23"/>
      <c r="AS612" s="23"/>
      <c r="AT612" s="23"/>
      <c r="AU612" s="23"/>
      <c r="AV612" s="23"/>
      <c r="AW612" s="23"/>
      <c r="AX612" s="23"/>
      <c r="AY612" s="23"/>
      <c r="AZ612" s="23"/>
      <c r="BA612" s="23"/>
      <c r="BB612" s="23"/>
      <c r="BC612" s="23"/>
    </row>
    <row r="613">
      <c r="AO613" s="23"/>
      <c r="AP613" s="23"/>
      <c r="AQ613" s="23"/>
      <c r="AR613" s="23"/>
      <c r="AS613" s="23"/>
      <c r="AT613" s="23"/>
      <c r="AU613" s="23"/>
      <c r="AV613" s="23"/>
      <c r="AW613" s="23"/>
      <c r="AX613" s="23"/>
      <c r="AY613" s="23"/>
      <c r="AZ613" s="23"/>
      <c r="BA613" s="23"/>
      <c r="BB613" s="23"/>
      <c r="BC613" s="23"/>
    </row>
    <row r="614">
      <c r="AO614" s="23"/>
      <c r="AP614" s="23"/>
      <c r="AQ614" s="23"/>
      <c r="AR614" s="23"/>
      <c r="AS614" s="23"/>
      <c r="AT614" s="23"/>
      <c r="AU614" s="23"/>
      <c r="AV614" s="23"/>
      <c r="AW614" s="23"/>
      <c r="AX614" s="23"/>
      <c r="AY614" s="23"/>
      <c r="AZ614" s="23"/>
      <c r="BA614" s="23"/>
      <c r="BB614" s="23"/>
      <c r="BC614" s="23"/>
    </row>
    <row r="615">
      <c r="AO615" s="23"/>
      <c r="AP615" s="23"/>
      <c r="AQ615" s="23"/>
      <c r="AR615" s="23"/>
      <c r="AS615" s="23"/>
      <c r="AT615" s="23"/>
      <c r="AU615" s="23"/>
      <c r="AV615" s="23"/>
      <c r="AW615" s="23"/>
      <c r="AX615" s="23"/>
      <c r="AY615" s="23"/>
      <c r="AZ615" s="23"/>
      <c r="BA615" s="23"/>
      <c r="BB615" s="23"/>
      <c r="BC615" s="23"/>
    </row>
    <row r="616">
      <c r="AO616" s="23"/>
      <c r="AP616" s="23"/>
      <c r="AQ616" s="23"/>
      <c r="AR616" s="23"/>
      <c r="AS616" s="23"/>
      <c r="AT616" s="23"/>
      <c r="AU616" s="23"/>
      <c r="AV616" s="23"/>
      <c r="AW616" s="23"/>
      <c r="AX616" s="23"/>
      <c r="AY616" s="23"/>
      <c r="AZ616" s="23"/>
      <c r="BA616" s="23"/>
      <c r="BB616" s="23"/>
      <c r="BC616" s="23"/>
    </row>
    <row r="617">
      <c r="AO617" s="23"/>
      <c r="AP617" s="23"/>
      <c r="AQ617" s="23"/>
      <c r="AR617" s="23"/>
      <c r="AS617" s="23"/>
      <c r="AT617" s="23"/>
      <c r="AU617" s="23"/>
      <c r="AV617" s="23"/>
      <c r="AW617" s="23"/>
      <c r="AX617" s="23"/>
      <c r="AY617" s="23"/>
      <c r="AZ617" s="23"/>
      <c r="BA617" s="23"/>
      <c r="BB617" s="23"/>
      <c r="BC617" s="23"/>
    </row>
    <row r="618">
      <c r="AO618" s="23"/>
      <c r="AP618" s="23"/>
      <c r="AQ618" s="23"/>
      <c r="AR618" s="23"/>
      <c r="AS618" s="23"/>
      <c r="AT618" s="23"/>
      <c r="AU618" s="23"/>
      <c r="AV618" s="23"/>
      <c r="AW618" s="23"/>
      <c r="AX618" s="23"/>
      <c r="AY618" s="23"/>
      <c r="AZ618" s="23"/>
      <c r="BA618" s="23"/>
      <c r="BB618" s="23"/>
      <c r="BC618" s="23"/>
    </row>
    <row r="619">
      <c r="AO619" s="23"/>
      <c r="AP619" s="23"/>
      <c r="AQ619" s="23"/>
      <c r="AR619" s="23"/>
      <c r="AS619" s="23"/>
      <c r="AT619" s="23"/>
      <c r="AU619" s="23"/>
      <c r="AV619" s="23"/>
      <c r="AW619" s="23"/>
      <c r="AX619" s="23"/>
      <c r="AY619" s="23"/>
      <c r="AZ619" s="23"/>
      <c r="BA619" s="23"/>
      <c r="BB619" s="23"/>
      <c r="BC619" s="23"/>
    </row>
    <row r="620">
      <c r="AO620" s="23"/>
      <c r="AP620" s="23"/>
      <c r="AQ620" s="23"/>
      <c r="AR620" s="23"/>
      <c r="AS620" s="23"/>
      <c r="AT620" s="23"/>
      <c r="AU620" s="23"/>
      <c r="AV620" s="23"/>
      <c r="AW620" s="23"/>
      <c r="AX620" s="23"/>
      <c r="AY620" s="23"/>
      <c r="AZ620" s="23"/>
      <c r="BA620" s="23"/>
      <c r="BB620" s="23"/>
      <c r="BC620" s="23"/>
    </row>
    <row r="621">
      <c r="AO621" s="23"/>
      <c r="AP621" s="23"/>
      <c r="AQ621" s="23"/>
      <c r="AR621" s="23"/>
      <c r="AS621" s="23"/>
      <c r="AT621" s="23"/>
      <c r="AU621" s="23"/>
      <c r="AV621" s="23"/>
      <c r="AW621" s="23"/>
      <c r="AX621" s="23"/>
      <c r="AY621" s="23"/>
      <c r="AZ621" s="23"/>
      <c r="BA621" s="23"/>
      <c r="BB621" s="23"/>
      <c r="BC621" s="23"/>
    </row>
    <row r="622">
      <c r="AO622" s="23"/>
      <c r="AP622" s="23"/>
      <c r="AQ622" s="23"/>
      <c r="AR622" s="23"/>
      <c r="AS622" s="23"/>
      <c r="AT622" s="23"/>
      <c r="AU622" s="23"/>
      <c r="AV622" s="23"/>
      <c r="AW622" s="23"/>
      <c r="AX622" s="23"/>
      <c r="AY622" s="23"/>
      <c r="AZ622" s="23"/>
      <c r="BA622" s="23"/>
      <c r="BB622" s="23"/>
      <c r="BC622" s="23"/>
    </row>
    <row r="623">
      <c r="AO623" s="23"/>
      <c r="AP623" s="23"/>
      <c r="AQ623" s="23"/>
      <c r="AR623" s="23"/>
      <c r="AS623" s="23"/>
      <c r="AT623" s="23"/>
      <c r="AU623" s="23"/>
      <c r="AV623" s="23"/>
      <c r="AW623" s="23"/>
      <c r="AX623" s="23"/>
      <c r="AY623" s="23"/>
      <c r="AZ623" s="23"/>
      <c r="BA623" s="23"/>
      <c r="BB623" s="23"/>
      <c r="BC623" s="23"/>
    </row>
    <row r="624">
      <c r="AO624" s="23"/>
      <c r="AP624" s="23"/>
      <c r="AQ624" s="23"/>
      <c r="AR624" s="23"/>
      <c r="AS624" s="23"/>
      <c r="AT624" s="23"/>
      <c r="AU624" s="23"/>
      <c r="AV624" s="23"/>
      <c r="AW624" s="23"/>
      <c r="AX624" s="23"/>
      <c r="AY624" s="23"/>
      <c r="AZ624" s="23"/>
      <c r="BA624" s="23"/>
      <c r="BB624" s="23"/>
      <c r="BC624" s="23"/>
    </row>
    <row r="625">
      <c r="AO625" s="23"/>
      <c r="AP625" s="23"/>
      <c r="AQ625" s="23"/>
      <c r="AR625" s="23"/>
      <c r="AS625" s="23"/>
      <c r="AT625" s="23"/>
      <c r="AU625" s="23"/>
      <c r="AV625" s="23"/>
      <c r="AW625" s="23"/>
      <c r="AX625" s="23"/>
      <c r="AY625" s="23"/>
      <c r="AZ625" s="23"/>
      <c r="BA625" s="23"/>
      <c r="BB625" s="23"/>
      <c r="BC625" s="23"/>
    </row>
    <row r="626">
      <c r="AO626" s="23"/>
      <c r="AP626" s="23"/>
      <c r="AQ626" s="23"/>
      <c r="AR626" s="23"/>
      <c r="AS626" s="23"/>
      <c r="AT626" s="23"/>
      <c r="AU626" s="23"/>
      <c r="AV626" s="23"/>
      <c r="AW626" s="23"/>
      <c r="AX626" s="23"/>
      <c r="AY626" s="23"/>
      <c r="AZ626" s="23"/>
      <c r="BA626" s="23"/>
      <c r="BB626" s="23"/>
      <c r="BC626" s="23"/>
    </row>
    <row r="627">
      <c r="AO627" s="23"/>
      <c r="AP627" s="23"/>
      <c r="AQ627" s="23"/>
      <c r="AR627" s="23"/>
      <c r="AS627" s="23"/>
      <c r="AT627" s="23"/>
      <c r="AU627" s="23"/>
      <c r="AV627" s="23"/>
      <c r="AW627" s="23"/>
      <c r="AX627" s="23"/>
      <c r="AY627" s="23"/>
      <c r="AZ627" s="23"/>
      <c r="BA627" s="23"/>
      <c r="BB627" s="23"/>
      <c r="BC627" s="23"/>
    </row>
    <row r="628">
      <c r="AO628" s="23"/>
      <c r="AP628" s="23"/>
      <c r="AQ628" s="23"/>
      <c r="AR628" s="23"/>
      <c r="AS628" s="23"/>
      <c r="AT628" s="23"/>
      <c r="AU628" s="23"/>
      <c r="AV628" s="23"/>
      <c r="AW628" s="23"/>
      <c r="AX628" s="23"/>
      <c r="AY628" s="23"/>
      <c r="AZ628" s="23"/>
      <c r="BA628" s="23"/>
      <c r="BB628" s="23"/>
      <c r="BC628" s="23"/>
    </row>
    <row r="629">
      <c r="AO629" s="23"/>
      <c r="AP629" s="23"/>
      <c r="AQ629" s="23"/>
      <c r="AR629" s="23"/>
      <c r="AS629" s="23"/>
      <c r="AT629" s="23"/>
      <c r="AU629" s="23"/>
      <c r="AV629" s="23"/>
      <c r="AW629" s="23"/>
      <c r="AX629" s="23"/>
      <c r="AY629" s="23"/>
      <c r="AZ629" s="23"/>
      <c r="BA629" s="23"/>
      <c r="BB629" s="23"/>
      <c r="BC629" s="23"/>
    </row>
    <row r="630">
      <c r="AO630" s="23"/>
      <c r="AP630" s="23"/>
      <c r="AQ630" s="23"/>
      <c r="AR630" s="23"/>
      <c r="AS630" s="23"/>
      <c r="AT630" s="23"/>
      <c r="AU630" s="23"/>
      <c r="AV630" s="23"/>
      <c r="AW630" s="23"/>
      <c r="AX630" s="23"/>
      <c r="AY630" s="23"/>
      <c r="AZ630" s="23"/>
      <c r="BA630" s="23"/>
      <c r="BB630" s="23"/>
      <c r="BC630" s="23"/>
    </row>
    <row r="631">
      <c r="AO631" s="23"/>
      <c r="AP631" s="23"/>
      <c r="AQ631" s="23"/>
      <c r="AR631" s="23"/>
      <c r="AS631" s="23"/>
      <c r="AT631" s="23"/>
      <c r="AU631" s="23"/>
      <c r="AV631" s="23"/>
      <c r="AW631" s="23"/>
      <c r="AX631" s="23"/>
      <c r="AY631" s="23"/>
      <c r="AZ631" s="23"/>
      <c r="BA631" s="23"/>
      <c r="BB631" s="23"/>
      <c r="BC631" s="23"/>
    </row>
    <row r="632">
      <c r="AO632" s="23"/>
      <c r="AP632" s="23"/>
      <c r="AQ632" s="23"/>
      <c r="AR632" s="23"/>
      <c r="AS632" s="23"/>
      <c r="AT632" s="23"/>
      <c r="AU632" s="23"/>
      <c r="AV632" s="23"/>
      <c r="AW632" s="23"/>
      <c r="AX632" s="23"/>
      <c r="AY632" s="23"/>
      <c r="AZ632" s="23"/>
      <c r="BA632" s="23"/>
      <c r="BB632" s="23"/>
      <c r="BC632" s="23"/>
    </row>
    <row r="633">
      <c r="AO633" s="23"/>
      <c r="AP633" s="23"/>
      <c r="AQ633" s="23"/>
      <c r="AR633" s="23"/>
      <c r="AS633" s="23"/>
      <c r="AT633" s="23"/>
      <c r="AU633" s="23"/>
      <c r="AV633" s="23"/>
      <c r="AW633" s="23"/>
      <c r="AX633" s="23"/>
      <c r="AY633" s="23"/>
      <c r="AZ633" s="23"/>
      <c r="BA633" s="23"/>
      <c r="BB633" s="23"/>
      <c r="BC633" s="23"/>
    </row>
    <row r="634">
      <c r="AO634" s="23"/>
      <c r="AP634" s="23"/>
      <c r="AQ634" s="23"/>
      <c r="AR634" s="23"/>
      <c r="AS634" s="23"/>
      <c r="AT634" s="23"/>
      <c r="AU634" s="23"/>
      <c r="AV634" s="23"/>
      <c r="AW634" s="23"/>
      <c r="AX634" s="23"/>
      <c r="AY634" s="23"/>
      <c r="AZ634" s="23"/>
      <c r="BA634" s="23"/>
      <c r="BB634" s="23"/>
      <c r="BC634" s="23"/>
    </row>
    <row r="635">
      <c r="AO635" s="23"/>
      <c r="AP635" s="23"/>
      <c r="AQ635" s="23"/>
      <c r="AR635" s="23"/>
      <c r="AS635" s="23"/>
      <c r="AT635" s="23"/>
      <c r="AU635" s="23"/>
      <c r="AV635" s="23"/>
      <c r="AW635" s="23"/>
      <c r="AX635" s="23"/>
      <c r="AY635" s="23"/>
      <c r="AZ635" s="23"/>
      <c r="BA635" s="23"/>
      <c r="BB635" s="23"/>
      <c r="BC635" s="23"/>
    </row>
    <row r="636">
      <c r="AO636" s="23"/>
      <c r="AP636" s="23"/>
      <c r="AQ636" s="23"/>
      <c r="AR636" s="23"/>
      <c r="AS636" s="23"/>
      <c r="AT636" s="23"/>
      <c r="AU636" s="23"/>
      <c r="AV636" s="23"/>
      <c r="AW636" s="23"/>
      <c r="AX636" s="23"/>
      <c r="AY636" s="23"/>
      <c r="AZ636" s="23"/>
      <c r="BA636" s="23"/>
      <c r="BB636" s="23"/>
      <c r="BC636" s="23"/>
    </row>
    <row r="637">
      <c r="AO637" s="23"/>
      <c r="AP637" s="23"/>
      <c r="AQ637" s="23"/>
      <c r="AR637" s="23"/>
      <c r="AS637" s="23"/>
      <c r="AT637" s="23"/>
      <c r="AU637" s="23"/>
      <c r="AV637" s="23"/>
      <c r="AW637" s="23"/>
      <c r="AX637" s="23"/>
      <c r="AY637" s="23"/>
      <c r="AZ637" s="23"/>
      <c r="BA637" s="23"/>
      <c r="BB637" s="23"/>
      <c r="BC637" s="23"/>
    </row>
    <row r="638">
      <c r="AO638" s="23"/>
      <c r="AP638" s="23"/>
      <c r="AQ638" s="23"/>
      <c r="AR638" s="23"/>
      <c r="AS638" s="23"/>
      <c r="AT638" s="23"/>
      <c r="AU638" s="23"/>
      <c r="AV638" s="23"/>
      <c r="AW638" s="23"/>
      <c r="AX638" s="23"/>
      <c r="AY638" s="23"/>
      <c r="AZ638" s="23"/>
      <c r="BA638" s="23"/>
      <c r="BB638" s="23"/>
      <c r="BC638" s="23"/>
    </row>
    <row r="639">
      <c r="AO639" s="23"/>
      <c r="AP639" s="23"/>
      <c r="AQ639" s="23"/>
      <c r="AR639" s="23"/>
      <c r="AS639" s="23"/>
      <c r="AT639" s="23"/>
      <c r="AU639" s="23"/>
      <c r="AV639" s="23"/>
      <c r="AW639" s="23"/>
      <c r="AX639" s="23"/>
      <c r="AY639" s="23"/>
      <c r="AZ639" s="23"/>
      <c r="BA639" s="23"/>
      <c r="BB639" s="23"/>
      <c r="BC639" s="23"/>
    </row>
    <row r="640">
      <c r="AO640" s="23"/>
      <c r="AP640" s="23"/>
      <c r="AQ640" s="23"/>
      <c r="AR640" s="23"/>
      <c r="AS640" s="23"/>
      <c r="AT640" s="23"/>
      <c r="AU640" s="23"/>
      <c r="AV640" s="23"/>
      <c r="AW640" s="23"/>
      <c r="AX640" s="23"/>
      <c r="AY640" s="23"/>
      <c r="AZ640" s="23"/>
      <c r="BA640" s="23"/>
      <c r="BB640" s="23"/>
      <c r="BC640" s="23"/>
    </row>
    <row r="641">
      <c r="AO641" s="23"/>
      <c r="AP641" s="23"/>
      <c r="AQ641" s="23"/>
      <c r="AR641" s="23"/>
      <c r="AS641" s="23"/>
      <c r="AT641" s="23"/>
      <c r="AU641" s="23"/>
      <c r="AV641" s="23"/>
      <c r="AW641" s="23"/>
      <c r="AX641" s="23"/>
      <c r="AY641" s="23"/>
      <c r="AZ641" s="23"/>
      <c r="BA641" s="23"/>
      <c r="BB641" s="23"/>
      <c r="BC641" s="23"/>
    </row>
    <row r="642">
      <c r="AO642" s="23"/>
      <c r="AP642" s="23"/>
      <c r="AQ642" s="23"/>
      <c r="AR642" s="23"/>
      <c r="AS642" s="23"/>
      <c r="AT642" s="23"/>
      <c r="AU642" s="23"/>
      <c r="AV642" s="23"/>
      <c r="AW642" s="23"/>
      <c r="AX642" s="23"/>
      <c r="AY642" s="23"/>
      <c r="AZ642" s="23"/>
      <c r="BA642" s="23"/>
      <c r="BB642" s="23"/>
      <c r="BC642" s="23"/>
    </row>
    <row r="643">
      <c r="AO643" s="23"/>
      <c r="AP643" s="23"/>
      <c r="AQ643" s="23"/>
      <c r="AR643" s="23"/>
      <c r="AS643" s="23"/>
      <c r="AT643" s="23"/>
      <c r="AU643" s="23"/>
      <c r="AV643" s="23"/>
      <c r="AW643" s="23"/>
      <c r="AX643" s="23"/>
      <c r="AY643" s="23"/>
      <c r="AZ643" s="23"/>
      <c r="BA643" s="23"/>
      <c r="BB643" s="23"/>
      <c r="BC643" s="23"/>
    </row>
    <row r="644">
      <c r="AO644" s="23"/>
      <c r="AP644" s="23"/>
      <c r="AQ644" s="23"/>
      <c r="AR644" s="23"/>
      <c r="AS644" s="23"/>
      <c r="AT644" s="23"/>
      <c r="AU644" s="23"/>
      <c r="AV644" s="23"/>
      <c r="AW644" s="23"/>
      <c r="AX644" s="23"/>
      <c r="AY644" s="23"/>
      <c r="AZ644" s="23"/>
      <c r="BA644" s="23"/>
      <c r="BB644" s="23"/>
      <c r="BC644" s="23"/>
    </row>
    <row r="645">
      <c r="AO645" s="23"/>
      <c r="AP645" s="23"/>
      <c r="AQ645" s="23"/>
      <c r="AR645" s="23"/>
      <c r="AS645" s="23"/>
      <c r="AT645" s="23"/>
      <c r="AU645" s="23"/>
      <c r="AV645" s="23"/>
      <c r="AW645" s="23"/>
      <c r="AX645" s="23"/>
      <c r="AY645" s="23"/>
      <c r="AZ645" s="23"/>
      <c r="BA645" s="23"/>
      <c r="BB645" s="23"/>
      <c r="BC645" s="23"/>
    </row>
    <row r="646">
      <c r="AO646" s="23"/>
      <c r="AP646" s="23"/>
      <c r="AQ646" s="23"/>
      <c r="AR646" s="23"/>
      <c r="AS646" s="23"/>
      <c r="AT646" s="23"/>
      <c r="AU646" s="23"/>
      <c r="AV646" s="23"/>
      <c r="AW646" s="23"/>
      <c r="AX646" s="23"/>
      <c r="AY646" s="23"/>
      <c r="AZ646" s="23"/>
      <c r="BA646" s="23"/>
      <c r="BB646" s="23"/>
      <c r="BC646" s="23"/>
    </row>
    <row r="647">
      <c r="AO647" s="23"/>
      <c r="AP647" s="23"/>
      <c r="AQ647" s="23"/>
      <c r="AR647" s="23"/>
      <c r="AS647" s="23"/>
      <c r="AT647" s="23"/>
      <c r="AU647" s="23"/>
      <c r="AV647" s="23"/>
      <c r="AW647" s="23"/>
      <c r="AX647" s="23"/>
      <c r="AY647" s="23"/>
      <c r="AZ647" s="23"/>
      <c r="BA647" s="23"/>
      <c r="BB647" s="23"/>
      <c r="BC647" s="23"/>
    </row>
    <row r="648">
      <c r="AO648" s="23"/>
      <c r="AP648" s="23"/>
      <c r="AQ648" s="23"/>
      <c r="AR648" s="23"/>
      <c r="AS648" s="23"/>
      <c r="AT648" s="23"/>
      <c r="AU648" s="23"/>
      <c r="AV648" s="23"/>
      <c r="AW648" s="23"/>
      <c r="AX648" s="23"/>
      <c r="AY648" s="23"/>
      <c r="AZ648" s="23"/>
      <c r="BA648" s="23"/>
      <c r="BB648" s="23"/>
      <c r="BC648" s="23"/>
    </row>
    <row r="649">
      <c r="AO649" s="23"/>
      <c r="AP649" s="23"/>
      <c r="AQ649" s="23"/>
      <c r="AR649" s="23"/>
      <c r="AS649" s="23"/>
      <c r="AT649" s="23"/>
      <c r="AU649" s="23"/>
      <c r="AV649" s="23"/>
      <c r="AW649" s="23"/>
      <c r="AX649" s="23"/>
      <c r="AY649" s="23"/>
      <c r="AZ649" s="23"/>
      <c r="BA649" s="23"/>
      <c r="BB649" s="23"/>
      <c r="BC649" s="23"/>
    </row>
    <row r="650">
      <c r="AO650" s="23"/>
      <c r="AP650" s="23"/>
      <c r="AQ650" s="23"/>
      <c r="AR650" s="23"/>
      <c r="AS650" s="23"/>
      <c r="AT650" s="23"/>
      <c r="AU650" s="23"/>
      <c r="AV650" s="23"/>
      <c r="AW650" s="23"/>
      <c r="AX650" s="23"/>
      <c r="AY650" s="23"/>
      <c r="AZ650" s="23"/>
      <c r="BA650" s="23"/>
      <c r="BB650" s="23"/>
      <c r="BC650" s="23"/>
    </row>
    <row r="651">
      <c r="AO651" s="23"/>
      <c r="AP651" s="23"/>
      <c r="AQ651" s="23"/>
      <c r="AR651" s="23"/>
      <c r="AS651" s="23"/>
      <c r="AT651" s="23"/>
      <c r="AU651" s="23"/>
      <c r="AV651" s="23"/>
      <c r="AW651" s="23"/>
      <c r="AX651" s="23"/>
      <c r="AY651" s="23"/>
      <c r="AZ651" s="23"/>
      <c r="BA651" s="23"/>
      <c r="BB651" s="23"/>
      <c r="BC651" s="23"/>
    </row>
    <row r="652">
      <c r="AO652" s="23"/>
      <c r="AP652" s="23"/>
      <c r="AQ652" s="23"/>
      <c r="AR652" s="23"/>
      <c r="AS652" s="23"/>
      <c r="AT652" s="23"/>
      <c r="AU652" s="23"/>
      <c r="AV652" s="23"/>
      <c r="AW652" s="23"/>
      <c r="AX652" s="23"/>
      <c r="AY652" s="23"/>
      <c r="AZ652" s="23"/>
      <c r="BA652" s="23"/>
      <c r="BB652" s="23"/>
      <c r="BC652" s="23"/>
    </row>
    <row r="653">
      <c r="AO653" s="23"/>
      <c r="AP653" s="23"/>
      <c r="AQ653" s="23"/>
      <c r="AR653" s="23"/>
      <c r="AS653" s="23"/>
      <c r="AT653" s="23"/>
      <c r="AU653" s="23"/>
      <c r="AV653" s="23"/>
      <c r="AW653" s="23"/>
      <c r="AX653" s="23"/>
      <c r="AY653" s="23"/>
      <c r="AZ653" s="23"/>
      <c r="BA653" s="23"/>
      <c r="BB653" s="23"/>
      <c r="BC653" s="23"/>
    </row>
    <row r="654">
      <c r="AO654" s="23"/>
      <c r="AP654" s="23"/>
      <c r="AQ654" s="23"/>
      <c r="AR654" s="23"/>
      <c r="AS654" s="23"/>
      <c r="AT654" s="23"/>
      <c r="AU654" s="23"/>
      <c r="AV654" s="23"/>
      <c r="AW654" s="23"/>
      <c r="AX654" s="23"/>
      <c r="AY654" s="23"/>
      <c r="AZ654" s="23"/>
      <c r="BA654" s="23"/>
      <c r="BB654" s="23"/>
      <c r="BC654" s="23"/>
    </row>
    <row r="655">
      <c r="AO655" s="23"/>
      <c r="AP655" s="23"/>
      <c r="AQ655" s="23"/>
      <c r="AR655" s="23"/>
      <c r="AS655" s="23"/>
      <c r="AT655" s="23"/>
      <c r="AU655" s="23"/>
      <c r="AV655" s="23"/>
      <c r="AW655" s="23"/>
      <c r="AX655" s="23"/>
      <c r="AY655" s="23"/>
      <c r="AZ655" s="23"/>
      <c r="BA655" s="23"/>
      <c r="BB655" s="23"/>
      <c r="BC655" s="23"/>
    </row>
    <row r="656">
      <c r="AO656" s="23"/>
      <c r="AP656" s="23"/>
      <c r="AQ656" s="23"/>
      <c r="AR656" s="23"/>
      <c r="AS656" s="23"/>
      <c r="AT656" s="23"/>
      <c r="AU656" s="23"/>
      <c r="AV656" s="23"/>
      <c r="AW656" s="23"/>
      <c r="AX656" s="23"/>
      <c r="AY656" s="23"/>
      <c r="AZ656" s="23"/>
      <c r="BA656" s="23"/>
      <c r="BB656" s="23"/>
      <c r="BC656" s="23"/>
    </row>
    <row r="657">
      <c r="AO657" s="23"/>
      <c r="AP657" s="23"/>
      <c r="AQ657" s="23"/>
      <c r="AR657" s="23"/>
      <c r="AS657" s="23"/>
      <c r="AT657" s="23"/>
      <c r="AU657" s="23"/>
      <c r="AV657" s="23"/>
      <c r="AW657" s="23"/>
      <c r="AX657" s="23"/>
      <c r="AY657" s="23"/>
      <c r="AZ657" s="23"/>
      <c r="BA657" s="23"/>
      <c r="BB657" s="23"/>
      <c r="BC657" s="23"/>
    </row>
    <row r="658">
      <c r="AO658" s="23"/>
      <c r="AP658" s="23"/>
      <c r="AQ658" s="23"/>
      <c r="AR658" s="23"/>
      <c r="AS658" s="23"/>
      <c r="AT658" s="23"/>
      <c r="AU658" s="23"/>
      <c r="AV658" s="23"/>
      <c r="AW658" s="23"/>
      <c r="AX658" s="23"/>
      <c r="AY658" s="23"/>
      <c r="AZ658" s="23"/>
      <c r="BA658" s="23"/>
      <c r="BB658" s="23"/>
      <c r="BC658" s="23"/>
    </row>
    <row r="659">
      <c r="AO659" s="23"/>
      <c r="AP659" s="23"/>
      <c r="AQ659" s="23"/>
      <c r="AR659" s="23"/>
      <c r="AS659" s="23"/>
      <c r="AT659" s="23"/>
      <c r="AU659" s="23"/>
      <c r="AV659" s="23"/>
      <c r="AW659" s="23"/>
      <c r="AX659" s="23"/>
      <c r="AY659" s="23"/>
      <c r="AZ659" s="23"/>
      <c r="BA659" s="23"/>
      <c r="BB659" s="23"/>
      <c r="BC659" s="23"/>
    </row>
    <row r="660">
      <c r="AO660" s="23"/>
      <c r="AP660" s="23"/>
      <c r="AQ660" s="23"/>
      <c r="AR660" s="23"/>
      <c r="AS660" s="23"/>
      <c r="AT660" s="23"/>
      <c r="AU660" s="23"/>
      <c r="AV660" s="23"/>
      <c r="AW660" s="23"/>
      <c r="AX660" s="23"/>
      <c r="AY660" s="23"/>
      <c r="AZ660" s="23"/>
      <c r="BA660" s="23"/>
      <c r="BB660" s="23"/>
      <c r="BC660" s="23"/>
    </row>
    <row r="661">
      <c r="AO661" s="23"/>
      <c r="AP661" s="23"/>
      <c r="AQ661" s="23"/>
      <c r="AR661" s="23"/>
      <c r="AS661" s="23"/>
      <c r="AT661" s="23"/>
      <c r="AU661" s="23"/>
      <c r="AV661" s="23"/>
      <c r="AW661" s="23"/>
      <c r="AX661" s="23"/>
      <c r="AY661" s="23"/>
      <c r="AZ661" s="23"/>
      <c r="BA661" s="23"/>
      <c r="BB661" s="23"/>
      <c r="BC661" s="23"/>
    </row>
    <row r="662">
      <c r="AO662" s="23"/>
      <c r="AP662" s="23"/>
      <c r="AQ662" s="23"/>
      <c r="AR662" s="23"/>
      <c r="AS662" s="23"/>
      <c r="AT662" s="23"/>
      <c r="AU662" s="23"/>
      <c r="AV662" s="23"/>
      <c r="AW662" s="23"/>
      <c r="AX662" s="23"/>
      <c r="AY662" s="23"/>
      <c r="AZ662" s="23"/>
      <c r="BA662" s="23"/>
      <c r="BB662" s="23"/>
      <c r="BC662" s="23"/>
    </row>
    <row r="663">
      <c r="AO663" s="23"/>
      <c r="AP663" s="23"/>
      <c r="AQ663" s="23"/>
      <c r="AR663" s="23"/>
      <c r="AS663" s="23"/>
      <c r="AT663" s="23"/>
      <c r="AU663" s="23"/>
      <c r="AV663" s="23"/>
      <c r="AW663" s="23"/>
      <c r="AX663" s="23"/>
      <c r="AY663" s="23"/>
      <c r="AZ663" s="23"/>
      <c r="BA663" s="23"/>
      <c r="BB663" s="23"/>
      <c r="BC663" s="23"/>
    </row>
    <row r="664">
      <c r="AO664" s="23"/>
      <c r="AP664" s="23"/>
      <c r="AQ664" s="23"/>
      <c r="AR664" s="23"/>
      <c r="AS664" s="23"/>
      <c r="AT664" s="23"/>
      <c r="AU664" s="23"/>
      <c r="AV664" s="23"/>
      <c r="AW664" s="23"/>
      <c r="AX664" s="23"/>
      <c r="AY664" s="23"/>
      <c r="AZ664" s="23"/>
      <c r="BA664" s="23"/>
      <c r="BB664" s="23"/>
      <c r="BC664" s="23"/>
    </row>
    <row r="665">
      <c r="AO665" s="23"/>
      <c r="AP665" s="23"/>
      <c r="AQ665" s="23"/>
      <c r="AR665" s="23"/>
      <c r="AS665" s="23"/>
      <c r="AT665" s="23"/>
      <c r="AU665" s="23"/>
      <c r="AV665" s="23"/>
      <c r="AW665" s="23"/>
      <c r="AX665" s="23"/>
      <c r="AY665" s="23"/>
      <c r="AZ665" s="23"/>
      <c r="BA665" s="23"/>
      <c r="BB665" s="23"/>
      <c r="BC665" s="23"/>
    </row>
    <row r="666">
      <c r="AO666" s="23"/>
      <c r="AP666" s="23"/>
      <c r="AQ666" s="23"/>
      <c r="AR666" s="23"/>
      <c r="AS666" s="23"/>
      <c r="AT666" s="23"/>
      <c r="AU666" s="23"/>
      <c r="AV666" s="23"/>
      <c r="AW666" s="23"/>
      <c r="AX666" s="23"/>
      <c r="AY666" s="23"/>
      <c r="AZ666" s="23"/>
      <c r="BA666" s="23"/>
      <c r="BB666" s="23"/>
      <c r="BC666" s="23"/>
    </row>
    <row r="667">
      <c r="AO667" s="23"/>
      <c r="AP667" s="23"/>
      <c r="AQ667" s="23"/>
      <c r="AR667" s="23"/>
      <c r="AS667" s="23"/>
      <c r="AT667" s="23"/>
      <c r="AU667" s="23"/>
      <c r="AV667" s="23"/>
      <c r="AW667" s="23"/>
      <c r="AX667" s="23"/>
      <c r="AY667" s="23"/>
      <c r="AZ667" s="23"/>
      <c r="BA667" s="23"/>
      <c r="BB667" s="23"/>
      <c r="BC667" s="23"/>
    </row>
    <row r="668">
      <c r="AO668" s="23"/>
      <c r="AP668" s="23"/>
      <c r="AQ668" s="23"/>
      <c r="AR668" s="23"/>
      <c r="AS668" s="23"/>
      <c r="AT668" s="23"/>
      <c r="AU668" s="23"/>
      <c r="AV668" s="23"/>
      <c r="AW668" s="23"/>
      <c r="AX668" s="23"/>
      <c r="AY668" s="23"/>
      <c r="AZ668" s="23"/>
      <c r="BA668" s="23"/>
      <c r="BB668" s="23"/>
      <c r="BC668" s="23"/>
    </row>
    <row r="669">
      <c r="AO669" s="23"/>
      <c r="AP669" s="23"/>
      <c r="AQ669" s="23"/>
      <c r="AR669" s="23"/>
      <c r="AS669" s="23"/>
      <c r="AT669" s="23"/>
      <c r="AU669" s="23"/>
      <c r="AV669" s="23"/>
      <c r="AW669" s="23"/>
      <c r="AX669" s="23"/>
      <c r="AY669" s="23"/>
      <c r="AZ669" s="23"/>
      <c r="BA669" s="23"/>
      <c r="BB669" s="23"/>
      <c r="BC669" s="23"/>
    </row>
    <row r="670">
      <c r="AO670" s="23"/>
      <c r="AP670" s="23"/>
      <c r="AQ670" s="23"/>
      <c r="AR670" s="23"/>
      <c r="AS670" s="23"/>
      <c r="AT670" s="23"/>
      <c r="AU670" s="23"/>
      <c r="AV670" s="23"/>
      <c r="AW670" s="23"/>
      <c r="AX670" s="23"/>
      <c r="AY670" s="23"/>
      <c r="AZ670" s="23"/>
      <c r="BA670" s="23"/>
      <c r="BB670" s="23"/>
      <c r="BC670" s="23"/>
    </row>
    <row r="671">
      <c r="AO671" s="23"/>
      <c r="AP671" s="23"/>
      <c r="AQ671" s="23"/>
      <c r="AR671" s="23"/>
      <c r="AS671" s="23"/>
      <c r="AT671" s="23"/>
      <c r="AU671" s="23"/>
      <c r="AV671" s="23"/>
      <c r="AW671" s="23"/>
      <c r="AX671" s="23"/>
      <c r="AY671" s="23"/>
      <c r="AZ671" s="23"/>
      <c r="BA671" s="23"/>
      <c r="BB671" s="23"/>
      <c r="BC671" s="23"/>
    </row>
    <row r="672">
      <c r="AO672" s="23"/>
      <c r="AP672" s="23"/>
      <c r="AQ672" s="23"/>
      <c r="AR672" s="23"/>
      <c r="AS672" s="23"/>
      <c r="AT672" s="23"/>
      <c r="AU672" s="23"/>
      <c r="AV672" s="23"/>
      <c r="AW672" s="23"/>
      <c r="AX672" s="23"/>
      <c r="AY672" s="23"/>
      <c r="AZ672" s="23"/>
      <c r="BA672" s="23"/>
      <c r="BB672" s="23"/>
      <c r="BC672" s="23"/>
    </row>
    <row r="673">
      <c r="AO673" s="23"/>
      <c r="AP673" s="23"/>
      <c r="AQ673" s="23"/>
      <c r="AR673" s="23"/>
      <c r="AS673" s="23"/>
      <c r="AT673" s="23"/>
      <c r="AU673" s="23"/>
      <c r="AV673" s="23"/>
      <c r="AW673" s="23"/>
      <c r="AX673" s="23"/>
      <c r="AY673" s="23"/>
      <c r="AZ673" s="23"/>
      <c r="BA673" s="23"/>
      <c r="BB673" s="23"/>
      <c r="BC673" s="23"/>
    </row>
    <row r="674">
      <c r="AO674" s="23"/>
      <c r="AP674" s="23"/>
      <c r="AQ674" s="23"/>
      <c r="AR674" s="23"/>
      <c r="AS674" s="23"/>
      <c r="AT674" s="23"/>
      <c r="AU674" s="23"/>
      <c r="AV674" s="23"/>
      <c r="AW674" s="23"/>
      <c r="AX674" s="23"/>
      <c r="AY674" s="23"/>
      <c r="AZ674" s="23"/>
      <c r="BA674" s="23"/>
      <c r="BB674" s="23"/>
      <c r="BC674" s="23"/>
    </row>
    <row r="675">
      <c r="AO675" s="23"/>
      <c r="AP675" s="23"/>
      <c r="AQ675" s="23"/>
      <c r="AR675" s="23"/>
      <c r="AS675" s="23"/>
      <c r="AT675" s="23"/>
      <c r="AU675" s="23"/>
      <c r="AV675" s="23"/>
      <c r="AW675" s="23"/>
      <c r="AX675" s="23"/>
      <c r="AY675" s="23"/>
      <c r="AZ675" s="23"/>
      <c r="BA675" s="23"/>
      <c r="BB675" s="23"/>
      <c r="BC675" s="23"/>
    </row>
    <row r="676">
      <c r="AO676" s="23"/>
      <c r="AP676" s="23"/>
      <c r="AQ676" s="23"/>
      <c r="AR676" s="23"/>
      <c r="AS676" s="23"/>
      <c r="AT676" s="23"/>
      <c r="AU676" s="23"/>
      <c r="AV676" s="23"/>
      <c r="AW676" s="23"/>
      <c r="AX676" s="23"/>
      <c r="AY676" s="23"/>
      <c r="AZ676" s="23"/>
      <c r="BA676" s="23"/>
      <c r="BB676" s="23"/>
      <c r="BC676" s="23"/>
    </row>
    <row r="677">
      <c r="AO677" s="23"/>
      <c r="AP677" s="23"/>
      <c r="AQ677" s="23"/>
      <c r="AR677" s="23"/>
      <c r="AS677" s="23"/>
      <c r="AT677" s="23"/>
      <c r="AU677" s="23"/>
      <c r="AV677" s="23"/>
      <c r="AW677" s="23"/>
      <c r="AX677" s="23"/>
      <c r="AY677" s="23"/>
      <c r="AZ677" s="23"/>
      <c r="BA677" s="23"/>
      <c r="BB677" s="23"/>
      <c r="BC677" s="23"/>
    </row>
    <row r="678">
      <c r="AO678" s="23"/>
      <c r="AP678" s="23"/>
      <c r="AQ678" s="23"/>
      <c r="AR678" s="23"/>
      <c r="AS678" s="23"/>
      <c r="AT678" s="23"/>
      <c r="AU678" s="23"/>
      <c r="AV678" s="23"/>
      <c r="AW678" s="23"/>
      <c r="AX678" s="23"/>
      <c r="AY678" s="23"/>
      <c r="AZ678" s="23"/>
      <c r="BA678" s="23"/>
      <c r="BB678" s="23"/>
      <c r="BC678" s="23"/>
    </row>
    <row r="679">
      <c r="AO679" s="23"/>
      <c r="AP679" s="23"/>
      <c r="AQ679" s="23"/>
      <c r="AR679" s="23"/>
      <c r="AS679" s="23"/>
      <c r="AT679" s="23"/>
      <c r="AU679" s="23"/>
      <c r="AV679" s="23"/>
      <c r="AW679" s="23"/>
      <c r="AX679" s="23"/>
      <c r="AY679" s="23"/>
      <c r="AZ679" s="23"/>
      <c r="BA679" s="23"/>
      <c r="BB679" s="23"/>
      <c r="BC679" s="23"/>
    </row>
    <row r="680">
      <c r="AO680" s="23"/>
      <c r="AP680" s="23"/>
      <c r="AQ680" s="23"/>
      <c r="AR680" s="23"/>
      <c r="AS680" s="23"/>
      <c r="AT680" s="23"/>
      <c r="AU680" s="23"/>
      <c r="AV680" s="23"/>
      <c r="AW680" s="23"/>
      <c r="AX680" s="23"/>
      <c r="AY680" s="23"/>
      <c r="AZ680" s="23"/>
      <c r="BA680" s="23"/>
      <c r="BB680" s="23"/>
      <c r="BC680" s="23"/>
    </row>
    <row r="681">
      <c r="AO681" s="23"/>
      <c r="AP681" s="23"/>
      <c r="AQ681" s="23"/>
      <c r="AR681" s="23"/>
      <c r="AS681" s="23"/>
      <c r="AT681" s="23"/>
      <c r="AU681" s="23"/>
      <c r="AV681" s="23"/>
      <c r="AW681" s="23"/>
      <c r="AX681" s="23"/>
      <c r="AY681" s="23"/>
      <c r="AZ681" s="23"/>
      <c r="BA681" s="23"/>
      <c r="BB681" s="23"/>
      <c r="BC681" s="23"/>
    </row>
    <row r="682">
      <c r="AO682" s="23"/>
      <c r="AP682" s="23"/>
      <c r="AQ682" s="23"/>
      <c r="AR682" s="23"/>
      <c r="AS682" s="23"/>
      <c r="AT682" s="23"/>
      <c r="AU682" s="23"/>
      <c r="AV682" s="23"/>
      <c r="AW682" s="23"/>
      <c r="AX682" s="23"/>
      <c r="AY682" s="23"/>
      <c r="AZ682" s="23"/>
      <c r="BA682" s="23"/>
      <c r="BB682" s="23"/>
      <c r="BC682" s="23"/>
    </row>
    <row r="683">
      <c r="AO683" s="23"/>
      <c r="AP683" s="23"/>
      <c r="AQ683" s="23"/>
      <c r="AR683" s="23"/>
      <c r="AS683" s="23"/>
      <c r="AT683" s="23"/>
      <c r="AU683" s="23"/>
      <c r="AV683" s="23"/>
      <c r="AW683" s="23"/>
      <c r="AX683" s="23"/>
      <c r="AY683" s="23"/>
      <c r="AZ683" s="23"/>
      <c r="BA683" s="23"/>
      <c r="BB683" s="23"/>
      <c r="BC683" s="23"/>
    </row>
    <row r="684">
      <c r="AO684" s="23"/>
      <c r="AP684" s="23"/>
      <c r="AQ684" s="23"/>
      <c r="AR684" s="23"/>
      <c r="AS684" s="23"/>
      <c r="AT684" s="23"/>
      <c r="AU684" s="23"/>
      <c r="AV684" s="23"/>
      <c r="AW684" s="23"/>
      <c r="AX684" s="23"/>
      <c r="AY684" s="23"/>
      <c r="AZ684" s="23"/>
      <c r="BA684" s="23"/>
      <c r="BB684" s="23"/>
      <c r="BC684" s="23"/>
    </row>
    <row r="685">
      <c r="AO685" s="23"/>
      <c r="AP685" s="23"/>
      <c r="AQ685" s="23"/>
      <c r="AR685" s="23"/>
      <c r="AS685" s="23"/>
      <c r="AT685" s="23"/>
      <c r="AU685" s="23"/>
      <c r="AV685" s="23"/>
      <c r="AW685" s="23"/>
      <c r="AX685" s="23"/>
      <c r="AY685" s="23"/>
      <c r="AZ685" s="23"/>
      <c r="BA685" s="23"/>
      <c r="BB685" s="23"/>
      <c r="BC685" s="23"/>
    </row>
    <row r="686">
      <c r="AO686" s="23"/>
      <c r="AP686" s="23"/>
      <c r="AQ686" s="23"/>
      <c r="AR686" s="23"/>
      <c r="AS686" s="23"/>
      <c r="AT686" s="23"/>
      <c r="AU686" s="23"/>
      <c r="AV686" s="23"/>
      <c r="AW686" s="23"/>
      <c r="AX686" s="23"/>
      <c r="AY686" s="23"/>
      <c r="AZ686" s="23"/>
      <c r="BA686" s="23"/>
      <c r="BB686" s="23"/>
      <c r="BC686" s="23"/>
    </row>
    <row r="687">
      <c r="AO687" s="23"/>
      <c r="AP687" s="23"/>
      <c r="AQ687" s="23"/>
      <c r="AR687" s="23"/>
      <c r="AS687" s="23"/>
      <c r="AT687" s="23"/>
      <c r="AU687" s="23"/>
      <c r="AV687" s="23"/>
      <c r="AW687" s="23"/>
      <c r="AX687" s="23"/>
      <c r="AY687" s="23"/>
      <c r="AZ687" s="23"/>
      <c r="BA687" s="23"/>
      <c r="BB687" s="23"/>
      <c r="BC687" s="23"/>
    </row>
    <row r="688">
      <c r="AO688" s="23"/>
      <c r="AP688" s="23"/>
      <c r="AQ688" s="23"/>
      <c r="AR688" s="23"/>
      <c r="AS688" s="23"/>
      <c r="AT688" s="23"/>
      <c r="AU688" s="23"/>
      <c r="AV688" s="23"/>
      <c r="AW688" s="23"/>
      <c r="AX688" s="23"/>
      <c r="AY688" s="23"/>
      <c r="AZ688" s="23"/>
      <c r="BA688" s="23"/>
      <c r="BB688" s="23"/>
      <c r="BC688" s="23"/>
    </row>
    <row r="689">
      <c r="AO689" s="23"/>
      <c r="AP689" s="23"/>
      <c r="AQ689" s="23"/>
      <c r="AR689" s="23"/>
      <c r="AS689" s="23"/>
      <c r="AT689" s="23"/>
      <c r="AU689" s="23"/>
      <c r="AV689" s="23"/>
      <c r="AW689" s="23"/>
      <c r="AX689" s="23"/>
      <c r="AY689" s="23"/>
      <c r="AZ689" s="23"/>
      <c r="BA689" s="23"/>
      <c r="BB689" s="23"/>
      <c r="BC689" s="23"/>
    </row>
    <row r="690">
      <c r="AO690" s="23"/>
      <c r="AP690" s="23"/>
      <c r="AQ690" s="23"/>
      <c r="AR690" s="23"/>
      <c r="AS690" s="23"/>
      <c r="AT690" s="23"/>
      <c r="AU690" s="23"/>
      <c r="AV690" s="23"/>
      <c r="AW690" s="23"/>
      <c r="AX690" s="23"/>
      <c r="AY690" s="23"/>
      <c r="AZ690" s="23"/>
      <c r="BA690" s="23"/>
      <c r="BB690" s="23"/>
      <c r="BC690" s="23"/>
    </row>
    <row r="691">
      <c r="AO691" s="23"/>
      <c r="AP691" s="23"/>
      <c r="AQ691" s="23"/>
      <c r="AR691" s="23"/>
      <c r="AS691" s="23"/>
      <c r="AT691" s="23"/>
      <c r="AU691" s="23"/>
      <c r="AV691" s="23"/>
      <c r="AW691" s="23"/>
      <c r="AX691" s="23"/>
      <c r="AY691" s="23"/>
      <c r="AZ691" s="23"/>
      <c r="BA691" s="23"/>
      <c r="BB691" s="23"/>
      <c r="BC691" s="23"/>
    </row>
    <row r="692">
      <c r="AO692" s="23"/>
      <c r="AP692" s="23"/>
      <c r="AQ692" s="23"/>
      <c r="AR692" s="23"/>
      <c r="AS692" s="23"/>
      <c r="AT692" s="23"/>
      <c r="AU692" s="23"/>
      <c r="AV692" s="23"/>
      <c r="AW692" s="23"/>
      <c r="AX692" s="23"/>
      <c r="AY692" s="23"/>
      <c r="AZ692" s="23"/>
      <c r="BA692" s="23"/>
      <c r="BB692" s="23"/>
      <c r="BC692" s="23"/>
    </row>
    <row r="693">
      <c r="AO693" s="23"/>
      <c r="AP693" s="23"/>
      <c r="AQ693" s="23"/>
      <c r="AR693" s="23"/>
      <c r="AS693" s="23"/>
      <c r="AT693" s="23"/>
      <c r="AU693" s="23"/>
      <c r="AV693" s="23"/>
      <c r="AW693" s="23"/>
      <c r="AX693" s="23"/>
      <c r="AY693" s="23"/>
      <c r="AZ693" s="23"/>
      <c r="BA693" s="23"/>
      <c r="BB693" s="23"/>
      <c r="BC693" s="23"/>
    </row>
    <row r="694">
      <c r="AO694" s="23"/>
      <c r="AP694" s="23"/>
      <c r="AQ694" s="23"/>
      <c r="AR694" s="23"/>
      <c r="AS694" s="23"/>
      <c r="AT694" s="23"/>
      <c r="AU694" s="23"/>
      <c r="AV694" s="23"/>
      <c r="AW694" s="23"/>
      <c r="AX694" s="23"/>
      <c r="AY694" s="23"/>
      <c r="AZ694" s="23"/>
      <c r="BA694" s="23"/>
      <c r="BB694" s="23"/>
      <c r="BC694" s="23"/>
    </row>
    <row r="695">
      <c r="AO695" s="23"/>
      <c r="AP695" s="23"/>
      <c r="AQ695" s="23"/>
      <c r="AR695" s="23"/>
      <c r="AS695" s="23"/>
      <c r="AT695" s="23"/>
      <c r="AU695" s="23"/>
      <c r="AV695" s="23"/>
      <c r="AW695" s="23"/>
      <c r="AX695" s="23"/>
      <c r="AY695" s="23"/>
      <c r="AZ695" s="23"/>
      <c r="BA695" s="23"/>
      <c r="BB695" s="23"/>
      <c r="BC695" s="23"/>
    </row>
    <row r="696">
      <c r="AO696" s="23"/>
      <c r="AP696" s="23"/>
      <c r="AQ696" s="23"/>
      <c r="AR696" s="23"/>
      <c r="AS696" s="23"/>
      <c r="AT696" s="23"/>
      <c r="AU696" s="23"/>
      <c r="AV696" s="23"/>
      <c r="AW696" s="23"/>
      <c r="AX696" s="23"/>
      <c r="AY696" s="23"/>
      <c r="AZ696" s="23"/>
      <c r="BA696" s="23"/>
      <c r="BB696" s="23"/>
      <c r="BC696" s="23"/>
    </row>
    <row r="697">
      <c r="AO697" s="23"/>
      <c r="AP697" s="23"/>
      <c r="AQ697" s="23"/>
      <c r="AR697" s="23"/>
      <c r="AS697" s="23"/>
      <c r="AT697" s="23"/>
      <c r="AU697" s="23"/>
      <c r="AV697" s="23"/>
      <c r="AW697" s="23"/>
      <c r="AX697" s="23"/>
      <c r="AY697" s="23"/>
      <c r="AZ697" s="23"/>
      <c r="BA697" s="23"/>
      <c r="BB697" s="23"/>
      <c r="BC697" s="23"/>
    </row>
    <row r="698">
      <c r="AO698" s="23"/>
      <c r="AP698" s="23"/>
      <c r="AQ698" s="23"/>
      <c r="AR698" s="23"/>
      <c r="AS698" s="23"/>
      <c r="AT698" s="23"/>
      <c r="AU698" s="23"/>
      <c r="AV698" s="23"/>
      <c r="AW698" s="23"/>
      <c r="AX698" s="23"/>
      <c r="AY698" s="23"/>
      <c r="AZ698" s="23"/>
      <c r="BA698" s="23"/>
      <c r="BB698" s="23"/>
      <c r="BC698" s="23"/>
    </row>
    <row r="699">
      <c r="AO699" s="23"/>
      <c r="AP699" s="23"/>
      <c r="AQ699" s="23"/>
      <c r="AR699" s="23"/>
      <c r="AS699" s="23"/>
      <c r="AT699" s="23"/>
      <c r="AU699" s="23"/>
      <c r="AV699" s="23"/>
      <c r="AW699" s="23"/>
      <c r="AX699" s="23"/>
      <c r="AY699" s="23"/>
      <c r="AZ699" s="23"/>
      <c r="BA699" s="23"/>
      <c r="BB699" s="23"/>
      <c r="BC699" s="23"/>
    </row>
    <row r="700">
      <c r="AO700" s="23"/>
      <c r="AP700" s="23"/>
      <c r="AQ700" s="23"/>
      <c r="AR700" s="23"/>
      <c r="AS700" s="23"/>
      <c r="AT700" s="23"/>
      <c r="AU700" s="23"/>
      <c r="AV700" s="23"/>
      <c r="AW700" s="23"/>
      <c r="AX700" s="23"/>
      <c r="AY700" s="23"/>
      <c r="AZ700" s="23"/>
      <c r="BA700" s="23"/>
      <c r="BB700" s="23"/>
      <c r="BC700" s="23"/>
    </row>
    <row r="701">
      <c r="AO701" s="23"/>
      <c r="AP701" s="23"/>
      <c r="AQ701" s="23"/>
      <c r="AR701" s="23"/>
      <c r="AS701" s="23"/>
      <c r="AT701" s="23"/>
      <c r="AU701" s="23"/>
      <c r="AV701" s="23"/>
      <c r="AW701" s="23"/>
      <c r="AX701" s="23"/>
      <c r="AY701" s="23"/>
      <c r="AZ701" s="23"/>
      <c r="BA701" s="23"/>
      <c r="BB701" s="23"/>
      <c r="BC701" s="23"/>
    </row>
    <row r="702">
      <c r="AO702" s="23"/>
      <c r="AP702" s="23"/>
      <c r="AQ702" s="23"/>
      <c r="AR702" s="23"/>
      <c r="AS702" s="23"/>
      <c r="AT702" s="23"/>
      <c r="AU702" s="23"/>
      <c r="AV702" s="23"/>
      <c r="AW702" s="23"/>
      <c r="AX702" s="23"/>
      <c r="AY702" s="23"/>
      <c r="AZ702" s="23"/>
      <c r="BA702" s="23"/>
      <c r="BB702" s="23"/>
      <c r="BC702" s="23"/>
    </row>
    <row r="703">
      <c r="AO703" s="23"/>
      <c r="AP703" s="23"/>
      <c r="AQ703" s="23"/>
      <c r="AR703" s="23"/>
      <c r="AS703" s="23"/>
      <c r="AT703" s="23"/>
      <c r="AU703" s="23"/>
      <c r="AV703" s="23"/>
      <c r="AW703" s="23"/>
      <c r="AX703" s="23"/>
      <c r="AY703" s="23"/>
      <c r="AZ703" s="23"/>
      <c r="BA703" s="23"/>
      <c r="BB703" s="23"/>
      <c r="BC703" s="23"/>
    </row>
    <row r="704">
      <c r="AO704" s="23"/>
      <c r="AP704" s="23"/>
      <c r="AQ704" s="23"/>
      <c r="AR704" s="23"/>
      <c r="AS704" s="23"/>
      <c r="AT704" s="23"/>
      <c r="AU704" s="23"/>
      <c r="AV704" s="23"/>
      <c r="AW704" s="23"/>
      <c r="AX704" s="23"/>
      <c r="AY704" s="23"/>
      <c r="AZ704" s="23"/>
      <c r="BA704" s="23"/>
      <c r="BB704" s="23"/>
      <c r="BC704" s="23"/>
    </row>
    <row r="705">
      <c r="AO705" s="23"/>
      <c r="AP705" s="23"/>
      <c r="AQ705" s="23"/>
      <c r="AR705" s="23"/>
      <c r="AS705" s="23"/>
      <c r="AT705" s="23"/>
      <c r="AU705" s="23"/>
      <c r="AV705" s="23"/>
      <c r="AW705" s="23"/>
      <c r="AX705" s="23"/>
      <c r="AY705" s="23"/>
      <c r="AZ705" s="23"/>
      <c r="BA705" s="23"/>
      <c r="BB705" s="23"/>
      <c r="BC705" s="23"/>
    </row>
    <row r="706">
      <c r="AO706" s="23"/>
      <c r="AP706" s="23"/>
      <c r="AQ706" s="23"/>
      <c r="AR706" s="23"/>
      <c r="AS706" s="23"/>
      <c r="AT706" s="23"/>
      <c r="AU706" s="23"/>
      <c r="AV706" s="23"/>
      <c r="AW706" s="23"/>
      <c r="AX706" s="23"/>
      <c r="AY706" s="23"/>
      <c r="AZ706" s="23"/>
      <c r="BA706" s="23"/>
      <c r="BB706" s="23"/>
      <c r="BC706" s="23"/>
    </row>
    <row r="707">
      <c r="AO707" s="23"/>
      <c r="AP707" s="23"/>
      <c r="AQ707" s="23"/>
      <c r="AR707" s="23"/>
      <c r="AS707" s="23"/>
      <c r="AT707" s="23"/>
      <c r="AU707" s="23"/>
      <c r="AV707" s="23"/>
      <c r="AW707" s="23"/>
      <c r="AX707" s="23"/>
      <c r="AY707" s="23"/>
      <c r="AZ707" s="23"/>
      <c r="BA707" s="23"/>
      <c r="BB707" s="23"/>
      <c r="BC707" s="23"/>
    </row>
    <row r="708">
      <c r="AO708" s="23"/>
      <c r="AP708" s="23"/>
      <c r="AQ708" s="23"/>
      <c r="AR708" s="23"/>
      <c r="AS708" s="23"/>
      <c r="AT708" s="23"/>
      <c r="AU708" s="23"/>
      <c r="AV708" s="23"/>
      <c r="AW708" s="23"/>
      <c r="AX708" s="23"/>
      <c r="AY708" s="23"/>
      <c r="AZ708" s="23"/>
      <c r="BA708" s="23"/>
      <c r="BB708" s="23"/>
      <c r="BC708" s="23"/>
    </row>
    <row r="709">
      <c r="AO709" s="23"/>
      <c r="AP709" s="23"/>
      <c r="AQ709" s="23"/>
      <c r="AR709" s="23"/>
      <c r="AS709" s="23"/>
      <c r="AT709" s="23"/>
      <c r="AU709" s="23"/>
      <c r="AV709" s="23"/>
      <c r="AW709" s="23"/>
      <c r="AX709" s="23"/>
      <c r="AY709" s="23"/>
      <c r="AZ709" s="23"/>
      <c r="BA709" s="23"/>
      <c r="BB709" s="23"/>
      <c r="BC709" s="23"/>
    </row>
    <row r="710">
      <c r="AO710" s="23"/>
      <c r="AP710" s="23"/>
      <c r="AQ710" s="23"/>
      <c r="AR710" s="23"/>
      <c r="AS710" s="23"/>
      <c r="AT710" s="23"/>
      <c r="AU710" s="23"/>
      <c r="AV710" s="23"/>
      <c r="AW710" s="23"/>
      <c r="AX710" s="23"/>
      <c r="AY710" s="23"/>
      <c r="AZ710" s="23"/>
      <c r="BA710" s="23"/>
      <c r="BB710" s="23"/>
      <c r="BC710" s="23"/>
    </row>
    <row r="711">
      <c r="AO711" s="23"/>
      <c r="AP711" s="23"/>
      <c r="AQ711" s="23"/>
      <c r="AR711" s="23"/>
      <c r="AS711" s="23"/>
      <c r="AT711" s="23"/>
      <c r="AU711" s="23"/>
      <c r="AV711" s="23"/>
      <c r="AW711" s="23"/>
      <c r="AX711" s="23"/>
      <c r="AY711" s="23"/>
      <c r="AZ711" s="23"/>
      <c r="BA711" s="23"/>
      <c r="BB711" s="23"/>
      <c r="BC711" s="23"/>
    </row>
    <row r="712">
      <c r="AO712" s="23"/>
      <c r="AP712" s="23"/>
      <c r="AQ712" s="23"/>
      <c r="AR712" s="23"/>
      <c r="AS712" s="23"/>
      <c r="AT712" s="23"/>
      <c r="AU712" s="23"/>
      <c r="AV712" s="23"/>
      <c r="AW712" s="23"/>
      <c r="AX712" s="23"/>
      <c r="AY712" s="23"/>
      <c r="AZ712" s="23"/>
      <c r="BA712" s="23"/>
      <c r="BB712" s="23"/>
      <c r="BC712" s="23"/>
    </row>
    <row r="713">
      <c r="AO713" s="23"/>
      <c r="AP713" s="23"/>
      <c r="AQ713" s="23"/>
      <c r="AR713" s="23"/>
      <c r="AS713" s="23"/>
      <c r="AT713" s="23"/>
      <c r="AU713" s="23"/>
      <c r="AV713" s="23"/>
      <c r="AW713" s="23"/>
      <c r="AX713" s="23"/>
      <c r="AY713" s="23"/>
      <c r="AZ713" s="23"/>
      <c r="BA713" s="23"/>
      <c r="BB713" s="23"/>
      <c r="BC713" s="23"/>
    </row>
    <row r="714">
      <c r="AO714" s="23"/>
      <c r="AP714" s="23"/>
      <c r="AQ714" s="23"/>
      <c r="AR714" s="23"/>
      <c r="AS714" s="23"/>
      <c r="AT714" s="23"/>
      <c r="AU714" s="23"/>
      <c r="AV714" s="23"/>
      <c r="AW714" s="23"/>
      <c r="AX714" s="23"/>
      <c r="AY714" s="23"/>
      <c r="AZ714" s="23"/>
      <c r="BA714" s="23"/>
      <c r="BB714" s="23"/>
      <c r="BC714" s="23"/>
    </row>
    <row r="715">
      <c r="AO715" s="23"/>
      <c r="AP715" s="23"/>
      <c r="AQ715" s="23"/>
      <c r="AR715" s="23"/>
      <c r="AS715" s="23"/>
      <c r="AT715" s="23"/>
      <c r="AU715" s="23"/>
      <c r="AV715" s="23"/>
      <c r="AW715" s="23"/>
      <c r="AX715" s="23"/>
      <c r="AY715" s="23"/>
      <c r="AZ715" s="23"/>
      <c r="BA715" s="23"/>
      <c r="BB715" s="23"/>
      <c r="BC715" s="23"/>
    </row>
    <row r="716">
      <c r="AO716" s="23"/>
      <c r="AP716" s="23"/>
      <c r="AQ716" s="23"/>
      <c r="AR716" s="23"/>
      <c r="AS716" s="23"/>
      <c r="AT716" s="23"/>
      <c r="AU716" s="23"/>
      <c r="AV716" s="23"/>
      <c r="AW716" s="23"/>
      <c r="AX716" s="23"/>
      <c r="AY716" s="23"/>
      <c r="AZ716" s="23"/>
      <c r="BA716" s="23"/>
      <c r="BB716" s="23"/>
      <c r="BC716" s="23"/>
    </row>
    <row r="717">
      <c r="AO717" s="23"/>
      <c r="AP717" s="23"/>
      <c r="AQ717" s="23"/>
      <c r="AR717" s="23"/>
      <c r="AS717" s="23"/>
      <c r="AT717" s="23"/>
      <c r="AU717" s="23"/>
      <c r="AV717" s="23"/>
      <c r="AW717" s="23"/>
      <c r="AX717" s="23"/>
      <c r="AY717" s="23"/>
      <c r="AZ717" s="23"/>
      <c r="BA717" s="23"/>
      <c r="BB717" s="23"/>
      <c r="BC717" s="23"/>
    </row>
    <row r="718">
      <c r="AO718" s="23"/>
      <c r="AP718" s="23"/>
      <c r="AQ718" s="23"/>
      <c r="AR718" s="23"/>
      <c r="AS718" s="23"/>
      <c r="AT718" s="23"/>
      <c r="AU718" s="23"/>
      <c r="AV718" s="23"/>
      <c r="AW718" s="23"/>
      <c r="AX718" s="23"/>
      <c r="AY718" s="23"/>
      <c r="AZ718" s="23"/>
      <c r="BA718" s="23"/>
      <c r="BB718" s="23"/>
      <c r="BC718" s="23"/>
    </row>
    <row r="719">
      <c r="AO719" s="23"/>
      <c r="AP719" s="23"/>
      <c r="AQ719" s="23"/>
      <c r="AR719" s="23"/>
      <c r="AS719" s="23"/>
      <c r="AT719" s="23"/>
      <c r="AU719" s="23"/>
      <c r="AV719" s="23"/>
      <c r="AW719" s="23"/>
      <c r="AX719" s="23"/>
      <c r="AY719" s="23"/>
      <c r="AZ719" s="23"/>
      <c r="BA719" s="23"/>
      <c r="BB719" s="23"/>
      <c r="BC719" s="23"/>
    </row>
    <row r="720">
      <c r="AO720" s="23"/>
      <c r="AP720" s="23"/>
      <c r="AQ720" s="23"/>
      <c r="AR720" s="23"/>
      <c r="AS720" s="23"/>
      <c r="AT720" s="23"/>
      <c r="AU720" s="23"/>
      <c r="AV720" s="23"/>
      <c r="AW720" s="23"/>
      <c r="AX720" s="23"/>
      <c r="AY720" s="23"/>
      <c r="AZ720" s="23"/>
      <c r="BA720" s="23"/>
      <c r="BB720" s="23"/>
      <c r="BC720" s="23"/>
    </row>
    <row r="721">
      <c r="AO721" s="23"/>
      <c r="AP721" s="23"/>
      <c r="AQ721" s="23"/>
      <c r="AR721" s="23"/>
      <c r="AS721" s="23"/>
      <c r="AT721" s="23"/>
      <c r="AU721" s="23"/>
      <c r="AV721" s="23"/>
      <c r="AW721" s="23"/>
      <c r="AX721" s="23"/>
      <c r="AY721" s="23"/>
      <c r="AZ721" s="23"/>
      <c r="BA721" s="23"/>
      <c r="BB721" s="23"/>
      <c r="BC721" s="23"/>
    </row>
    <row r="722">
      <c r="AO722" s="23"/>
      <c r="AP722" s="23"/>
      <c r="AQ722" s="23"/>
      <c r="AR722" s="23"/>
      <c r="AS722" s="23"/>
      <c r="AT722" s="23"/>
      <c r="AU722" s="23"/>
      <c r="AV722" s="23"/>
      <c r="AW722" s="23"/>
      <c r="AX722" s="23"/>
      <c r="AY722" s="23"/>
      <c r="AZ722" s="23"/>
      <c r="BA722" s="23"/>
      <c r="BB722" s="23"/>
      <c r="BC722" s="23"/>
    </row>
    <row r="723">
      <c r="AO723" s="23"/>
      <c r="AP723" s="23"/>
      <c r="AQ723" s="23"/>
      <c r="AR723" s="23"/>
      <c r="AS723" s="23"/>
      <c r="AT723" s="23"/>
      <c r="AU723" s="23"/>
      <c r="AV723" s="23"/>
      <c r="AW723" s="23"/>
      <c r="AX723" s="23"/>
      <c r="AY723" s="23"/>
      <c r="AZ723" s="23"/>
      <c r="BA723" s="23"/>
      <c r="BB723" s="23"/>
      <c r="BC723" s="23"/>
    </row>
    <row r="724">
      <c r="AO724" s="23"/>
      <c r="AP724" s="23"/>
      <c r="AQ724" s="23"/>
      <c r="AR724" s="23"/>
      <c r="AS724" s="23"/>
      <c r="AT724" s="23"/>
      <c r="AU724" s="23"/>
      <c r="AV724" s="23"/>
      <c r="AW724" s="23"/>
      <c r="AX724" s="23"/>
      <c r="AY724" s="23"/>
      <c r="AZ724" s="23"/>
      <c r="BA724" s="23"/>
      <c r="BB724" s="23"/>
      <c r="BC724" s="23"/>
    </row>
    <row r="725">
      <c r="AO725" s="23"/>
      <c r="AP725" s="23"/>
      <c r="AQ725" s="23"/>
      <c r="AR725" s="23"/>
      <c r="AS725" s="23"/>
      <c r="AT725" s="23"/>
      <c r="AU725" s="23"/>
      <c r="AV725" s="23"/>
      <c r="AW725" s="23"/>
      <c r="AX725" s="23"/>
      <c r="AY725" s="23"/>
      <c r="AZ725" s="23"/>
      <c r="BA725" s="23"/>
      <c r="BB725" s="23"/>
      <c r="BC725" s="23"/>
    </row>
    <row r="726">
      <c r="AO726" s="23"/>
      <c r="AP726" s="23"/>
      <c r="AQ726" s="23"/>
      <c r="AR726" s="23"/>
      <c r="AS726" s="23"/>
      <c r="AT726" s="23"/>
      <c r="AU726" s="23"/>
      <c r="AV726" s="23"/>
      <c r="AW726" s="23"/>
      <c r="AX726" s="23"/>
      <c r="AY726" s="23"/>
      <c r="AZ726" s="23"/>
      <c r="BA726" s="23"/>
      <c r="BB726" s="23"/>
      <c r="BC726" s="23"/>
    </row>
    <row r="727">
      <c r="AO727" s="23"/>
      <c r="AP727" s="23"/>
      <c r="AQ727" s="23"/>
      <c r="AR727" s="23"/>
      <c r="AS727" s="23"/>
      <c r="AT727" s="23"/>
      <c r="AU727" s="23"/>
      <c r="AV727" s="23"/>
      <c r="AW727" s="23"/>
      <c r="AX727" s="23"/>
      <c r="AY727" s="23"/>
      <c r="AZ727" s="23"/>
      <c r="BA727" s="23"/>
      <c r="BB727" s="23"/>
      <c r="BC727" s="23"/>
    </row>
    <row r="728">
      <c r="AO728" s="23"/>
      <c r="AP728" s="23"/>
      <c r="AQ728" s="23"/>
      <c r="AR728" s="23"/>
      <c r="AS728" s="23"/>
      <c r="AT728" s="23"/>
      <c r="AU728" s="23"/>
      <c r="AV728" s="23"/>
      <c r="AW728" s="23"/>
      <c r="AX728" s="23"/>
      <c r="AY728" s="23"/>
      <c r="AZ728" s="23"/>
      <c r="BA728" s="23"/>
      <c r="BB728" s="23"/>
      <c r="BC728" s="23"/>
    </row>
    <row r="729">
      <c r="AO729" s="23"/>
      <c r="AP729" s="23"/>
      <c r="AQ729" s="23"/>
      <c r="AR729" s="23"/>
      <c r="AS729" s="23"/>
      <c r="AT729" s="23"/>
      <c r="AU729" s="23"/>
      <c r="AV729" s="23"/>
      <c r="AW729" s="23"/>
      <c r="AX729" s="23"/>
      <c r="AY729" s="23"/>
      <c r="AZ729" s="23"/>
      <c r="BA729" s="23"/>
      <c r="BB729" s="23"/>
      <c r="BC729" s="23"/>
    </row>
    <row r="730">
      <c r="AO730" s="23"/>
      <c r="AP730" s="23"/>
      <c r="AQ730" s="23"/>
      <c r="AR730" s="23"/>
      <c r="AS730" s="23"/>
      <c r="AT730" s="23"/>
      <c r="AU730" s="23"/>
      <c r="AV730" s="23"/>
      <c r="AW730" s="23"/>
      <c r="AX730" s="23"/>
      <c r="AY730" s="23"/>
      <c r="AZ730" s="23"/>
      <c r="BA730" s="23"/>
      <c r="BB730" s="23"/>
      <c r="BC730" s="23"/>
    </row>
    <row r="731">
      <c r="AO731" s="23"/>
      <c r="AP731" s="23"/>
      <c r="AQ731" s="23"/>
      <c r="AR731" s="23"/>
      <c r="AS731" s="23"/>
      <c r="AT731" s="23"/>
      <c r="AU731" s="23"/>
      <c r="AV731" s="23"/>
      <c r="AW731" s="23"/>
      <c r="AX731" s="23"/>
      <c r="AY731" s="23"/>
      <c r="AZ731" s="23"/>
      <c r="BA731" s="23"/>
      <c r="BB731" s="23"/>
      <c r="BC731" s="23"/>
    </row>
    <row r="732">
      <c r="AO732" s="23"/>
      <c r="AP732" s="23"/>
      <c r="AQ732" s="23"/>
      <c r="AR732" s="23"/>
      <c r="AS732" s="23"/>
      <c r="AT732" s="23"/>
      <c r="AU732" s="23"/>
      <c r="AV732" s="23"/>
      <c r="AW732" s="23"/>
      <c r="AX732" s="23"/>
      <c r="AY732" s="23"/>
      <c r="AZ732" s="23"/>
      <c r="BA732" s="23"/>
      <c r="BB732" s="23"/>
      <c r="BC732" s="23"/>
    </row>
    <row r="733">
      <c r="AO733" s="23"/>
      <c r="AP733" s="23"/>
      <c r="AQ733" s="23"/>
      <c r="AR733" s="23"/>
      <c r="AS733" s="23"/>
      <c r="AT733" s="23"/>
      <c r="AU733" s="23"/>
      <c r="AV733" s="23"/>
      <c r="AW733" s="23"/>
      <c r="AX733" s="23"/>
      <c r="AY733" s="23"/>
      <c r="AZ733" s="23"/>
      <c r="BA733" s="23"/>
      <c r="BB733" s="23"/>
      <c r="BC733" s="23"/>
    </row>
    <row r="734">
      <c r="AO734" s="23"/>
      <c r="AP734" s="23"/>
      <c r="AQ734" s="23"/>
      <c r="AR734" s="23"/>
      <c r="AS734" s="23"/>
      <c r="AT734" s="23"/>
      <c r="AU734" s="23"/>
      <c r="AV734" s="23"/>
      <c r="AW734" s="23"/>
      <c r="AX734" s="23"/>
      <c r="AY734" s="23"/>
      <c r="AZ734" s="23"/>
      <c r="BA734" s="23"/>
      <c r="BB734" s="23"/>
      <c r="BC734" s="23"/>
    </row>
    <row r="735">
      <c r="AO735" s="23"/>
      <c r="AP735" s="23"/>
      <c r="AQ735" s="23"/>
      <c r="AR735" s="23"/>
      <c r="AS735" s="23"/>
      <c r="AT735" s="23"/>
      <c r="AU735" s="23"/>
      <c r="AV735" s="23"/>
      <c r="AW735" s="23"/>
      <c r="AX735" s="23"/>
      <c r="AY735" s="23"/>
      <c r="AZ735" s="23"/>
      <c r="BA735" s="23"/>
      <c r="BB735" s="23"/>
      <c r="BC735" s="23"/>
    </row>
    <row r="736">
      <c r="AO736" s="23"/>
      <c r="AP736" s="23"/>
      <c r="AQ736" s="23"/>
      <c r="AR736" s="23"/>
      <c r="AS736" s="23"/>
      <c r="AT736" s="23"/>
      <c r="AU736" s="23"/>
      <c r="AV736" s="23"/>
      <c r="AW736" s="23"/>
      <c r="AX736" s="23"/>
      <c r="AY736" s="23"/>
      <c r="AZ736" s="23"/>
      <c r="BA736" s="23"/>
      <c r="BB736" s="23"/>
      <c r="BC736" s="23"/>
    </row>
    <row r="737">
      <c r="AO737" s="23"/>
      <c r="AP737" s="23"/>
      <c r="AQ737" s="23"/>
      <c r="AR737" s="23"/>
      <c r="AS737" s="23"/>
      <c r="AT737" s="23"/>
      <c r="AU737" s="23"/>
      <c r="AV737" s="23"/>
      <c r="AW737" s="23"/>
      <c r="AX737" s="23"/>
      <c r="AY737" s="23"/>
      <c r="AZ737" s="23"/>
      <c r="BA737" s="23"/>
      <c r="BB737" s="23"/>
      <c r="BC737" s="23"/>
    </row>
    <row r="738">
      <c r="AO738" s="23"/>
      <c r="AP738" s="23"/>
      <c r="AQ738" s="23"/>
      <c r="AR738" s="23"/>
      <c r="AS738" s="23"/>
      <c r="AT738" s="23"/>
      <c r="AU738" s="23"/>
      <c r="AV738" s="23"/>
      <c r="AW738" s="23"/>
      <c r="AX738" s="23"/>
      <c r="AY738" s="23"/>
      <c r="AZ738" s="23"/>
      <c r="BA738" s="23"/>
      <c r="BB738" s="23"/>
      <c r="BC738" s="23"/>
    </row>
    <row r="739">
      <c r="AO739" s="23"/>
      <c r="AP739" s="23"/>
      <c r="AQ739" s="23"/>
      <c r="AR739" s="23"/>
      <c r="AS739" s="23"/>
      <c r="AT739" s="23"/>
      <c r="AU739" s="23"/>
      <c r="AV739" s="23"/>
      <c r="AW739" s="23"/>
      <c r="AX739" s="23"/>
      <c r="AY739" s="23"/>
      <c r="AZ739" s="23"/>
      <c r="BA739" s="23"/>
      <c r="BB739" s="23"/>
      <c r="BC739" s="23"/>
    </row>
    <row r="740">
      <c r="AO740" s="23"/>
      <c r="AP740" s="23"/>
      <c r="AQ740" s="23"/>
      <c r="AR740" s="23"/>
      <c r="AS740" s="23"/>
      <c r="AT740" s="23"/>
      <c r="AU740" s="23"/>
      <c r="AV740" s="23"/>
      <c r="AW740" s="23"/>
      <c r="AX740" s="23"/>
      <c r="AY740" s="23"/>
      <c r="AZ740" s="23"/>
      <c r="BA740" s="23"/>
      <c r="BB740" s="23"/>
      <c r="BC740" s="23"/>
    </row>
    <row r="741">
      <c r="AO741" s="23"/>
      <c r="AP741" s="23"/>
      <c r="AQ741" s="23"/>
      <c r="AR741" s="23"/>
      <c r="AS741" s="23"/>
      <c r="AT741" s="23"/>
      <c r="AU741" s="23"/>
      <c r="AV741" s="23"/>
      <c r="AW741" s="23"/>
      <c r="AX741" s="23"/>
      <c r="AY741" s="23"/>
      <c r="AZ741" s="23"/>
      <c r="BA741" s="23"/>
      <c r="BB741" s="23"/>
      <c r="BC741" s="23"/>
    </row>
    <row r="742">
      <c r="AO742" s="23"/>
      <c r="AP742" s="23"/>
      <c r="AQ742" s="23"/>
      <c r="AR742" s="23"/>
      <c r="AS742" s="23"/>
      <c r="AT742" s="23"/>
      <c r="AU742" s="23"/>
      <c r="AV742" s="23"/>
      <c r="AW742" s="23"/>
      <c r="AX742" s="23"/>
      <c r="AY742" s="23"/>
      <c r="AZ742" s="23"/>
      <c r="BA742" s="23"/>
      <c r="BB742" s="23"/>
      <c r="BC742" s="23"/>
    </row>
    <row r="743">
      <c r="AO743" s="23"/>
      <c r="AP743" s="23"/>
      <c r="AQ743" s="23"/>
      <c r="AR743" s="23"/>
      <c r="AS743" s="23"/>
      <c r="AT743" s="23"/>
      <c r="AU743" s="23"/>
      <c r="AV743" s="23"/>
      <c r="AW743" s="23"/>
      <c r="AX743" s="23"/>
      <c r="AY743" s="23"/>
      <c r="AZ743" s="23"/>
      <c r="BA743" s="23"/>
      <c r="BB743" s="23"/>
      <c r="BC743" s="23"/>
    </row>
    <row r="744">
      <c r="AO744" s="23"/>
      <c r="AP744" s="23"/>
      <c r="AQ744" s="23"/>
      <c r="AR744" s="23"/>
      <c r="AS744" s="23"/>
      <c r="AT744" s="23"/>
      <c r="AU744" s="23"/>
      <c r="AV744" s="23"/>
      <c r="AW744" s="23"/>
      <c r="AX744" s="23"/>
      <c r="AY744" s="23"/>
      <c r="AZ744" s="23"/>
      <c r="BA744" s="23"/>
      <c r="BB744" s="23"/>
      <c r="BC744" s="23"/>
    </row>
    <row r="745">
      <c r="AO745" s="23"/>
      <c r="AP745" s="23"/>
      <c r="AQ745" s="23"/>
      <c r="AR745" s="23"/>
      <c r="AS745" s="23"/>
      <c r="AT745" s="23"/>
      <c r="AU745" s="23"/>
      <c r="AV745" s="23"/>
      <c r="AW745" s="23"/>
      <c r="AX745" s="23"/>
      <c r="AY745" s="23"/>
      <c r="AZ745" s="23"/>
      <c r="BA745" s="23"/>
      <c r="BB745" s="23"/>
      <c r="BC745" s="23"/>
    </row>
    <row r="746">
      <c r="AO746" s="23"/>
      <c r="AP746" s="23"/>
      <c r="AQ746" s="23"/>
      <c r="AR746" s="23"/>
      <c r="AS746" s="23"/>
      <c r="AT746" s="23"/>
      <c r="AU746" s="23"/>
      <c r="AV746" s="23"/>
      <c r="AW746" s="23"/>
      <c r="AX746" s="23"/>
      <c r="AY746" s="23"/>
      <c r="AZ746" s="23"/>
      <c r="BA746" s="23"/>
      <c r="BB746" s="23"/>
      <c r="BC746" s="23"/>
    </row>
    <row r="747">
      <c r="AO747" s="23"/>
      <c r="AP747" s="23"/>
      <c r="AQ747" s="23"/>
      <c r="AR747" s="23"/>
      <c r="AS747" s="23"/>
      <c r="AT747" s="23"/>
      <c r="AU747" s="23"/>
      <c r="AV747" s="23"/>
      <c r="AW747" s="23"/>
      <c r="AX747" s="23"/>
      <c r="AY747" s="23"/>
      <c r="AZ747" s="23"/>
      <c r="BA747" s="23"/>
      <c r="BB747" s="23"/>
      <c r="BC747" s="23"/>
    </row>
    <row r="748">
      <c r="AO748" s="23"/>
      <c r="AP748" s="23"/>
      <c r="AQ748" s="23"/>
      <c r="AR748" s="23"/>
      <c r="AS748" s="23"/>
      <c r="AT748" s="23"/>
      <c r="AU748" s="23"/>
      <c r="AV748" s="23"/>
      <c r="AW748" s="23"/>
      <c r="AX748" s="23"/>
      <c r="AY748" s="23"/>
      <c r="AZ748" s="23"/>
      <c r="BA748" s="23"/>
      <c r="BB748" s="23"/>
      <c r="BC748" s="23"/>
    </row>
    <row r="749">
      <c r="AO749" s="23"/>
      <c r="AP749" s="23"/>
      <c r="AQ749" s="23"/>
      <c r="AR749" s="23"/>
      <c r="AS749" s="23"/>
      <c r="AT749" s="23"/>
      <c r="AU749" s="23"/>
      <c r="AV749" s="23"/>
      <c r="AW749" s="23"/>
      <c r="AX749" s="23"/>
      <c r="AY749" s="23"/>
      <c r="AZ749" s="23"/>
      <c r="BA749" s="23"/>
      <c r="BB749" s="23"/>
      <c r="BC749" s="23"/>
    </row>
    <row r="750">
      <c r="AO750" s="23"/>
      <c r="AP750" s="23"/>
      <c r="AQ750" s="23"/>
      <c r="AR750" s="23"/>
      <c r="AS750" s="23"/>
      <c r="AT750" s="23"/>
      <c r="AU750" s="23"/>
      <c r="AV750" s="23"/>
      <c r="AW750" s="23"/>
      <c r="AX750" s="23"/>
      <c r="AY750" s="23"/>
      <c r="AZ750" s="23"/>
      <c r="BA750" s="23"/>
      <c r="BB750" s="23"/>
      <c r="BC750" s="23"/>
    </row>
    <row r="751">
      <c r="AO751" s="23"/>
      <c r="AP751" s="23"/>
      <c r="AQ751" s="23"/>
      <c r="AR751" s="23"/>
      <c r="AS751" s="23"/>
      <c r="AT751" s="23"/>
      <c r="AU751" s="23"/>
      <c r="AV751" s="23"/>
      <c r="AW751" s="23"/>
      <c r="AX751" s="23"/>
      <c r="AY751" s="23"/>
      <c r="AZ751" s="23"/>
      <c r="BA751" s="23"/>
      <c r="BB751" s="23"/>
      <c r="BC751" s="23"/>
    </row>
    <row r="752">
      <c r="AO752" s="23"/>
      <c r="AP752" s="23"/>
      <c r="AQ752" s="23"/>
      <c r="AR752" s="23"/>
      <c r="AS752" s="23"/>
      <c r="AT752" s="23"/>
      <c r="AU752" s="23"/>
      <c r="AV752" s="23"/>
      <c r="AW752" s="23"/>
      <c r="AX752" s="23"/>
      <c r="AY752" s="23"/>
      <c r="AZ752" s="23"/>
      <c r="BA752" s="23"/>
      <c r="BB752" s="23"/>
      <c r="BC752" s="23"/>
    </row>
    <row r="753">
      <c r="AO753" s="23"/>
      <c r="AP753" s="23"/>
      <c r="AQ753" s="23"/>
      <c r="AR753" s="23"/>
      <c r="AS753" s="23"/>
      <c r="AT753" s="23"/>
      <c r="AU753" s="23"/>
      <c r="AV753" s="23"/>
      <c r="AW753" s="23"/>
      <c r="AX753" s="23"/>
      <c r="AY753" s="23"/>
      <c r="AZ753" s="23"/>
      <c r="BA753" s="23"/>
      <c r="BB753" s="23"/>
      <c r="BC753" s="23"/>
    </row>
    <row r="754">
      <c r="AO754" s="23"/>
      <c r="AP754" s="23"/>
      <c r="AQ754" s="23"/>
      <c r="AR754" s="23"/>
      <c r="AS754" s="23"/>
      <c r="AT754" s="23"/>
      <c r="AU754" s="23"/>
      <c r="AV754" s="23"/>
      <c r="AW754" s="23"/>
      <c r="AX754" s="23"/>
      <c r="AY754" s="23"/>
      <c r="AZ754" s="23"/>
      <c r="BA754" s="23"/>
      <c r="BB754" s="23"/>
      <c r="BC754" s="23"/>
    </row>
    <row r="755">
      <c r="AO755" s="23"/>
      <c r="AP755" s="23"/>
      <c r="AQ755" s="23"/>
      <c r="AR755" s="23"/>
      <c r="AS755" s="23"/>
      <c r="AT755" s="23"/>
      <c r="AU755" s="23"/>
      <c r="AV755" s="23"/>
      <c r="AW755" s="23"/>
      <c r="AX755" s="23"/>
      <c r="AY755" s="23"/>
      <c r="AZ755" s="23"/>
      <c r="BA755" s="23"/>
      <c r="BB755" s="23"/>
      <c r="BC755" s="23"/>
    </row>
    <row r="756">
      <c r="AO756" s="23"/>
      <c r="AP756" s="23"/>
      <c r="AQ756" s="23"/>
      <c r="AR756" s="23"/>
      <c r="AS756" s="23"/>
      <c r="AT756" s="23"/>
      <c r="AU756" s="23"/>
      <c r="AV756" s="23"/>
      <c r="AW756" s="23"/>
      <c r="AX756" s="23"/>
      <c r="AY756" s="23"/>
      <c r="AZ756" s="23"/>
      <c r="BA756" s="23"/>
      <c r="BB756" s="23"/>
      <c r="BC756" s="23"/>
    </row>
    <row r="757">
      <c r="AO757" s="23"/>
      <c r="AP757" s="23"/>
      <c r="AQ757" s="23"/>
      <c r="AR757" s="23"/>
      <c r="AS757" s="23"/>
      <c r="AT757" s="23"/>
      <c r="AU757" s="23"/>
      <c r="AV757" s="23"/>
      <c r="AW757" s="23"/>
      <c r="AX757" s="23"/>
      <c r="AY757" s="23"/>
      <c r="AZ757" s="23"/>
      <c r="BA757" s="23"/>
      <c r="BB757" s="23"/>
      <c r="BC757" s="23"/>
    </row>
    <row r="758">
      <c r="AO758" s="23"/>
      <c r="AP758" s="23"/>
      <c r="AQ758" s="23"/>
      <c r="AR758" s="23"/>
      <c r="AS758" s="23"/>
      <c r="AT758" s="23"/>
      <c r="AU758" s="23"/>
      <c r="AV758" s="23"/>
      <c r="AW758" s="23"/>
      <c r="AX758" s="23"/>
      <c r="AY758" s="23"/>
      <c r="AZ758" s="23"/>
      <c r="BA758" s="23"/>
      <c r="BB758" s="23"/>
      <c r="BC758" s="23"/>
    </row>
    <row r="759">
      <c r="AO759" s="23"/>
      <c r="AP759" s="23"/>
      <c r="AQ759" s="23"/>
      <c r="AR759" s="23"/>
      <c r="AS759" s="23"/>
      <c r="AT759" s="23"/>
      <c r="AU759" s="23"/>
      <c r="AV759" s="23"/>
      <c r="AW759" s="23"/>
      <c r="AX759" s="23"/>
      <c r="AY759" s="23"/>
      <c r="AZ759" s="23"/>
      <c r="BA759" s="23"/>
      <c r="BB759" s="23"/>
      <c r="BC759" s="23"/>
    </row>
    <row r="760">
      <c r="AO760" s="23"/>
      <c r="AP760" s="23"/>
      <c r="AQ760" s="23"/>
      <c r="AR760" s="23"/>
      <c r="AS760" s="23"/>
      <c r="AT760" s="23"/>
      <c r="AU760" s="23"/>
      <c r="AV760" s="23"/>
      <c r="AW760" s="23"/>
      <c r="AX760" s="23"/>
      <c r="AY760" s="23"/>
      <c r="AZ760" s="23"/>
      <c r="BA760" s="23"/>
      <c r="BB760" s="23"/>
      <c r="BC760" s="23"/>
    </row>
    <row r="761">
      <c r="AO761" s="23"/>
      <c r="AP761" s="23"/>
      <c r="AQ761" s="23"/>
      <c r="AR761" s="23"/>
      <c r="AS761" s="23"/>
      <c r="AT761" s="23"/>
      <c r="AU761" s="23"/>
      <c r="AV761" s="23"/>
      <c r="AW761" s="23"/>
      <c r="AX761" s="23"/>
      <c r="AY761" s="23"/>
      <c r="AZ761" s="23"/>
      <c r="BA761" s="23"/>
      <c r="BB761" s="23"/>
      <c r="BC761" s="23"/>
    </row>
    <row r="762">
      <c r="AO762" s="23"/>
      <c r="AP762" s="23"/>
      <c r="AQ762" s="23"/>
      <c r="AR762" s="23"/>
      <c r="AS762" s="23"/>
      <c r="AT762" s="23"/>
      <c r="AU762" s="23"/>
      <c r="AV762" s="23"/>
      <c r="AW762" s="23"/>
      <c r="AX762" s="23"/>
      <c r="AY762" s="23"/>
      <c r="AZ762" s="23"/>
      <c r="BA762" s="23"/>
      <c r="BB762" s="23"/>
      <c r="BC762" s="23"/>
    </row>
    <row r="763">
      <c r="AO763" s="23"/>
      <c r="AP763" s="23"/>
      <c r="AQ763" s="23"/>
      <c r="AR763" s="23"/>
      <c r="AS763" s="23"/>
      <c r="AT763" s="23"/>
      <c r="AU763" s="23"/>
      <c r="AV763" s="23"/>
      <c r="AW763" s="23"/>
      <c r="AX763" s="23"/>
      <c r="AY763" s="23"/>
      <c r="AZ763" s="23"/>
      <c r="BA763" s="23"/>
      <c r="BB763" s="23"/>
      <c r="BC763" s="23"/>
    </row>
    <row r="764">
      <c r="AO764" s="23"/>
      <c r="AP764" s="23"/>
      <c r="AQ764" s="23"/>
      <c r="AR764" s="23"/>
      <c r="AS764" s="23"/>
      <c r="AT764" s="23"/>
      <c r="AU764" s="23"/>
      <c r="AV764" s="23"/>
      <c r="AW764" s="23"/>
      <c r="AX764" s="23"/>
      <c r="AY764" s="23"/>
      <c r="AZ764" s="23"/>
      <c r="BA764" s="23"/>
      <c r="BB764" s="23"/>
      <c r="BC764" s="23"/>
    </row>
    <row r="765">
      <c r="AO765" s="23"/>
      <c r="AP765" s="23"/>
      <c r="AQ765" s="23"/>
      <c r="AR765" s="23"/>
      <c r="AS765" s="23"/>
      <c r="AT765" s="23"/>
      <c r="AU765" s="23"/>
      <c r="AV765" s="23"/>
      <c r="AW765" s="23"/>
      <c r="AX765" s="23"/>
      <c r="AY765" s="23"/>
      <c r="AZ765" s="23"/>
      <c r="BA765" s="23"/>
      <c r="BB765" s="23"/>
      <c r="BC765" s="23"/>
    </row>
    <row r="766">
      <c r="AO766" s="23"/>
      <c r="AP766" s="23"/>
      <c r="AQ766" s="23"/>
      <c r="AR766" s="23"/>
      <c r="AS766" s="23"/>
      <c r="AT766" s="23"/>
      <c r="AU766" s="23"/>
      <c r="AV766" s="23"/>
      <c r="AW766" s="23"/>
      <c r="AX766" s="23"/>
      <c r="AY766" s="23"/>
      <c r="AZ766" s="23"/>
      <c r="BA766" s="23"/>
      <c r="BB766" s="23"/>
      <c r="BC766" s="23"/>
    </row>
    <row r="767">
      <c r="AO767" s="23"/>
      <c r="AP767" s="23"/>
      <c r="AQ767" s="23"/>
      <c r="AR767" s="23"/>
      <c r="AS767" s="23"/>
      <c r="AT767" s="23"/>
      <c r="AU767" s="23"/>
      <c r="AV767" s="23"/>
      <c r="AW767" s="23"/>
      <c r="AX767" s="23"/>
      <c r="AY767" s="23"/>
      <c r="AZ767" s="23"/>
      <c r="BA767" s="23"/>
      <c r="BB767" s="23"/>
      <c r="BC767" s="23"/>
    </row>
    <row r="768">
      <c r="AO768" s="23"/>
      <c r="AP768" s="23"/>
      <c r="AQ768" s="23"/>
      <c r="AR768" s="23"/>
      <c r="AS768" s="23"/>
      <c r="AT768" s="23"/>
      <c r="AU768" s="23"/>
      <c r="AV768" s="23"/>
      <c r="AW768" s="23"/>
      <c r="AX768" s="23"/>
      <c r="AY768" s="23"/>
      <c r="AZ768" s="23"/>
      <c r="BA768" s="23"/>
      <c r="BB768" s="23"/>
      <c r="BC768" s="23"/>
    </row>
    <row r="769">
      <c r="AO769" s="23"/>
      <c r="AP769" s="23"/>
      <c r="AQ769" s="23"/>
      <c r="AR769" s="23"/>
      <c r="AS769" s="23"/>
      <c r="AT769" s="23"/>
      <c r="AU769" s="23"/>
      <c r="AV769" s="23"/>
      <c r="AW769" s="23"/>
      <c r="AX769" s="23"/>
      <c r="AY769" s="23"/>
      <c r="AZ769" s="23"/>
      <c r="BA769" s="23"/>
      <c r="BB769" s="23"/>
      <c r="BC769" s="23"/>
    </row>
    <row r="770">
      <c r="AO770" s="23"/>
      <c r="AP770" s="23"/>
      <c r="AQ770" s="23"/>
      <c r="AR770" s="23"/>
      <c r="AS770" s="23"/>
      <c r="AT770" s="23"/>
      <c r="AU770" s="23"/>
      <c r="AV770" s="23"/>
      <c r="AW770" s="23"/>
      <c r="AX770" s="23"/>
      <c r="AY770" s="23"/>
      <c r="AZ770" s="23"/>
      <c r="BA770" s="23"/>
      <c r="BB770" s="23"/>
      <c r="BC770" s="23"/>
    </row>
    <row r="771">
      <c r="AO771" s="23"/>
      <c r="AP771" s="23"/>
      <c r="AQ771" s="23"/>
      <c r="AR771" s="23"/>
      <c r="AS771" s="23"/>
      <c r="AT771" s="23"/>
      <c r="AU771" s="23"/>
      <c r="AV771" s="23"/>
      <c r="AW771" s="23"/>
      <c r="AX771" s="23"/>
      <c r="AY771" s="23"/>
      <c r="AZ771" s="23"/>
      <c r="BA771" s="23"/>
      <c r="BB771" s="23"/>
      <c r="BC771" s="23"/>
    </row>
    <row r="772">
      <c r="AO772" s="23"/>
      <c r="AP772" s="23"/>
      <c r="AQ772" s="23"/>
      <c r="AR772" s="23"/>
      <c r="AS772" s="23"/>
      <c r="AT772" s="23"/>
      <c r="AU772" s="23"/>
      <c r="AV772" s="23"/>
      <c r="AW772" s="23"/>
      <c r="AX772" s="23"/>
      <c r="AY772" s="23"/>
      <c r="AZ772" s="23"/>
      <c r="BA772" s="23"/>
      <c r="BB772" s="23"/>
      <c r="BC772" s="23"/>
    </row>
    <row r="773">
      <c r="AO773" s="23"/>
      <c r="AP773" s="23"/>
      <c r="AQ773" s="23"/>
      <c r="AR773" s="23"/>
      <c r="AS773" s="23"/>
      <c r="AT773" s="23"/>
      <c r="AU773" s="23"/>
      <c r="AV773" s="23"/>
      <c r="AW773" s="23"/>
      <c r="AX773" s="23"/>
      <c r="AY773" s="23"/>
      <c r="AZ773" s="23"/>
      <c r="BA773" s="23"/>
      <c r="BB773" s="23"/>
      <c r="BC773" s="23"/>
    </row>
    <row r="774">
      <c r="AO774" s="23"/>
      <c r="AP774" s="23"/>
      <c r="AQ774" s="23"/>
      <c r="AR774" s="23"/>
      <c r="AS774" s="23"/>
      <c r="AT774" s="23"/>
      <c r="AU774" s="23"/>
      <c r="AV774" s="23"/>
      <c r="AW774" s="23"/>
      <c r="AX774" s="23"/>
      <c r="AY774" s="23"/>
      <c r="AZ774" s="23"/>
      <c r="BA774" s="23"/>
      <c r="BB774" s="23"/>
      <c r="BC774" s="23"/>
    </row>
    <row r="775">
      <c r="AO775" s="23"/>
      <c r="AP775" s="23"/>
      <c r="AQ775" s="23"/>
      <c r="AR775" s="23"/>
      <c r="AS775" s="23"/>
      <c r="AT775" s="23"/>
      <c r="AU775" s="23"/>
      <c r="AV775" s="23"/>
      <c r="AW775" s="23"/>
      <c r="AX775" s="23"/>
      <c r="AY775" s="23"/>
      <c r="AZ775" s="23"/>
      <c r="BA775" s="23"/>
      <c r="BB775" s="23"/>
      <c r="BC775" s="23"/>
    </row>
    <row r="776">
      <c r="AO776" s="23"/>
      <c r="AP776" s="23"/>
      <c r="AQ776" s="23"/>
      <c r="AR776" s="23"/>
      <c r="AS776" s="23"/>
      <c r="AT776" s="23"/>
      <c r="AU776" s="23"/>
      <c r="AV776" s="23"/>
      <c r="AW776" s="23"/>
      <c r="AX776" s="23"/>
      <c r="AY776" s="23"/>
      <c r="AZ776" s="23"/>
      <c r="BA776" s="23"/>
      <c r="BB776" s="23"/>
      <c r="BC776" s="23"/>
    </row>
    <row r="777">
      <c r="AO777" s="23"/>
      <c r="AP777" s="23"/>
      <c r="AQ777" s="23"/>
      <c r="AR777" s="23"/>
      <c r="AS777" s="23"/>
      <c r="AT777" s="23"/>
      <c r="AU777" s="23"/>
      <c r="AV777" s="23"/>
      <c r="AW777" s="23"/>
      <c r="AX777" s="23"/>
      <c r="AY777" s="23"/>
      <c r="AZ777" s="23"/>
      <c r="BA777" s="23"/>
      <c r="BB777" s="23"/>
      <c r="BC777" s="23"/>
    </row>
    <row r="778">
      <c r="AO778" s="23"/>
      <c r="AP778" s="23"/>
      <c r="AQ778" s="23"/>
      <c r="AR778" s="23"/>
      <c r="AS778" s="23"/>
      <c r="AT778" s="23"/>
      <c r="AU778" s="23"/>
      <c r="AV778" s="23"/>
      <c r="AW778" s="23"/>
      <c r="AX778" s="23"/>
      <c r="AY778" s="23"/>
      <c r="AZ778" s="23"/>
      <c r="BA778" s="23"/>
      <c r="BB778" s="23"/>
      <c r="BC778" s="23"/>
    </row>
    <row r="779">
      <c r="AO779" s="23"/>
      <c r="AP779" s="23"/>
      <c r="AQ779" s="23"/>
      <c r="AR779" s="23"/>
      <c r="AS779" s="23"/>
      <c r="AT779" s="23"/>
      <c r="AU779" s="23"/>
      <c r="AV779" s="23"/>
      <c r="AW779" s="23"/>
      <c r="AX779" s="23"/>
      <c r="AY779" s="23"/>
      <c r="AZ779" s="23"/>
      <c r="BA779" s="23"/>
      <c r="BB779" s="23"/>
      <c r="BC779" s="23"/>
    </row>
    <row r="780">
      <c r="AO780" s="23"/>
      <c r="AP780" s="23"/>
      <c r="AQ780" s="23"/>
      <c r="AR780" s="23"/>
      <c r="AS780" s="23"/>
      <c r="AT780" s="23"/>
      <c r="AU780" s="23"/>
      <c r="AV780" s="23"/>
      <c r="AW780" s="23"/>
      <c r="AX780" s="23"/>
      <c r="AY780" s="23"/>
      <c r="AZ780" s="23"/>
      <c r="BA780" s="23"/>
      <c r="BB780" s="23"/>
      <c r="BC780" s="23"/>
    </row>
    <row r="781">
      <c r="AO781" s="23"/>
      <c r="AP781" s="23"/>
      <c r="AQ781" s="23"/>
      <c r="AR781" s="23"/>
      <c r="AS781" s="23"/>
      <c r="AT781" s="23"/>
      <c r="AU781" s="23"/>
      <c r="AV781" s="23"/>
      <c r="AW781" s="23"/>
      <c r="AX781" s="23"/>
      <c r="AY781" s="23"/>
      <c r="AZ781" s="23"/>
      <c r="BA781" s="23"/>
      <c r="BB781" s="23"/>
      <c r="BC781" s="23"/>
    </row>
    <row r="782">
      <c r="AO782" s="23"/>
      <c r="AP782" s="23"/>
      <c r="AQ782" s="23"/>
      <c r="AR782" s="23"/>
      <c r="AS782" s="23"/>
      <c r="AT782" s="23"/>
      <c r="AU782" s="23"/>
      <c r="AV782" s="23"/>
      <c r="AW782" s="23"/>
      <c r="AX782" s="23"/>
      <c r="AY782" s="23"/>
      <c r="AZ782" s="23"/>
      <c r="BA782" s="23"/>
      <c r="BB782" s="23"/>
      <c r="BC782" s="23"/>
    </row>
    <row r="783">
      <c r="AO783" s="23"/>
      <c r="AP783" s="23"/>
      <c r="AQ783" s="23"/>
      <c r="AR783" s="23"/>
      <c r="AS783" s="23"/>
      <c r="AT783" s="23"/>
      <c r="AU783" s="23"/>
      <c r="AV783" s="23"/>
      <c r="AW783" s="23"/>
      <c r="AX783" s="23"/>
      <c r="AY783" s="23"/>
      <c r="AZ783" s="23"/>
      <c r="BA783" s="23"/>
      <c r="BB783" s="23"/>
      <c r="BC783" s="23"/>
    </row>
    <row r="784">
      <c r="AO784" s="23"/>
      <c r="AP784" s="23"/>
      <c r="AQ784" s="23"/>
      <c r="AR784" s="23"/>
      <c r="AS784" s="23"/>
      <c r="AT784" s="23"/>
      <c r="AU784" s="23"/>
      <c r="AV784" s="23"/>
      <c r="AW784" s="23"/>
      <c r="AX784" s="23"/>
      <c r="AY784" s="23"/>
      <c r="AZ784" s="23"/>
      <c r="BA784" s="23"/>
      <c r="BB784" s="23"/>
      <c r="BC784" s="23"/>
    </row>
    <row r="785">
      <c r="AO785" s="23"/>
      <c r="AP785" s="23"/>
      <c r="AQ785" s="23"/>
      <c r="AR785" s="23"/>
      <c r="AS785" s="23"/>
      <c r="AT785" s="23"/>
      <c r="AU785" s="23"/>
      <c r="AV785" s="23"/>
      <c r="AW785" s="23"/>
      <c r="AX785" s="23"/>
      <c r="AY785" s="23"/>
      <c r="AZ785" s="23"/>
      <c r="BA785" s="23"/>
      <c r="BB785" s="23"/>
      <c r="BC785" s="23"/>
    </row>
    <row r="786">
      <c r="AO786" s="23"/>
      <c r="AP786" s="23"/>
      <c r="AQ786" s="23"/>
      <c r="AR786" s="23"/>
      <c r="AS786" s="23"/>
      <c r="AT786" s="23"/>
      <c r="AU786" s="23"/>
      <c r="AV786" s="23"/>
      <c r="AW786" s="23"/>
      <c r="AX786" s="23"/>
      <c r="AY786" s="23"/>
      <c r="AZ786" s="23"/>
      <c r="BA786" s="23"/>
      <c r="BB786" s="23"/>
      <c r="BC786" s="23"/>
    </row>
    <row r="787">
      <c r="AO787" s="23"/>
      <c r="AP787" s="23"/>
      <c r="AQ787" s="23"/>
      <c r="AR787" s="23"/>
      <c r="AS787" s="23"/>
      <c r="AT787" s="23"/>
      <c r="AU787" s="23"/>
      <c r="AV787" s="23"/>
      <c r="AW787" s="23"/>
      <c r="AX787" s="23"/>
      <c r="AY787" s="23"/>
      <c r="AZ787" s="23"/>
      <c r="BA787" s="23"/>
      <c r="BB787" s="23"/>
      <c r="BC787" s="23"/>
    </row>
    <row r="788">
      <c r="AO788" s="23"/>
      <c r="AP788" s="23"/>
      <c r="AQ788" s="23"/>
      <c r="AR788" s="23"/>
      <c r="AS788" s="23"/>
      <c r="AT788" s="23"/>
      <c r="AU788" s="23"/>
      <c r="AV788" s="23"/>
      <c r="AW788" s="23"/>
      <c r="AX788" s="23"/>
      <c r="AY788" s="23"/>
      <c r="AZ788" s="23"/>
      <c r="BA788" s="23"/>
      <c r="BB788" s="23"/>
      <c r="BC788" s="23"/>
    </row>
    <row r="789">
      <c r="AO789" s="23"/>
      <c r="AP789" s="23"/>
      <c r="AQ789" s="23"/>
      <c r="AR789" s="23"/>
      <c r="AS789" s="23"/>
      <c r="AT789" s="23"/>
      <c r="AU789" s="23"/>
      <c r="AV789" s="23"/>
      <c r="AW789" s="23"/>
      <c r="AX789" s="23"/>
      <c r="AY789" s="23"/>
      <c r="AZ789" s="23"/>
      <c r="BA789" s="23"/>
      <c r="BB789" s="23"/>
      <c r="BC789" s="23"/>
    </row>
    <row r="790">
      <c r="AO790" s="23"/>
      <c r="AP790" s="23"/>
      <c r="AQ790" s="23"/>
      <c r="AR790" s="23"/>
      <c r="AS790" s="23"/>
      <c r="AT790" s="23"/>
      <c r="AU790" s="23"/>
      <c r="AV790" s="23"/>
      <c r="AW790" s="23"/>
      <c r="AX790" s="23"/>
      <c r="AY790" s="23"/>
      <c r="AZ790" s="23"/>
      <c r="BA790" s="23"/>
      <c r="BB790" s="23"/>
      <c r="BC790" s="23"/>
    </row>
    <row r="791">
      <c r="AO791" s="23"/>
      <c r="AP791" s="23"/>
      <c r="AQ791" s="23"/>
      <c r="AR791" s="23"/>
      <c r="AS791" s="23"/>
      <c r="AT791" s="23"/>
      <c r="AU791" s="23"/>
      <c r="AV791" s="23"/>
      <c r="AW791" s="23"/>
      <c r="AX791" s="23"/>
      <c r="AY791" s="23"/>
      <c r="AZ791" s="23"/>
      <c r="BA791" s="23"/>
      <c r="BB791" s="23"/>
      <c r="BC791" s="23"/>
    </row>
    <row r="792">
      <c r="AO792" s="23"/>
      <c r="AP792" s="23"/>
      <c r="AQ792" s="23"/>
      <c r="AR792" s="23"/>
      <c r="AS792" s="23"/>
      <c r="AT792" s="23"/>
      <c r="AU792" s="23"/>
      <c r="AV792" s="23"/>
      <c r="AW792" s="23"/>
      <c r="AX792" s="23"/>
      <c r="AY792" s="23"/>
      <c r="AZ792" s="23"/>
      <c r="BA792" s="23"/>
      <c r="BB792" s="23"/>
      <c r="BC792" s="23"/>
    </row>
    <row r="793">
      <c r="AO793" s="23"/>
      <c r="AP793" s="23"/>
      <c r="AQ793" s="23"/>
      <c r="AR793" s="23"/>
      <c r="AS793" s="23"/>
      <c r="AT793" s="23"/>
      <c r="AU793" s="23"/>
      <c r="AV793" s="23"/>
      <c r="AW793" s="23"/>
      <c r="AX793" s="23"/>
      <c r="AY793" s="23"/>
      <c r="AZ793" s="23"/>
      <c r="BA793" s="23"/>
      <c r="BB793" s="23"/>
      <c r="BC793" s="23"/>
    </row>
    <row r="794">
      <c r="AO794" s="23"/>
      <c r="AP794" s="23"/>
      <c r="AQ794" s="23"/>
      <c r="AR794" s="23"/>
      <c r="AS794" s="23"/>
      <c r="AT794" s="23"/>
      <c r="AU794" s="23"/>
      <c r="AV794" s="23"/>
      <c r="AW794" s="23"/>
      <c r="AX794" s="23"/>
      <c r="AY794" s="23"/>
      <c r="AZ794" s="23"/>
      <c r="BA794" s="23"/>
      <c r="BB794" s="23"/>
      <c r="BC794" s="23"/>
    </row>
    <row r="795">
      <c r="AO795" s="23"/>
      <c r="AP795" s="23"/>
      <c r="AQ795" s="23"/>
      <c r="AR795" s="23"/>
      <c r="AS795" s="23"/>
      <c r="AT795" s="23"/>
      <c r="AU795" s="23"/>
      <c r="AV795" s="23"/>
      <c r="AW795" s="23"/>
      <c r="AX795" s="23"/>
      <c r="AY795" s="23"/>
      <c r="AZ795" s="23"/>
      <c r="BA795" s="23"/>
      <c r="BB795" s="23"/>
      <c r="BC795" s="23"/>
    </row>
    <row r="796">
      <c r="AO796" s="23"/>
      <c r="AP796" s="23"/>
      <c r="AQ796" s="23"/>
      <c r="AR796" s="23"/>
      <c r="AS796" s="23"/>
      <c r="AT796" s="23"/>
      <c r="AU796" s="23"/>
      <c r="AV796" s="23"/>
      <c r="AW796" s="23"/>
      <c r="AX796" s="23"/>
      <c r="AY796" s="23"/>
      <c r="AZ796" s="23"/>
      <c r="BA796" s="23"/>
      <c r="BB796" s="23"/>
      <c r="BC796" s="23"/>
    </row>
    <row r="797">
      <c r="AO797" s="23"/>
      <c r="AP797" s="23"/>
      <c r="AQ797" s="23"/>
      <c r="AR797" s="23"/>
      <c r="AS797" s="23"/>
      <c r="AT797" s="23"/>
      <c r="AU797" s="23"/>
      <c r="AV797" s="23"/>
      <c r="AW797" s="23"/>
      <c r="AX797" s="23"/>
      <c r="AY797" s="23"/>
      <c r="AZ797" s="23"/>
      <c r="BA797" s="23"/>
      <c r="BB797" s="23"/>
      <c r="BC797" s="23"/>
    </row>
    <row r="798">
      <c r="AO798" s="23"/>
      <c r="AP798" s="23"/>
      <c r="AQ798" s="23"/>
      <c r="AR798" s="23"/>
      <c r="AS798" s="23"/>
      <c r="AT798" s="23"/>
      <c r="AU798" s="23"/>
      <c r="AV798" s="23"/>
      <c r="AW798" s="23"/>
      <c r="AX798" s="23"/>
      <c r="AY798" s="23"/>
      <c r="AZ798" s="23"/>
      <c r="BA798" s="23"/>
      <c r="BB798" s="23"/>
      <c r="BC798" s="23"/>
    </row>
    <row r="799">
      <c r="AO799" s="23"/>
      <c r="AP799" s="23"/>
      <c r="AQ799" s="23"/>
      <c r="AR799" s="23"/>
      <c r="AS799" s="23"/>
      <c r="AT799" s="23"/>
      <c r="AU799" s="23"/>
      <c r="AV799" s="23"/>
      <c r="AW799" s="23"/>
      <c r="AX799" s="23"/>
      <c r="AY799" s="23"/>
      <c r="AZ799" s="23"/>
      <c r="BA799" s="23"/>
      <c r="BB799" s="23"/>
      <c r="BC799" s="23"/>
    </row>
    <row r="800">
      <c r="AO800" s="23"/>
      <c r="AP800" s="23"/>
      <c r="AQ800" s="23"/>
      <c r="AR800" s="23"/>
      <c r="AS800" s="23"/>
      <c r="AT800" s="23"/>
      <c r="AU800" s="23"/>
      <c r="AV800" s="23"/>
      <c r="AW800" s="23"/>
      <c r="AX800" s="23"/>
      <c r="AY800" s="23"/>
      <c r="AZ800" s="23"/>
      <c r="BA800" s="23"/>
      <c r="BB800" s="23"/>
      <c r="BC800" s="23"/>
    </row>
    <row r="801">
      <c r="AO801" s="23"/>
      <c r="AP801" s="23"/>
      <c r="AQ801" s="23"/>
      <c r="AR801" s="23"/>
      <c r="AS801" s="23"/>
      <c r="AT801" s="23"/>
      <c r="AU801" s="23"/>
      <c r="AV801" s="23"/>
      <c r="AW801" s="23"/>
      <c r="AX801" s="23"/>
      <c r="AY801" s="23"/>
      <c r="AZ801" s="23"/>
      <c r="BA801" s="23"/>
      <c r="BB801" s="23"/>
      <c r="BC801" s="23"/>
    </row>
    <row r="802">
      <c r="AO802" s="23"/>
      <c r="AP802" s="23"/>
      <c r="AQ802" s="23"/>
      <c r="AR802" s="23"/>
      <c r="AS802" s="23"/>
      <c r="AT802" s="23"/>
      <c r="AU802" s="23"/>
      <c r="AV802" s="23"/>
      <c r="AW802" s="23"/>
      <c r="AX802" s="23"/>
      <c r="AY802" s="23"/>
      <c r="AZ802" s="23"/>
      <c r="BA802" s="23"/>
      <c r="BB802" s="23"/>
      <c r="BC802" s="23"/>
    </row>
    <row r="803">
      <c r="AO803" s="23"/>
      <c r="AP803" s="23"/>
      <c r="AQ803" s="23"/>
      <c r="AR803" s="23"/>
      <c r="AS803" s="23"/>
      <c r="AT803" s="23"/>
      <c r="AU803" s="23"/>
      <c r="AV803" s="23"/>
      <c r="AW803" s="23"/>
      <c r="AX803" s="23"/>
      <c r="AY803" s="23"/>
      <c r="AZ803" s="23"/>
      <c r="BA803" s="23"/>
      <c r="BB803" s="23"/>
      <c r="BC803" s="23"/>
    </row>
    <row r="804">
      <c r="AO804" s="23"/>
      <c r="AP804" s="23"/>
      <c r="AQ804" s="23"/>
      <c r="AR804" s="23"/>
      <c r="AS804" s="23"/>
      <c r="AT804" s="23"/>
      <c r="AU804" s="23"/>
      <c r="AV804" s="23"/>
      <c r="AW804" s="23"/>
      <c r="AX804" s="23"/>
      <c r="AY804" s="23"/>
      <c r="AZ804" s="23"/>
      <c r="BA804" s="23"/>
      <c r="BB804" s="23"/>
      <c r="BC804" s="23"/>
    </row>
    <row r="805">
      <c r="AO805" s="23"/>
      <c r="AP805" s="23"/>
      <c r="AQ805" s="23"/>
      <c r="AR805" s="23"/>
      <c r="AS805" s="23"/>
      <c r="AT805" s="23"/>
      <c r="AU805" s="23"/>
      <c r="AV805" s="23"/>
      <c r="AW805" s="23"/>
      <c r="AX805" s="23"/>
      <c r="AY805" s="23"/>
      <c r="AZ805" s="23"/>
      <c r="BA805" s="23"/>
      <c r="BB805" s="23"/>
      <c r="BC805" s="23"/>
    </row>
    <row r="806">
      <c r="AO806" s="23"/>
      <c r="AP806" s="23"/>
      <c r="AQ806" s="23"/>
      <c r="AR806" s="23"/>
      <c r="AS806" s="23"/>
      <c r="AT806" s="23"/>
      <c r="AU806" s="23"/>
      <c r="AV806" s="23"/>
      <c r="AW806" s="23"/>
      <c r="AX806" s="23"/>
      <c r="AY806" s="23"/>
      <c r="AZ806" s="23"/>
      <c r="BA806" s="23"/>
      <c r="BB806" s="23"/>
      <c r="BC806" s="23"/>
    </row>
    <row r="807">
      <c r="AO807" s="23"/>
      <c r="AP807" s="23"/>
      <c r="AQ807" s="23"/>
      <c r="AR807" s="23"/>
      <c r="AS807" s="23"/>
      <c r="AT807" s="23"/>
      <c r="AU807" s="23"/>
      <c r="AV807" s="23"/>
      <c r="AW807" s="23"/>
      <c r="AX807" s="23"/>
      <c r="AY807" s="23"/>
      <c r="AZ807" s="23"/>
      <c r="BA807" s="23"/>
      <c r="BB807" s="23"/>
      <c r="BC807" s="23"/>
    </row>
    <row r="808">
      <c r="AO808" s="23"/>
      <c r="AP808" s="23"/>
      <c r="AQ808" s="23"/>
      <c r="AR808" s="23"/>
      <c r="AS808" s="23"/>
      <c r="AT808" s="23"/>
      <c r="AU808" s="23"/>
      <c r="AV808" s="23"/>
      <c r="AW808" s="23"/>
      <c r="AX808" s="23"/>
      <c r="AY808" s="23"/>
      <c r="AZ808" s="23"/>
      <c r="BA808" s="23"/>
      <c r="BB808" s="23"/>
      <c r="BC808" s="23"/>
    </row>
    <row r="809">
      <c r="AO809" s="23"/>
      <c r="AP809" s="23"/>
      <c r="AQ809" s="23"/>
      <c r="AR809" s="23"/>
      <c r="AS809" s="23"/>
      <c r="AT809" s="23"/>
      <c r="AU809" s="23"/>
      <c r="AV809" s="23"/>
      <c r="AW809" s="23"/>
      <c r="AX809" s="23"/>
      <c r="AY809" s="23"/>
      <c r="AZ809" s="23"/>
      <c r="BA809" s="23"/>
      <c r="BB809" s="23"/>
      <c r="BC809" s="23"/>
    </row>
    <row r="810">
      <c r="AO810" s="23"/>
      <c r="AP810" s="23"/>
      <c r="AQ810" s="23"/>
      <c r="AR810" s="23"/>
      <c r="AS810" s="23"/>
      <c r="AT810" s="23"/>
      <c r="AU810" s="23"/>
      <c r="AV810" s="23"/>
      <c r="AW810" s="23"/>
      <c r="AX810" s="23"/>
      <c r="AY810" s="23"/>
      <c r="AZ810" s="23"/>
      <c r="BA810" s="23"/>
      <c r="BB810" s="23"/>
      <c r="BC810" s="23"/>
    </row>
    <row r="811">
      <c r="AO811" s="23"/>
      <c r="AP811" s="23"/>
      <c r="AQ811" s="23"/>
      <c r="AR811" s="23"/>
      <c r="AS811" s="23"/>
      <c r="AT811" s="23"/>
      <c r="AU811" s="23"/>
      <c r="AV811" s="23"/>
      <c r="AW811" s="23"/>
      <c r="AX811" s="23"/>
      <c r="AY811" s="23"/>
      <c r="AZ811" s="23"/>
      <c r="BA811" s="23"/>
      <c r="BB811" s="23"/>
      <c r="BC811" s="23"/>
    </row>
    <row r="812">
      <c r="AO812" s="23"/>
      <c r="AP812" s="23"/>
      <c r="AQ812" s="23"/>
      <c r="AR812" s="23"/>
      <c r="AS812" s="23"/>
      <c r="AT812" s="23"/>
      <c r="AU812" s="23"/>
      <c r="AV812" s="23"/>
      <c r="AW812" s="23"/>
      <c r="AX812" s="23"/>
      <c r="AY812" s="23"/>
      <c r="AZ812" s="23"/>
      <c r="BA812" s="23"/>
      <c r="BB812" s="23"/>
      <c r="BC812" s="23"/>
    </row>
    <row r="813">
      <c r="AO813" s="23"/>
      <c r="AP813" s="23"/>
      <c r="AQ813" s="23"/>
      <c r="AR813" s="23"/>
      <c r="AS813" s="23"/>
      <c r="AT813" s="23"/>
      <c r="AU813" s="23"/>
      <c r="AV813" s="23"/>
      <c r="AW813" s="23"/>
      <c r="AX813" s="23"/>
      <c r="AY813" s="23"/>
      <c r="AZ813" s="23"/>
      <c r="BA813" s="23"/>
      <c r="BB813" s="23"/>
      <c r="BC813" s="23"/>
    </row>
    <row r="814">
      <c r="AO814" s="23"/>
      <c r="AP814" s="23"/>
      <c r="AQ814" s="23"/>
      <c r="AR814" s="23"/>
      <c r="AS814" s="23"/>
      <c r="AT814" s="23"/>
      <c r="AU814" s="23"/>
      <c r="AV814" s="23"/>
      <c r="AW814" s="23"/>
      <c r="AX814" s="23"/>
      <c r="AY814" s="23"/>
      <c r="AZ814" s="23"/>
      <c r="BA814" s="23"/>
      <c r="BB814" s="23"/>
      <c r="BC814" s="23"/>
    </row>
    <row r="815">
      <c r="AO815" s="23"/>
      <c r="AP815" s="23"/>
      <c r="AQ815" s="23"/>
      <c r="AR815" s="23"/>
      <c r="AS815" s="23"/>
      <c r="AT815" s="23"/>
      <c r="AU815" s="23"/>
      <c r="AV815" s="23"/>
      <c r="AW815" s="23"/>
      <c r="AX815" s="23"/>
      <c r="AY815" s="23"/>
      <c r="AZ815" s="23"/>
      <c r="BA815" s="23"/>
      <c r="BB815" s="23"/>
      <c r="BC815" s="23"/>
    </row>
    <row r="816">
      <c r="AO816" s="23"/>
      <c r="AP816" s="23"/>
      <c r="AQ816" s="23"/>
      <c r="AR816" s="23"/>
      <c r="AS816" s="23"/>
      <c r="AT816" s="23"/>
      <c r="AU816" s="23"/>
      <c r="AV816" s="23"/>
      <c r="AW816" s="23"/>
      <c r="AX816" s="23"/>
      <c r="AY816" s="23"/>
      <c r="AZ816" s="23"/>
      <c r="BA816" s="23"/>
      <c r="BB816" s="23"/>
      <c r="BC816" s="23"/>
    </row>
    <row r="817">
      <c r="AO817" s="23"/>
      <c r="AP817" s="23"/>
      <c r="AQ817" s="23"/>
      <c r="AR817" s="23"/>
      <c r="AS817" s="23"/>
      <c r="AT817" s="23"/>
      <c r="AU817" s="23"/>
      <c r="AV817" s="23"/>
      <c r="AW817" s="23"/>
      <c r="AX817" s="23"/>
      <c r="AY817" s="23"/>
      <c r="AZ817" s="23"/>
      <c r="BA817" s="23"/>
      <c r="BB817" s="23"/>
      <c r="BC817" s="23"/>
    </row>
    <row r="818">
      <c r="AO818" s="23"/>
      <c r="AP818" s="23"/>
      <c r="AQ818" s="23"/>
      <c r="AR818" s="23"/>
      <c r="AS818" s="23"/>
      <c r="AT818" s="23"/>
      <c r="AU818" s="23"/>
      <c r="AV818" s="23"/>
      <c r="AW818" s="23"/>
      <c r="AX818" s="23"/>
      <c r="AY818" s="23"/>
      <c r="AZ818" s="23"/>
      <c r="BA818" s="23"/>
      <c r="BB818" s="23"/>
      <c r="BC818" s="23"/>
    </row>
    <row r="819">
      <c r="AO819" s="23"/>
      <c r="AP819" s="23"/>
      <c r="AQ819" s="23"/>
      <c r="AR819" s="23"/>
      <c r="AS819" s="23"/>
      <c r="AT819" s="23"/>
      <c r="AU819" s="23"/>
      <c r="AV819" s="23"/>
      <c r="AW819" s="23"/>
      <c r="AX819" s="23"/>
      <c r="AY819" s="23"/>
      <c r="AZ819" s="23"/>
      <c r="BA819" s="23"/>
      <c r="BB819" s="23"/>
      <c r="BC819" s="23"/>
    </row>
    <row r="820">
      <c r="AO820" s="23"/>
      <c r="AP820" s="23"/>
      <c r="AQ820" s="23"/>
      <c r="AR820" s="23"/>
      <c r="AS820" s="23"/>
      <c r="AT820" s="23"/>
      <c r="AU820" s="23"/>
      <c r="AV820" s="23"/>
      <c r="AW820" s="23"/>
      <c r="AX820" s="23"/>
      <c r="AY820" s="23"/>
      <c r="AZ820" s="23"/>
      <c r="BA820" s="23"/>
      <c r="BB820" s="23"/>
      <c r="BC820" s="23"/>
    </row>
    <row r="821">
      <c r="AO821" s="23"/>
      <c r="AP821" s="23"/>
      <c r="AQ821" s="23"/>
      <c r="AR821" s="23"/>
      <c r="AS821" s="23"/>
      <c r="AT821" s="23"/>
      <c r="AU821" s="23"/>
      <c r="AV821" s="23"/>
      <c r="AW821" s="23"/>
      <c r="AX821" s="23"/>
      <c r="AY821" s="23"/>
      <c r="AZ821" s="23"/>
      <c r="BA821" s="23"/>
      <c r="BB821" s="23"/>
      <c r="BC821" s="23"/>
    </row>
    <row r="822">
      <c r="AO822" s="23"/>
      <c r="AP822" s="23"/>
      <c r="AQ822" s="23"/>
      <c r="AR822" s="23"/>
      <c r="AS822" s="23"/>
      <c r="AT822" s="23"/>
      <c r="AU822" s="23"/>
      <c r="AV822" s="23"/>
      <c r="AW822" s="23"/>
      <c r="AX822" s="23"/>
      <c r="AY822" s="23"/>
      <c r="AZ822" s="23"/>
      <c r="BA822" s="23"/>
      <c r="BB822" s="23"/>
      <c r="BC822" s="23"/>
    </row>
    <row r="823">
      <c r="AO823" s="23"/>
      <c r="AP823" s="23"/>
      <c r="AQ823" s="23"/>
      <c r="AR823" s="23"/>
      <c r="AS823" s="23"/>
      <c r="AT823" s="23"/>
      <c r="AU823" s="23"/>
      <c r="AV823" s="23"/>
      <c r="AW823" s="23"/>
      <c r="AX823" s="23"/>
      <c r="AY823" s="23"/>
      <c r="AZ823" s="23"/>
      <c r="BA823" s="23"/>
      <c r="BB823" s="23"/>
      <c r="BC823" s="23"/>
    </row>
    <row r="824">
      <c r="AO824" s="23"/>
      <c r="AP824" s="23"/>
      <c r="AQ824" s="23"/>
      <c r="AR824" s="23"/>
      <c r="AS824" s="23"/>
      <c r="AT824" s="23"/>
      <c r="AU824" s="23"/>
      <c r="AV824" s="23"/>
      <c r="AW824" s="23"/>
      <c r="AX824" s="23"/>
      <c r="AY824" s="23"/>
      <c r="AZ824" s="23"/>
      <c r="BA824" s="23"/>
      <c r="BB824" s="23"/>
      <c r="BC824" s="23"/>
    </row>
    <row r="825">
      <c r="AO825" s="23"/>
      <c r="AP825" s="23"/>
      <c r="AQ825" s="23"/>
      <c r="AR825" s="23"/>
      <c r="AS825" s="23"/>
      <c r="AT825" s="23"/>
      <c r="AU825" s="23"/>
      <c r="AV825" s="23"/>
      <c r="AW825" s="23"/>
      <c r="AX825" s="23"/>
      <c r="AY825" s="23"/>
      <c r="AZ825" s="23"/>
      <c r="BA825" s="23"/>
      <c r="BB825" s="23"/>
      <c r="BC825" s="23"/>
    </row>
    <row r="826">
      <c r="AO826" s="23"/>
      <c r="AP826" s="23"/>
      <c r="AQ826" s="23"/>
      <c r="AR826" s="23"/>
      <c r="AS826" s="23"/>
      <c r="AT826" s="23"/>
      <c r="AU826" s="23"/>
      <c r="AV826" s="23"/>
      <c r="AW826" s="23"/>
      <c r="AX826" s="23"/>
      <c r="AY826" s="23"/>
      <c r="AZ826" s="23"/>
      <c r="BA826" s="23"/>
      <c r="BB826" s="23"/>
      <c r="BC826" s="23"/>
    </row>
    <row r="827">
      <c r="AO827" s="23"/>
      <c r="AP827" s="23"/>
      <c r="AQ827" s="23"/>
      <c r="AR827" s="23"/>
      <c r="AS827" s="23"/>
      <c r="AT827" s="23"/>
      <c r="AU827" s="23"/>
      <c r="AV827" s="23"/>
      <c r="AW827" s="23"/>
      <c r="AX827" s="23"/>
      <c r="AY827" s="23"/>
      <c r="AZ827" s="23"/>
      <c r="BA827" s="23"/>
      <c r="BB827" s="23"/>
      <c r="BC827" s="23"/>
    </row>
    <row r="828">
      <c r="AO828" s="23"/>
      <c r="AP828" s="23"/>
      <c r="AQ828" s="23"/>
      <c r="AR828" s="23"/>
      <c r="AS828" s="23"/>
      <c r="AT828" s="23"/>
      <c r="AU828" s="23"/>
      <c r="AV828" s="23"/>
      <c r="AW828" s="23"/>
      <c r="AX828" s="23"/>
      <c r="AY828" s="23"/>
      <c r="AZ828" s="23"/>
      <c r="BA828" s="23"/>
      <c r="BB828" s="23"/>
      <c r="BC828" s="23"/>
    </row>
    <row r="829">
      <c r="AO829" s="23"/>
      <c r="AP829" s="23"/>
      <c r="AQ829" s="23"/>
      <c r="AR829" s="23"/>
      <c r="AS829" s="23"/>
      <c r="AT829" s="23"/>
      <c r="AU829" s="23"/>
      <c r="AV829" s="23"/>
      <c r="AW829" s="23"/>
      <c r="AX829" s="23"/>
      <c r="AY829" s="23"/>
      <c r="AZ829" s="23"/>
      <c r="BA829" s="23"/>
      <c r="BB829" s="23"/>
      <c r="BC829" s="23"/>
    </row>
    <row r="830">
      <c r="AO830" s="23"/>
      <c r="AP830" s="23"/>
      <c r="AQ830" s="23"/>
      <c r="AR830" s="23"/>
      <c r="AS830" s="23"/>
      <c r="AT830" s="23"/>
      <c r="AU830" s="23"/>
      <c r="AV830" s="23"/>
      <c r="AW830" s="23"/>
      <c r="AX830" s="23"/>
      <c r="AY830" s="23"/>
      <c r="AZ830" s="23"/>
      <c r="BA830" s="23"/>
      <c r="BB830" s="23"/>
      <c r="BC830" s="23"/>
    </row>
    <row r="831">
      <c r="AO831" s="23"/>
      <c r="AP831" s="23"/>
      <c r="AQ831" s="23"/>
      <c r="AR831" s="23"/>
      <c r="AS831" s="23"/>
      <c r="AT831" s="23"/>
      <c r="AU831" s="23"/>
      <c r="AV831" s="23"/>
      <c r="AW831" s="23"/>
      <c r="AX831" s="23"/>
      <c r="AY831" s="23"/>
      <c r="AZ831" s="23"/>
      <c r="BA831" s="23"/>
      <c r="BB831" s="23"/>
      <c r="BC831" s="23"/>
    </row>
    <row r="832">
      <c r="AO832" s="23"/>
      <c r="AP832" s="23"/>
      <c r="AQ832" s="23"/>
      <c r="AR832" s="23"/>
      <c r="AS832" s="23"/>
      <c r="AT832" s="23"/>
      <c r="AU832" s="23"/>
      <c r="AV832" s="23"/>
      <c r="AW832" s="23"/>
      <c r="AX832" s="23"/>
      <c r="AY832" s="23"/>
      <c r="AZ832" s="23"/>
      <c r="BA832" s="23"/>
      <c r="BB832" s="23"/>
      <c r="BC832" s="23"/>
    </row>
    <row r="833">
      <c r="AO833" s="23"/>
      <c r="AP833" s="23"/>
      <c r="AQ833" s="23"/>
      <c r="AR833" s="23"/>
      <c r="AS833" s="23"/>
      <c r="AT833" s="23"/>
      <c r="AU833" s="23"/>
      <c r="AV833" s="23"/>
      <c r="AW833" s="23"/>
      <c r="AX833" s="23"/>
      <c r="AY833" s="23"/>
      <c r="AZ833" s="23"/>
      <c r="BA833" s="23"/>
      <c r="BB833" s="23"/>
      <c r="BC833" s="23"/>
    </row>
    <row r="834">
      <c r="AO834" s="23"/>
      <c r="AP834" s="23"/>
      <c r="AQ834" s="23"/>
      <c r="AR834" s="23"/>
      <c r="AS834" s="23"/>
      <c r="AT834" s="23"/>
      <c r="AU834" s="23"/>
      <c r="AV834" s="23"/>
      <c r="AW834" s="23"/>
      <c r="AX834" s="23"/>
      <c r="AY834" s="23"/>
      <c r="AZ834" s="23"/>
      <c r="BA834" s="23"/>
      <c r="BB834" s="23"/>
      <c r="BC834" s="23"/>
    </row>
    <row r="835">
      <c r="AO835" s="23"/>
      <c r="AP835" s="23"/>
      <c r="AQ835" s="23"/>
      <c r="AR835" s="23"/>
      <c r="AS835" s="23"/>
      <c r="AT835" s="23"/>
      <c r="AU835" s="23"/>
      <c r="AV835" s="23"/>
      <c r="AW835" s="23"/>
      <c r="AX835" s="23"/>
      <c r="AY835" s="23"/>
      <c r="AZ835" s="23"/>
      <c r="BA835" s="23"/>
      <c r="BB835" s="23"/>
      <c r="BC835" s="23"/>
    </row>
    <row r="836">
      <c r="AO836" s="23"/>
      <c r="AP836" s="23"/>
      <c r="AQ836" s="23"/>
      <c r="AR836" s="23"/>
      <c r="AS836" s="23"/>
      <c r="AT836" s="23"/>
      <c r="AU836" s="23"/>
      <c r="AV836" s="23"/>
      <c r="AW836" s="23"/>
      <c r="AX836" s="23"/>
      <c r="AY836" s="23"/>
      <c r="AZ836" s="23"/>
      <c r="BA836" s="23"/>
      <c r="BB836" s="23"/>
      <c r="BC836" s="23"/>
    </row>
    <row r="837">
      <c r="AO837" s="23"/>
      <c r="AP837" s="23"/>
      <c r="AQ837" s="23"/>
      <c r="AR837" s="23"/>
      <c r="AS837" s="23"/>
      <c r="AT837" s="23"/>
      <c r="AU837" s="23"/>
      <c r="AV837" s="23"/>
      <c r="AW837" s="23"/>
      <c r="AX837" s="23"/>
      <c r="AY837" s="23"/>
      <c r="AZ837" s="23"/>
      <c r="BA837" s="23"/>
      <c r="BB837" s="23"/>
      <c r="BC837" s="23"/>
    </row>
    <row r="838">
      <c r="AO838" s="23"/>
      <c r="AP838" s="23"/>
      <c r="AQ838" s="23"/>
      <c r="AR838" s="23"/>
      <c r="AS838" s="23"/>
      <c r="AT838" s="23"/>
      <c r="AU838" s="23"/>
      <c r="AV838" s="23"/>
      <c r="AW838" s="23"/>
      <c r="AX838" s="23"/>
      <c r="AY838" s="23"/>
      <c r="AZ838" s="23"/>
      <c r="BA838" s="23"/>
      <c r="BB838" s="23"/>
      <c r="BC838" s="23"/>
    </row>
    <row r="839">
      <c r="AO839" s="23"/>
      <c r="AP839" s="23"/>
      <c r="AQ839" s="23"/>
      <c r="AR839" s="23"/>
      <c r="AS839" s="23"/>
      <c r="AT839" s="23"/>
      <c r="AU839" s="23"/>
      <c r="AV839" s="23"/>
      <c r="AW839" s="23"/>
      <c r="AX839" s="23"/>
      <c r="AY839" s="23"/>
      <c r="AZ839" s="23"/>
      <c r="BA839" s="23"/>
      <c r="BB839" s="23"/>
      <c r="BC839" s="23"/>
    </row>
    <row r="840">
      <c r="AO840" s="23"/>
      <c r="AP840" s="23"/>
      <c r="AQ840" s="23"/>
      <c r="AR840" s="23"/>
      <c r="AS840" s="23"/>
      <c r="AT840" s="23"/>
      <c r="AU840" s="23"/>
      <c r="AV840" s="23"/>
      <c r="AW840" s="23"/>
      <c r="AX840" s="23"/>
      <c r="AY840" s="23"/>
      <c r="AZ840" s="23"/>
      <c r="BA840" s="23"/>
      <c r="BB840" s="23"/>
      <c r="BC840" s="23"/>
    </row>
    <row r="841">
      <c r="AO841" s="23"/>
      <c r="AP841" s="23"/>
      <c r="AQ841" s="23"/>
      <c r="AR841" s="23"/>
      <c r="AS841" s="23"/>
      <c r="AT841" s="23"/>
      <c r="AU841" s="23"/>
      <c r="AV841" s="23"/>
      <c r="AW841" s="23"/>
      <c r="AX841" s="23"/>
      <c r="AY841" s="23"/>
      <c r="AZ841" s="23"/>
      <c r="BA841" s="23"/>
      <c r="BB841" s="23"/>
      <c r="BC841" s="23"/>
    </row>
    <row r="842">
      <c r="AO842" s="23"/>
      <c r="AP842" s="23"/>
      <c r="AQ842" s="23"/>
      <c r="AR842" s="23"/>
      <c r="AS842" s="23"/>
      <c r="AT842" s="23"/>
      <c r="AU842" s="23"/>
      <c r="AV842" s="23"/>
      <c r="AW842" s="23"/>
      <c r="AX842" s="23"/>
      <c r="AY842" s="23"/>
      <c r="AZ842" s="23"/>
      <c r="BA842" s="23"/>
      <c r="BB842" s="23"/>
      <c r="BC842" s="23"/>
    </row>
    <row r="843">
      <c r="AO843" s="23"/>
      <c r="AP843" s="23"/>
      <c r="AQ843" s="23"/>
      <c r="AR843" s="23"/>
      <c r="AS843" s="23"/>
      <c r="AT843" s="23"/>
      <c r="AU843" s="23"/>
      <c r="AV843" s="23"/>
      <c r="AW843" s="23"/>
      <c r="AX843" s="23"/>
      <c r="AY843" s="23"/>
      <c r="AZ843" s="23"/>
      <c r="BA843" s="23"/>
      <c r="BB843" s="23"/>
      <c r="BC843" s="23"/>
    </row>
    <row r="844">
      <c r="AO844" s="23"/>
      <c r="AP844" s="23"/>
      <c r="AQ844" s="23"/>
      <c r="AR844" s="23"/>
      <c r="AS844" s="23"/>
      <c r="AT844" s="23"/>
      <c r="AU844" s="23"/>
      <c r="AV844" s="23"/>
      <c r="AW844" s="23"/>
      <c r="AX844" s="23"/>
      <c r="AY844" s="23"/>
      <c r="AZ844" s="23"/>
      <c r="BA844" s="23"/>
      <c r="BB844" s="23"/>
      <c r="BC844" s="23"/>
    </row>
    <row r="845">
      <c r="AO845" s="23"/>
      <c r="AP845" s="23"/>
      <c r="AQ845" s="23"/>
      <c r="AR845" s="23"/>
      <c r="AS845" s="23"/>
      <c r="AT845" s="23"/>
      <c r="AU845" s="23"/>
      <c r="AV845" s="23"/>
      <c r="AW845" s="23"/>
      <c r="AX845" s="23"/>
      <c r="AY845" s="23"/>
      <c r="AZ845" s="23"/>
      <c r="BA845" s="23"/>
      <c r="BB845" s="23"/>
      <c r="BC845" s="23"/>
    </row>
    <row r="846">
      <c r="AO846" s="23"/>
      <c r="AP846" s="23"/>
      <c r="AQ846" s="23"/>
      <c r="AR846" s="23"/>
      <c r="AS846" s="23"/>
      <c r="AT846" s="23"/>
      <c r="AU846" s="23"/>
      <c r="AV846" s="23"/>
      <c r="AW846" s="23"/>
      <c r="AX846" s="23"/>
      <c r="AY846" s="23"/>
      <c r="AZ846" s="23"/>
      <c r="BA846" s="23"/>
      <c r="BB846" s="23"/>
      <c r="BC846" s="23"/>
    </row>
    <row r="847">
      <c r="AO847" s="23"/>
      <c r="AP847" s="23"/>
      <c r="AQ847" s="23"/>
      <c r="AR847" s="23"/>
      <c r="AS847" s="23"/>
      <c r="AT847" s="23"/>
      <c r="AU847" s="23"/>
      <c r="AV847" s="23"/>
      <c r="AW847" s="23"/>
      <c r="AX847" s="23"/>
      <c r="AY847" s="23"/>
      <c r="AZ847" s="23"/>
      <c r="BA847" s="23"/>
      <c r="BB847" s="23"/>
      <c r="BC847" s="23"/>
    </row>
    <row r="848">
      <c r="AO848" s="23"/>
      <c r="AP848" s="23"/>
      <c r="AQ848" s="23"/>
      <c r="AR848" s="23"/>
      <c r="AS848" s="23"/>
      <c r="AT848" s="23"/>
      <c r="AU848" s="23"/>
      <c r="AV848" s="23"/>
      <c r="AW848" s="23"/>
      <c r="AX848" s="23"/>
      <c r="AY848" s="23"/>
      <c r="AZ848" s="23"/>
      <c r="BA848" s="23"/>
      <c r="BB848" s="23"/>
      <c r="BC848" s="23"/>
    </row>
    <row r="849">
      <c r="AO849" s="23"/>
      <c r="AP849" s="23"/>
      <c r="AQ849" s="23"/>
      <c r="AR849" s="23"/>
      <c r="AS849" s="23"/>
      <c r="AT849" s="23"/>
      <c r="AU849" s="23"/>
      <c r="AV849" s="23"/>
      <c r="AW849" s="23"/>
      <c r="AX849" s="23"/>
      <c r="AY849" s="23"/>
      <c r="AZ849" s="23"/>
      <c r="BA849" s="23"/>
      <c r="BB849" s="23"/>
      <c r="BC849" s="23"/>
    </row>
    <row r="850">
      <c r="AO850" s="23"/>
      <c r="AP850" s="23"/>
      <c r="AQ850" s="23"/>
      <c r="AR850" s="23"/>
      <c r="AS850" s="23"/>
      <c r="AT850" s="23"/>
      <c r="AU850" s="23"/>
      <c r="AV850" s="23"/>
      <c r="AW850" s="23"/>
      <c r="AX850" s="23"/>
      <c r="AY850" s="23"/>
      <c r="AZ850" s="23"/>
      <c r="BA850" s="23"/>
      <c r="BB850" s="23"/>
      <c r="BC850" s="23"/>
    </row>
    <row r="851">
      <c r="AO851" s="23"/>
      <c r="AP851" s="23"/>
      <c r="AQ851" s="23"/>
      <c r="AR851" s="23"/>
      <c r="AS851" s="23"/>
      <c r="AT851" s="23"/>
      <c r="AU851" s="23"/>
      <c r="AV851" s="23"/>
      <c r="AW851" s="23"/>
      <c r="AX851" s="23"/>
      <c r="AY851" s="23"/>
      <c r="AZ851" s="23"/>
      <c r="BA851" s="23"/>
      <c r="BB851" s="23"/>
      <c r="BC851" s="23"/>
    </row>
    <row r="852">
      <c r="AO852" s="23"/>
      <c r="AP852" s="23"/>
      <c r="AQ852" s="23"/>
      <c r="AR852" s="23"/>
      <c r="AS852" s="23"/>
      <c r="AT852" s="23"/>
      <c r="AU852" s="23"/>
      <c r="AV852" s="23"/>
      <c r="AW852" s="23"/>
      <c r="AX852" s="23"/>
      <c r="AY852" s="23"/>
      <c r="AZ852" s="23"/>
      <c r="BA852" s="23"/>
      <c r="BB852" s="23"/>
      <c r="BC852" s="23"/>
    </row>
    <row r="853">
      <c r="AO853" s="23"/>
      <c r="AP853" s="23"/>
      <c r="AQ853" s="23"/>
      <c r="AR853" s="23"/>
      <c r="AS853" s="23"/>
      <c r="AT853" s="23"/>
      <c r="AU853" s="23"/>
      <c r="AV853" s="23"/>
      <c r="AW853" s="23"/>
      <c r="AX853" s="23"/>
      <c r="AY853" s="23"/>
      <c r="AZ853" s="23"/>
      <c r="BA853" s="23"/>
      <c r="BB853" s="23"/>
      <c r="BC853" s="23"/>
    </row>
    <row r="854">
      <c r="AO854" s="23"/>
      <c r="AP854" s="23"/>
      <c r="AQ854" s="23"/>
      <c r="AR854" s="23"/>
      <c r="AS854" s="23"/>
      <c r="AT854" s="23"/>
      <c r="AU854" s="23"/>
      <c r="AV854" s="23"/>
      <c r="AW854" s="23"/>
      <c r="AX854" s="23"/>
      <c r="AY854" s="23"/>
      <c r="AZ854" s="23"/>
      <c r="BA854" s="23"/>
      <c r="BB854" s="23"/>
      <c r="BC854" s="23"/>
    </row>
    <row r="855">
      <c r="AO855" s="23"/>
      <c r="AP855" s="23"/>
      <c r="AQ855" s="23"/>
      <c r="AR855" s="23"/>
      <c r="AS855" s="23"/>
      <c r="AT855" s="23"/>
      <c r="AU855" s="23"/>
      <c r="AV855" s="23"/>
      <c r="AW855" s="23"/>
      <c r="AX855" s="23"/>
      <c r="AY855" s="23"/>
      <c r="AZ855" s="23"/>
      <c r="BA855" s="23"/>
      <c r="BB855" s="23"/>
      <c r="BC855" s="23"/>
    </row>
    <row r="856">
      <c r="AO856" s="23"/>
      <c r="AP856" s="23"/>
      <c r="AQ856" s="23"/>
      <c r="AR856" s="23"/>
      <c r="AS856" s="23"/>
      <c r="AT856" s="23"/>
      <c r="AU856" s="23"/>
      <c r="AV856" s="23"/>
      <c r="AW856" s="23"/>
      <c r="AX856" s="23"/>
      <c r="AY856" s="23"/>
      <c r="AZ856" s="23"/>
      <c r="BA856" s="23"/>
      <c r="BB856" s="23"/>
      <c r="BC856" s="23"/>
    </row>
    <row r="857">
      <c r="AO857" s="23"/>
      <c r="AP857" s="23"/>
      <c r="AQ857" s="23"/>
      <c r="AR857" s="23"/>
      <c r="AS857" s="23"/>
      <c r="AT857" s="23"/>
      <c r="AU857" s="23"/>
      <c r="AV857" s="23"/>
      <c r="AW857" s="23"/>
      <c r="AX857" s="23"/>
      <c r="AY857" s="23"/>
      <c r="AZ857" s="23"/>
      <c r="BA857" s="23"/>
      <c r="BB857" s="23"/>
      <c r="BC857" s="23"/>
    </row>
    <row r="858">
      <c r="AO858" s="23"/>
      <c r="AP858" s="23"/>
      <c r="AQ858" s="23"/>
      <c r="AR858" s="23"/>
      <c r="AS858" s="23"/>
      <c r="AT858" s="23"/>
      <c r="AU858" s="23"/>
      <c r="AV858" s="23"/>
      <c r="AW858" s="23"/>
      <c r="AX858" s="23"/>
      <c r="AY858" s="23"/>
      <c r="AZ858" s="23"/>
      <c r="BA858" s="23"/>
      <c r="BB858" s="23"/>
      <c r="BC858" s="23"/>
    </row>
    <row r="859">
      <c r="AO859" s="23"/>
      <c r="AP859" s="23"/>
      <c r="AQ859" s="23"/>
      <c r="AR859" s="23"/>
      <c r="AS859" s="23"/>
      <c r="AT859" s="23"/>
      <c r="AU859" s="23"/>
      <c r="AV859" s="23"/>
      <c r="AW859" s="23"/>
      <c r="AX859" s="23"/>
      <c r="AY859" s="23"/>
      <c r="AZ859" s="23"/>
      <c r="BA859" s="23"/>
      <c r="BB859" s="23"/>
      <c r="BC859" s="23"/>
    </row>
    <row r="860">
      <c r="AO860" s="23"/>
      <c r="AP860" s="23"/>
      <c r="AQ860" s="23"/>
      <c r="AR860" s="23"/>
      <c r="AS860" s="23"/>
      <c r="AT860" s="23"/>
      <c r="AU860" s="23"/>
      <c r="AV860" s="23"/>
      <c r="AW860" s="23"/>
      <c r="AX860" s="23"/>
      <c r="AY860" s="23"/>
      <c r="AZ860" s="23"/>
      <c r="BA860" s="23"/>
      <c r="BB860" s="23"/>
      <c r="BC860" s="23"/>
    </row>
    <row r="861">
      <c r="AO861" s="23"/>
      <c r="AP861" s="23"/>
      <c r="AQ861" s="23"/>
      <c r="AR861" s="23"/>
      <c r="AS861" s="23"/>
      <c r="AT861" s="23"/>
      <c r="AU861" s="23"/>
      <c r="AV861" s="23"/>
      <c r="AW861" s="23"/>
      <c r="AX861" s="23"/>
      <c r="AY861" s="23"/>
      <c r="AZ861" s="23"/>
      <c r="BA861" s="23"/>
      <c r="BB861" s="23"/>
      <c r="BC861" s="23"/>
    </row>
    <row r="862">
      <c r="AO862" s="23"/>
      <c r="AP862" s="23"/>
      <c r="AQ862" s="23"/>
      <c r="AR862" s="23"/>
      <c r="AS862" s="23"/>
      <c r="AT862" s="23"/>
      <c r="AU862" s="23"/>
      <c r="AV862" s="23"/>
      <c r="AW862" s="23"/>
      <c r="AX862" s="23"/>
      <c r="AY862" s="23"/>
      <c r="AZ862" s="23"/>
      <c r="BA862" s="23"/>
      <c r="BB862" s="23"/>
      <c r="BC862" s="23"/>
    </row>
    <row r="863">
      <c r="AO863" s="23"/>
      <c r="AP863" s="23"/>
      <c r="AQ863" s="23"/>
      <c r="AR863" s="23"/>
      <c r="AS863" s="23"/>
      <c r="AT863" s="23"/>
      <c r="AU863" s="23"/>
      <c r="AV863" s="23"/>
      <c r="AW863" s="23"/>
      <c r="AX863" s="23"/>
      <c r="AY863" s="23"/>
      <c r="AZ863" s="23"/>
      <c r="BA863" s="23"/>
      <c r="BB863" s="23"/>
      <c r="BC863" s="23"/>
    </row>
    <row r="864">
      <c r="AO864" s="23"/>
      <c r="AP864" s="23"/>
      <c r="AQ864" s="23"/>
      <c r="AR864" s="23"/>
      <c r="AS864" s="23"/>
      <c r="AT864" s="23"/>
      <c r="AU864" s="23"/>
      <c r="AV864" s="23"/>
      <c r="AW864" s="23"/>
      <c r="AX864" s="23"/>
      <c r="AY864" s="23"/>
      <c r="AZ864" s="23"/>
      <c r="BA864" s="23"/>
      <c r="BB864" s="23"/>
      <c r="BC864" s="23"/>
    </row>
    <row r="865">
      <c r="AO865" s="23"/>
      <c r="AP865" s="23"/>
      <c r="AQ865" s="23"/>
      <c r="AR865" s="23"/>
      <c r="AS865" s="23"/>
      <c r="AT865" s="23"/>
      <c r="AU865" s="23"/>
      <c r="AV865" s="23"/>
      <c r="AW865" s="23"/>
      <c r="AX865" s="23"/>
      <c r="AY865" s="23"/>
      <c r="AZ865" s="23"/>
      <c r="BA865" s="23"/>
      <c r="BB865" s="23"/>
      <c r="BC865" s="23"/>
    </row>
    <row r="866">
      <c r="AO866" s="23"/>
      <c r="AP866" s="23"/>
      <c r="AQ866" s="23"/>
      <c r="AR866" s="23"/>
      <c r="AS866" s="23"/>
      <c r="AT866" s="23"/>
      <c r="AU866" s="23"/>
      <c r="AV866" s="23"/>
      <c r="AW866" s="23"/>
      <c r="AX866" s="23"/>
      <c r="AY866" s="23"/>
      <c r="AZ866" s="23"/>
      <c r="BA866" s="23"/>
      <c r="BB866" s="23"/>
      <c r="BC866" s="23"/>
    </row>
    <row r="867">
      <c r="AO867" s="23"/>
      <c r="AP867" s="23"/>
      <c r="AQ867" s="23"/>
      <c r="AR867" s="23"/>
      <c r="AS867" s="23"/>
      <c r="AT867" s="23"/>
      <c r="AU867" s="23"/>
      <c r="AV867" s="23"/>
      <c r="AW867" s="23"/>
      <c r="AX867" s="23"/>
      <c r="AY867" s="23"/>
      <c r="AZ867" s="23"/>
      <c r="BA867" s="23"/>
      <c r="BB867" s="23"/>
      <c r="BC867" s="23"/>
    </row>
    <row r="868">
      <c r="AO868" s="23"/>
      <c r="AP868" s="23"/>
      <c r="AQ868" s="23"/>
      <c r="AR868" s="23"/>
      <c r="AS868" s="23"/>
      <c r="AT868" s="23"/>
      <c r="AU868" s="23"/>
      <c r="AV868" s="23"/>
      <c r="AW868" s="23"/>
      <c r="AX868" s="23"/>
      <c r="AY868" s="23"/>
      <c r="AZ868" s="23"/>
      <c r="BA868" s="23"/>
      <c r="BB868" s="23"/>
      <c r="BC868" s="23"/>
    </row>
    <row r="869">
      <c r="AO869" s="23"/>
      <c r="AP869" s="23"/>
      <c r="AQ869" s="23"/>
      <c r="AR869" s="23"/>
      <c r="AS869" s="23"/>
      <c r="AT869" s="23"/>
      <c r="AU869" s="23"/>
      <c r="AV869" s="23"/>
      <c r="AW869" s="23"/>
      <c r="AX869" s="23"/>
      <c r="AY869" s="23"/>
      <c r="AZ869" s="23"/>
      <c r="BA869" s="23"/>
      <c r="BB869" s="23"/>
      <c r="BC869" s="23"/>
    </row>
    <row r="870">
      <c r="AO870" s="23"/>
      <c r="AP870" s="23"/>
      <c r="AQ870" s="23"/>
      <c r="AR870" s="23"/>
      <c r="AS870" s="23"/>
      <c r="AT870" s="23"/>
      <c r="AU870" s="23"/>
      <c r="AV870" s="23"/>
      <c r="AW870" s="23"/>
      <c r="AX870" s="23"/>
      <c r="AY870" s="23"/>
      <c r="AZ870" s="23"/>
      <c r="BA870" s="23"/>
      <c r="BB870" s="23"/>
      <c r="BC870" s="23"/>
    </row>
    <row r="871">
      <c r="AO871" s="23"/>
      <c r="AP871" s="23"/>
      <c r="AQ871" s="23"/>
      <c r="AR871" s="23"/>
      <c r="AS871" s="23"/>
      <c r="AT871" s="23"/>
      <c r="AU871" s="23"/>
      <c r="AV871" s="23"/>
      <c r="AW871" s="23"/>
      <c r="AX871" s="23"/>
      <c r="AY871" s="23"/>
      <c r="AZ871" s="23"/>
      <c r="BA871" s="23"/>
      <c r="BB871" s="23"/>
      <c r="BC871" s="23"/>
    </row>
    <row r="872">
      <c r="AO872" s="23"/>
      <c r="AP872" s="23"/>
      <c r="AQ872" s="23"/>
      <c r="AR872" s="23"/>
      <c r="AS872" s="23"/>
      <c r="AT872" s="23"/>
      <c r="AU872" s="23"/>
      <c r="AV872" s="23"/>
      <c r="AW872" s="23"/>
      <c r="AX872" s="23"/>
      <c r="AY872" s="23"/>
      <c r="AZ872" s="23"/>
      <c r="BA872" s="23"/>
      <c r="BB872" s="23"/>
      <c r="BC872" s="23"/>
    </row>
    <row r="873">
      <c r="AO873" s="23"/>
      <c r="AP873" s="23"/>
      <c r="AQ873" s="23"/>
      <c r="AR873" s="23"/>
      <c r="AS873" s="23"/>
      <c r="AT873" s="23"/>
      <c r="AU873" s="23"/>
      <c r="AV873" s="23"/>
      <c r="AW873" s="23"/>
      <c r="AX873" s="23"/>
      <c r="AY873" s="23"/>
      <c r="AZ873" s="23"/>
      <c r="BA873" s="23"/>
      <c r="BB873" s="23"/>
      <c r="BC873" s="23"/>
    </row>
    <row r="874">
      <c r="AO874" s="23"/>
      <c r="AP874" s="23"/>
      <c r="AQ874" s="23"/>
      <c r="AR874" s="23"/>
      <c r="AS874" s="23"/>
      <c r="AT874" s="23"/>
      <c r="AU874" s="23"/>
      <c r="AV874" s="23"/>
      <c r="AW874" s="23"/>
      <c r="AX874" s="23"/>
      <c r="AY874" s="23"/>
      <c r="AZ874" s="23"/>
      <c r="BA874" s="23"/>
      <c r="BB874" s="23"/>
      <c r="BC874" s="23"/>
    </row>
    <row r="875">
      <c r="AO875" s="23"/>
      <c r="AP875" s="23"/>
      <c r="AQ875" s="23"/>
      <c r="AR875" s="23"/>
      <c r="AS875" s="23"/>
      <c r="AT875" s="23"/>
      <c r="AU875" s="23"/>
      <c r="AV875" s="23"/>
      <c r="AW875" s="23"/>
      <c r="AX875" s="23"/>
      <c r="AY875" s="23"/>
      <c r="AZ875" s="23"/>
      <c r="BA875" s="23"/>
      <c r="BB875" s="23"/>
      <c r="BC875" s="23"/>
    </row>
    <row r="876">
      <c r="AO876" s="23"/>
      <c r="AP876" s="23"/>
      <c r="AQ876" s="23"/>
      <c r="AR876" s="23"/>
      <c r="AS876" s="23"/>
      <c r="AT876" s="23"/>
      <c r="AU876" s="23"/>
      <c r="AV876" s="23"/>
      <c r="AW876" s="23"/>
      <c r="AX876" s="23"/>
      <c r="AY876" s="23"/>
      <c r="AZ876" s="23"/>
      <c r="BA876" s="23"/>
      <c r="BB876" s="23"/>
      <c r="BC876" s="23"/>
    </row>
    <row r="877">
      <c r="AO877" s="23"/>
      <c r="AP877" s="23"/>
      <c r="AQ877" s="23"/>
      <c r="AR877" s="23"/>
      <c r="AS877" s="23"/>
      <c r="AT877" s="23"/>
      <c r="AU877" s="23"/>
      <c r="AV877" s="23"/>
      <c r="AW877" s="23"/>
      <c r="AX877" s="23"/>
      <c r="AY877" s="23"/>
      <c r="AZ877" s="23"/>
      <c r="BA877" s="23"/>
      <c r="BB877" s="23"/>
      <c r="BC877" s="23"/>
    </row>
    <row r="878">
      <c r="AO878" s="23"/>
      <c r="AP878" s="23"/>
      <c r="AQ878" s="23"/>
      <c r="AR878" s="23"/>
      <c r="AS878" s="23"/>
      <c r="AT878" s="23"/>
      <c r="AU878" s="23"/>
      <c r="AV878" s="23"/>
      <c r="AW878" s="23"/>
      <c r="AX878" s="23"/>
      <c r="AY878" s="23"/>
      <c r="AZ878" s="23"/>
      <c r="BA878" s="23"/>
      <c r="BB878" s="23"/>
      <c r="BC878" s="23"/>
    </row>
    <row r="879">
      <c r="AO879" s="23"/>
      <c r="AP879" s="23"/>
      <c r="AQ879" s="23"/>
      <c r="AR879" s="23"/>
      <c r="AS879" s="23"/>
      <c r="AT879" s="23"/>
      <c r="AU879" s="23"/>
      <c r="AV879" s="23"/>
      <c r="AW879" s="23"/>
      <c r="AX879" s="23"/>
      <c r="AY879" s="23"/>
      <c r="AZ879" s="23"/>
      <c r="BA879" s="23"/>
      <c r="BB879" s="23"/>
      <c r="BC879" s="23"/>
    </row>
    <row r="880">
      <c r="AO880" s="23"/>
      <c r="AP880" s="23"/>
      <c r="AQ880" s="23"/>
      <c r="AR880" s="23"/>
      <c r="AS880" s="23"/>
      <c r="AT880" s="23"/>
      <c r="AU880" s="23"/>
      <c r="AV880" s="23"/>
      <c r="AW880" s="23"/>
      <c r="AX880" s="23"/>
      <c r="AY880" s="23"/>
      <c r="AZ880" s="23"/>
      <c r="BA880" s="23"/>
      <c r="BB880" s="23"/>
      <c r="BC880" s="23"/>
    </row>
    <row r="881">
      <c r="AO881" s="23"/>
      <c r="AP881" s="23"/>
      <c r="AQ881" s="23"/>
      <c r="AR881" s="23"/>
      <c r="AS881" s="23"/>
      <c r="AT881" s="23"/>
      <c r="AU881" s="23"/>
      <c r="AV881" s="23"/>
      <c r="AW881" s="23"/>
      <c r="AX881" s="23"/>
      <c r="AY881" s="23"/>
      <c r="AZ881" s="23"/>
      <c r="BA881" s="23"/>
      <c r="BB881" s="23"/>
      <c r="BC881" s="23"/>
    </row>
    <row r="882">
      <c r="AO882" s="23"/>
      <c r="AP882" s="23"/>
      <c r="AQ882" s="23"/>
      <c r="AR882" s="23"/>
      <c r="AS882" s="23"/>
      <c r="AT882" s="23"/>
      <c r="AU882" s="23"/>
      <c r="AV882" s="23"/>
      <c r="AW882" s="23"/>
      <c r="AX882" s="23"/>
      <c r="AY882" s="23"/>
      <c r="AZ882" s="23"/>
      <c r="BA882" s="23"/>
      <c r="BB882" s="23"/>
      <c r="BC882" s="23"/>
    </row>
    <row r="883">
      <c r="AO883" s="23"/>
      <c r="AP883" s="23"/>
      <c r="AQ883" s="23"/>
      <c r="AR883" s="23"/>
      <c r="AS883" s="23"/>
      <c r="AT883" s="23"/>
      <c r="AU883" s="23"/>
      <c r="AV883" s="23"/>
      <c r="AW883" s="23"/>
      <c r="AX883" s="23"/>
      <c r="AY883" s="23"/>
      <c r="AZ883" s="23"/>
      <c r="BA883" s="23"/>
      <c r="BB883" s="23"/>
      <c r="BC883" s="23"/>
    </row>
    <row r="884">
      <c r="AO884" s="23"/>
      <c r="AP884" s="23"/>
      <c r="AQ884" s="23"/>
      <c r="AR884" s="23"/>
      <c r="AS884" s="23"/>
      <c r="AT884" s="23"/>
      <c r="AU884" s="23"/>
      <c r="AV884" s="23"/>
      <c r="AW884" s="23"/>
      <c r="AX884" s="23"/>
      <c r="AY884" s="23"/>
      <c r="AZ884" s="23"/>
      <c r="BA884" s="23"/>
      <c r="BB884" s="23"/>
      <c r="BC884" s="23"/>
    </row>
    <row r="885">
      <c r="AO885" s="23"/>
      <c r="AP885" s="23"/>
      <c r="AQ885" s="23"/>
      <c r="AR885" s="23"/>
      <c r="AS885" s="23"/>
      <c r="AT885" s="23"/>
      <c r="AU885" s="23"/>
      <c r="AV885" s="23"/>
      <c r="AW885" s="23"/>
      <c r="AX885" s="23"/>
      <c r="AY885" s="23"/>
      <c r="AZ885" s="23"/>
      <c r="BA885" s="23"/>
      <c r="BB885" s="23"/>
      <c r="BC885" s="23"/>
    </row>
    <row r="886">
      <c r="AO886" s="23"/>
      <c r="AP886" s="23"/>
      <c r="AQ886" s="23"/>
      <c r="AR886" s="23"/>
      <c r="AS886" s="23"/>
      <c r="AT886" s="23"/>
      <c r="AU886" s="23"/>
      <c r="AV886" s="23"/>
      <c r="AW886" s="23"/>
      <c r="AX886" s="23"/>
      <c r="AY886" s="23"/>
      <c r="AZ886" s="23"/>
      <c r="BA886" s="23"/>
      <c r="BB886" s="23"/>
      <c r="BC886" s="23"/>
    </row>
    <row r="887">
      <c r="AO887" s="23"/>
      <c r="AP887" s="23"/>
      <c r="AQ887" s="23"/>
      <c r="AR887" s="23"/>
      <c r="AS887" s="23"/>
      <c r="AT887" s="23"/>
      <c r="AU887" s="23"/>
      <c r="AV887" s="23"/>
      <c r="AW887" s="23"/>
      <c r="AX887" s="23"/>
      <c r="AY887" s="23"/>
      <c r="AZ887" s="23"/>
      <c r="BA887" s="23"/>
      <c r="BB887" s="23"/>
      <c r="BC887" s="23"/>
    </row>
    <row r="888">
      <c r="AO888" s="23"/>
      <c r="AP888" s="23"/>
      <c r="AQ888" s="23"/>
      <c r="AR888" s="23"/>
      <c r="AS888" s="23"/>
      <c r="AT888" s="23"/>
      <c r="AU888" s="23"/>
      <c r="AV888" s="23"/>
      <c r="AW888" s="23"/>
      <c r="AX888" s="23"/>
      <c r="AY888" s="23"/>
      <c r="AZ888" s="23"/>
      <c r="BA888" s="23"/>
      <c r="BB888" s="23"/>
      <c r="BC888" s="23"/>
    </row>
    <row r="889">
      <c r="AO889" s="23"/>
      <c r="AP889" s="23"/>
      <c r="AQ889" s="23"/>
      <c r="AR889" s="23"/>
      <c r="AS889" s="23"/>
      <c r="AT889" s="23"/>
      <c r="AU889" s="23"/>
      <c r="AV889" s="23"/>
      <c r="AW889" s="23"/>
      <c r="AX889" s="23"/>
      <c r="AY889" s="23"/>
      <c r="AZ889" s="23"/>
      <c r="BA889" s="23"/>
      <c r="BB889" s="23"/>
      <c r="BC889" s="23"/>
    </row>
    <row r="890">
      <c r="AO890" s="23"/>
      <c r="AP890" s="23"/>
      <c r="AQ890" s="23"/>
      <c r="AR890" s="23"/>
      <c r="AS890" s="23"/>
      <c r="AT890" s="23"/>
      <c r="AU890" s="23"/>
      <c r="AV890" s="23"/>
      <c r="AW890" s="23"/>
      <c r="AX890" s="23"/>
      <c r="AY890" s="23"/>
      <c r="AZ890" s="23"/>
      <c r="BA890" s="23"/>
      <c r="BB890" s="23"/>
      <c r="BC890" s="23"/>
    </row>
    <row r="891">
      <c r="AO891" s="23"/>
      <c r="AP891" s="23"/>
      <c r="AQ891" s="23"/>
      <c r="AR891" s="23"/>
      <c r="AS891" s="23"/>
      <c r="AT891" s="23"/>
      <c r="AU891" s="23"/>
      <c r="AV891" s="23"/>
      <c r="AW891" s="23"/>
      <c r="AX891" s="23"/>
      <c r="AY891" s="23"/>
      <c r="AZ891" s="23"/>
      <c r="BA891" s="23"/>
      <c r="BB891" s="23"/>
      <c r="BC891" s="23"/>
    </row>
    <row r="892">
      <c r="AO892" s="23"/>
      <c r="AP892" s="23"/>
      <c r="AQ892" s="23"/>
      <c r="AR892" s="23"/>
      <c r="AS892" s="23"/>
      <c r="AT892" s="23"/>
      <c r="AU892" s="23"/>
      <c r="AV892" s="23"/>
      <c r="AW892" s="23"/>
      <c r="AX892" s="23"/>
      <c r="AY892" s="23"/>
      <c r="AZ892" s="23"/>
      <c r="BA892" s="23"/>
      <c r="BB892" s="23"/>
      <c r="BC892" s="23"/>
    </row>
    <row r="893">
      <c r="AO893" s="23"/>
      <c r="AP893" s="23"/>
      <c r="AQ893" s="23"/>
      <c r="AR893" s="23"/>
      <c r="AS893" s="23"/>
      <c r="AT893" s="23"/>
      <c r="AU893" s="23"/>
      <c r="AV893" s="23"/>
      <c r="AW893" s="23"/>
      <c r="AX893" s="23"/>
      <c r="AY893" s="23"/>
      <c r="AZ893" s="23"/>
      <c r="BA893" s="23"/>
      <c r="BB893" s="23"/>
      <c r="BC893" s="23"/>
    </row>
    <row r="894">
      <c r="AO894" s="23"/>
      <c r="AP894" s="23"/>
      <c r="AQ894" s="23"/>
      <c r="AR894" s="23"/>
      <c r="AS894" s="23"/>
      <c r="AT894" s="23"/>
      <c r="AU894" s="23"/>
      <c r="AV894" s="23"/>
      <c r="AW894" s="23"/>
      <c r="AX894" s="23"/>
      <c r="AY894" s="23"/>
      <c r="AZ894" s="23"/>
      <c r="BA894" s="23"/>
      <c r="BB894" s="23"/>
      <c r="BC894" s="23"/>
    </row>
    <row r="895">
      <c r="AO895" s="23"/>
      <c r="AP895" s="23"/>
      <c r="AQ895" s="23"/>
      <c r="AR895" s="23"/>
      <c r="AS895" s="23"/>
      <c r="AT895" s="23"/>
      <c r="AU895" s="23"/>
      <c r="AV895" s="23"/>
      <c r="AW895" s="23"/>
      <c r="AX895" s="23"/>
      <c r="AY895" s="23"/>
      <c r="AZ895" s="23"/>
      <c r="BA895" s="23"/>
      <c r="BB895" s="23"/>
      <c r="BC895" s="23"/>
    </row>
    <row r="896">
      <c r="AO896" s="23"/>
      <c r="AP896" s="23"/>
      <c r="AQ896" s="23"/>
      <c r="AR896" s="23"/>
      <c r="AS896" s="23"/>
      <c r="AT896" s="23"/>
      <c r="AU896" s="23"/>
      <c r="AV896" s="23"/>
      <c r="AW896" s="23"/>
      <c r="AX896" s="23"/>
      <c r="AY896" s="23"/>
      <c r="AZ896" s="23"/>
      <c r="BA896" s="23"/>
      <c r="BB896" s="23"/>
      <c r="BC896" s="23"/>
    </row>
    <row r="897">
      <c r="AO897" s="23"/>
      <c r="AP897" s="23"/>
      <c r="AQ897" s="23"/>
      <c r="AR897" s="23"/>
      <c r="AS897" s="23"/>
      <c r="AT897" s="23"/>
      <c r="AU897" s="23"/>
      <c r="AV897" s="23"/>
      <c r="AW897" s="23"/>
      <c r="AX897" s="23"/>
      <c r="AY897" s="23"/>
      <c r="AZ897" s="23"/>
      <c r="BA897" s="23"/>
      <c r="BB897" s="23"/>
      <c r="BC897" s="23"/>
    </row>
    <row r="898">
      <c r="AO898" s="23"/>
      <c r="AP898" s="23"/>
      <c r="AQ898" s="23"/>
      <c r="AR898" s="23"/>
      <c r="AS898" s="23"/>
      <c r="AT898" s="23"/>
      <c r="AU898" s="23"/>
      <c r="AV898" s="23"/>
      <c r="AW898" s="23"/>
      <c r="AX898" s="23"/>
      <c r="AY898" s="23"/>
      <c r="AZ898" s="23"/>
      <c r="BA898" s="23"/>
      <c r="BB898" s="23"/>
      <c r="BC898" s="23"/>
    </row>
    <row r="899">
      <c r="AO899" s="23"/>
      <c r="AP899" s="23"/>
      <c r="AQ899" s="23"/>
      <c r="AR899" s="23"/>
      <c r="AS899" s="23"/>
      <c r="AT899" s="23"/>
      <c r="AU899" s="23"/>
      <c r="AV899" s="23"/>
      <c r="AW899" s="23"/>
      <c r="AX899" s="23"/>
      <c r="AY899" s="23"/>
      <c r="AZ899" s="23"/>
      <c r="BA899" s="23"/>
      <c r="BB899" s="23"/>
      <c r="BC899" s="23"/>
    </row>
    <row r="900">
      <c r="AO900" s="23"/>
      <c r="AP900" s="23"/>
      <c r="AQ900" s="23"/>
      <c r="AR900" s="23"/>
      <c r="AS900" s="23"/>
      <c r="AT900" s="23"/>
      <c r="AU900" s="23"/>
      <c r="AV900" s="23"/>
      <c r="AW900" s="23"/>
      <c r="AX900" s="23"/>
      <c r="AY900" s="23"/>
      <c r="AZ900" s="23"/>
      <c r="BA900" s="23"/>
      <c r="BB900" s="23"/>
      <c r="BC900" s="23"/>
    </row>
    <row r="901">
      <c r="AO901" s="23"/>
      <c r="AP901" s="23"/>
      <c r="AQ901" s="23"/>
      <c r="AR901" s="23"/>
      <c r="AS901" s="23"/>
      <c r="AT901" s="23"/>
      <c r="AU901" s="23"/>
      <c r="AV901" s="23"/>
      <c r="AW901" s="23"/>
      <c r="AX901" s="23"/>
      <c r="AY901" s="23"/>
      <c r="AZ901" s="23"/>
      <c r="BA901" s="23"/>
      <c r="BB901" s="23"/>
      <c r="BC901" s="23"/>
    </row>
    <row r="902">
      <c r="AO902" s="23"/>
      <c r="AP902" s="23"/>
      <c r="AQ902" s="23"/>
      <c r="AR902" s="23"/>
      <c r="AS902" s="23"/>
      <c r="AT902" s="23"/>
      <c r="AU902" s="23"/>
      <c r="AV902" s="23"/>
      <c r="AW902" s="23"/>
      <c r="AX902" s="23"/>
      <c r="AY902" s="23"/>
      <c r="AZ902" s="23"/>
      <c r="BA902" s="23"/>
      <c r="BB902" s="23"/>
      <c r="BC902" s="23"/>
    </row>
    <row r="903">
      <c r="AO903" s="23"/>
      <c r="AP903" s="23"/>
      <c r="AQ903" s="23"/>
      <c r="AR903" s="23"/>
      <c r="AS903" s="23"/>
      <c r="AT903" s="23"/>
      <c r="AU903" s="23"/>
      <c r="AV903" s="23"/>
      <c r="AW903" s="23"/>
      <c r="AX903" s="23"/>
      <c r="AY903" s="23"/>
      <c r="AZ903" s="23"/>
      <c r="BA903" s="23"/>
      <c r="BB903" s="23"/>
      <c r="BC903" s="23"/>
    </row>
    <row r="904">
      <c r="AO904" s="23"/>
      <c r="AP904" s="23"/>
      <c r="AQ904" s="23"/>
      <c r="AR904" s="23"/>
      <c r="AS904" s="23"/>
      <c r="AT904" s="23"/>
      <c r="AU904" s="23"/>
      <c r="AV904" s="23"/>
      <c r="AW904" s="23"/>
      <c r="AX904" s="23"/>
      <c r="AY904" s="23"/>
      <c r="AZ904" s="23"/>
      <c r="BA904" s="23"/>
      <c r="BB904" s="23"/>
      <c r="BC904" s="23"/>
    </row>
    <row r="905">
      <c r="AO905" s="23"/>
      <c r="AP905" s="23"/>
      <c r="AQ905" s="23"/>
      <c r="AR905" s="23"/>
      <c r="AS905" s="23"/>
      <c r="AT905" s="23"/>
      <c r="AU905" s="23"/>
      <c r="AV905" s="23"/>
      <c r="AW905" s="23"/>
      <c r="AX905" s="23"/>
      <c r="AY905" s="23"/>
      <c r="AZ905" s="23"/>
      <c r="BA905" s="23"/>
      <c r="BB905" s="23"/>
      <c r="BC905" s="23"/>
    </row>
    <row r="906">
      <c r="AO906" s="23"/>
      <c r="AP906" s="23"/>
      <c r="AQ906" s="23"/>
      <c r="AR906" s="23"/>
      <c r="AS906" s="23"/>
      <c r="AT906" s="23"/>
      <c r="AU906" s="23"/>
      <c r="AV906" s="23"/>
      <c r="AW906" s="23"/>
      <c r="AX906" s="23"/>
      <c r="AY906" s="23"/>
      <c r="AZ906" s="23"/>
      <c r="BA906" s="23"/>
      <c r="BB906" s="23"/>
      <c r="BC906" s="23"/>
    </row>
    <row r="907">
      <c r="AO907" s="23"/>
      <c r="AP907" s="23"/>
      <c r="AQ907" s="23"/>
      <c r="AR907" s="23"/>
      <c r="AS907" s="23"/>
      <c r="AT907" s="23"/>
      <c r="AU907" s="23"/>
      <c r="AV907" s="23"/>
      <c r="AW907" s="23"/>
      <c r="AX907" s="23"/>
      <c r="AY907" s="23"/>
      <c r="AZ907" s="23"/>
      <c r="BA907" s="23"/>
      <c r="BB907" s="23"/>
      <c r="BC907" s="23"/>
    </row>
    <row r="908">
      <c r="AO908" s="23"/>
      <c r="AP908" s="23"/>
      <c r="AQ908" s="23"/>
      <c r="AR908" s="23"/>
      <c r="AS908" s="23"/>
      <c r="AT908" s="23"/>
      <c r="AU908" s="23"/>
      <c r="AV908" s="23"/>
      <c r="AW908" s="23"/>
      <c r="AX908" s="23"/>
      <c r="AY908" s="23"/>
      <c r="AZ908" s="23"/>
      <c r="BA908" s="23"/>
      <c r="BB908" s="23"/>
      <c r="BC908" s="23"/>
    </row>
    <row r="909">
      <c r="AO909" s="23"/>
      <c r="AP909" s="23"/>
      <c r="AQ909" s="23"/>
      <c r="AR909" s="23"/>
      <c r="AS909" s="23"/>
      <c r="AT909" s="23"/>
      <c r="AU909" s="23"/>
      <c r="AV909" s="23"/>
      <c r="AW909" s="23"/>
      <c r="AX909" s="23"/>
      <c r="AY909" s="23"/>
      <c r="AZ909" s="23"/>
      <c r="BA909" s="23"/>
      <c r="BB909" s="23"/>
      <c r="BC909" s="23"/>
    </row>
    <row r="910">
      <c r="AO910" s="23"/>
      <c r="AP910" s="23"/>
      <c r="AQ910" s="23"/>
      <c r="AR910" s="23"/>
      <c r="AS910" s="23"/>
      <c r="AT910" s="23"/>
      <c r="AU910" s="23"/>
      <c r="AV910" s="23"/>
      <c r="AW910" s="23"/>
      <c r="AX910" s="23"/>
      <c r="AY910" s="23"/>
      <c r="AZ910" s="23"/>
      <c r="BA910" s="23"/>
      <c r="BB910" s="23"/>
      <c r="BC910" s="23"/>
    </row>
    <row r="911">
      <c r="AO911" s="23"/>
      <c r="AP911" s="23"/>
      <c r="AQ911" s="23"/>
      <c r="AR911" s="23"/>
      <c r="AS911" s="23"/>
      <c r="AT911" s="23"/>
      <c r="AU911" s="23"/>
      <c r="AV911" s="23"/>
      <c r="AW911" s="23"/>
      <c r="AX911" s="23"/>
      <c r="AY911" s="23"/>
      <c r="AZ911" s="23"/>
      <c r="BA911" s="23"/>
      <c r="BB911" s="23"/>
      <c r="BC911" s="23"/>
    </row>
    <row r="912">
      <c r="AO912" s="23"/>
      <c r="AP912" s="23"/>
      <c r="AQ912" s="23"/>
      <c r="AR912" s="23"/>
      <c r="AS912" s="23"/>
      <c r="AT912" s="23"/>
      <c r="AU912" s="23"/>
      <c r="AV912" s="23"/>
      <c r="AW912" s="23"/>
      <c r="AX912" s="23"/>
      <c r="AY912" s="23"/>
      <c r="AZ912" s="23"/>
      <c r="BA912" s="23"/>
      <c r="BB912" s="23"/>
      <c r="BC912" s="23"/>
    </row>
    <row r="913">
      <c r="AO913" s="23"/>
      <c r="AP913" s="23"/>
      <c r="AQ913" s="23"/>
      <c r="AR913" s="23"/>
      <c r="AS913" s="23"/>
      <c r="AT913" s="23"/>
      <c r="AU913" s="23"/>
      <c r="AV913" s="23"/>
      <c r="AW913" s="23"/>
      <c r="AX913" s="23"/>
      <c r="AY913" s="23"/>
      <c r="AZ913" s="23"/>
      <c r="BA913" s="23"/>
      <c r="BB913" s="23"/>
      <c r="BC913" s="23"/>
    </row>
    <row r="914">
      <c r="AO914" s="23"/>
      <c r="AP914" s="23"/>
      <c r="AQ914" s="23"/>
      <c r="AR914" s="23"/>
      <c r="AS914" s="23"/>
      <c r="AT914" s="23"/>
      <c r="AU914" s="23"/>
      <c r="AV914" s="23"/>
      <c r="AW914" s="23"/>
      <c r="AX914" s="23"/>
      <c r="AY914" s="23"/>
      <c r="AZ914" s="23"/>
      <c r="BA914" s="23"/>
      <c r="BB914" s="23"/>
      <c r="BC914" s="23"/>
    </row>
    <row r="915">
      <c r="AO915" s="23"/>
      <c r="AP915" s="23"/>
      <c r="AQ915" s="23"/>
      <c r="AR915" s="23"/>
      <c r="AS915" s="23"/>
      <c r="AT915" s="23"/>
      <c r="AU915" s="23"/>
      <c r="AV915" s="23"/>
      <c r="AW915" s="23"/>
      <c r="AX915" s="23"/>
      <c r="AY915" s="23"/>
      <c r="AZ915" s="23"/>
      <c r="BA915" s="23"/>
      <c r="BB915" s="23"/>
      <c r="BC915" s="23"/>
    </row>
    <row r="916">
      <c r="AO916" s="23"/>
      <c r="AP916" s="23"/>
      <c r="AQ916" s="23"/>
      <c r="AR916" s="23"/>
      <c r="AS916" s="23"/>
      <c r="AT916" s="23"/>
      <c r="AU916" s="23"/>
      <c r="AV916" s="23"/>
      <c r="AW916" s="23"/>
      <c r="AX916" s="23"/>
      <c r="AY916" s="23"/>
      <c r="AZ916" s="23"/>
      <c r="BA916" s="23"/>
      <c r="BB916" s="23"/>
      <c r="BC916" s="23"/>
    </row>
    <row r="917">
      <c r="AO917" s="23"/>
      <c r="AP917" s="23"/>
      <c r="AQ917" s="23"/>
      <c r="AR917" s="23"/>
      <c r="AS917" s="23"/>
      <c r="AT917" s="23"/>
      <c r="AU917" s="23"/>
      <c r="AV917" s="23"/>
      <c r="AW917" s="23"/>
      <c r="AX917" s="23"/>
      <c r="AY917" s="23"/>
      <c r="AZ917" s="23"/>
      <c r="BA917" s="23"/>
      <c r="BB917" s="23"/>
      <c r="BC917" s="23"/>
    </row>
    <row r="918">
      <c r="AO918" s="23"/>
      <c r="AP918" s="23"/>
      <c r="AQ918" s="23"/>
      <c r="AR918" s="23"/>
      <c r="AS918" s="23"/>
      <c r="AT918" s="23"/>
      <c r="AU918" s="23"/>
      <c r="AV918" s="23"/>
      <c r="AW918" s="23"/>
      <c r="AX918" s="23"/>
      <c r="AY918" s="23"/>
      <c r="AZ918" s="23"/>
      <c r="BA918" s="23"/>
      <c r="BB918" s="23"/>
      <c r="BC918" s="23"/>
    </row>
    <row r="919">
      <c r="AO919" s="23"/>
      <c r="AP919" s="23"/>
      <c r="AQ919" s="23"/>
      <c r="AR919" s="23"/>
      <c r="AS919" s="23"/>
      <c r="AT919" s="23"/>
      <c r="AU919" s="23"/>
      <c r="AV919" s="23"/>
      <c r="AW919" s="23"/>
      <c r="AX919" s="23"/>
      <c r="AY919" s="23"/>
      <c r="AZ919" s="23"/>
      <c r="BA919" s="23"/>
      <c r="BB919" s="23"/>
      <c r="BC919" s="23"/>
    </row>
    <row r="920">
      <c r="AO920" s="23"/>
      <c r="AP920" s="23"/>
      <c r="AQ920" s="23"/>
      <c r="AR920" s="23"/>
      <c r="AS920" s="23"/>
      <c r="AT920" s="23"/>
      <c r="AU920" s="23"/>
      <c r="AV920" s="23"/>
      <c r="AW920" s="23"/>
      <c r="AX920" s="23"/>
      <c r="AY920" s="23"/>
      <c r="AZ920" s="23"/>
      <c r="BA920" s="23"/>
      <c r="BB920" s="23"/>
      <c r="BC920" s="23"/>
    </row>
    <row r="921">
      <c r="AO921" s="23"/>
      <c r="AP921" s="23"/>
      <c r="AQ921" s="23"/>
      <c r="AR921" s="23"/>
      <c r="AS921" s="23"/>
      <c r="AT921" s="23"/>
      <c r="AU921" s="23"/>
      <c r="AV921" s="23"/>
      <c r="AW921" s="23"/>
      <c r="AX921" s="23"/>
      <c r="AY921" s="23"/>
      <c r="AZ921" s="23"/>
      <c r="BA921" s="23"/>
      <c r="BB921" s="23"/>
      <c r="BC921" s="23"/>
    </row>
    <row r="922">
      <c r="AO922" s="23"/>
      <c r="AP922" s="23"/>
      <c r="AQ922" s="23"/>
      <c r="AR922" s="23"/>
      <c r="AS922" s="23"/>
      <c r="AT922" s="23"/>
      <c r="AU922" s="23"/>
      <c r="AV922" s="23"/>
      <c r="AW922" s="23"/>
      <c r="AX922" s="23"/>
      <c r="AY922" s="23"/>
      <c r="AZ922" s="23"/>
      <c r="BA922" s="23"/>
      <c r="BB922" s="23"/>
      <c r="BC922" s="23"/>
    </row>
    <row r="923">
      <c r="AO923" s="23"/>
      <c r="AP923" s="23"/>
      <c r="AQ923" s="23"/>
      <c r="AR923" s="23"/>
      <c r="AS923" s="23"/>
      <c r="AT923" s="23"/>
      <c r="AU923" s="23"/>
      <c r="AV923" s="23"/>
      <c r="AW923" s="23"/>
      <c r="AX923" s="23"/>
      <c r="AY923" s="23"/>
      <c r="AZ923" s="23"/>
      <c r="BA923" s="23"/>
      <c r="BB923" s="23"/>
      <c r="BC923" s="23"/>
    </row>
    <row r="924">
      <c r="AO924" s="23"/>
      <c r="AP924" s="23"/>
      <c r="AQ924" s="23"/>
      <c r="AR924" s="23"/>
      <c r="AS924" s="23"/>
      <c r="AT924" s="23"/>
      <c r="AU924" s="23"/>
      <c r="AV924" s="23"/>
      <c r="AW924" s="23"/>
      <c r="AX924" s="23"/>
      <c r="AY924" s="23"/>
      <c r="AZ924" s="23"/>
      <c r="BA924" s="23"/>
      <c r="BB924" s="23"/>
      <c r="BC924" s="23"/>
    </row>
    <row r="925">
      <c r="AO925" s="23"/>
      <c r="AP925" s="23"/>
      <c r="AQ925" s="23"/>
      <c r="AR925" s="23"/>
      <c r="AS925" s="23"/>
      <c r="AT925" s="23"/>
      <c r="AU925" s="23"/>
      <c r="AV925" s="23"/>
      <c r="AW925" s="23"/>
      <c r="AX925" s="23"/>
      <c r="AY925" s="23"/>
      <c r="AZ925" s="23"/>
      <c r="BA925" s="23"/>
      <c r="BB925" s="23"/>
      <c r="BC925" s="23"/>
    </row>
    <row r="926">
      <c r="AO926" s="23"/>
      <c r="AP926" s="23"/>
      <c r="AQ926" s="23"/>
      <c r="AR926" s="23"/>
      <c r="AS926" s="23"/>
      <c r="AT926" s="23"/>
      <c r="AU926" s="23"/>
      <c r="AV926" s="23"/>
      <c r="AW926" s="23"/>
      <c r="AX926" s="23"/>
      <c r="AY926" s="23"/>
      <c r="AZ926" s="23"/>
      <c r="BA926" s="23"/>
      <c r="BB926" s="23"/>
      <c r="BC926" s="23"/>
    </row>
    <row r="927">
      <c r="AO927" s="23"/>
      <c r="AP927" s="23"/>
      <c r="AQ927" s="23"/>
      <c r="AR927" s="23"/>
      <c r="AS927" s="23"/>
      <c r="AT927" s="23"/>
      <c r="AU927" s="23"/>
      <c r="AV927" s="23"/>
      <c r="AW927" s="23"/>
      <c r="AX927" s="23"/>
      <c r="AY927" s="23"/>
      <c r="AZ927" s="23"/>
      <c r="BA927" s="23"/>
      <c r="BB927" s="23"/>
      <c r="BC927" s="23"/>
    </row>
    <row r="928">
      <c r="AO928" s="23"/>
      <c r="AP928" s="23"/>
      <c r="AQ928" s="23"/>
      <c r="AR928" s="23"/>
      <c r="AS928" s="23"/>
      <c r="AT928" s="23"/>
      <c r="AU928" s="23"/>
      <c r="AV928" s="23"/>
      <c r="AW928" s="23"/>
      <c r="AX928" s="23"/>
      <c r="AY928" s="23"/>
      <c r="AZ928" s="23"/>
      <c r="BA928" s="23"/>
      <c r="BB928" s="23"/>
      <c r="BC928" s="23"/>
    </row>
    <row r="929">
      <c r="AO929" s="23"/>
      <c r="AP929" s="23"/>
      <c r="AQ929" s="23"/>
      <c r="AR929" s="23"/>
      <c r="AS929" s="23"/>
      <c r="AT929" s="23"/>
      <c r="AU929" s="23"/>
      <c r="AV929" s="23"/>
      <c r="AW929" s="23"/>
      <c r="AX929" s="23"/>
      <c r="AY929" s="23"/>
      <c r="AZ929" s="23"/>
      <c r="BA929" s="23"/>
      <c r="BB929" s="23"/>
      <c r="BC929" s="23"/>
    </row>
    <row r="930">
      <c r="AO930" s="23"/>
      <c r="AP930" s="23"/>
      <c r="AQ930" s="23"/>
      <c r="AR930" s="23"/>
      <c r="AS930" s="23"/>
      <c r="AT930" s="23"/>
      <c r="AU930" s="23"/>
      <c r="AV930" s="23"/>
      <c r="AW930" s="23"/>
      <c r="AX930" s="23"/>
      <c r="AY930" s="23"/>
      <c r="AZ930" s="23"/>
      <c r="BA930" s="23"/>
      <c r="BB930" s="23"/>
      <c r="BC930" s="23"/>
    </row>
    <row r="931">
      <c r="AO931" s="23"/>
      <c r="AP931" s="23"/>
      <c r="AQ931" s="23"/>
      <c r="AR931" s="23"/>
      <c r="AS931" s="23"/>
      <c r="AT931" s="23"/>
      <c r="AU931" s="23"/>
      <c r="AV931" s="23"/>
      <c r="AW931" s="23"/>
      <c r="AX931" s="23"/>
      <c r="AY931" s="23"/>
      <c r="AZ931" s="23"/>
      <c r="BA931" s="23"/>
      <c r="BB931" s="23"/>
      <c r="BC931" s="23"/>
    </row>
    <row r="932">
      <c r="AO932" s="23"/>
      <c r="AP932" s="23"/>
      <c r="AQ932" s="23"/>
      <c r="AR932" s="23"/>
      <c r="AS932" s="23"/>
      <c r="AT932" s="23"/>
      <c r="AU932" s="23"/>
      <c r="AV932" s="23"/>
      <c r="AW932" s="23"/>
      <c r="AX932" s="23"/>
      <c r="AY932" s="23"/>
      <c r="AZ932" s="23"/>
      <c r="BA932" s="23"/>
      <c r="BB932" s="23"/>
      <c r="BC932" s="23"/>
    </row>
    <row r="933">
      <c r="AO933" s="23"/>
      <c r="AP933" s="23"/>
      <c r="AQ933" s="23"/>
      <c r="AR933" s="23"/>
      <c r="AS933" s="23"/>
      <c r="AT933" s="23"/>
      <c r="AU933" s="23"/>
      <c r="AV933" s="23"/>
      <c r="AW933" s="23"/>
      <c r="AX933" s="23"/>
      <c r="AY933" s="23"/>
      <c r="AZ933" s="23"/>
      <c r="BA933" s="23"/>
      <c r="BB933" s="23"/>
      <c r="BC933" s="23"/>
    </row>
    <row r="934">
      <c r="AO934" s="23"/>
      <c r="AP934" s="23"/>
      <c r="AQ934" s="23"/>
      <c r="AR934" s="23"/>
      <c r="AS934" s="23"/>
      <c r="AT934" s="23"/>
      <c r="AU934" s="23"/>
      <c r="AV934" s="23"/>
      <c r="AW934" s="23"/>
      <c r="AX934" s="23"/>
      <c r="AY934" s="23"/>
      <c r="AZ934" s="23"/>
      <c r="BA934" s="23"/>
      <c r="BB934" s="23"/>
      <c r="BC934" s="23"/>
    </row>
    <row r="935">
      <c r="AO935" s="23"/>
      <c r="AP935" s="23"/>
      <c r="AQ935" s="23"/>
      <c r="AR935" s="23"/>
      <c r="AS935" s="23"/>
      <c r="AT935" s="23"/>
      <c r="AU935" s="23"/>
      <c r="AV935" s="23"/>
      <c r="AW935" s="23"/>
      <c r="AX935" s="23"/>
      <c r="AY935" s="23"/>
      <c r="AZ935" s="23"/>
      <c r="BA935" s="23"/>
      <c r="BB935" s="23"/>
      <c r="BC935" s="23"/>
    </row>
    <row r="936">
      <c r="AO936" s="23"/>
      <c r="AP936" s="23"/>
      <c r="AQ936" s="23"/>
      <c r="AR936" s="23"/>
      <c r="AS936" s="23"/>
      <c r="AT936" s="23"/>
      <c r="AU936" s="23"/>
      <c r="AV936" s="23"/>
      <c r="AW936" s="23"/>
      <c r="AX936" s="23"/>
      <c r="AY936" s="23"/>
      <c r="AZ936" s="23"/>
      <c r="BA936" s="23"/>
      <c r="BB936" s="23"/>
      <c r="BC936" s="23"/>
    </row>
    <row r="937">
      <c r="AO937" s="23"/>
      <c r="AP937" s="23"/>
      <c r="AQ937" s="23"/>
      <c r="AR937" s="23"/>
      <c r="AS937" s="23"/>
      <c r="AT937" s="23"/>
      <c r="AU937" s="23"/>
      <c r="AV937" s="23"/>
      <c r="AW937" s="23"/>
      <c r="AX937" s="23"/>
      <c r="AY937" s="23"/>
      <c r="AZ937" s="23"/>
      <c r="BA937" s="23"/>
      <c r="BB937" s="23"/>
      <c r="BC937" s="23"/>
    </row>
    <row r="938">
      <c r="AO938" s="23"/>
      <c r="AP938" s="23"/>
      <c r="AQ938" s="23"/>
      <c r="AR938" s="23"/>
      <c r="AS938" s="23"/>
      <c r="AT938" s="23"/>
      <c r="AU938" s="23"/>
      <c r="AV938" s="23"/>
      <c r="AW938" s="23"/>
      <c r="AX938" s="23"/>
      <c r="AY938" s="23"/>
      <c r="AZ938" s="23"/>
      <c r="BA938" s="23"/>
      <c r="BB938" s="23"/>
      <c r="BC938" s="23"/>
    </row>
    <row r="939">
      <c r="AO939" s="23"/>
      <c r="AP939" s="23"/>
      <c r="AQ939" s="23"/>
      <c r="AR939" s="23"/>
      <c r="AS939" s="23"/>
      <c r="AT939" s="23"/>
      <c r="AU939" s="23"/>
      <c r="AV939" s="23"/>
      <c r="AW939" s="23"/>
      <c r="AX939" s="23"/>
      <c r="AY939" s="23"/>
      <c r="AZ939" s="23"/>
      <c r="BA939" s="23"/>
      <c r="BB939" s="23"/>
      <c r="BC939" s="23"/>
    </row>
    <row r="940">
      <c r="AO940" s="23"/>
      <c r="AP940" s="23"/>
      <c r="AQ940" s="23"/>
      <c r="AR940" s="23"/>
      <c r="AS940" s="23"/>
      <c r="AT940" s="23"/>
      <c r="AU940" s="23"/>
      <c r="AV940" s="23"/>
      <c r="AW940" s="23"/>
      <c r="AX940" s="23"/>
      <c r="AY940" s="23"/>
      <c r="AZ940" s="23"/>
      <c r="BA940" s="23"/>
      <c r="BB940" s="23"/>
      <c r="BC940" s="23"/>
    </row>
    <row r="941">
      <c r="AO941" s="23"/>
      <c r="AP941" s="23"/>
      <c r="AQ941" s="23"/>
      <c r="AR941" s="23"/>
      <c r="AS941" s="23"/>
      <c r="AT941" s="23"/>
      <c r="AU941" s="23"/>
      <c r="AV941" s="23"/>
      <c r="AW941" s="23"/>
      <c r="AX941" s="23"/>
      <c r="AY941" s="23"/>
      <c r="AZ941" s="23"/>
      <c r="BA941" s="23"/>
      <c r="BB941" s="23"/>
      <c r="BC941" s="23"/>
    </row>
    <row r="942">
      <c r="AO942" s="23"/>
      <c r="AP942" s="23"/>
      <c r="AQ942" s="23"/>
      <c r="AR942" s="23"/>
      <c r="AS942" s="23"/>
      <c r="AT942" s="23"/>
      <c r="AU942" s="23"/>
      <c r="AV942" s="23"/>
      <c r="AW942" s="23"/>
      <c r="AX942" s="23"/>
      <c r="AY942" s="23"/>
      <c r="AZ942" s="23"/>
      <c r="BA942" s="23"/>
      <c r="BB942" s="23"/>
      <c r="BC942" s="23"/>
    </row>
    <row r="943">
      <c r="AO943" s="23"/>
      <c r="AP943" s="23"/>
      <c r="AQ943" s="23"/>
      <c r="AR943" s="23"/>
      <c r="AS943" s="23"/>
      <c r="AT943" s="23"/>
      <c r="AU943" s="23"/>
      <c r="AV943" s="23"/>
      <c r="AW943" s="23"/>
      <c r="AX943" s="23"/>
      <c r="AY943" s="23"/>
      <c r="AZ943" s="23"/>
      <c r="BA943" s="23"/>
      <c r="BB943" s="23"/>
      <c r="BC943" s="23"/>
    </row>
    <row r="944">
      <c r="AO944" s="23"/>
      <c r="AP944" s="23"/>
      <c r="AQ944" s="23"/>
      <c r="AR944" s="23"/>
      <c r="AS944" s="23"/>
      <c r="AT944" s="23"/>
      <c r="AU944" s="23"/>
      <c r="AV944" s="23"/>
      <c r="AW944" s="23"/>
      <c r="AX944" s="23"/>
      <c r="AY944" s="23"/>
      <c r="AZ944" s="23"/>
      <c r="BA944" s="23"/>
      <c r="BB944" s="23"/>
      <c r="BC944" s="23"/>
    </row>
    <row r="945">
      <c r="AO945" s="23"/>
      <c r="AP945" s="23"/>
      <c r="AQ945" s="23"/>
      <c r="AR945" s="23"/>
      <c r="AS945" s="23"/>
      <c r="AT945" s="23"/>
      <c r="AU945" s="23"/>
      <c r="AV945" s="23"/>
      <c r="AW945" s="23"/>
      <c r="AX945" s="23"/>
      <c r="AY945" s="23"/>
      <c r="AZ945" s="23"/>
      <c r="BA945" s="23"/>
      <c r="BB945" s="23"/>
      <c r="BC945" s="23"/>
    </row>
    <row r="946">
      <c r="AO946" s="23"/>
      <c r="AP946" s="23"/>
      <c r="AQ946" s="23"/>
      <c r="AR946" s="23"/>
      <c r="AS946" s="23"/>
      <c r="AT946" s="23"/>
      <c r="AU946" s="23"/>
      <c r="AV946" s="23"/>
      <c r="AW946" s="23"/>
      <c r="AX946" s="23"/>
      <c r="AY946" s="23"/>
      <c r="AZ946" s="23"/>
      <c r="BA946" s="23"/>
      <c r="BB946" s="23"/>
      <c r="BC946" s="23"/>
    </row>
    <row r="947">
      <c r="AO947" s="23"/>
      <c r="AP947" s="23"/>
      <c r="AQ947" s="23"/>
      <c r="AR947" s="23"/>
      <c r="AS947" s="23"/>
      <c r="AT947" s="23"/>
      <c r="AU947" s="23"/>
      <c r="AV947" s="23"/>
      <c r="AW947" s="23"/>
      <c r="AX947" s="23"/>
      <c r="AY947" s="23"/>
      <c r="AZ947" s="23"/>
      <c r="BA947" s="23"/>
      <c r="BB947" s="23"/>
      <c r="BC947" s="23"/>
    </row>
    <row r="948">
      <c r="AO948" s="23"/>
      <c r="AP948" s="23"/>
      <c r="AQ948" s="23"/>
      <c r="AR948" s="23"/>
      <c r="AS948" s="23"/>
      <c r="AT948" s="23"/>
      <c r="AU948" s="23"/>
      <c r="AV948" s="23"/>
      <c r="AW948" s="23"/>
      <c r="AX948" s="23"/>
      <c r="AY948" s="23"/>
      <c r="AZ948" s="23"/>
      <c r="BA948" s="23"/>
      <c r="BB948" s="23"/>
      <c r="BC948" s="23"/>
    </row>
    <row r="949">
      <c r="AO949" s="23"/>
      <c r="AP949" s="23"/>
      <c r="AQ949" s="23"/>
      <c r="AR949" s="23"/>
      <c r="AS949" s="23"/>
      <c r="AT949" s="23"/>
      <c r="AU949" s="23"/>
      <c r="AV949" s="23"/>
      <c r="AW949" s="23"/>
      <c r="AX949" s="23"/>
      <c r="AY949" s="23"/>
      <c r="AZ949" s="23"/>
      <c r="BA949" s="23"/>
      <c r="BB949" s="23"/>
      <c r="BC949" s="23"/>
    </row>
    <row r="950">
      <c r="AO950" s="23"/>
      <c r="AP950" s="23"/>
      <c r="AQ950" s="23"/>
      <c r="AR950" s="23"/>
      <c r="AS950" s="23"/>
      <c r="AT950" s="23"/>
      <c r="AU950" s="23"/>
      <c r="AV950" s="23"/>
      <c r="AW950" s="23"/>
      <c r="AX950" s="23"/>
      <c r="AY950" s="23"/>
      <c r="AZ950" s="23"/>
      <c r="BA950" s="23"/>
      <c r="BB950" s="23"/>
      <c r="BC950" s="23"/>
    </row>
    <row r="951">
      <c r="AO951" s="23"/>
      <c r="AP951" s="23"/>
      <c r="AQ951" s="23"/>
      <c r="AR951" s="23"/>
      <c r="AS951" s="23"/>
      <c r="AT951" s="23"/>
      <c r="AU951" s="23"/>
      <c r="AV951" s="23"/>
      <c r="AW951" s="23"/>
      <c r="AX951" s="23"/>
      <c r="AY951" s="23"/>
      <c r="AZ951" s="23"/>
      <c r="BA951" s="23"/>
      <c r="BB951" s="23"/>
      <c r="BC951" s="23"/>
    </row>
    <row r="952">
      <c r="AO952" s="23"/>
      <c r="AP952" s="23"/>
      <c r="AQ952" s="23"/>
      <c r="AR952" s="23"/>
      <c r="AS952" s="23"/>
      <c r="AT952" s="23"/>
      <c r="AU952" s="23"/>
      <c r="AV952" s="23"/>
      <c r="AW952" s="23"/>
      <c r="AX952" s="23"/>
      <c r="AY952" s="23"/>
      <c r="AZ952" s="23"/>
      <c r="BA952" s="23"/>
      <c r="BB952" s="23"/>
      <c r="BC952" s="23"/>
    </row>
    <row r="953">
      <c r="AO953" s="23"/>
      <c r="AP953" s="23"/>
      <c r="AQ953" s="23"/>
      <c r="AR953" s="23"/>
      <c r="AS953" s="23"/>
      <c r="AT953" s="23"/>
      <c r="AU953" s="23"/>
      <c r="AV953" s="23"/>
      <c r="AW953" s="23"/>
      <c r="AX953" s="23"/>
      <c r="AY953" s="23"/>
      <c r="AZ953" s="23"/>
      <c r="BA953" s="23"/>
      <c r="BB953" s="23"/>
      <c r="BC953" s="23"/>
    </row>
    <row r="954">
      <c r="AO954" s="23"/>
      <c r="AP954" s="23"/>
      <c r="AQ954" s="23"/>
      <c r="AR954" s="23"/>
      <c r="AS954" s="23"/>
      <c r="AT954" s="23"/>
      <c r="AU954" s="23"/>
      <c r="AV954" s="23"/>
      <c r="AW954" s="23"/>
      <c r="AX954" s="23"/>
      <c r="AY954" s="23"/>
      <c r="AZ954" s="23"/>
      <c r="BA954" s="23"/>
      <c r="BB954" s="23"/>
      <c r="BC954" s="23"/>
    </row>
    <row r="955">
      <c r="AO955" s="23"/>
      <c r="AP955" s="23"/>
      <c r="AQ955" s="23"/>
      <c r="AR955" s="23"/>
      <c r="AS955" s="23"/>
      <c r="AT955" s="23"/>
      <c r="AU955" s="23"/>
      <c r="AV955" s="23"/>
      <c r="AW955" s="23"/>
      <c r="AX955" s="23"/>
      <c r="AY955" s="23"/>
      <c r="AZ955" s="23"/>
      <c r="BA955" s="23"/>
      <c r="BB955" s="23"/>
      <c r="BC955" s="23"/>
    </row>
    <row r="956">
      <c r="AO956" s="23"/>
      <c r="AP956" s="23"/>
      <c r="AQ956" s="23"/>
      <c r="AR956" s="23"/>
      <c r="AS956" s="23"/>
      <c r="AT956" s="23"/>
      <c r="AU956" s="23"/>
      <c r="AV956" s="23"/>
      <c r="AW956" s="23"/>
      <c r="AX956" s="23"/>
      <c r="AY956" s="23"/>
      <c r="AZ956" s="23"/>
      <c r="BA956" s="23"/>
      <c r="BB956" s="23"/>
      <c r="BC956" s="23"/>
    </row>
    <row r="957">
      <c r="AO957" s="23"/>
      <c r="AP957" s="23"/>
      <c r="AQ957" s="23"/>
      <c r="AR957" s="23"/>
      <c r="AS957" s="23"/>
      <c r="AT957" s="23"/>
      <c r="AU957" s="23"/>
      <c r="AV957" s="23"/>
      <c r="AW957" s="23"/>
      <c r="AX957" s="23"/>
      <c r="AY957" s="23"/>
      <c r="AZ957" s="23"/>
      <c r="BA957" s="23"/>
      <c r="BB957" s="23"/>
      <c r="BC957" s="23"/>
    </row>
    <row r="958">
      <c r="AO958" s="23"/>
      <c r="AP958" s="23"/>
      <c r="AQ958" s="23"/>
      <c r="AR958" s="23"/>
      <c r="AS958" s="23"/>
      <c r="AT958" s="23"/>
      <c r="AU958" s="23"/>
      <c r="AV958" s="23"/>
      <c r="AW958" s="23"/>
      <c r="AX958" s="23"/>
      <c r="AY958" s="23"/>
      <c r="AZ958" s="23"/>
      <c r="BA958" s="23"/>
      <c r="BB958" s="23"/>
      <c r="BC958" s="23"/>
    </row>
    <row r="959">
      <c r="AO959" s="23"/>
      <c r="AP959" s="23"/>
      <c r="AQ959" s="23"/>
      <c r="AR959" s="23"/>
      <c r="AS959" s="23"/>
      <c r="AT959" s="23"/>
      <c r="AU959" s="23"/>
      <c r="AV959" s="23"/>
      <c r="AW959" s="23"/>
      <c r="AX959" s="23"/>
      <c r="AY959" s="23"/>
      <c r="AZ959" s="23"/>
      <c r="BA959" s="23"/>
      <c r="BB959" s="23"/>
      <c r="BC959" s="23"/>
    </row>
    <row r="960">
      <c r="AO960" s="23"/>
      <c r="AP960" s="23"/>
      <c r="AQ960" s="23"/>
      <c r="AR960" s="23"/>
      <c r="AS960" s="23"/>
      <c r="AT960" s="23"/>
      <c r="AU960" s="23"/>
      <c r="AV960" s="23"/>
      <c r="AW960" s="23"/>
      <c r="AX960" s="23"/>
      <c r="AY960" s="23"/>
      <c r="AZ960" s="23"/>
      <c r="BA960" s="23"/>
      <c r="BB960" s="23"/>
      <c r="BC960" s="23"/>
    </row>
    <row r="961">
      <c r="AO961" s="23"/>
      <c r="AP961" s="23"/>
      <c r="AQ961" s="23"/>
      <c r="AR961" s="23"/>
      <c r="AS961" s="23"/>
      <c r="AT961" s="23"/>
      <c r="AU961" s="23"/>
      <c r="AV961" s="23"/>
      <c r="AW961" s="23"/>
      <c r="AX961" s="23"/>
      <c r="AY961" s="23"/>
      <c r="AZ961" s="23"/>
      <c r="BA961" s="23"/>
      <c r="BB961" s="23"/>
      <c r="BC961" s="23"/>
    </row>
    <row r="962">
      <c r="AO962" s="23"/>
      <c r="AP962" s="23"/>
      <c r="AQ962" s="23"/>
      <c r="AR962" s="23"/>
      <c r="AS962" s="23"/>
      <c r="AT962" s="23"/>
      <c r="AU962" s="23"/>
      <c r="AV962" s="23"/>
      <c r="AW962" s="23"/>
      <c r="AX962" s="23"/>
      <c r="AY962" s="23"/>
      <c r="AZ962" s="23"/>
      <c r="BA962" s="23"/>
      <c r="BB962" s="23"/>
      <c r="BC962" s="23"/>
    </row>
    <row r="963">
      <c r="AO963" s="23"/>
      <c r="AP963" s="23"/>
      <c r="AQ963" s="23"/>
      <c r="AR963" s="23"/>
      <c r="AS963" s="23"/>
      <c r="AT963" s="23"/>
      <c r="AU963" s="23"/>
      <c r="AV963" s="23"/>
      <c r="AW963" s="23"/>
      <c r="AX963" s="23"/>
      <c r="AY963" s="23"/>
      <c r="AZ963" s="23"/>
      <c r="BA963" s="23"/>
      <c r="BB963" s="23"/>
      <c r="BC963" s="23"/>
    </row>
    <row r="964">
      <c r="AO964" s="23"/>
      <c r="AP964" s="23"/>
      <c r="AQ964" s="23"/>
      <c r="AR964" s="23"/>
      <c r="AS964" s="23"/>
      <c r="AT964" s="23"/>
      <c r="AU964" s="23"/>
      <c r="AV964" s="23"/>
      <c r="AW964" s="23"/>
      <c r="AX964" s="23"/>
      <c r="AY964" s="23"/>
      <c r="AZ964" s="23"/>
      <c r="BA964" s="23"/>
      <c r="BB964" s="23"/>
      <c r="BC964" s="23"/>
    </row>
    <row r="965">
      <c r="AO965" s="23"/>
      <c r="AP965" s="23"/>
      <c r="AQ965" s="23"/>
      <c r="AR965" s="23"/>
      <c r="AS965" s="23"/>
      <c r="AT965" s="23"/>
      <c r="AU965" s="23"/>
      <c r="AV965" s="23"/>
      <c r="AW965" s="23"/>
      <c r="AX965" s="23"/>
      <c r="AY965" s="23"/>
      <c r="AZ965" s="23"/>
      <c r="BA965" s="23"/>
      <c r="BB965" s="23"/>
      <c r="BC965" s="23"/>
    </row>
    <row r="966">
      <c r="AO966" s="23"/>
      <c r="AP966" s="23"/>
      <c r="AQ966" s="23"/>
      <c r="AR966" s="23"/>
      <c r="AS966" s="23"/>
      <c r="AT966" s="23"/>
      <c r="AU966" s="23"/>
      <c r="AV966" s="23"/>
      <c r="AW966" s="23"/>
      <c r="AX966" s="23"/>
      <c r="AY966" s="23"/>
      <c r="AZ966" s="23"/>
      <c r="BA966" s="23"/>
      <c r="BB966" s="23"/>
      <c r="BC966" s="23"/>
    </row>
    <row r="967">
      <c r="AO967" s="23"/>
      <c r="AP967" s="23"/>
      <c r="AQ967" s="23"/>
      <c r="AR967" s="23"/>
      <c r="AS967" s="23"/>
      <c r="AT967" s="23"/>
      <c r="AU967" s="23"/>
      <c r="AV967" s="23"/>
      <c r="AW967" s="23"/>
      <c r="AX967" s="23"/>
      <c r="AY967" s="23"/>
      <c r="AZ967" s="23"/>
      <c r="BA967" s="23"/>
      <c r="BB967" s="23"/>
      <c r="BC967" s="23"/>
    </row>
    <row r="968">
      <c r="AO968" s="23"/>
      <c r="AP968" s="23"/>
      <c r="AQ968" s="23"/>
      <c r="AR968" s="23"/>
      <c r="AS968" s="23"/>
      <c r="AT968" s="23"/>
      <c r="AU968" s="23"/>
      <c r="AV968" s="23"/>
      <c r="AW968" s="23"/>
      <c r="AX968" s="23"/>
      <c r="AY968" s="23"/>
      <c r="AZ968" s="23"/>
      <c r="BA968" s="23"/>
      <c r="BB968" s="23"/>
      <c r="BC968" s="23"/>
    </row>
    <row r="969">
      <c r="AO969" s="23"/>
      <c r="AP969" s="23"/>
      <c r="AQ969" s="23"/>
      <c r="AR969" s="23"/>
      <c r="AS969" s="23"/>
      <c r="AT969" s="23"/>
      <c r="AU969" s="23"/>
      <c r="AV969" s="23"/>
      <c r="AW969" s="23"/>
      <c r="AX969" s="23"/>
      <c r="AY969" s="23"/>
      <c r="AZ969" s="23"/>
      <c r="BA969" s="23"/>
      <c r="BB969" s="23"/>
      <c r="BC969" s="23"/>
    </row>
    <row r="970">
      <c r="AO970" s="23"/>
      <c r="AP970" s="23"/>
      <c r="AQ970" s="23"/>
      <c r="AR970" s="23"/>
      <c r="AS970" s="23"/>
      <c r="AT970" s="23"/>
      <c r="AU970" s="23"/>
      <c r="AV970" s="23"/>
      <c r="AW970" s="23"/>
      <c r="AX970" s="23"/>
      <c r="AY970" s="23"/>
      <c r="AZ970" s="23"/>
      <c r="BA970" s="23"/>
      <c r="BB970" s="23"/>
      <c r="BC970" s="23"/>
    </row>
    <row r="971">
      <c r="AO971" s="23"/>
      <c r="AP971" s="23"/>
      <c r="AQ971" s="23"/>
      <c r="AR971" s="23"/>
      <c r="AS971" s="23"/>
      <c r="AT971" s="23"/>
      <c r="AU971" s="23"/>
      <c r="AV971" s="23"/>
      <c r="AW971" s="23"/>
      <c r="AX971" s="23"/>
      <c r="AY971" s="23"/>
      <c r="AZ971" s="23"/>
      <c r="BA971" s="23"/>
      <c r="BB971" s="23"/>
      <c r="BC971" s="23"/>
    </row>
    <row r="972">
      <c r="AO972" s="23"/>
      <c r="AP972" s="23"/>
      <c r="AQ972" s="23"/>
      <c r="AR972" s="23"/>
      <c r="AS972" s="23"/>
      <c r="AT972" s="23"/>
      <c r="AU972" s="23"/>
      <c r="AV972" s="23"/>
      <c r="AW972" s="23"/>
      <c r="AX972" s="23"/>
      <c r="AY972" s="23"/>
      <c r="AZ972" s="23"/>
      <c r="BA972" s="23"/>
      <c r="BB972" s="23"/>
      <c r="BC972" s="23"/>
    </row>
    <row r="973">
      <c r="AO973" s="23"/>
      <c r="AP973" s="23"/>
      <c r="AQ973" s="23"/>
      <c r="AR973" s="23"/>
      <c r="AS973" s="23"/>
      <c r="AT973" s="23"/>
      <c r="AU973" s="23"/>
      <c r="AV973" s="23"/>
      <c r="AW973" s="23"/>
      <c r="AX973" s="23"/>
      <c r="AY973" s="23"/>
      <c r="AZ973" s="23"/>
      <c r="BA973" s="23"/>
      <c r="BB973" s="23"/>
      <c r="BC973" s="23"/>
    </row>
    <row r="974">
      <c r="AO974" s="23"/>
      <c r="AP974" s="23"/>
      <c r="AQ974" s="23"/>
      <c r="AR974" s="23"/>
      <c r="AS974" s="23"/>
      <c r="AT974" s="23"/>
      <c r="AU974" s="23"/>
      <c r="AV974" s="23"/>
      <c r="AW974" s="23"/>
      <c r="AX974" s="23"/>
      <c r="AY974" s="23"/>
      <c r="AZ974" s="23"/>
      <c r="BA974" s="23"/>
      <c r="BB974" s="23"/>
      <c r="BC974" s="23"/>
    </row>
    <row r="975">
      <c r="AO975" s="23"/>
      <c r="AP975" s="23"/>
      <c r="AQ975" s="23"/>
      <c r="AR975" s="23"/>
      <c r="AS975" s="23"/>
      <c r="AT975" s="23"/>
      <c r="AU975" s="23"/>
      <c r="AV975" s="23"/>
      <c r="AW975" s="23"/>
      <c r="AX975" s="23"/>
      <c r="AY975" s="23"/>
      <c r="AZ975" s="23"/>
      <c r="BA975" s="23"/>
      <c r="BB975" s="23"/>
      <c r="BC975" s="23"/>
    </row>
    <row r="976">
      <c r="AO976" s="23"/>
      <c r="AP976" s="23"/>
      <c r="AQ976" s="23"/>
      <c r="AR976" s="23"/>
      <c r="AS976" s="23"/>
      <c r="AT976" s="23"/>
      <c r="AU976" s="23"/>
      <c r="AV976" s="23"/>
      <c r="AW976" s="23"/>
      <c r="AX976" s="23"/>
      <c r="AY976" s="23"/>
      <c r="AZ976" s="23"/>
      <c r="BA976" s="23"/>
      <c r="BB976" s="23"/>
      <c r="BC976" s="23"/>
    </row>
    <row r="977">
      <c r="AO977" s="23"/>
      <c r="AP977" s="23"/>
      <c r="AQ977" s="23"/>
      <c r="AR977" s="23"/>
      <c r="AS977" s="23"/>
      <c r="AT977" s="23"/>
      <c r="AU977" s="23"/>
      <c r="AV977" s="23"/>
      <c r="AW977" s="23"/>
      <c r="AX977" s="23"/>
      <c r="AY977" s="23"/>
      <c r="AZ977" s="23"/>
      <c r="BA977" s="23"/>
      <c r="BB977" s="23"/>
      <c r="BC977" s="23"/>
    </row>
    <row r="978">
      <c r="AO978" s="23"/>
      <c r="AP978" s="23"/>
      <c r="AQ978" s="23"/>
      <c r="AR978" s="23"/>
      <c r="AS978" s="23"/>
      <c r="AT978" s="23"/>
      <c r="AU978" s="23"/>
      <c r="AV978" s="23"/>
      <c r="AW978" s="23"/>
      <c r="AX978" s="23"/>
      <c r="AY978" s="23"/>
      <c r="AZ978" s="23"/>
      <c r="BA978" s="23"/>
      <c r="BB978" s="23"/>
      <c r="BC978" s="23"/>
    </row>
    <row r="979">
      <c r="AO979" s="23"/>
      <c r="AP979" s="23"/>
      <c r="AQ979" s="23"/>
      <c r="AR979" s="23"/>
      <c r="AS979" s="23"/>
      <c r="AT979" s="23"/>
      <c r="AU979" s="23"/>
      <c r="AV979" s="23"/>
      <c r="AW979" s="23"/>
      <c r="AX979" s="23"/>
      <c r="AY979" s="23"/>
      <c r="AZ979" s="23"/>
      <c r="BA979" s="23"/>
      <c r="BB979" s="23"/>
      <c r="BC979" s="23"/>
    </row>
    <row r="980">
      <c r="AO980" s="23"/>
      <c r="AP980" s="23"/>
      <c r="AQ980" s="23"/>
      <c r="AR980" s="23"/>
      <c r="AS980" s="23"/>
      <c r="AT980" s="23"/>
      <c r="AU980" s="23"/>
      <c r="AV980" s="23"/>
      <c r="AW980" s="23"/>
      <c r="AX980" s="23"/>
      <c r="AY980" s="23"/>
      <c r="AZ980" s="23"/>
      <c r="BA980" s="23"/>
      <c r="BB980" s="23"/>
      <c r="BC980" s="23"/>
    </row>
    <row r="981">
      <c r="AO981" s="23"/>
      <c r="AP981" s="23"/>
      <c r="AQ981" s="23"/>
      <c r="AR981" s="23"/>
      <c r="AS981" s="23"/>
      <c r="AT981" s="23"/>
      <c r="AU981" s="23"/>
      <c r="AV981" s="23"/>
      <c r="AW981" s="23"/>
      <c r="AX981" s="23"/>
      <c r="AY981" s="23"/>
      <c r="AZ981" s="23"/>
      <c r="BA981" s="23"/>
      <c r="BB981" s="23"/>
      <c r="BC981" s="23"/>
    </row>
    <row r="982">
      <c r="AO982" s="23"/>
      <c r="AP982" s="23"/>
      <c r="AQ982" s="23"/>
      <c r="AR982" s="23"/>
      <c r="AS982" s="23"/>
      <c r="AT982" s="23"/>
      <c r="AU982" s="23"/>
      <c r="AV982" s="23"/>
      <c r="AW982" s="23"/>
      <c r="AX982" s="23"/>
      <c r="AY982" s="23"/>
      <c r="AZ982" s="23"/>
      <c r="BA982" s="23"/>
      <c r="BB982" s="23"/>
      <c r="BC982" s="23"/>
    </row>
    <row r="983">
      <c r="AO983" s="23"/>
      <c r="AP983" s="23"/>
      <c r="AQ983" s="23"/>
      <c r="AR983" s="23"/>
      <c r="AS983" s="23"/>
      <c r="AT983" s="23"/>
      <c r="AU983" s="23"/>
      <c r="AV983" s="23"/>
      <c r="AW983" s="23"/>
      <c r="AX983" s="23"/>
      <c r="AY983" s="23"/>
      <c r="AZ983" s="23"/>
      <c r="BA983" s="23"/>
      <c r="BB983" s="23"/>
      <c r="BC983" s="23"/>
    </row>
    <row r="984">
      <c r="AO984" s="23"/>
      <c r="AP984" s="23"/>
      <c r="AQ984" s="23"/>
      <c r="AR984" s="23"/>
      <c r="AS984" s="23"/>
      <c r="AT984" s="23"/>
      <c r="AU984" s="23"/>
      <c r="AV984" s="23"/>
      <c r="AW984" s="23"/>
      <c r="AX984" s="23"/>
      <c r="AY984" s="23"/>
      <c r="AZ984" s="23"/>
      <c r="BA984" s="23"/>
      <c r="BB984" s="23"/>
      <c r="BC984" s="23"/>
    </row>
    <row r="985">
      <c r="AO985" s="23"/>
      <c r="AP985" s="23"/>
      <c r="AQ985" s="23"/>
      <c r="AR985" s="23"/>
      <c r="AS985" s="23"/>
      <c r="AT985" s="23"/>
      <c r="AU985" s="23"/>
      <c r="AV985" s="23"/>
      <c r="AW985" s="23"/>
      <c r="AX985" s="23"/>
      <c r="AY985" s="23"/>
      <c r="AZ985" s="23"/>
      <c r="BA985" s="23"/>
      <c r="BB985" s="23"/>
      <c r="BC985" s="23"/>
    </row>
    <row r="986">
      <c r="AO986" s="23"/>
      <c r="AP986" s="23"/>
      <c r="AQ986" s="23"/>
      <c r="AR986" s="23"/>
      <c r="AS986" s="23"/>
      <c r="AT986" s="23"/>
      <c r="AU986" s="23"/>
      <c r="AV986" s="23"/>
      <c r="AW986" s="23"/>
      <c r="AX986" s="23"/>
      <c r="AY986" s="23"/>
      <c r="AZ986" s="23"/>
      <c r="BA986" s="23"/>
      <c r="BB986" s="23"/>
      <c r="BC986" s="23"/>
    </row>
    <row r="987">
      <c r="AO987" s="23"/>
      <c r="AP987" s="23"/>
      <c r="AQ987" s="23"/>
      <c r="AR987" s="23"/>
      <c r="AS987" s="23"/>
      <c r="AT987" s="23"/>
      <c r="AU987" s="23"/>
      <c r="AV987" s="23"/>
      <c r="AW987" s="23"/>
      <c r="AX987" s="23"/>
      <c r="AY987" s="23"/>
      <c r="AZ987" s="23"/>
      <c r="BA987" s="23"/>
      <c r="BB987" s="23"/>
      <c r="BC987" s="23"/>
    </row>
    <row r="988">
      <c r="AO988" s="23"/>
      <c r="AP988" s="23"/>
      <c r="AQ988" s="23"/>
      <c r="AR988" s="23"/>
      <c r="AS988" s="23"/>
      <c r="AT988" s="23"/>
      <c r="AU988" s="23"/>
      <c r="AV988" s="23"/>
      <c r="AW988" s="23"/>
      <c r="AX988" s="23"/>
      <c r="AY988" s="23"/>
      <c r="AZ988" s="23"/>
      <c r="BA988" s="23"/>
      <c r="BB988" s="23"/>
      <c r="BC988" s="23"/>
    </row>
    <row r="989">
      <c r="AO989" s="23"/>
      <c r="AP989" s="23"/>
      <c r="AQ989" s="23"/>
      <c r="AR989" s="23"/>
      <c r="AS989" s="23"/>
      <c r="AT989" s="23"/>
      <c r="AU989" s="23"/>
      <c r="AV989" s="23"/>
      <c r="AW989" s="23"/>
      <c r="AX989" s="23"/>
      <c r="AY989" s="23"/>
      <c r="AZ989" s="23"/>
      <c r="BA989" s="23"/>
      <c r="BB989" s="23"/>
      <c r="BC989" s="23"/>
    </row>
    <row r="990">
      <c r="AO990" s="23"/>
      <c r="AP990" s="23"/>
      <c r="AQ990" s="23"/>
      <c r="AR990" s="23"/>
      <c r="AS990" s="23"/>
      <c r="AT990" s="23"/>
      <c r="AU990" s="23"/>
      <c r="AV990" s="23"/>
      <c r="AW990" s="23"/>
      <c r="AX990" s="23"/>
      <c r="AY990" s="23"/>
      <c r="AZ990" s="23"/>
      <c r="BA990" s="23"/>
      <c r="BB990" s="23"/>
      <c r="BC990" s="23"/>
    </row>
    <row r="991">
      <c r="AO991" s="23"/>
      <c r="AP991" s="23"/>
      <c r="AQ991" s="23"/>
      <c r="AR991" s="23"/>
      <c r="AS991" s="23"/>
      <c r="AT991" s="23"/>
      <c r="AU991" s="23"/>
      <c r="AV991" s="23"/>
      <c r="AW991" s="23"/>
      <c r="AX991" s="23"/>
      <c r="AY991" s="23"/>
      <c r="AZ991" s="23"/>
      <c r="BA991" s="23"/>
      <c r="BB991" s="23"/>
      <c r="BC991" s="23"/>
    </row>
    <row r="992">
      <c r="AO992" s="23"/>
      <c r="AP992" s="23"/>
      <c r="AQ992" s="23"/>
      <c r="AR992" s="23"/>
      <c r="AS992" s="23"/>
      <c r="AT992" s="23"/>
      <c r="AU992" s="23"/>
      <c r="AV992" s="23"/>
      <c r="AW992" s="23"/>
      <c r="AX992" s="23"/>
      <c r="AY992" s="23"/>
      <c r="AZ992" s="23"/>
      <c r="BA992" s="23"/>
      <c r="BB992" s="23"/>
      <c r="BC992" s="23"/>
    </row>
    <row r="993">
      <c r="AO993" s="23"/>
      <c r="AP993" s="23"/>
      <c r="AQ993" s="23"/>
      <c r="AR993" s="23"/>
      <c r="AS993" s="23"/>
      <c r="AT993" s="23"/>
      <c r="AU993" s="23"/>
      <c r="AV993" s="23"/>
      <c r="AW993" s="23"/>
      <c r="AX993" s="23"/>
      <c r="AY993" s="23"/>
      <c r="AZ993" s="23"/>
      <c r="BA993" s="23"/>
      <c r="BB993" s="23"/>
      <c r="BC993" s="23"/>
    </row>
    <row r="994">
      <c r="AO994" s="23"/>
      <c r="AP994" s="23"/>
      <c r="AQ994" s="23"/>
      <c r="AR994" s="23"/>
      <c r="AS994" s="23"/>
      <c r="AT994" s="23"/>
      <c r="AU994" s="23"/>
      <c r="AV994" s="23"/>
      <c r="AW994" s="23"/>
      <c r="AX994" s="23"/>
      <c r="AY994" s="23"/>
      <c r="AZ994" s="23"/>
      <c r="BA994" s="23"/>
      <c r="BB994" s="23"/>
      <c r="BC994" s="23"/>
    </row>
  </sheetData>
  <mergeCells count="19">
    <mergeCell ref="K23:S23"/>
    <mergeCell ref="AD23:AN23"/>
    <mergeCell ref="K4:K20"/>
    <mergeCell ref="K25:K41"/>
    <mergeCell ref="A25:A41"/>
    <mergeCell ref="C44:P44"/>
    <mergeCell ref="A47:A63"/>
    <mergeCell ref="Q47:Q63"/>
    <mergeCell ref="A68:A84"/>
    <mergeCell ref="N68:N84"/>
    <mergeCell ref="A90:A106"/>
    <mergeCell ref="A2:I2"/>
    <mergeCell ref="K2:S2"/>
    <mergeCell ref="AD2:AN2"/>
    <mergeCell ref="A4:A20"/>
    <mergeCell ref="Z4:Z20"/>
    <mergeCell ref="A23:I23"/>
    <mergeCell ref="Z25:Z41"/>
    <mergeCell ref="S44:AF44"/>
  </mergeCells>
  <conditionalFormatting sqref="C47:AF63">
    <cfRule type="colorScale" priority="1">
      <colorScale>
        <cfvo type="min"/>
        <cfvo type="formula" val="0"/>
        <cfvo type="max"/>
        <color rgb="FFE67C73"/>
        <color rgb="FFFFFFFF"/>
        <color rgb="FF57BB8A"/>
      </colorScale>
    </cfRule>
  </conditionalFormatting>
  <conditionalFormatting sqref="C43:C44 S43">
    <cfRule type="colorScale" priority="2">
      <colorScale>
        <cfvo type="min"/>
        <cfvo type="percentile" val="50"/>
        <cfvo type="max"/>
        <color rgb="FF57BB8A"/>
        <color rgb="FFFFFFFF"/>
        <color rgb="FFE67C73"/>
      </colorScale>
    </cfRule>
  </conditionalFormatting>
  <conditionalFormatting sqref="D1:S1 D43:P43 T43:V44 W43 X43:AF44 Q44:S44 AG44:AH44">
    <cfRule type="colorScale" priority="3">
      <colorScale>
        <cfvo type="min"/>
        <cfvo type="percentile" val="50"/>
        <cfvo type="max"/>
        <color rgb="FFE67C73"/>
        <color rgb="FFFFFFFF"/>
        <color rgb="FF57BB8A"/>
      </colorScale>
    </cfRule>
  </conditionalFormatting>
  <conditionalFormatting sqref="M4:S20">
    <cfRule type="colorScale" priority="4">
      <colorScale>
        <cfvo type="min"/>
        <cfvo type="percentile" val="50"/>
        <cfvo type="max"/>
        <color rgb="FFE67C73"/>
        <color rgb="FFFFFFFF"/>
        <color rgb="FF57BB8A"/>
      </colorScale>
    </cfRule>
  </conditionalFormatting>
  <conditionalFormatting sqref="C68:L84">
    <cfRule type="colorScale" priority="5">
      <colorScale>
        <cfvo type="min"/>
        <cfvo type="percentile" val="0.5"/>
        <cfvo type="max"/>
        <color rgb="FFE67C73"/>
        <color rgb="FFFFFFFF"/>
        <color rgb="FF57BB8A"/>
      </colorScale>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6.88"/>
    <col customWidth="1" min="2" max="2" width="14.25"/>
    <col customWidth="1" min="3" max="3" width="11.63"/>
    <col customWidth="1" min="4" max="4" width="11.13"/>
    <col customWidth="1" min="5" max="5" width="10.5"/>
    <col customWidth="1" min="6" max="7" width="10.25"/>
    <col customWidth="1" min="8" max="8" width="8.13"/>
    <col customWidth="1" min="9" max="9" width="10.38"/>
    <col customWidth="1" min="10" max="10" width="8.13"/>
    <col customWidth="1" min="11" max="11" width="6.25"/>
    <col customWidth="1" min="12" max="12" width="11.38"/>
    <col customWidth="1" min="13" max="13" width="8.5"/>
    <col customWidth="1" min="14" max="14" width="9.75"/>
    <col customWidth="1" min="15" max="15" width="9.25"/>
    <col customWidth="1" min="16" max="16" width="9.13"/>
    <col customWidth="1" min="17" max="17" width="9.25"/>
    <col customWidth="1" min="18" max="18" width="10.5"/>
    <col customWidth="1" min="19" max="19" width="10.13"/>
  </cols>
  <sheetData>
    <row r="1">
      <c r="A1" s="70" t="s">
        <v>54</v>
      </c>
      <c r="B1" s="71"/>
      <c r="C1" s="71"/>
      <c r="D1" s="71"/>
      <c r="E1" s="71"/>
      <c r="F1" s="71"/>
      <c r="G1" s="71"/>
      <c r="H1" s="71"/>
      <c r="I1" s="18"/>
      <c r="J1" s="23"/>
      <c r="K1" s="70" t="s">
        <v>109</v>
      </c>
      <c r="L1" s="71"/>
      <c r="M1" s="71"/>
      <c r="N1" s="71"/>
      <c r="O1" s="71"/>
      <c r="P1" s="71"/>
      <c r="Q1" s="71"/>
      <c r="R1" s="71"/>
      <c r="S1" s="18"/>
      <c r="Z1" s="467"/>
      <c r="AA1" s="23"/>
      <c r="AB1" s="23"/>
      <c r="AC1" s="23"/>
      <c r="AD1" s="23"/>
      <c r="AE1" s="23"/>
      <c r="AF1" s="23"/>
      <c r="AG1" s="23"/>
      <c r="AH1" s="23"/>
      <c r="AI1" s="23"/>
      <c r="AJ1" s="23"/>
      <c r="AK1" s="23"/>
      <c r="AL1" s="23"/>
      <c r="AM1" s="23"/>
      <c r="AN1" s="172"/>
      <c r="AO1" s="172"/>
      <c r="AP1" s="172"/>
      <c r="AQ1" s="172"/>
      <c r="AR1" s="172"/>
      <c r="AS1" s="172"/>
      <c r="AT1" s="172"/>
      <c r="AU1" s="172"/>
      <c r="AV1" s="172"/>
      <c r="AW1" s="172"/>
      <c r="AX1" s="172"/>
      <c r="AY1" s="172"/>
      <c r="AZ1" s="172"/>
      <c r="BA1" s="172"/>
      <c r="BB1" s="172"/>
      <c r="BC1" s="172"/>
    </row>
    <row r="2">
      <c r="A2" s="77" t="s">
        <v>57</v>
      </c>
      <c r="I2" s="78"/>
      <c r="J2" s="87"/>
      <c r="K2" s="77" t="s">
        <v>57</v>
      </c>
      <c r="S2" s="78"/>
      <c r="Z2" s="151"/>
      <c r="AA2" s="225"/>
      <c r="AB2" s="225"/>
      <c r="AC2" s="225"/>
      <c r="AD2" s="87"/>
      <c r="AO2" s="87"/>
      <c r="AP2" s="87"/>
      <c r="AQ2" s="87"/>
      <c r="AR2" s="87"/>
      <c r="AS2" s="87"/>
      <c r="AT2" s="87"/>
      <c r="AU2" s="87"/>
      <c r="AV2" s="87"/>
      <c r="AW2" s="87"/>
      <c r="AX2" s="87"/>
      <c r="AY2" s="87"/>
      <c r="AZ2" s="87"/>
      <c r="BA2" s="87"/>
      <c r="BB2" s="87"/>
      <c r="BC2" s="87"/>
    </row>
    <row r="3">
      <c r="A3" s="90"/>
      <c r="B3" s="239">
        <f>$F$32</f>
        <v>0.003874588133</v>
      </c>
      <c r="C3" s="92">
        <v>64.0</v>
      </c>
      <c r="D3" s="93">
        <f t="shared" ref="D3:I3" si="1">C3+10</f>
        <v>74</v>
      </c>
      <c r="E3" s="93">
        <f t="shared" si="1"/>
        <v>84</v>
      </c>
      <c r="F3" s="93">
        <f t="shared" si="1"/>
        <v>94</v>
      </c>
      <c r="G3" s="93">
        <f t="shared" si="1"/>
        <v>104</v>
      </c>
      <c r="H3" s="93">
        <f t="shared" si="1"/>
        <v>114</v>
      </c>
      <c r="I3" s="94">
        <f t="shared" si="1"/>
        <v>124</v>
      </c>
      <c r="J3" s="177"/>
      <c r="K3" s="90"/>
      <c r="L3" s="239">
        <f>$F$41</f>
        <v>0.005224493572</v>
      </c>
      <c r="M3" s="240">
        <v>64.0</v>
      </c>
      <c r="N3" s="241">
        <f t="shared" ref="N3:S3" si="2">M3+10</f>
        <v>74</v>
      </c>
      <c r="O3" s="241">
        <f t="shared" si="2"/>
        <v>84</v>
      </c>
      <c r="P3" s="241">
        <f t="shared" si="2"/>
        <v>94</v>
      </c>
      <c r="Q3" s="241">
        <f t="shared" si="2"/>
        <v>104</v>
      </c>
      <c r="R3" s="241">
        <f t="shared" si="2"/>
        <v>114</v>
      </c>
      <c r="S3" s="242">
        <f t="shared" si="2"/>
        <v>124</v>
      </c>
      <c r="Z3" s="225"/>
      <c r="AA3" s="466"/>
      <c r="AB3" s="451"/>
      <c r="AC3" s="451"/>
      <c r="AD3" s="451"/>
      <c r="AE3" s="451"/>
      <c r="AF3" s="451"/>
      <c r="AG3" s="451"/>
      <c r="AH3" s="452"/>
      <c r="AI3" s="452"/>
      <c r="AJ3" s="451"/>
      <c r="AK3" s="451"/>
      <c r="AL3" s="451"/>
      <c r="AM3" s="451"/>
      <c r="AN3" s="451"/>
      <c r="AO3" s="451"/>
      <c r="AP3" s="451"/>
      <c r="AQ3" s="451"/>
      <c r="AR3" s="451"/>
      <c r="AS3" s="451"/>
      <c r="AT3" s="451"/>
      <c r="AU3" s="451"/>
      <c r="AV3" s="451"/>
      <c r="AW3" s="451"/>
      <c r="AX3" s="451"/>
      <c r="AY3" s="451"/>
      <c r="AZ3" s="451"/>
      <c r="BA3" s="451"/>
      <c r="BB3" s="451"/>
      <c r="BC3" s="451"/>
    </row>
    <row r="4">
      <c r="A4" s="102" t="s">
        <v>66</v>
      </c>
      <c r="B4" s="103">
        <v>2000000.0</v>
      </c>
      <c r="C4" s="288">
        <f>'Average Validator'!W73</f>
        <v>0.1038092294</v>
      </c>
      <c r="D4" s="14">
        <f>'Average Validator'!X73</f>
        <v>0.1200294215</v>
      </c>
      <c r="E4" s="14">
        <f>'Average Validator'!Y73</f>
        <v>0.1362496136</v>
      </c>
      <c r="F4" s="14">
        <f>'Average Validator'!Z73</f>
        <v>0.1524698057</v>
      </c>
      <c r="G4" s="14">
        <f>'Average Validator'!AA73</f>
        <v>0.1686899977</v>
      </c>
      <c r="H4" s="14">
        <f>'Average Validator'!AB73</f>
        <v>0.1849101898</v>
      </c>
      <c r="I4" s="120">
        <f>'Average Validator'!AC73</f>
        <v>0.2011303819</v>
      </c>
      <c r="J4" s="51"/>
      <c r="K4" s="102" t="s">
        <v>66</v>
      </c>
      <c r="L4" s="103">
        <v>2000000.0</v>
      </c>
      <c r="M4" s="288">
        <v>0.07463584756829236</v>
      </c>
      <c r="N4" s="14">
        <v>0.09082856283173381</v>
      </c>
      <c r="O4" s="14">
        <v>0.10702127809517527</v>
      </c>
      <c r="P4" s="14">
        <v>0.12321399335861677</v>
      </c>
      <c r="Q4" s="14">
        <v>0.13940670862205812</v>
      </c>
      <c r="R4" s="14">
        <v>0.15559942388549966</v>
      </c>
      <c r="S4" s="120">
        <v>0.17179213914894106</v>
      </c>
      <c r="Z4" s="176"/>
      <c r="AA4" s="115"/>
      <c r="AB4" s="178"/>
      <c r="AC4" s="178"/>
      <c r="AD4" s="178"/>
      <c r="AE4" s="178"/>
      <c r="AF4" s="178"/>
      <c r="AG4" s="178"/>
      <c r="AH4" s="178"/>
      <c r="AI4" s="178"/>
      <c r="AJ4" s="178"/>
      <c r="AK4" s="178"/>
      <c r="AL4" s="178"/>
      <c r="AM4" s="178"/>
      <c r="AN4" s="178"/>
      <c r="AO4" s="178"/>
      <c r="AP4" s="178"/>
      <c r="AQ4" s="178"/>
      <c r="AR4" s="178"/>
      <c r="AS4" s="178"/>
      <c r="AT4" s="178"/>
      <c r="AU4" s="178"/>
      <c r="AV4" s="178"/>
      <c r="AW4" s="178"/>
      <c r="AX4" s="178"/>
      <c r="AY4" s="178"/>
      <c r="AZ4" s="178"/>
      <c r="BA4" s="178"/>
      <c r="BB4" s="178"/>
      <c r="BC4" s="178"/>
    </row>
    <row r="5">
      <c r="A5" s="110"/>
      <c r="B5" s="93">
        <f t="shared" ref="B5:B20" si="3">B4+500000</f>
        <v>2500000</v>
      </c>
      <c r="C5" s="288">
        <f>'Average Validator'!W74</f>
        <v>0.09284979743</v>
      </c>
      <c r="D5" s="14">
        <f>'Average Validator'!X74</f>
        <v>0.1073575783</v>
      </c>
      <c r="E5" s="14">
        <f>'Average Validator'!Y74</f>
        <v>0.1218653591</v>
      </c>
      <c r="F5" s="14">
        <f>'Average Validator'!Z74</f>
        <v>0.13637314</v>
      </c>
      <c r="G5" s="14">
        <f>'Average Validator'!AA74</f>
        <v>0.1508809208</v>
      </c>
      <c r="H5" s="14">
        <f>'Average Validator'!AB74</f>
        <v>0.1653887017</v>
      </c>
      <c r="I5" s="120">
        <f>'Average Validator'!AC74</f>
        <v>0.1798964825</v>
      </c>
      <c r="J5" s="51"/>
      <c r="K5" s="110"/>
      <c r="L5" s="93">
        <f t="shared" ref="L5:L20" si="4">L4+500000</f>
        <v>2500000</v>
      </c>
      <c r="M5" s="454">
        <v>0.06369498077981206</v>
      </c>
      <c r="N5" s="123">
        <v>0.07817818560755344</v>
      </c>
      <c r="O5" s="123">
        <v>0.09266139043529485</v>
      </c>
      <c r="P5" s="123">
        <v>0.10714459526303627</v>
      </c>
      <c r="Q5" s="123">
        <v>0.12162780009077763</v>
      </c>
      <c r="R5" s="123">
        <v>0.1361110049185191</v>
      </c>
      <c r="S5" s="124">
        <v>0.15059420974626048</v>
      </c>
      <c r="AA5" s="177"/>
      <c r="AB5" s="178"/>
      <c r="AC5" s="178"/>
      <c r="AD5" s="178"/>
      <c r="AE5" s="178"/>
      <c r="AF5" s="178"/>
      <c r="AG5" s="178"/>
      <c r="AH5" s="178"/>
      <c r="AI5" s="178"/>
      <c r="AJ5" s="178"/>
      <c r="AK5" s="178"/>
      <c r="AL5" s="178"/>
      <c r="AM5" s="178"/>
      <c r="AN5" s="178"/>
      <c r="AO5" s="178"/>
      <c r="AP5" s="178"/>
      <c r="AQ5" s="178"/>
      <c r="AR5" s="178"/>
      <c r="AS5" s="178"/>
      <c r="AT5" s="178"/>
      <c r="AU5" s="178"/>
      <c r="AV5" s="178"/>
      <c r="AW5" s="178"/>
      <c r="AX5" s="178"/>
      <c r="AY5" s="178"/>
      <c r="AZ5" s="178"/>
      <c r="BA5" s="178"/>
      <c r="BB5" s="178"/>
      <c r="BC5" s="178"/>
    </row>
    <row r="6">
      <c r="A6" s="110"/>
      <c r="B6" s="93">
        <f t="shared" si="3"/>
        <v>3000000</v>
      </c>
      <c r="C6" s="288">
        <f>'Average Validator'!W75</f>
        <v>0.08475988086</v>
      </c>
      <c r="D6" s="14">
        <f>'Average Validator'!X75</f>
        <v>0.09800361224</v>
      </c>
      <c r="E6" s="14">
        <f>'Average Validator'!Y75</f>
        <v>0.1112473436</v>
      </c>
      <c r="F6" s="14">
        <f>'Average Validator'!Z75</f>
        <v>0.124491075</v>
      </c>
      <c r="G6" s="14">
        <f>'Average Validator'!AA75</f>
        <v>0.1377348064</v>
      </c>
      <c r="H6" s="14">
        <f>'Average Validator'!AB75</f>
        <v>0.1509785378</v>
      </c>
      <c r="I6" s="120">
        <f>'Average Validator'!AC75</f>
        <v>0.1642222692</v>
      </c>
      <c r="J6" s="51"/>
      <c r="K6" s="110"/>
      <c r="L6" s="93">
        <f t="shared" si="4"/>
        <v>3000000</v>
      </c>
      <c r="M6" s="288">
        <v>0.0556187684328984</v>
      </c>
      <c r="N6" s="14">
        <v>0.06884006508143456</v>
      </c>
      <c r="O6" s="14">
        <v>0.08206136172997076</v>
      </c>
      <c r="P6" s="14">
        <v>0.09528265837850686</v>
      </c>
      <c r="Q6" s="14">
        <v>0.10850395502704303</v>
      </c>
      <c r="R6" s="14">
        <v>0.12172525167557922</v>
      </c>
      <c r="S6" s="120">
        <v>0.13494654832411537</v>
      </c>
      <c r="AA6" s="177"/>
      <c r="AB6" s="178"/>
      <c r="AC6" s="178"/>
      <c r="AD6" s="178"/>
      <c r="AE6" s="178"/>
      <c r="AF6" s="178"/>
      <c r="AG6" s="178"/>
      <c r="AH6" s="178"/>
      <c r="AI6" s="178"/>
      <c r="AJ6" s="178"/>
      <c r="AK6" s="178"/>
      <c r="AL6" s="178"/>
      <c r="AM6" s="178"/>
      <c r="AN6" s="178"/>
      <c r="AO6" s="178"/>
      <c r="AP6" s="178"/>
      <c r="AQ6" s="178"/>
      <c r="AR6" s="178"/>
      <c r="AS6" s="178"/>
      <c r="AT6" s="178"/>
      <c r="AU6" s="178"/>
      <c r="AV6" s="178"/>
      <c r="AW6" s="178"/>
      <c r="AX6" s="178"/>
      <c r="AY6" s="178"/>
      <c r="AZ6" s="178"/>
      <c r="BA6" s="178"/>
      <c r="BB6" s="178"/>
      <c r="BC6" s="178"/>
    </row>
    <row r="7">
      <c r="A7" s="110"/>
      <c r="B7" s="93">
        <f t="shared" si="3"/>
        <v>3500000</v>
      </c>
      <c r="C7" s="288">
        <f>'Average Validator'!W76</f>
        <v>0.07847240135</v>
      </c>
      <c r="D7" s="14">
        <f>'Average Validator'!X76</f>
        <v>0.09073371406</v>
      </c>
      <c r="E7" s="14">
        <f>'Average Validator'!Y76</f>
        <v>0.1029950268</v>
      </c>
      <c r="F7" s="14">
        <f>'Average Validator'!Z76</f>
        <v>0.1152563395</v>
      </c>
      <c r="G7" s="14">
        <f>'Average Validator'!AA76</f>
        <v>0.1275176522</v>
      </c>
      <c r="H7" s="14">
        <f>'Average Validator'!AB76</f>
        <v>0.1397789649</v>
      </c>
      <c r="I7" s="120">
        <f>'Average Validator'!AC76</f>
        <v>0.1520402776</v>
      </c>
      <c r="J7" s="51"/>
      <c r="K7" s="110"/>
      <c r="L7" s="93">
        <f t="shared" si="4"/>
        <v>3500000</v>
      </c>
      <c r="M7" s="288">
        <v>0.049341939848796576</v>
      </c>
      <c r="N7" s="14">
        <v>0.06158248203106682</v>
      </c>
      <c r="O7" s="14">
        <v>0.07382302421333709</v>
      </c>
      <c r="P7" s="14">
        <v>0.0860635663956073</v>
      </c>
      <c r="Q7" s="14">
        <v>0.09830410857787752</v>
      </c>
      <c r="R7" s="14">
        <v>0.1105446507601478</v>
      </c>
      <c r="S7" s="120">
        <v>0.122785192942418</v>
      </c>
      <c r="AA7" s="177"/>
      <c r="AB7" s="178"/>
      <c r="AC7" s="178"/>
      <c r="AD7" s="178"/>
      <c r="AE7" s="178"/>
      <c r="AF7" s="178"/>
      <c r="AG7" s="178"/>
      <c r="AH7" s="178"/>
      <c r="AI7" s="178"/>
      <c r="AJ7" s="178"/>
      <c r="AK7" s="178"/>
      <c r="AL7" s="178"/>
      <c r="AM7" s="178"/>
      <c r="AN7" s="178"/>
      <c r="AO7" s="178"/>
      <c r="AP7" s="178"/>
      <c r="AQ7" s="178"/>
      <c r="AR7" s="178"/>
      <c r="AS7" s="178"/>
      <c r="AT7" s="178"/>
      <c r="AU7" s="178"/>
      <c r="AV7" s="178"/>
      <c r="AW7" s="178"/>
      <c r="AX7" s="178"/>
      <c r="AY7" s="178"/>
      <c r="AZ7" s="178"/>
      <c r="BA7" s="178"/>
      <c r="BB7" s="178"/>
      <c r="BC7" s="178"/>
    </row>
    <row r="8">
      <c r="A8" s="110"/>
      <c r="B8" s="93">
        <f t="shared" si="3"/>
        <v>4000000</v>
      </c>
      <c r="C8" s="288">
        <f>'Average Validator'!W77</f>
        <v>0.07340421004</v>
      </c>
      <c r="D8" s="14">
        <f>'Average Validator'!X77</f>
        <v>0.08487361786</v>
      </c>
      <c r="E8" s="14">
        <f>'Average Validator'!Y77</f>
        <v>0.09634302568</v>
      </c>
      <c r="F8" s="14">
        <f>'Average Validator'!Z77</f>
        <v>0.1078124335</v>
      </c>
      <c r="G8" s="14">
        <f>'Average Validator'!AA77</f>
        <v>0.1192818413</v>
      </c>
      <c r="H8" s="14">
        <f>'Average Validator'!AB77</f>
        <v>0.1307512491</v>
      </c>
      <c r="I8" s="120">
        <f>'Average Validator'!AC77</f>
        <v>0.142220657</v>
      </c>
      <c r="J8" s="51"/>
      <c r="K8" s="110"/>
      <c r="L8" s="93">
        <f t="shared" si="4"/>
        <v>4000000</v>
      </c>
      <c r="M8" s="288">
        <v>0.044282334001322185</v>
      </c>
      <c r="N8" s="14">
        <v>0.055732312769924554</v>
      </c>
      <c r="O8" s="14">
        <v>0.06718229153852691</v>
      </c>
      <c r="P8" s="14">
        <v>0.0786322703071293</v>
      </c>
      <c r="Q8" s="14">
        <v>0.09008224907573165</v>
      </c>
      <c r="R8" s="14">
        <v>0.10153222784433402</v>
      </c>
      <c r="S8" s="120">
        <v>0.1129822066129364</v>
      </c>
      <c r="AA8" s="177"/>
      <c r="AB8" s="178"/>
      <c r="AC8" s="178"/>
      <c r="AD8" s="178"/>
      <c r="AE8" s="178"/>
      <c r="AF8" s="178"/>
      <c r="AG8" s="178"/>
      <c r="AH8" s="178"/>
      <c r="AI8" s="178"/>
      <c r="AJ8" s="178"/>
      <c r="AK8" s="178"/>
      <c r="AL8" s="178"/>
      <c r="AM8" s="178"/>
      <c r="AN8" s="178"/>
      <c r="AO8" s="178"/>
      <c r="AP8" s="178"/>
      <c r="AQ8" s="178"/>
      <c r="AR8" s="178"/>
      <c r="AS8" s="178"/>
      <c r="AT8" s="178"/>
      <c r="AU8" s="178"/>
      <c r="AV8" s="178"/>
      <c r="AW8" s="178"/>
      <c r="AX8" s="178"/>
      <c r="AY8" s="178"/>
      <c r="AZ8" s="178"/>
      <c r="BA8" s="178"/>
      <c r="BB8" s="178"/>
      <c r="BC8" s="178"/>
    </row>
    <row r="9">
      <c r="A9" s="110"/>
      <c r="B9" s="93">
        <f t="shared" si="3"/>
        <v>4500000</v>
      </c>
      <c r="C9" s="288">
        <f>'Average Validator'!W78</f>
        <v>0.07163517394</v>
      </c>
      <c r="D9" s="14">
        <f>'Average Validator'!X78</f>
        <v>0.08282816986</v>
      </c>
      <c r="E9" s="14">
        <f>'Average Validator'!Y78</f>
        <v>0.09402116579</v>
      </c>
      <c r="F9" s="14">
        <f>'Average Validator'!Z78</f>
        <v>0.1052141617</v>
      </c>
      <c r="G9" s="14">
        <f>'Average Validator'!AA78</f>
        <v>0.1164071576</v>
      </c>
      <c r="H9" s="14">
        <f>'Average Validator'!AB78</f>
        <v>0.1276001536</v>
      </c>
      <c r="I9" s="120">
        <f>'Average Validator'!AC78</f>
        <v>0.1387931495</v>
      </c>
      <c r="J9" s="51"/>
      <c r="K9" s="110"/>
      <c r="L9" s="93">
        <f t="shared" si="4"/>
        <v>4500000</v>
      </c>
      <c r="M9" s="288">
        <v>0.04009138833961727</v>
      </c>
      <c r="N9" s="14">
        <v>0.050886531848578234</v>
      </c>
      <c r="O9" s="14">
        <v>0.0616816753575392</v>
      </c>
      <c r="P9" s="14">
        <v>0.0724768188665002</v>
      </c>
      <c r="Q9" s="14">
        <v>0.08327196237546115</v>
      </c>
      <c r="R9" s="14">
        <v>0.0940671058844221</v>
      </c>
      <c r="S9" s="120">
        <v>0.1048622493933831</v>
      </c>
      <c r="AA9" s="177"/>
      <c r="AB9" s="178"/>
      <c r="AC9" s="178"/>
      <c r="AD9" s="178"/>
      <c r="AE9" s="178"/>
      <c r="AF9" s="178"/>
      <c r="AG9" s="178"/>
      <c r="AH9" s="178"/>
      <c r="AI9" s="178"/>
      <c r="AJ9" s="178"/>
      <c r="AK9" s="178"/>
      <c r="AL9" s="178"/>
      <c r="AM9" s="178"/>
      <c r="AN9" s="178"/>
      <c r="AO9" s="178"/>
      <c r="AP9" s="178"/>
      <c r="AQ9" s="178"/>
      <c r="AR9" s="178"/>
      <c r="AS9" s="178"/>
      <c r="AT9" s="178"/>
      <c r="AU9" s="178"/>
      <c r="AV9" s="178"/>
      <c r="AW9" s="178"/>
      <c r="AX9" s="178"/>
      <c r="AY9" s="178"/>
      <c r="AZ9" s="178"/>
      <c r="BA9" s="178"/>
      <c r="BB9" s="178"/>
      <c r="BC9" s="178"/>
    </row>
    <row r="10">
      <c r="A10" s="110"/>
      <c r="B10" s="93">
        <f t="shared" si="3"/>
        <v>5000000</v>
      </c>
      <c r="C10" s="288">
        <f>'Average Validator'!W79</f>
        <v>0.0656547214</v>
      </c>
      <c r="D10" s="14">
        <f>'Average Validator'!X79</f>
        <v>0.07591327162</v>
      </c>
      <c r="E10" s="14">
        <f>'Average Validator'!Y79</f>
        <v>0.08617182183</v>
      </c>
      <c r="F10" s="14">
        <f>'Average Validator'!Z79</f>
        <v>0.09643037205</v>
      </c>
      <c r="G10" s="14">
        <f>'Average Validator'!AA79</f>
        <v>0.1066889223</v>
      </c>
      <c r="H10" s="14">
        <f>'Average Validator'!AB79</f>
        <v>0.1169474725</v>
      </c>
      <c r="I10" s="120">
        <f>'Average Validator'!AC79</f>
        <v>0.1272060227</v>
      </c>
      <c r="J10" s="51"/>
      <c r="K10" s="110"/>
      <c r="L10" s="93">
        <f t="shared" si="4"/>
        <v>5000000</v>
      </c>
      <c r="M10" s="288">
        <v>0.03654597290312905</v>
      </c>
      <c r="N10" s="14">
        <v>0.04678714525013873</v>
      </c>
      <c r="O10" s="14">
        <v>0.05702831759714845</v>
      </c>
      <c r="P10" s="14">
        <v>0.06726948994415811</v>
      </c>
      <c r="Q10" s="14">
        <v>0.07751066229116782</v>
      </c>
      <c r="R10" s="14">
        <v>0.08775183463817753</v>
      </c>
      <c r="S10" s="120">
        <v>0.09799300698518722</v>
      </c>
      <c r="AA10" s="177"/>
      <c r="AB10" s="178"/>
      <c r="AC10" s="178"/>
      <c r="AD10" s="178"/>
      <c r="AE10" s="178"/>
      <c r="AF10" s="178"/>
      <c r="AG10" s="178"/>
      <c r="AH10" s="178"/>
      <c r="AI10" s="178"/>
      <c r="AJ10" s="178"/>
      <c r="AK10" s="178"/>
      <c r="AL10" s="178"/>
      <c r="AM10" s="178"/>
      <c r="AN10" s="178"/>
      <c r="AO10" s="178"/>
      <c r="AP10" s="178"/>
      <c r="AQ10" s="178"/>
      <c r="AR10" s="178"/>
      <c r="AS10" s="178"/>
      <c r="AT10" s="178"/>
      <c r="AU10" s="178"/>
      <c r="AV10" s="178"/>
      <c r="AW10" s="178"/>
      <c r="AX10" s="178"/>
      <c r="AY10" s="178"/>
      <c r="AZ10" s="178"/>
      <c r="BA10" s="178"/>
      <c r="BB10" s="178"/>
      <c r="BC10" s="178"/>
    </row>
    <row r="11">
      <c r="A11" s="110"/>
      <c r="B11" s="93">
        <f t="shared" si="3"/>
        <v>5500000</v>
      </c>
      <c r="C11" s="288">
        <f>'Average Validator'!W80</f>
        <v>0.06259932066</v>
      </c>
      <c r="D11" s="14">
        <f>'Average Validator'!X80</f>
        <v>0.07238046451</v>
      </c>
      <c r="E11" s="14">
        <f>'Average Validator'!Y80</f>
        <v>0.08216160837</v>
      </c>
      <c r="F11" s="14">
        <f>'Average Validator'!Z80</f>
        <v>0.09194275222</v>
      </c>
      <c r="G11" s="14">
        <f>'Average Validator'!AA80</f>
        <v>0.1017238961</v>
      </c>
      <c r="H11" s="14">
        <f>'Average Validator'!AB80</f>
        <v>0.1115050399</v>
      </c>
      <c r="I11" s="120">
        <f>'Average Validator'!AC80</f>
        <v>0.1212861838</v>
      </c>
      <c r="J11" s="51"/>
      <c r="K11" s="110"/>
      <c r="L11" s="93">
        <f t="shared" si="4"/>
        <v>5500000</v>
      </c>
      <c r="M11" s="288">
        <v>0.033495747980764455</v>
      </c>
      <c r="N11" s="14">
        <v>0.043260322683654664</v>
      </c>
      <c r="O11" s="14">
        <v>0.05302489738654487</v>
      </c>
      <c r="P11" s="14">
        <v>0.06278947208943508</v>
      </c>
      <c r="Q11" s="14">
        <v>0.0725540467923253</v>
      </c>
      <c r="R11" s="14">
        <v>0.08231862149521552</v>
      </c>
      <c r="S11" s="120">
        <v>0.09208319619810576</v>
      </c>
      <c r="AA11" s="177"/>
      <c r="AB11" s="178"/>
      <c r="AC11" s="178"/>
      <c r="AD11" s="178"/>
      <c r="AE11" s="178"/>
      <c r="AF11" s="178"/>
      <c r="AG11" s="178"/>
      <c r="AH11" s="178"/>
      <c r="AI11" s="178"/>
      <c r="AJ11" s="178"/>
      <c r="AK11" s="178"/>
      <c r="AL11" s="178"/>
      <c r="AM11" s="178"/>
      <c r="AN11" s="178"/>
      <c r="AO11" s="178"/>
      <c r="AP11" s="178"/>
      <c r="AQ11" s="178"/>
      <c r="AR11" s="178"/>
      <c r="AS11" s="178"/>
      <c r="AT11" s="178"/>
      <c r="AU11" s="178"/>
      <c r="AV11" s="178"/>
      <c r="AW11" s="178"/>
      <c r="AX11" s="178"/>
      <c r="AY11" s="178"/>
      <c r="AZ11" s="178"/>
      <c r="BA11" s="178"/>
      <c r="BB11" s="178"/>
      <c r="BC11" s="178"/>
    </row>
    <row r="12">
      <c r="A12" s="110"/>
      <c r="B12" s="93">
        <f t="shared" si="3"/>
        <v>6000000</v>
      </c>
      <c r="C12" s="288">
        <f>'Average Validator'!W81</f>
        <v>0.05993428653</v>
      </c>
      <c r="D12" s="14">
        <f>'Average Validator'!X81</f>
        <v>0.0692990188</v>
      </c>
      <c r="E12" s="14">
        <f>'Average Validator'!Y81</f>
        <v>0.07866375107</v>
      </c>
      <c r="F12" s="14">
        <f>'Average Validator'!Z81</f>
        <v>0.08802848334</v>
      </c>
      <c r="G12" s="14">
        <f>'Average Validator'!AA81</f>
        <v>0.09739321561</v>
      </c>
      <c r="H12" s="14">
        <f>'Average Validator'!AB81</f>
        <v>0.1067579479</v>
      </c>
      <c r="I12" s="120">
        <f>'Average Validator'!AC81</f>
        <v>0.1161226801</v>
      </c>
      <c r="J12" s="51"/>
      <c r="K12" s="110"/>
      <c r="L12" s="93">
        <f t="shared" si="4"/>
        <v>6000000</v>
      </c>
      <c r="M12" s="455">
        <v>0.03083522838632393</v>
      </c>
      <c r="N12" s="144">
        <v>0.04018409690258282</v>
      </c>
      <c r="O12" s="144">
        <v>0.04953296541884169</v>
      </c>
      <c r="P12" s="144">
        <v>0.058881833935100575</v>
      </c>
      <c r="Q12" s="144">
        <v>0.06823070245135948</v>
      </c>
      <c r="R12" s="144">
        <v>0.07757957096761837</v>
      </c>
      <c r="S12" s="145">
        <v>0.08692843948387724</v>
      </c>
      <c r="AA12" s="177"/>
      <c r="AB12" s="178"/>
      <c r="AC12" s="178"/>
      <c r="AD12" s="178"/>
      <c r="AE12" s="178"/>
      <c r="AF12" s="178"/>
      <c r="AG12" s="178"/>
      <c r="AH12" s="178"/>
      <c r="AI12" s="178"/>
      <c r="AJ12" s="178"/>
      <c r="AK12" s="178"/>
      <c r="AL12" s="178"/>
      <c r="AM12" s="178"/>
      <c r="AN12" s="178"/>
      <c r="AO12" s="178"/>
      <c r="AP12" s="178"/>
      <c r="AQ12" s="178"/>
      <c r="AR12" s="178"/>
      <c r="AS12" s="178"/>
      <c r="AT12" s="178"/>
      <c r="AU12" s="178"/>
      <c r="AV12" s="178"/>
      <c r="AW12" s="178"/>
      <c r="AX12" s="178"/>
      <c r="AY12" s="178"/>
      <c r="AZ12" s="178"/>
      <c r="BA12" s="178"/>
      <c r="BB12" s="178"/>
      <c r="BC12" s="178"/>
    </row>
    <row r="13">
      <c r="A13" s="110"/>
      <c r="B13" s="93">
        <f t="shared" si="3"/>
        <v>6500000</v>
      </c>
      <c r="C13" s="288">
        <f>'Average Validator'!W82</f>
        <v>0.05758299991</v>
      </c>
      <c r="D13" s="14">
        <f>'Average Validator'!X82</f>
        <v>0.06658034364</v>
      </c>
      <c r="E13" s="14">
        <f>'Average Validator'!Y82</f>
        <v>0.07557768738</v>
      </c>
      <c r="F13" s="14">
        <f>'Average Validator'!Z82</f>
        <v>0.08457503111</v>
      </c>
      <c r="G13" s="14">
        <f>'Average Validator'!AA82</f>
        <v>0.09357237485</v>
      </c>
      <c r="H13" s="14">
        <f>'Average Validator'!AB82</f>
        <v>0.1025697186</v>
      </c>
      <c r="I13" s="120">
        <f>'Average Validator'!AC82</f>
        <v>0.1115670623</v>
      </c>
      <c r="J13" s="51"/>
      <c r="K13" s="110"/>
      <c r="L13" s="93">
        <f t="shared" si="4"/>
        <v>6500000</v>
      </c>
      <c r="M13" s="400">
        <v>0.02848792482018857</v>
      </c>
      <c r="N13" s="51">
        <v>0.03747002715423881</v>
      </c>
      <c r="O13" s="51">
        <v>0.04645212948828905</v>
      </c>
      <c r="P13" s="51">
        <v>0.055434231822339294</v>
      </c>
      <c r="Q13" s="51">
        <v>0.06441633415638949</v>
      </c>
      <c r="R13" s="51">
        <v>0.07339843649043977</v>
      </c>
      <c r="S13" s="150">
        <v>0.08238053882449</v>
      </c>
      <c r="AA13" s="177"/>
      <c r="AB13" s="178"/>
      <c r="AC13" s="178"/>
      <c r="AD13" s="178"/>
      <c r="AE13" s="178"/>
      <c r="AF13" s="178"/>
      <c r="AG13" s="178"/>
      <c r="AH13" s="178"/>
      <c r="AI13" s="178"/>
      <c r="AJ13" s="178"/>
      <c r="AK13" s="178"/>
      <c r="AL13" s="178"/>
      <c r="AM13" s="178"/>
      <c r="AN13" s="178"/>
      <c r="AO13" s="178"/>
      <c r="AP13" s="178"/>
      <c r="AQ13" s="178"/>
      <c r="AR13" s="178"/>
      <c r="AS13" s="178"/>
      <c r="AT13" s="178"/>
      <c r="AU13" s="178"/>
      <c r="AV13" s="178"/>
      <c r="AW13" s="178"/>
      <c r="AX13" s="178"/>
      <c r="AY13" s="178"/>
      <c r="AZ13" s="178"/>
      <c r="BA13" s="178"/>
      <c r="BB13" s="178"/>
      <c r="BC13" s="178"/>
    </row>
    <row r="14">
      <c r="A14" s="110"/>
      <c r="B14" s="93">
        <f t="shared" si="3"/>
        <v>7000000</v>
      </c>
      <c r="C14" s="288">
        <f>'Average Validator'!W83</f>
        <v>0.05548836713</v>
      </c>
      <c r="D14" s="14">
        <f>'Average Validator'!X83</f>
        <v>0.0641584245</v>
      </c>
      <c r="E14" s="14">
        <f>'Average Validator'!Y83</f>
        <v>0.07282848186</v>
      </c>
      <c r="F14" s="14">
        <f>'Average Validator'!Z83</f>
        <v>0.08149853923</v>
      </c>
      <c r="G14" s="14">
        <f>'Average Validator'!AA83</f>
        <v>0.09016859659</v>
      </c>
      <c r="H14" s="14">
        <f>'Average Validator'!AB83</f>
        <v>0.09883865395</v>
      </c>
      <c r="I14" s="120">
        <f>'Average Validator'!AC83</f>
        <v>0.1075087113</v>
      </c>
      <c r="J14" s="51"/>
      <c r="K14" s="110"/>
      <c r="L14" s="93">
        <f t="shared" si="4"/>
        <v>7000000</v>
      </c>
      <c r="M14" s="400">
        <v>0.02639684033015995</v>
      </c>
      <c r="N14" s="51">
        <v>0.03505221071264324</v>
      </c>
      <c r="O14" s="51">
        <v>0.04370758109512649</v>
      </c>
      <c r="P14" s="51">
        <v>0.052362951477609776</v>
      </c>
      <c r="Q14" s="51">
        <v>0.061018321860093025</v>
      </c>
      <c r="R14" s="51">
        <v>0.0696736922425763</v>
      </c>
      <c r="S14" s="150">
        <v>0.07832906262505956</v>
      </c>
      <c r="AA14" s="177"/>
      <c r="AB14" s="178"/>
      <c r="AC14" s="178"/>
      <c r="AD14" s="178"/>
      <c r="AE14" s="178"/>
      <c r="AF14" s="178"/>
      <c r="AG14" s="178"/>
      <c r="AH14" s="178"/>
      <c r="AI14" s="178"/>
      <c r="AJ14" s="178"/>
      <c r="AK14" s="178"/>
      <c r="AL14" s="178"/>
      <c r="AM14" s="178"/>
      <c r="AN14" s="178"/>
      <c r="AO14" s="178"/>
      <c r="AP14" s="178"/>
      <c r="AQ14" s="178"/>
      <c r="AR14" s="178"/>
      <c r="AS14" s="178"/>
      <c r="AT14" s="178"/>
      <c r="AU14" s="178"/>
      <c r="AV14" s="178"/>
      <c r="AW14" s="178"/>
      <c r="AX14" s="178"/>
      <c r="AY14" s="178"/>
      <c r="AZ14" s="178"/>
      <c r="BA14" s="178"/>
      <c r="BB14" s="178"/>
      <c r="BC14" s="178"/>
    </row>
    <row r="15">
      <c r="A15" s="110"/>
      <c r="B15" s="93">
        <f t="shared" si="3"/>
        <v>7500000</v>
      </c>
      <c r="C15" s="288">
        <f>'Average Validator'!W84</f>
        <v>0.05360685554</v>
      </c>
      <c r="D15" s="14">
        <f>'Average Validator'!X84</f>
        <v>0.06198292672</v>
      </c>
      <c r="E15" s="14">
        <f>'Average Validator'!Y84</f>
        <v>0.0703589979</v>
      </c>
      <c r="F15" s="14">
        <f>'Average Validator'!Z84</f>
        <v>0.07873506908</v>
      </c>
      <c r="G15" s="14">
        <f>'Average Validator'!AA84</f>
        <v>0.08711114026</v>
      </c>
      <c r="H15" s="14">
        <f>'Average Validator'!AB84</f>
        <v>0.09548721144</v>
      </c>
      <c r="I15" s="120">
        <f>'Average Validator'!AC84</f>
        <v>0.1038632826</v>
      </c>
      <c r="J15" s="51"/>
      <c r="K15" s="110"/>
      <c r="L15" s="93">
        <f t="shared" si="4"/>
        <v>7500000</v>
      </c>
      <c r="M15" s="400">
        <v>0.02451851600082696</v>
      </c>
      <c r="N15" s="51">
        <v>0.03288039820685196</v>
      </c>
      <c r="O15" s="51">
        <v>0.04124228041287693</v>
      </c>
      <c r="P15" s="51">
        <v>0.04960416261890194</v>
      </c>
      <c r="Q15" s="51">
        <v>0.05796604482492691</v>
      </c>
      <c r="R15" s="51">
        <v>0.0663279270309519</v>
      </c>
      <c r="S15" s="150">
        <v>0.07468980923697688</v>
      </c>
      <c r="AA15" s="177"/>
      <c r="AB15" s="178"/>
      <c r="AC15" s="178"/>
      <c r="AD15" s="178"/>
      <c r="AE15" s="178"/>
      <c r="AF15" s="178"/>
      <c r="AG15" s="178"/>
      <c r="AH15" s="178"/>
      <c r="AI15" s="178"/>
      <c r="AJ15" s="178"/>
      <c r="AK15" s="178"/>
      <c r="AL15" s="178"/>
      <c r="AM15" s="178"/>
      <c r="AN15" s="178"/>
      <c r="AO15" s="178"/>
      <c r="AP15" s="178"/>
      <c r="AQ15" s="178"/>
      <c r="AR15" s="178"/>
      <c r="AS15" s="178"/>
      <c r="AT15" s="178"/>
      <c r="AU15" s="178"/>
      <c r="AV15" s="178"/>
      <c r="AW15" s="178"/>
      <c r="AX15" s="178"/>
      <c r="AY15" s="178"/>
      <c r="AZ15" s="178"/>
      <c r="BA15" s="178"/>
      <c r="BB15" s="178"/>
      <c r="BC15" s="178"/>
    </row>
    <row r="16">
      <c r="A16" s="110"/>
      <c r="B16" s="93">
        <f t="shared" si="3"/>
        <v>8000000</v>
      </c>
      <c r="C16" s="288">
        <f>'Average Validator'!W85</f>
        <v>0.05190461469</v>
      </c>
      <c r="D16" s="14">
        <f>'Average Validator'!X85</f>
        <v>0.06001471074</v>
      </c>
      <c r="E16" s="14">
        <f>'Average Validator'!Y85</f>
        <v>0.06812480678</v>
      </c>
      <c r="F16" s="14">
        <f>'Average Validator'!Z85</f>
        <v>0.07623490283</v>
      </c>
      <c r="G16" s="14">
        <f>'Average Validator'!AA85</f>
        <v>0.08434499887</v>
      </c>
      <c r="H16" s="14">
        <f>'Average Validator'!AB85</f>
        <v>0.09245509492</v>
      </c>
      <c r="I16" s="120">
        <f>'Average Validator'!AC85</f>
        <v>0.100565191</v>
      </c>
      <c r="J16" s="51"/>
      <c r="K16" s="110"/>
      <c r="L16" s="93">
        <f t="shared" si="4"/>
        <v>8000000</v>
      </c>
      <c r="M16" s="400">
        <v>0.022819158725279703</v>
      </c>
      <c r="N16" s="51">
        <v>0.030915516357000426</v>
      </c>
      <c r="O16" s="51">
        <v>0.039011873988721156</v>
      </c>
      <c r="P16" s="51">
        <v>0.0471082316204419</v>
      </c>
      <c r="Q16" s="51">
        <v>0.05520458925216259</v>
      </c>
      <c r="R16" s="51">
        <v>0.06330094688388335</v>
      </c>
      <c r="S16" s="150">
        <v>0.07139730451560407</v>
      </c>
      <c r="AA16" s="177"/>
      <c r="AB16" s="178"/>
      <c r="AC16" s="178"/>
      <c r="AD16" s="178"/>
      <c r="AE16" s="178"/>
      <c r="AF16" s="178"/>
      <c r="AG16" s="178"/>
      <c r="AH16" s="178"/>
      <c r="AI16" s="178"/>
      <c r="AJ16" s="178"/>
      <c r="AK16" s="178"/>
      <c r="AL16" s="178"/>
      <c r="AM16" s="178"/>
      <c r="AN16" s="178"/>
      <c r="AO16" s="178"/>
      <c r="AP16" s="178"/>
      <c r="AQ16" s="178"/>
      <c r="AR16" s="178"/>
      <c r="AS16" s="178"/>
      <c r="AT16" s="178"/>
      <c r="AU16" s="178"/>
      <c r="AV16" s="178"/>
      <c r="AW16" s="178"/>
      <c r="AX16" s="178"/>
      <c r="AY16" s="178"/>
      <c r="AZ16" s="178"/>
      <c r="BA16" s="178"/>
      <c r="BB16" s="178"/>
      <c r="BC16" s="178"/>
    </row>
    <row r="17">
      <c r="A17" s="110"/>
      <c r="B17" s="93">
        <f t="shared" si="3"/>
        <v>8500000</v>
      </c>
      <c r="C17" s="288">
        <f>'Average Validator'!W86</f>
        <v>0.05035487266</v>
      </c>
      <c r="D17" s="14">
        <f>'Average Validator'!X86</f>
        <v>0.05822282152</v>
      </c>
      <c r="E17" s="14">
        <f>'Average Validator'!Y86</f>
        <v>0.06609077037</v>
      </c>
      <c r="F17" s="14">
        <f>'Average Validator'!Z86</f>
        <v>0.07395871923</v>
      </c>
      <c r="G17" s="14">
        <f>'Average Validator'!AA86</f>
        <v>0.08182666808</v>
      </c>
      <c r="H17" s="14">
        <f>'Average Validator'!AB86</f>
        <v>0.08969461693</v>
      </c>
      <c r="I17" s="120">
        <f>'Average Validator'!AC86</f>
        <v>0.09756256579</v>
      </c>
      <c r="J17" s="51"/>
      <c r="K17" s="110"/>
      <c r="L17" s="93">
        <f t="shared" si="4"/>
        <v>8500000</v>
      </c>
      <c r="M17" s="400">
        <v>0.021272041945680067</v>
      </c>
      <c r="N17" s="51">
        <v>0.02912666258058836</v>
      </c>
      <c r="O17" s="51">
        <v>0.03698128321549665</v>
      </c>
      <c r="P17" s="51">
        <v>0.04483590385040494</v>
      </c>
      <c r="Q17" s="51">
        <v>0.05269052448531322</v>
      </c>
      <c r="R17" s="51">
        <v>0.0605451451202215</v>
      </c>
      <c r="S17" s="150">
        <v>0.06839976575512977</v>
      </c>
      <c r="AA17" s="177"/>
      <c r="AB17" s="178"/>
      <c r="AC17" s="178"/>
      <c r="AD17" s="178"/>
      <c r="AE17" s="178"/>
      <c r="AF17" s="178"/>
      <c r="AG17" s="178"/>
      <c r="AH17" s="178"/>
      <c r="AI17" s="178"/>
      <c r="AJ17" s="178"/>
      <c r="AK17" s="178"/>
      <c r="AL17" s="178"/>
      <c r="AM17" s="178"/>
      <c r="AN17" s="178"/>
      <c r="AO17" s="178"/>
      <c r="AP17" s="178"/>
      <c r="AQ17" s="178"/>
      <c r="AR17" s="178"/>
      <c r="AS17" s="178"/>
      <c r="AT17" s="178"/>
      <c r="AU17" s="178"/>
      <c r="AV17" s="178"/>
      <c r="AW17" s="178"/>
      <c r="AX17" s="178"/>
      <c r="AY17" s="178"/>
      <c r="AZ17" s="178"/>
      <c r="BA17" s="178"/>
      <c r="BB17" s="178"/>
      <c r="BC17" s="178"/>
    </row>
    <row r="18">
      <c r="A18" s="110"/>
      <c r="B18" s="93">
        <f t="shared" si="3"/>
        <v>9000000</v>
      </c>
      <c r="C18" s="288">
        <f>'Average Validator'!W87</f>
        <v>0.04893614003</v>
      </c>
      <c r="D18" s="14">
        <f>'Average Validator'!X87</f>
        <v>0.05658241191</v>
      </c>
      <c r="E18" s="14">
        <f>'Average Validator'!Y87</f>
        <v>0.06422868379</v>
      </c>
      <c r="F18" s="14">
        <f>'Average Validator'!Z87</f>
        <v>0.07187495567</v>
      </c>
      <c r="G18" s="14">
        <f>'Average Validator'!AA87</f>
        <v>0.07952122755</v>
      </c>
      <c r="H18" s="14">
        <f>'Average Validator'!AB87</f>
        <v>0.08716749943</v>
      </c>
      <c r="I18" s="120">
        <f>'Average Validator'!AC87</f>
        <v>0.09481377131</v>
      </c>
      <c r="J18" s="51"/>
      <c r="K18" s="110"/>
      <c r="L18" s="93">
        <f t="shared" si="4"/>
        <v>9000000</v>
      </c>
      <c r="M18" s="400">
        <v>0.0198557126283038</v>
      </c>
      <c r="N18" s="51">
        <v>0.027489031807372045</v>
      </c>
      <c r="O18" s="51">
        <v>0.035122350986440294</v>
      </c>
      <c r="P18" s="51">
        <v>0.04275567016550853</v>
      </c>
      <c r="Q18" s="51">
        <v>0.05038898934457678</v>
      </c>
      <c r="R18" s="51">
        <v>0.05802230852364501</v>
      </c>
      <c r="S18" s="150">
        <v>0.06565562770271324</v>
      </c>
      <c r="AA18" s="177"/>
      <c r="AB18" s="178"/>
      <c r="AC18" s="178"/>
      <c r="AD18" s="178"/>
      <c r="AE18" s="178"/>
      <c r="AF18" s="178"/>
      <c r="AG18" s="178"/>
      <c r="AH18" s="178"/>
      <c r="AI18" s="178"/>
      <c r="AJ18" s="178"/>
      <c r="AK18" s="178"/>
      <c r="AL18" s="178"/>
      <c r="AM18" s="178"/>
      <c r="AN18" s="178"/>
      <c r="AO18" s="178"/>
      <c r="AP18" s="178"/>
      <c r="AQ18" s="178"/>
      <c r="AR18" s="178"/>
      <c r="AS18" s="178"/>
      <c r="AT18" s="178"/>
      <c r="AU18" s="178"/>
      <c r="AV18" s="178"/>
      <c r="AW18" s="178"/>
      <c r="AX18" s="178"/>
      <c r="AY18" s="178"/>
      <c r="AZ18" s="178"/>
      <c r="BA18" s="178"/>
      <c r="BB18" s="178"/>
      <c r="BC18" s="178"/>
    </row>
    <row r="19">
      <c r="A19" s="110"/>
      <c r="B19" s="93">
        <f t="shared" si="3"/>
        <v>9500000</v>
      </c>
      <c r="C19" s="288">
        <f>'Average Validator'!W88</f>
        <v>0.04763094108</v>
      </c>
      <c r="D19" s="14">
        <f>'Average Validator'!X88</f>
        <v>0.05507327563</v>
      </c>
      <c r="E19" s="14">
        <f>'Average Validator'!Y88</f>
        <v>0.06251561017</v>
      </c>
      <c r="F19" s="14">
        <f>'Average Validator'!Z88</f>
        <v>0.06995794471</v>
      </c>
      <c r="G19" s="14">
        <f>'Average Validator'!AA88</f>
        <v>0.07740027926</v>
      </c>
      <c r="H19" s="14">
        <f>'Average Validator'!AB88</f>
        <v>0.0848426138</v>
      </c>
      <c r="I19" s="120">
        <f>'Average Validator'!AC88</f>
        <v>0.09228494835</v>
      </c>
      <c r="J19" s="51"/>
      <c r="K19" s="110"/>
      <c r="L19" s="93">
        <f t="shared" si="4"/>
        <v>9500000</v>
      </c>
      <c r="M19" s="400">
        <v>0.018552724672916236</v>
      </c>
      <c r="N19" s="51">
        <v>0.02598245198395519</v>
      </c>
      <c r="O19" s="51">
        <v>0.033412179294994106</v>
      </c>
      <c r="P19" s="51">
        <v>0.04084190660603305</v>
      </c>
      <c r="Q19" s="51">
        <v>0.04827163391707199</v>
      </c>
      <c r="R19" s="51">
        <v>0.05570136122811092</v>
      </c>
      <c r="S19" s="150">
        <v>0.06313108853914987</v>
      </c>
      <c r="AA19" s="177"/>
      <c r="AB19" s="178"/>
      <c r="AC19" s="178"/>
      <c r="AD19" s="178"/>
      <c r="AE19" s="178"/>
      <c r="AF19" s="178"/>
      <c r="AG19" s="178"/>
      <c r="AH19" s="178"/>
      <c r="AI19" s="178"/>
      <c r="AJ19" s="178"/>
      <c r="AK19" s="178"/>
      <c r="AL19" s="178"/>
      <c r="AM19" s="178"/>
      <c r="AN19" s="178"/>
      <c r="AO19" s="178"/>
      <c r="AP19" s="178"/>
      <c r="AQ19" s="178"/>
      <c r="AR19" s="178"/>
      <c r="AS19" s="178"/>
      <c r="AT19" s="178"/>
      <c r="AU19" s="178"/>
      <c r="AV19" s="178"/>
      <c r="AW19" s="178"/>
      <c r="AX19" s="178"/>
      <c r="AY19" s="178"/>
      <c r="AZ19" s="178"/>
      <c r="BA19" s="178"/>
      <c r="BB19" s="178"/>
      <c r="BC19" s="178"/>
    </row>
    <row r="20">
      <c r="A20" s="146"/>
      <c r="B20" s="156">
        <f t="shared" si="3"/>
        <v>10000000</v>
      </c>
      <c r="C20" s="404">
        <f>'Average Validator'!W89</f>
        <v>0.04642489872</v>
      </c>
      <c r="D20" s="296">
        <f>'Average Validator'!X89</f>
        <v>0.05367878914</v>
      </c>
      <c r="E20" s="296">
        <f>'Average Validator'!Y89</f>
        <v>0.06093267957</v>
      </c>
      <c r="F20" s="296">
        <f>'Average Validator'!Z89</f>
        <v>0.06818656999</v>
      </c>
      <c r="G20" s="296">
        <f>'Average Validator'!AA89</f>
        <v>0.07544046042</v>
      </c>
      <c r="H20" s="296">
        <f>'Average Validator'!AB89</f>
        <v>0.08269435084</v>
      </c>
      <c r="I20" s="297">
        <f>'Average Validator'!AC89</f>
        <v>0.08994824126</v>
      </c>
      <c r="J20" s="51"/>
      <c r="K20" s="146"/>
      <c r="L20" s="156">
        <f t="shared" si="4"/>
        <v>10000000</v>
      </c>
      <c r="M20" s="465">
        <v>0.01734872533103955</v>
      </c>
      <c r="N20" s="457">
        <v>0.02459032774491024</v>
      </c>
      <c r="O20" s="457">
        <v>0.03183193015878095</v>
      </c>
      <c r="P20" s="457">
        <v>0.039073532572651656</v>
      </c>
      <c r="Q20" s="457">
        <v>0.04631513498652234</v>
      </c>
      <c r="R20" s="457">
        <v>0.05355673740039307</v>
      </c>
      <c r="S20" s="458">
        <v>0.06079833981426375</v>
      </c>
      <c r="AA20" s="177"/>
      <c r="AB20" s="178"/>
      <c r="AC20" s="178"/>
      <c r="AD20" s="178"/>
      <c r="AE20" s="178"/>
      <c r="AF20" s="178"/>
      <c r="AG20" s="178"/>
      <c r="AH20" s="178"/>
      <c r="AI20" s="178"/>
      <c r="AJ20" s="178"/>
      <c r="AK20" s="178"/>
      <c r="AL20" s="178"/>
      <c r="AM20" s="178"/>
      <c r="AN20" s="178"/>
      <c r="AO20" s="178"/>
      <c r="AP20" s="178"/>
      <c r="AQ20" s="178"/>
      <c r="AR20" s="178"/>
      <c r="AS20" s="178"/>
      <c r="AT20" s="178"/>
      <c r="AU20" s="178"/>
      <c r="AV20" s="178"/>
      <c r="AW20" s="178"/>
      <c r="AX20" s="178"/>
      <c r="AY20" s="178"/>
      <c r="AZ20" s="178"/>
      <c r="BA20" s="178"/>
      <c r="BB20" s="178"/>
      <c r="BC20" s="178"/>
    </row>
    <row r="21">
      <c r="AO21" s="23"/>
      <c r="AP21" s="23"/>
      <c r="AQ21" s="23"/>
      <c r="AR21" s="23"/>
      <c r="AS21" s="23"/>
      <c r="AT21" s="23"/>
      <c r="AU21" s="23"/>
      <c r="AV21" s="23"/>
      <c r="AW21" s="23"/>
      <c r="AX21" s="23"/>
      <c r="AY21" s="23"/>
      <c r="AZ21" s="23"/>
      <c r="BA21" s="23"/>
      <c r="BB21" s="23"/>
      <c r="BC21" s="23"/>
    </row>
    <row r="22">
      <c r="A22" s="70" t="s">
        <v>88</v>
      </c>
      <c r="B22" s="71"/>
      <c r="C22" s="71"/>
      <c r="D22" s="71"/>
      <c r="E22" s="71"/>
      <c r="F22" s="71"/>
      <c r="G22" s="71"/>
      <c r="H22" s="71"/>
      <c r="I22" s="18"/>
      <c r="J22" s="23"/>
      <c r="K22" s="467"/>
      <c r="L22" s="23"/>
      <c r="M22" s="23"/>
      <c r="N22" s="23"/>
      <c r="O22" s="23"/>
      <c r="P22" s="23"/>
      <c r="Q22" s="23"/>
      <c r="R22" s="23"/>
      <c r="S22" s="23"/>
      <c r="Z22" s="469"/>
      <c r="AA22" s="173"/>
      <c r="AB22" s="172"/>
      <c r="AC22" s="172"/>
      <c r="AD22" s="173"/>
      <c r="AE22" s="216"/>
      <c r="AF22" s="172"/>
      <c r="AG22" s="172"/>
      <c r="AH22" s="172"/>
      <c r="AI22" s="172"/>
      <c r="AJ22" s="172"/>
      <c r="AK22" s="172"/>
      <c r="AL22" s="172"/>
      <c r="AM22" s="172"/>
      <c r="AN22" s="172"/>
      <c r="AO22" s="172"/>
      <c r="AP22" s="172"/>
      <c r="AQ22" s="172"/>
      <c r="AR22" s="172"/>
      <c r="AS22" s="172"/>
      <c r="AT22" s="172"/>
      <c r="AU22" s="172"/>
      <c r="AV22" s="172"/>
      <c r="AW22" s="172"/>
      <c r="AX22" s="172"/>
      <c r="AY22" s="172"/>
      <c r="AZ22" s="172"/>
      <c r="BA22" s="172"/>
      <c r="BB22" s="172"/>
      <c r="BC22" s="172"/>
    </row>
    <row r="23">
      <c r="A23" s="77" t="s">
        <v>57</v>
      </c>
      <c r="I23" s="78"/>
      <c r="J23" s="87"/>
      <c r="K23" s="87"/>
      <c r="Z23" s="151"/>
      <c r="AA23" s="173"/>
      <c r="AB23" s="172"/>
      <c r="AC23" s="172"/>
      <c r="AD23" s="470"/>
      <c r="AO23" s="470"/>
      <c r="AP23" s="470"/>
      <c r="AQ23" s="470"/>
      <c r="AR23" s="470"/>
      <c r="AS23" s="470"/>
      <c r="AT23" s="470"/>
      <c r="AU23" s="470"/>
      <c r="AV23" s="470"/>
      <c r="AW23" s="470"/>
      <c r="AX23" s="470"/>
      <c r="AY23" s="470"/>
      <c r="AZ23" s="470"/>
      <c r="BA23" s="470"/>
      <c r="BB23" s="470"/>
      <c r="BC23" s="470"/>
    </row>
    <row r="24">
      <c r="A24" s="90"/>
      <c r="B24" s="91">
        <f>$F$13</f>
        <v>0.08457503111</v>
      </c>
      <c r="C24" s="240">
        <v>64.0</v>
      </c>
      <c r="D24" s="241">
        <f t="shared" ref="D24:I24" si="5">C24+10</f>
        <v>74</v>
      </c>
      <c r="E24" s="241">
        <f t="shared" si="5"/>
        <v>84</v>
      </c>
      <c r="F24" s="241">
        <f t="shared" si="5"/>
        <v>94</v>
      </c>
      <c r="G24" s="241">
        <f t="shared" si="5"/>
        <v>104</v>
      </c>
      <c r="H24" s="241">
        <f t="shared" si="5"/>
        <v>114</v>
      </c>
      <c r="I24" s="242">
        <f t="shared" si="5"/>
        <v>124</v>
      </c>
      <c r="J24" s="177"/>
      <c r="K24" s="225"/>
      <c r="L24" s="466"/>
      <c r="M24" s="115"/>
      <c r="N24" s="177"/>
      <c r="O24" s="177"/>
      <c r="P24" s="177"/>
      <c r="Q24" s="177"/>
      <c r="R24" s="177"/>
      <c r="S24" s="177"/>
      <c r="Z24" s="173"/>
      <c r="AA24" s="219"/>
      <c r="AB24" s="471"/>
      <c r="AC24" s="471"/>
      <c r="AD24" s="471"/>
      <c r="AE24" s="471"/>
      <c r="AF24" s="471"/>
      <c r="AG24" s="471"/>
      <c r="AH24" s="471"/>
      <c r="AI24" s="471"/>
      <c r="AJ24" s="471"/>
      <c r="AK24" s="471"/>
      <c r="AL24" s="471"/>
      <c r="AM24" s="471"/>
      <c r="AN24" s="471"/>
      <c r="AO24" s="471"/>
      <c r="AP24" s="471"/>
      <c r="AQ24" s="471"/>
      <c r="AR24" s="471"/>
      <c r="AS24" s="471"/>
      <c r="AT24" s="471"/>
      <c r="AU24" s="471"/>
      <c r="AV24" s="471"/>
      <c r="AW24" s="471"/>
      <c r="AX24" s="471"/>
      <c r="AY24" s="471"/>
      <c r="AZ24" s="471"/>
      <c r="BA24" s="471"/>
      <c r="BB24" s="471"/>
      <c r="BC24" s="471"/>
    </row>
    <row r="25">
      <c r="A25" s="102" t="s">
        <v>66</v>
      </c>
      <c r="B25" s="103">
        <v>2000000.0</v>
      </c>
      <c r="C25" s="248">
        <f>'Average Validator'!W116</f>
        <v>0.001590784378</v>
      </c>
      <c r="D25" s="249">
        <f>'Average Validator'!X116</f>
        <v>0.001839344437</v>
      </c>
      <c r="E25" s="249">
        <f>'Average Validator'!Y116</f>
        <v>0.002087904496</v>
      </c>
      <c r="F25" s="249">
        <f>'Average Validator'!Z116</f>
        <v>0.002336464555</v>
      </c>
      <c r="G25" s="249">
        <f>'Average Validator'!AA116</f>
        <v>0.002585024614</v>
      </c>
      <c r="H25" s="249">
        <f>'Average Validator'!AB116</f>
        <v>0.002833584673</v>
      </c>
      <c r="I25" s="250">
        <f>'Average Validator'!AC116</f>
        <v>0.003082144732</v>
      </c>
      <c r="J25" s="178"/>
      <c r="K25" s="176"/>
      <c r="L25" s="115"/>
      <c r="M25" s="178"/>
      <c r="N25" s="178"/>
      <c r="O25" s="178"/>
      <c r="P25" s="178"/>
      <c r="Q25" s="178"/>
      <c r="R25" s="178"/>
      <c r="S25" s="178"/>
      <c r="Z25" s="176"/>
      <c r="AA25" s="174"/>
      <c r="AB25" s="267"/>
      <c r="AC25" s="267"/>
      <c r="AD25" s="267"/>
      <c r="AE25" s="267"/>
      <c r="AF25" s="267"/>
      <c r="AG25" s="267"/>
      <c r="AH25" s="267"/>
      <c r="AI25" s="267"/>
      <c r="AJ25" s="267"/>
      <c r="AK25" s="267"/>
      <c r="AL25" s="267"/>
      <c r="AM25" s="267"/>
      <c r="AN25" s="267"/>
      <c r="AO25" s="267"/>
      <c r="AP25" s="267"/>
      <c r="AQ25" s="267"/>
      <c r="AR25" s="267"/>
      <c r="AS25" s="267"/>
      <c r="AT25" s="267"/>
      <c r="AU25" s="267"/>
      <c r="AV25" s="267"/>
      <c r="AW25" s="267"/>
      <c r="AX25" s="267"/>
      <c r="AY25" s="267"/>
      <c r="AZ25" s="267"/>
      <c r="BA25" s="267"/>
      <c r="BB25" s="267"/>
      <c r="BC25" s="267"/>
    </row>
    <row r="26">
      <c r="A26" s="110"/>
      <c r="B26" s="93">
        <f t="shared" ref="B26:B41" si="6">B25+500000</f>
        <v>2500000</v>
      </c>
      <c r="C26" s="248">
        <f>'Average Validator'!W117</f>
        <v>0.001778551003</v>
      </c>
      <c r="D26" s="249">
        <f>'Average Validator'!X117</f>
        <v>0.002056449598</v>
      </c>
      <c r="E26" s="249">
        <f>'Average Validator'!Y117</f>
        <v>0.002334348192</v>
      </c>
      <c r="F26" s="249">
        <f>'Average Validator'!Z117</f>
        <v>0.002612246786</v>
      </c>
      <c r="G26" s="249">
        <f>'Average Validator'!AA117</f>
        <v>0.00289014538</v>
      </c>
      <c r="H26" s="249">
        <f>'Average Validator'!AB117</f>
        <v>0.003168043975</v>
      </c>
      <c r="I26" s="250">
        <f>'Average Validator'!AC117</f>
        <v>0.003445942569</v>
      </c>
      <c r="J26" s="178"/>
      <c r="L26" s="177"/>
      <c r="M26" s="178"/>
      <c r="N26" s="178"/>
      <c r="O26" s="178"/>
      <c r="P26" s="178"/>
      <c r="Q26" s="178"/>
      <c r="R26" s="178"/>
      <c r="S26" s="178"/>
      <c r="AA26" s="174"/>
      <c r="AB26" s="267"/>
      <c r="AC26" s="267"/>
      <c r="AD26" s="267"/>
      <c r="AE26" s="267"/>
      <c r="AF26" s="267"/>
      <c r="AG26" s="267"/>
      <c r="AH26" s="267"/>
      <c r="AI26" s="267"/>
      <c r="AJ26" s="267"/>
      <c r="AK26" s="267"/>
      <c r="AL26" s="267"/>
      <c r="AM26" s="267"/>
      <c r="AN26" s="267"/>
      <c r="AO26" s="267"/>
      <c r="AP26" s="267"/>
      <c r="AQ26" s="267"/>
      <c r="AR26" s="267"/>
      <c r="AS26" s="267"/>
      <c r="AT26" s="267"/>
      <c r="AU26" s="267"/>
      <c r="AV26" s="267"/>
      <c r="AW26" s="267"/>
      <c r="AX26" s="267"/>
      <c r="AY26" s="267"/>
      <c r="AZ26" s="267"/>
      <c r="BA26" s="267"/>
      <c r="BB26" s="267"/>
      <c r="BC26" s="267"/>
    </row>
    <row r="27">
      <c r="A27" s="110"/>
      <c r="B27" s="93">
        <f t="shared" si="6"/>
        <v>3000000</v>
      </c>
      <c r="C27" s="248">
        <f>'Average Validator'!W118</f>
        <v>0.001948305008</v>
      </c>
      <c r="D27" s="249">
        <f>'Average Validator'!X118</f>
        <v>0.002252727666</v>
      </c>
      <c r="E27" s="249">
        <f>'Average Validator'!Y118</f>
        <v>0.002557150324</v>
      </c>
      <c r="F27" s="249">
        <f>'Average Validator'!Z118</f>
        <v>0.002861572981</v>
      </c>
      <c r="G27" s="249">
        <f>'Average Validator'!AA118</f>
        <v>0.003165995639</v>
      </c>
      <c r="H27" s="249">
        <f>'Average Validator'!AB118</f>
        <v>0.003470418296</v>
      </c>
      <c r="I27" s="250">
        <f>'Average Validator'!AC118</f>
        <v>0.003774840954</v>
      </c>
      <c r="J27" s="178"/>
      <c r="L27" s="177"/>
      <c r="M27" s="178"/>
      <c r="N27" s="178"/>
      <c r="O27" s="178"/>
      <c r="P27" s="178"/>
      <c r="Q27" s="178"/>
      <c r="R27" s="178"/>
      <c r="S27" s="178"/>
      <c r="AA27" s="174"/>
      <c r="AB27" s="267"/>
      <c r="AC27" s="267"/>
      <c r="AD27" s="267"/>
      <c r="AE27" s="267"/>
      <c r="AF27" s="267"/>
      <c r="AG27" s="267"/>
      <c r="AH27" s="267"/>
      <c r="AI27" s="267"/>
      <c r="AJ27" s="267"/>
      <c r="AK27" s="267"/>
      <c r="AL27" s="267"/>
      <c r="AM27" s="267"/>
      <c r="AN27" s="267"/>
      <c r="AO27" s="267"/>
      <c r="AP27" s="267"/>
      <c r="AQ27" s="267"/>
      <c r="AR27" s="267"/>
      <c r="AS27" s="267"/>
      <c r="AT27" s="267"/>
      <c r="AU27" s="267"/>
      <c r="AV27" s="267"/>
      <c r="AW27" s="267"/>
      <c r="AX27" s="267"/>
      <c r="AY27" s="267"/>
      <c r="AZ27" s="267"/>
      <c r="BA27" s="267"/>
      <c r="BB27" s="267"/>
      <c r="BC27" s="267"/>
    </row>
    <row r="28">
      <c r="A28" s="110"/>
      <c r="B28" s="93">
        <f t="shared" si="6"/>
        <v>3500000</v>
      </c>
      <c r="C28" s="248">
        <f>'Average Validator'!W119</f>
        <v>0.002104409927</v>
      </c>
      <c r="D28" s="249">
        <f>'Average Validator'!X119</f>
        <v>0.002433223978</v>
      </c>
      <c r="E28" s="249">
        <f>'Average Validator'!Y119</f>
        <v>0.002762038029</v>
      </c>
      <c r="F28" s="249">
        <f>'Average Validator'!Z119</f>
        <v>0.00309085208</v>
      </c>
      <c r="G28" s="249">
        <f>'Average Validator'!AA119</f>
        <v>0.003419666131</v>
      </c>
      <c r="H28" s="249">
        <f>'Average Validator'!AB119</f>
        <v>0.003748480182</v>
      </c>
      <c r="I28" s="250">
        <f>'Average Validator'!AC119</f>
        <v>0.004077294233</v>
      </c>
      <c r="J28" s="178"/>
      <c r="L28" s="177"/>
      <c r="M28" s="178"/>
      <c r="N28" s="178"/>
      <c r="O28" s="178"/>
      <c r="P28" s="178"/>
      <c r="Q28" s="178"/>
      <c r="R28" s="178"/>
      <c r="S28" s="178"/>
      <c r="AA28" s="174"/>
      <c r="AB28" s="267"/>
      <c r="AC28" s="267"/>
      <c r="AD28" s="267"/>
      <c r="AE28" s="267"/>
      <c r="AF28" s="267"/>
      <c r="AG28" s="267"/>
      <c r="AH28" s="267"/>
      <c r="AI28" s="267"/>
      <c r="AJ28" s="267"/>
      <c r="AK28" s="267"/>
      <c r="AL28" s="267"/>
      <c r="AM28" s="267"/>
      <c r="AN28" s="267"/>
      <c r="AO28" s="267"/>
      <c r="AP28" s="267"/>
      <c r="AQ28" s="267"/>
      <c r="AR28" s="267"/>
      <c r="AS28" s="267"/>
      <c r="AT28" s="267"/>
      <c r="AU28" s="267"/>
      <c r="AV28" s="267"/>
      <c r="AW28" s="267"/>
      <c r="AX28" s="267"/>
      <c r="AY28" s="267"/>
      <c r="AZ28" s="267"/>
      <c r="BA28" s="267"/>
      <c r="BB28" s="267"/>
      <c r="BC28" s="267"/>
    </row>
    <row r="29">
      <c r="A29" s="110"/>
      <c r="B29" s="93">
        <f t="shared" si="6"/>
        <v>4000000</v>
      </c>
      <c r="C29" s="248">
        <f>'Average Validator'!W120</f>
        <v>0.002249708842</v>
      </c>
      <c r="D29" s="249">
        <f>'Average Validator'!X120</f>
        <v>0.002601225849</v>
      </c>
      <c r="E29" s="249">
        <f>'Average Validator'!Y120</f>
        <v>0.002952742855</v>
      </c>
      <c r="F29" s="249">
        <f>'Average Validator'!Z120</f>
        <v>0.003304259862</v>
      </c>
      <c r="G29" s="249">
        <f>'Average Validator'!AA120</f>
        <v>0.003655776868</v>
      </c>
      <c r="H29" s="249">
        <f>'Average Validator'!AB120</f>
        <v>0.004007293875</v>
      </c>
      <c r="I29" s="250">
        <f>'Average Validator'!AC120</f>
        <v>0.004358810882</v>
      </c>
      <c r="J29" s="178"/>
      <c r="L29" s="177"/>
      <c r="M29" s="178"/>
      <c r="N29" s="178"/>
      <c r="O29" s="178"/>
      <c r="P29" s="178"/>
      <c r="Q29" s="178"/>
      <c r="R29" s="178"/>
      <c r="S29" s="178"/>
      <c r="AA29" s="174"/>
      <c r="AB29" s="267"/>
      <c r="AC29" s="267"/>
      <c r="AD29" s="267"/>
      <c r="AE29" s="267"/>
      <c r="AF29" s="267"/>
      <c r="AG29" s="267"/>
      <c r="AH29" s="267"/>
      <c r="AI29" s="267"/>
      <c r="AJ29" s="267"/>
      <c r="AK29" s="267"/>
      <c r="AL29" s="267"/>
      <c r="AM29" s="267"/>
      <c r="AN29" s="267"/>
      <c r="AO29" s="267"/>
      <c r="AP29" s="267"/>
      <c r="AQ29" s="267"/>
      <c r="AR29" s="267"/>
      <c r="AS29" s="267"/>
      <c r="AT29" s="267"/>
      <c r="AU29" s="267"/>
      <c r="AV29" s="267"/>
      <c r="AW29" s="267"/>
      <c r="AX29" s="267"/>
      <c r="AY29" s="267"/>
      <c r="AZ29" s="267"/>
      <c r="BA29" s="267"/>
      <c r="BB29" s="267"/>
      <c r="BC29" s="267"/>
    </row>
    <row r="30">
      <c r="A30" s="110"/>
      <c r="B30" s="93">
        <f t="shared" si="6"/>
        <v>4500000</v>
      </c>
      <c r="C30" s="248">
        <f>'Average Validator'!W121</f>
        <v>0.002386176567</v>
      </c>
      <c r="D30" s="249">
        <f>'Average Validator'!X121</f>
        <v>0.002759016656</v>
      </c>
      <c r="E30" s="249">
        <f>'Average Validator'!Y121</f>
        <v>0.003131856744</v>
      </c>
      <c r="F30" s="249">
        <f>'Average Validator'!Z121</f>
        <v>0.003504696833</v>
      </c>
      <c r="G30" s="249">
        <f>'Average Validator'!AA121</f>
        <v>0.003877536921</v>
      </c>
      <c r="H30" s="249">
        <f>'Average Validator'!AB121</f>
        <v>0.00425037701</v>
      </c>
      <c r="I30" s="250">
        <f>'Average Validator'!AC121</f>
        <v>0.004623217098</v>
      </c>
      <c r="J30" s="178"/>
      <c r="L30" s="177"/>
      <c r="M30" s="178"/>
      <c r="N30" s="178"/>
      <c r="O30" s="178"/>
      <c r="P30" s="178"/>
      <c r="Q30" s="178"/>
      <c r="R30" s="178"/>
      <c r="S30" s="178"/>
      <c r="AA30" s="174"/>
      <c r="AB30" s="267"/>
      <c r="AC30" s="267"/>
      <c r="AD30" s="267"/>
      <c r="AE30" s="267"/>
      <c r="AF30" s="267"/>
      <c r="AG30" s="267"/>
      <c r="AH30" s="267"/>
      <c r="AI30" s="267"/>
      <c r="AJ30" s="267"/>
      <c r="AK30" s="267"/>
      <c r="AL30" s="267"/>
      <c r="AM30" s="267"/>
      <c r="AN30" s="267"/>
      <c r="AO30" s="267"/>
      <c r="AP30" s="267"/>
      <c r="AQ30" s="267"/>
      <c r="AR30" s="267"/>
      <c r="AS30" s="267"/>
      <c r="AT30" s="267"/>
      <c r="AU30" s="267"/>
      <c r="AV30" s="267"/>
      <c r="AW30" s="267"/>
      <c r="AX30" s="267"/>
      <c r="AY30" s="267"/>
      <c r="AZ30" s="267"/>
      <c r="BA30" s="267"/>
      <c r="BB30" s="267"/>
      <c r="BC30" s="267"/>
    </row>
    <row r="31">
      <c r="A31" s="110"/>
      <c r="B31" s="93">
        <f t="shared" si="6"/>
        <v>5000000</v>
      </c>
      <c r="C31" s="248">
        <f>'Average Validator'!W122</f>
        <v>0.00251525095</v>
      </c>
      <c r="D31" s="249">
        <f>'Average Validator'!X122</f>
        <v>0.002908258911</v>
      </c>
      <c r="E31" s="249">
        <f>'Average Validator'!Y122</f>
        <v>0.003301266872</v>
      </c>
      <c r="F31" s="249">
        <f>'Average Validator'!Z122</f>
        <v>0.003694274833</v>
      </c>
      <c r="G31" s="249">
        <f>'Average Validator'!AA122</f>
        <v>0.004087282794</v>
      </c>
      <c r="H31" s="249">
        <f>'Average Validator'!AB122</f>
        <v>0.004480290755</v>
      </c>
      <c r="I31" s="250">
        <f>'Average Validator'!AC122</f>
        <v>0.004873298716</v>
      </c>
      <c r="J31" s="178"/>
      <c r="L31" s="177"/>
      <c r="M31" s="178"/>
      <c r="N31" s="178"/>
      <c r="O31" s="178"/>
      <c r="P31" s="178"/>
      <c r="Q31" s="178"/>
      <c r="R31" s="178"/>
      <c r="S31" s="178"/>
      <c r="AA31" s="174"/>
      <c r="AB31" s="267"/>
      <c r="AC31" s="267"/>
      <c r="AD31" s="267"/>
      <c r="AE31" s="267"/>
      <c r="AF31" s="267"/>
      <c r="AG31" s="267"/>
      <c r="AH31" s="267"/>
      <c r="AI31" s="267"/>
      <c r="AJ31" s="267"/>
      <c r="AK31" s="267"/>
      <c r="AL31" s="267"/>
      <c r="AM31" s="267"/>
      <c r="AN31" s="267"/>
      <c r="AO31" s="267"/>
      <c r="AP31" s="267"/>
      <c r="AQ31" s="267"/>
      <c r="AR31" s="267"/>
      <c r="AS31" s="267"/>
      <c r="AT31" s="267"/>
      <c r="AU31" s="267"/>
      <c r="AV31" s="267"/>
      <c r="AW31" s="267"/>
      <c r="AX31" s="267"/>
      <c r="AY31" s="267"/>
      <c r="AZ31" s="267"/>
      <c r="BA31" s="267"/>
      <c r="BB31" s="267"/>
      <c r="BC31" s="267"/>
    </row>
    <row r="32">
      <c r="A32" s="110"/>
      <c r="B32" s="93">
        <f t="shared" si="6"/>
        <v>5500000</v>
      </c>
      <c r="C32" s="248">
        <f>'Average Validator'!W123</f>
        <v>0.002638017452</v>
      </c>
      <c r="D32" s="249">
        <f>'Average Validator'!X123</f>
        <v>0.003050207679</v>
      </c>
      <c r="E32" s="249">
        <f>'Average Validator'!Y123</f>
        <v>0.003462397906</v>
      </c>
      <c r="F32" s="249">
        <f>'Average Validator'!Z123</f>
        <v>0.003874588133</v>
      </c>
      <c r="G32" s="249">
        <f>'Average Validator'!AA123</f>
        <v>0.00428677836</v>
      </c>
      <c r="H32" s="249">
        <f>'Average Validator'!AB123</f>
        <v>0.004698968586</v>
      </c>
      <c r="I32" s="250">
        <f>'Average Validator'!AC123</f>
        <v>0.005111158813</v>
      </c>
      <c r="J32" s="178"/>
      <c r="L32" s="177"/>
      <c r="M32" s="178"/>
      <c r="N32" s="178"/>
      <c r="O32" s="178"/>
      <c r="P32" s="178"/>
      <c r="Q32" s="178"/>
      <c r="R32" s="178"/>
      <c r="S32" s="178"/>
      <c r="AA32" s="174"/>
      <c r="AB32" s="267"/>
      <c r="AC32" s="267"/>
      <c r="AD32" s="267"/>
      <c r="AE32" s="267"/>
      <c r="AF32" s="267"/>
      <c r="AG32" s="267"/>
      <c r="AH32" s="267"/>
      <c r="AI32" s="267"/>
      <c r="AJ32" s="267"/>
      <c r="AK32" s="267"/>
      <c r="AL32" s="267"/>
      <c r="AM32" s="267"/>
      <c r="AN32" s="267"/>
      <c r="AO32" s="267"/>
      <c r="AP32" s="267"/>
      <c r="AQ32" s="267"/>
      <c r="AR32" s="267"/>
      <c r="AS32" s="267"/>
      <c r="AT32" s="267"/>
      <c r="AU32" s="267"/>
      <c r="AV32" s="267"/>
      <c r="AW32" s="267"/>
      <c r="AX32" s="267"/>
      <c r="AY32" s="267"/>
      <c r="AZ32" s="267"/>
      <c r="BA32" s="267"/>
      <c r="BB32" s="267"/>
      <c r="BC32" s="267"/>
    </row>
    <row r="33">
      <c r="A33" s="110"/>
      <c r="B33" s="93">
        <f t="shared" si="6"/>
        <v>6000000</v>
      </c>
      <c r="C33" s="248">
        <f>'Average Validator'!W124</f>
        <v>0.002755319367</v>
      </c>
      <c r="D33" s="249">
        <f>'Average Validator'!X124</f>
        <v>0.003185838018</v>
      </c>
      <c r="E33" s="249">
        <f>'Average Validator'!Y124</f>
        <v>0.003616356669</v>
      </c>
      <c r="F33" s="249">
        <f>'Average Validator'!Z124</f>
        <v>0.00404687532</v>
      </c>
      <c r="G33" s="249">
        <f>'Average Validator'!AA124</f>
        <v>0.004477393971</v>
      </c>
      <c r="H33" s="249">
        <f>'Average Validator'!AB124</f>
        <v>0.004907912622</v>
      </c>
      <c r="I33" s="250">
        <f>'Average Validator'!AC124</f>
        <v>0.005338431273</v>
      </c>
      <c r="J33" s="178"/>
      <c r="L33" s="177"/>
      <c r="M33" s="178"/>
      <c r="N33" s="178"/>
      <c r="O33" s="178"/>
      <c r="P33" s="178"/>
      <c r="Q33" s="178"/>
      <c r="R33" s="178"/>
      <c r="S33" s="178"/>
      <c r="AA33" s="174"/>
      <c r="AB33" s="267"/>
      <c r="AC33" s="267"/>
      <c r="AD33" s="267"/>
      <c r="AE33" s="267"/>
      <c r="AF33" s="267"/>
      <c r="AG33" s="267"/>
      <c r="AH33" s="267"/>
      <c r="AI33" s="267"/>
      <c r="AJ33" s="267"/>
      <c r="AK33" s="267"/>
      <c r="AL33" s="267"/>
      <c r="AM33" s="267"/>
      <c r="AN33" s="267"/>
      <c r="AO33" s="267"/>
      <c r="AP33" s="267"/>
      <c r="AQ33" s="267"/>
      <c r="AR33" s="267"/>
      <c r="AS33" s="267"/>
      <c r="AT33" s="267"/>
      <c r="AU33" s="267"/>
      <c r="AV33" s="267"/>
      <c r="AW33" s="267"/>
      <c r="AX33" s="267"/>
      <c r="AY33" s="267"/>
      <c r="AZ33" s="267"/>
      <c r="BA33" s="267"/>
      <c r="BB33" s="267"/>
      <c r="BC33" s="267"/>
    </row>
    <row r="34">
      <c r="A34" s="110"/>
      <c r="B34" s="93">
        <f t="shared" si="6"/>
        <v>6500000</v>
      </c>
      <c r="C34" s="248">
        <f>'Average Validator'!W125</f>
        <v>0.002867827321</v>
      </c>
      <c r="D34" s="249">
        <f>'Average Validator'!X125</f>
        <v>0.00331592534</v>
      </c>
      <c r="E34" s="249">
        <f>'Average Validator'!Y125</f>
        <v>0.003764023359</v>
      </c>
      <c r="F34" s="249">
        <f>'Average Validator'!Z125</f>
        <v>0.004212121378</v>
      </c>
      <c r="G34" s="249">
        <f>'Average Validator'!AA125</f>
        <v>0.004660219397</v>
      </c>
      <c r="H34" s="249">
        <f>'Average Validator'!AB125</f>
        <v>0.005108317416</v>
      </c>
      <c r="I34" s="250">
        <f>'Average Validator'!AC125</f>
        <v>0.005556415435</v>
      </c>
      <c r="J34" s="178"/>
      <c r="L34" s="177"/>
      <c r="M34" s="178"/>
      <c r="N34" s="178"/>
      <c r="O34" s="178"/>
      <c r="P34" s="178"/>
      <c r="Q34" s="178"/>
      <c r="R34" s="178"/>
      <c r="S34" s="178"/>
      <c r="AA34" s="174"/>
      <c r="AB34" s="267"/>
      <c r="AC34" s="267"/>
      <c r="AD34" s="267"/>
      <c r="AE34" s="267"/>
      <c r="AF34" s="267"/>
      <c r="AG34" s="267"/>
      <c r="AH34" s="267"/>
      <c r="AI34" s="267"/>
      <c r="AJ34" s="267"/>
      <c r="AK34" s="267"/>
      <c r="AL34" s="267"/>
      <c r="AM34" s="267"/>
      <c r="AN34" s="267"/>
      <c r="AO34" s="267"/>
      <c r="AP34" s="267"/>
      <c r="AQ34" s="267"/>
      <c r="AR34" s="267"/>
      <c r="AS34" s="267"/>
      <c r="AT34" s="267"/>
      <c r="AU34" s="267"/>
      <c r="AV34" s="267"/>
      <c r="AW34" s="267"/>
      <c r="AX34" s="267"/>
      <c r="AY34" s="267"/>
      <c r="AZ34" s="267"/>
      <c r="BA34" s="267"/>
      <c r="BB34" s="267"/>
      <c r="BC34" s="267"/>
    </row>
    <row r="35">
      <c r="A35" s="110"/>
      <c r="B35" s="93">
        <f t="shared" si="6"/>
        <v>7000000</v>
      </c>
      <c r="C35" s="248">
        <f>'Average Validator'!W126</f>
        <v>0.002976085059</v>
      </c>
      <c r="D35" s="249">
        <f>'Average Validator'!X126</f>
        <v>0.00344109835</v>
      </c>
      <c r="E35" s="249">
        <f>'Average Validator'!Y126</f>
        <v>0.00390611164</v>
      </c>
      <c r="F35" s="249">
        <f>'Average Validator'!Z126</f>
        <v>0.004371124931</v>
      </c>
      <c r="G35" s="249">
        <f>'Average Validator'!AA126</f>
        <v>0.004836138221</v>
      </c>
      <c r="H35" s="249">
        <f>'Average Validator'!AB126</f>
        <v>0.005301151512</v>
      </c>
      <c r="I35" s="250">
        <f>'Average Validator'!AC126</f>
        <v>0.005766164802</v>
      </c>
      <c r="J35" s="178"/>
      <c r="L35" s="177"/>
      <c r="M35" s="178"/>
      <c r="N35" s="178"/>
      <c r="O35" s="178"/>
      <c r="P35" s="178"/>
      <c r="Q35" s="178"/>
      <c r="R35" s="178"/>
      <c r="S35" s="178"/>
      <c r="AA35" s="174"/>
      <c r="AB35" s="267"/>
      <c r="AC35" s="267"/>
      <c r="AD35" s="267"/>
      <c r="AE35" s="267"/>
      <c r="AF35" s="267"/>
      <c r="AG35" s="267"/>
      <c r="AH35" s="267"/>
      <c r="AI35" s="267"/>
      <c r="AJ35" s="267"/>
      <c r="AK35" s="267"/>
      <c r="AL35" s="267"/>
      <c r="AM35" s="267"/>
      <c r="AN35" s="267"/>
      <c r="AO35" s="267"/>
      <c r="AP35" s="267"/>
      <c r="AQ35" s="267"/>
      <c r="AR35" s="267"/>
      <c r="AS35" s="267"/>
      <c r="AT35" s="267"/>
      <c r="AU35" s="267"/>
      <c r="AV35" s="267"/>
      <c r="AW35" s="267"/>
      <c r="AX35" s="267"/>
      <c r="AY35" s="267"/>
      <c r="AZ35" s="267"/>
      <c r="BA35" s="267"/>
      <c r="BB35" s="267"/>
      <c r="BC35" s="267"/>
    </row>
    <row r="36">
      <c r="A36" s="110"/>
      <c r="B36" s="93">
        <f t="shared" si="6"/>
        <v>7500000</v>
      </c>
      <c r="C36" s="248">
        <f>'Average Validator'!W127</f>
        <v>0.003080540702</v>
      </c>
      <c r="D36" s="249">
        <f>'Average Validator'!X127</f>
        <v>0.003561875186</v>
      </c>
      <c r="E36" s="249">
        <f>'Average Validator'!Y127</f>
        <v>0.004043209671</v>
      </c>
      <c r="F36" s="249">
        <f>'Average Validator'!Z127</f>
        <v>0.004524544156</v>
      </c>
      <c r="G36" s="249">
        <f>'Average Validator'!AA127</f>
        <v>0.00500587864</v>
      </c>
      <c r="H36" s="249">
        <f>'Average Validator'!AB127</f>
        <v>0.005487213125</v>
      </c>
      <c r="I36" s="250">
        <f>'Average Validator'!AC127</f>
        <v>0.005968547609</v>
      </c>
      <c r="J36" s="178"/>
      <c r="L36" s="177"/>
      <c r="M36" s="178"/>
      <c r="N36" s="178"/>
      <c r="O36" s="178"/>
      <c r="P36" s="178"/>
      <c r="Q36" s="178"/>
      <c r="R36" s="178"/>
      <c r="S36" s="178"/>
      <c r="AA36" s="174"/>
      <c r="AB36" s="267"/>
      <c r="AC36" s="267"/>
      <c r="AD36" s="267"/>
      <c r="AE36" s="267"/>
      <c r="AF36" s="267"/>
      <c r="AG36" s="267"/>
      <c r="AH36" s="267"/>
      <c r="AI36" s="267"/>
      <c r="AJ36" s="267"/>
      <c r="AK36" s="267"/>
      <c r="AL36" s="267"/>
      <c r="AM36" s="267"/>
      <c r="AN36" s="267"/>
      <c r="AO36" s="267"/>
      <c r="AP36" s="267"/>
      <c r="AQ36" s="267"/>
      <c r="AR36" s="267"/>
      <c r="AS36" s="267"/>
      <c r="AT36" s="267"/>
      <c r="AU36" s="267"/>
      <c r="AV36" s="267"/>
      <c r="AW36" s="267"/>
      <c r="AX36" s="267"/>
      <c r="AY36" s="267"/>
      <c r="AZ36" s="267"/>
      <c r="BA36" s="267"/>
      <c r="BB36" s="267"/>
      <c r="BC36" s="267"/>
    </row>
    <row r="37">
      <c r="A37" s="110"/>
      <c r="B37" s="93">
        <f t="shared" si="6"/>
        <v>8000000</v>
      </c>
      <c r="C37" s="248">
        <f>'Average Validator'!W128</f>
        <v>0.003181568756</v>
      </c>
      <c r="D37" s="249">
        <f>'Average Validator'!X128</f>
        <v>0.003678688874</v>
      </c>
      <c r="E37" s="249">
        <f>'Average Validator'!Y128</f>
        <v>0.004175808992</v>
      </c>
      <c r="F37" s="249">
        <f>'Average Validator'!Z128</f>
        <v>0.00467292911</v>
      </c>
      <c r="G37" s="249">
        <f>'Average Validator'!AA128</f>
        <v>0.005170049228</v>
      </c>
      <c r="H37" s="249">
        <f>'Average Validator'!AB128</f>
        <v>0.005667169346</v>
      </c>
      <c r="I37" s="250">
        <f>'Average Validator'!AC128</f>
        <v>0.006164289465</v>
      </c>
      <c r="J37" s="178"/>
      <c r="L37" s="177"/>
      <c r="M37" s="178"/>
      <c r="N37" s="178"/>
      <c r="O37" s="178"/>
      <c r="P37" s="178"/>
      <c r="Q37" s="178"/>
      <c r="R37" s="178"/>
      <c r="S37" s="178"/>
      <c r="AA37" s="174"/>
      <c r="AB37" s="267"/>
      <c r="AC37" s="267"/>
      <c r="AD37" s="267"/>
      <c r="AE37" s="267"/>
      <c r="AF37" s="267"/>
      <c r="AG37" s="267"/>
      <c r="AH37" s="267"/>
      <c r="AI37" s="267"/>
      <c r="AJ37" s="267"/>
      <c r="AK37" s="267"/>
      <c r="AL37" s="267"/>
      <c r="AM37" s="267"/>
      <c r="AN37" s="267"/>
      <c r="AO37" s="267"/>
      <c r="AP37" s="267"/>
      <c r="AQ37" s="267"/>
      <c r="AR37" s="267"/>
      <c r="AS37" s="267"/>
      <c r="AT37" s="267"/>
      <c r="AU37" s="267"/>
      <c r="AV37" s="267"/>
      <c r="AW37" s="267"/>
      <c r="AX37" s="267"/>
      <c r="AY37" s="267"/>
      <c r="AZ37" s="267"/>
      <c r="BA37" s="267"/>
      <c r="BB37" s="267"/>
      <c r="BC37" s="267"/>
    </row>
    <row r="38">
      <c r="A38" s="110"/>
      <c r="B38" s="93">
        <f t="shared" si="6"/>
        <v>8500000</v>
      </c>
      <c r="C38" s="248">
        <f>'Average Validator'!W129</f>
        <v>0.003279486009</v>
      </c>
      <c r="D38" s="249">
        <f>'Average Validator'!X129</f>
        <v>0.003791905698</v>
      </c>
      <c r="E38" s="249">
        <f>'Average Validator'!Y129</f>
        <v>0.004304325387</v>
      </c>
      <c r="F38" s="249">
        <f>'Average Validator'!Z129</f>
        <v>0.004816745076</v>
      </c>
      <c r="G38" s="249">
        <f>'Average Validator'!AA129</f>
        <v>0.005329164765</v>
      </c>
      <c r="H38" s="249">
        <f>'Average Validator'!AB129</f>
        <v>0.005841584453</v>
      </c>
      <c r="I38" s="250">
        <f>'Average Validator'!AC129</f>
        <v>0.006354004142</v>
      </c>
      <c r="J38" s="178"/>
      <c r="L38" s="177"/>
      <c r="M38" s="178"/>
      <c r="N38" s="178"/>
      <c r="O38" s="178"/>
      <c r="P38" s="178"/>
      <c r="Q38" s="178"/>
      <c r="R38" s="178"/>
      <c r="S38" s="178"/>
      <c r="AA38" s="174"/>
      <c r="AB38" s="267"/>
      <c r="AC38" s="267"/>
      <c r="AD38" s="267"/>
      <c r="AE38" s="267"/>
      <c r="AF38" s="267"/>
      <c r="AG38" s="267"/>
      <c r="AH38" s="267"/>
      <c r="AI38" s="267"/>
      <c r="AJ38" s="267"/>
      <c r="AK38" s="267"/>
      <c r="AL38" s="267"/>
      <c r="AM38" s="267"/>
      <c r="AN38" s="267"/>
      <c r="AO38" s="267"/>
      <c r="AP38" s="267"/>
      <c r="AQ38" s="267"/>
      <c r="AR38" s="267"/>
      <c r="AS38" s="267"/>
      <c r="AT38" s="267"/>
      <c r="AU38" s="267"/>
      <c r="AV38" s="267"/>
      <c r="AW38" s="267"/>
      <c r="AX38" s="267"/>
      <c r="AY38" s="267"/>
      <c r="AZ38" s="267"/>
      <c r="BA38" s="267"/>
      <c r="BB38" s="267"/>
      <c r="BC38" s="267"/>
    </row>
    <row r="39">
      <c r="A39" s="110"/>
      <c r="B39" s="93">
        <f t="shared" si="6"/>
        <v>9000000</v>
      </c>
      <c r="C39" s="248">
        <f>'Average Validator'!W130</f>
        <v>0.003374563263</v>
      </c>
      <c r="D39" s="249">
        <f>'Average Validator'!X130</f>
        <v>0.003901838773</v>
      </c>
      <c r="E39" s="249">
        <f>'Average Validator'!Y130</f>
        <v>0.004429114283</v>
      </c>
      <c r="F39" s="249">
        <f>'Average Validator'!Z130</f>
        <v>0.004956389793</v>
      </c>
      <c r="G39" s="249">
        <f>'Average Validator'!AA130</f>
        <v>0.005483665303</v>
      </c>
      <c r="H39" s="249">
        <f>'Average Validator'!AB130</f>
        <v>0.006010940813</v>
      </c>
      <c r="I39" s="250">
        <f>'Average Validator'!AC130</f>
        <v>0.006538216322</v>
      </c>
      <c r="J39" s="178"/>
      <c r="L39" s="177"/>
      <c r="M39" s="178"/>
      <c r="N39" s="178"/>
      <c r="O39" s="178"/>
      <c r="P39" s="178"/>
      <c r="Q39" s="178"/>
      <c r="R39" s="178"/>
      <c r="S39" s="178"/>
      <c r="AA39" s="174"/>
      <c r="AB39" s="267"/>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67"/>
      <c r="BB39" s="267"/>
      <c r="BC39" s="267"/>
    </row>
    <row r="40">
      <c r="A40" s="110"/>
      <c r="B40" s="93">
        <f t="shared" si="6"/>
        <v>9500000</v>
      </c>
      <c r="C40" s="248">
        <f>'Average Validator'!W131</f>
        <v>0.003467034172</v>
      </c>
      <c r="D40" s="249">
        <f>'Average Validator'!X131</f>
        <v>0.004008758262</v>
      </c>
      <c r="E40" s="249">
        <f>'Average Validator'!Y131</f>
        <v>0.004550482351</v>
      </c>
      <c r="F40" s="249">
        <f>'Average Validator'!Z131</f>
        <v>0.00509220644</v>
      </c>
      <c r="G40" s="249">
        <f>'Average Validator'!AA131</f>
        <v>0.00563393053</v>
      </c>
      <c r="H40" s="249">
        <f>'Average Validator'!AB131</f>
        <v>0.006175654619</v>
      </c>
      <c r="I40" s="250">
        <f>'Average Validator'!AC131</f>
        <v>0.006717378709</v>
      </c>
      <c r="J40" s="178"/>
      <c r="L40" s="177"/>
      <c r="M40" s="178"/>
      <c r="N40" s="178"/>
      <c r="O40" s="178"/>
      <c r="P40" s="178"/>
      <c r="Q40" s="178"/>
      <c r="R40" s="178"/>
      <c r="S40" s="178"/>
      <c r="AA40" s="174"/>
      <c r="AB40" s="267"/>
      <c r="AC40" s="267"/>
      <c r="AD40" s="267"/>
      <c r="AE40" s="267"/>
      <c r="AF40" s="267"/>
      <c r="AG40" s="267"/>
      <c r="AH40" s="267"/>
      <c r="AI40" s="267"/>
      <c r="AJ40" s="267"/>
      <c r="AK40" s="267"/>
      <c r="AL40" s="267"/>
      <c r="AM40" s="267"/>
      <c r="AN40" s="267"/>
      <c r="AO40" s="267"/>
      <c r="AP40" s="267"/>
      <c r="AQ40" s="267"/>
      <c r="AR40" s="267"/>
      <c r="AS40" s="267"/>
      <c r="AT40" s="267"/>
      <c r="AU40" s="267"/>
      <c r="AV40" s="267"/>
      <c r="AW40" s="267"/>
      <c r="AX40" s="267"/>
      <c r="AY40" s="267"/>
      <c r="AZ40" s="267"/>
      <c r="BA40" s="267"/>
      <c r="BB40" s="267"/>
      <c r="BC40" s="267"/>
    </row>
    <row r="41">
      <c r="A41" s="146"/>
      <c r="B41" s="156">
        <f t="shared" si="6"/>
        <v>10000000</v>
      </c>
      <c r="C41" s="409">
        <f>'Average Validator'!W132</f>
        <v>0.003557102007</v>
      </c>
      <c r="D41" s="406">
        <f>'Average Validator'!X132</f>
        <v>0.004112899195</v>
      </c>
      <c r="E41" s="406">
        <f>'Average Validator'!Y132</f>
        <v>0.004668696384</v>
      </c>
      <c r="F41" s="406">
        <f>'Average Validator'!Z132</f>
        <v>0.005224493572</v>
      </c>
      <c r="G41" s="406">
        <f>'Average Validator'!AA132</f>
        <v>0.005780290761</v>
      </c>
      <c r="H41" s="406">
        <f>'Average Validator'!AB132</f>
        <v>0.006336087949</v>
      </c>
      <c r="I41" s="408">
        <f>'Average Validator'!AC132</f>
        <v>0.006891885138</v>
      </c>
      <c r="J41" s="178"/>
      <c r="L41" s="177"/>
      <c r="M41" s="178"/>
      <c r="N41" s="178"/>
      <c r="O41" s="178"/>
      <c r="P41" s="178"/>
      <c r="Q41" s="178"/>
      <c r="R41" s="178"/>
      <c r="S41" s="178"/>
      <c r="AA41" s="174"/>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row>
    <row r="42">
      <c r="AO42" s="23"/>
      <c r="AP42" s="23"/>
      <c r="AQ42" s="23"/>
      <c r="AR42" s="23"/>
      <c r="AS42" s="23"/>
      <c r="AT42" s="23"/>
      <c r="AU42" s="23"/>
      <c r="AV42" s="23"/>
      <c r="AW42" s="23"/>
      <c r="AX42" s="23"/>
      <c r="AY42" s="23"/>
      <c r="AZ42" s="23"/>
      <c r="BA42" s="23"/>
      <c r="BB42" s="23"/>
      <c r="BC42" s="23"/>
    </row>
    <row r="43">
      <c r="A43" s="70" t="s">
        <v>109</v>
      </c>
      <c r="B43" s="71"/>
      <c r="C43" s="71"/>
      <c r="D43" s="71"/>
      <c r="E43" s="71"/>
      <c r="F43" s="71"/>
      <c r="G43" s="71"/>
      <c r="H43" s="71"/>
      <c r="I43" s="71"/>
      <c r="J43" s="71"/>
      <c r="K43" s="71"/>
      <c r="L43" s="71"/>
      <c r="M43" s="71"/>
      <c r="N43" s="71"/>
      <c r="O43" s="71"/>
      <c r="P43" s="18"/>
      <c r="Q43" s="467"/>
      <c r="R43" s="23"/>
      <c r="S43" s="23"/>
      <c r="T43" s="23"/>
      <c r="U43" s="23"/>
      <c r="V43" s="23"/>
      <c r="W43" s="23"/>
      <c r="X43" s="23"/>
      <c r="Y43" s="23"/>
      <c r="Z43" s="23"/>
      <c r="AA43" s="23"/>
      <c r="AB43" s="23"/>
      <c r="AC43" s="23"/>
      <c r="AD43" s="23"/>
      <c r="AE43" s="23"/>
      <c r="AF43" s="23"/>
      <c r="AO43" s="23"/>
      <c r="AP43" s="23"/>
      <c r="AQ43" s="23"/>
      <c r="AR43" s="23"/>
      <c r="AS43" s="23"/>
      <c r="AT43" s="23"/>
      <c r="AU43" s="23"/>
      <c r="AV43" s="23"/>
      <c r="AW43" s="23"/>
      <c r="AX43" s="23"/>
      <c r="AY43" s="23"/>
      <c r="AZ43" s="23"/>
      <c r="BA43" s="23"/>
      <c r="BB43" s="23"/>
      <c r="BC43" s="23"/>
    </row>
    <row r="44">
      <c r="A44" s="85" t="s">
        <v>58</v>
      </c>
      <c r="B44" s="86"/>
      <c r="C44" s="86" t="s">
        <v>44</v>
      </c>
      <c r="P44" s="78"/>
      <c r="Q44" s="151"/>
      <c r="R44" s="87"/>
      <c r="S44" s="87"/>
      <c r="AG44" s="23"/>
      <c r="AH44" s="23"/>
      <c r="AO44" s="23"/>
      <c r="AP44" s="23"/>
      <c r="AQ44" s="23"/>
      <c r="AR44" s="23"/>
      <c r="AS44" s="23"/>
      <c r="AT44" s="23"/>
      <c r="AU44" s="23"/>
      <c r="AV44" s="23"/>
      <c r="AW44" s="23"/>
      <c r="AX44" s="23"/>
      <c r="AY44" s="23"/>
      <c r="AZ44" s="23"/>
      <c r="BA44" s="23"/>
      <c r="BB44" s="23"/>
      <c r="BC44" s="23"/>
    </row>
    <row r="45">
      <c r="A45" s="85" t="s">
        <v>63</v>
      </c>
      <c r="B45" s="86"/>
      <c r="C45" s="86"/>
      <c r="D45" s="86"/>
      <c r="E45" s="86"/>
      <c r="F45" s="86"/>
      <c r="G45" s="86"/>
      <c r="H45" s="86"/>
      <c r="I45" s="86"/>
      <c r="J45" s="86"/>
      <c r="K45" s="86"/>
      <c r="L45" s="86"/>
      <c r="M45" s="86"/>
      <c r="N45" s="86"/>
      <c r="O45" s="86"/>
      <c r="P45" s="100"/>
      <c r="Q45" s="151"/>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472"/>
      <c r="AQ45" s="23"/>
      <c r="AR45" s="23"/>
      <c r="AS45" s="23"/>
      <c r="AT45" s="23"/>
      <c r="AU45" s="23"/>
      <c r="AV45" s="23"/>
      <c r="AW45" s="23"/>
      <c r="AX45" s="23"/>
      <c r="AY45" s="23"/>
      <c r="AZ45" s="23"/>
      <c r="BA45" s="23"/>
      <c r="BB45" s="23"/>
      <c r="BC45" s="23"/>
    </row>
    <row r="46">
      <c r="A46" s="85" t="s">
        <v>68</v>
      </c>
      <c r="B46" s="86"/>
      <c r="C46" s="515"/>
      <c r="D46" s="515"/>
      <c r="E46" s="515"/>
      <c r="F46" s="515"/>
      <c r="G46" s="515"/>
      <c r="H46" s="515"/>
      <c r="I46" s="515"/>
      <c r="J46" s="515"/>
      <c r="K46" s="515"/>
      <c r="L46" s="515"/>
      <c r="M46" s="515"/>
      <c r="N46" s="515"/>
      <c r="O46" s="515"/>
      <c r="P46" s="515"/>
      <c r="Q46" s="151"/>
      <c r="R46" s="87"/>
      <c r="S46" s="87"/>
      <c r="T46" s="87"/>
      <c r="U46" s="87"/>
      <c r="V46" s="87"/>
      <c r="W46" s="87"/>
      <c r="X46" s="87"/>
      <c r="Y46" s="87"/>
      <c r="Z46" s="87"/>
      <c r="AA46" s="87"/>
      <c r="AB46" s="87"/>
      <c r="AC46" s="87"/>
      <c r="AD46" s="87"/>
      <c r="AE46" s="87"/>
      <c r="AF46" s="87"/>
      <c r="AG46" s="177"/>
      <c r="AH46" s="177"/>
      <c r="AO46" s="23"/>
      <c r="AP46" s="23"/>
      <c r="AQ46" s="23"/>
      <c r="AR46" s="23"/>
      <c r="AS46" s="23"/>
      <c r="AT46" s="23"/>
      <c r="AU46" s="23"/>
      <c r="AV46" s="23"/>
      <c r="AW46" s="23"/>
      <c r="AX46" s="23"/>
      <c r="AY46" s="23"/>
      <c r="AZ46" s="23"/>
      <c r="BA46" s="23"/>
      <c r="BB46" s="23"/>
      <c r="BC46" s="23"/>
    </row>
    <row r="47">
      <c r="A47" s="90"/>
      <c r="B47" s="239">
        <f>$F$41</f>
        <v>0.005224493572</v>
      </c>
      <c r="C47" s="103">
        <v>1.0</v>
      </c>
      <c r="D47" s="93">
        <f t="shared" ref="D47:G47" si="7">C47+1</f>
        <v>2</v>
      </c>
      <c r="E47" s="93">
        <f t="shared" si="7"/>
        <v>3</v>
      </c>
      <c r="F47" s="93">
        <f t="shared" si="7"/>
        <v>4</v>
      </c>
      <c r="G47" s="93">
        <f t="shared" si="7"/>
        <v>5</v>
      </c>
      <c r="H47" s="103">
        <v>10.0</v>
      </c>
      <c r="I47" s="103">
        <v>15.0</v>
      </c>
      <c r="J47" s="103">
        <v>20.0</v>
      </c>
      <c r="K47" s="103">
        <v>25.0</v>
      </c>
      <c r="L47" s="103">
        <v>30.0</v>
      </c>
      <c r="M47" s="103">
        <v>35.0</v>
      </c>
      <c r="N47" s="103">
        <v>40.0</v>
      </c>
      <c r="O47" s="103">
        <v>45.0</v>
      </c>
      <c r="P47" s="114">
        <v>50.0</v>
      </c>
      <c r="Q47" s="176"/>
      <c r="R47" s="115"/>
      <c r="S47" s="51"/>
      <c r="T47" s="51"/>
      <c r="U47" s="51"/>
      <c r="V47" s="51"/>
      <c r="W47" s="51"/>
      <c r="X47" s="51"/>
      <c r="Y47" s="51"/>
      <c r="Z47" s="51"/>
      <c r="AA47" s="51"/>
      <c r="AB47" s="51"/>
      <c r="AC47" s="51"/>
      <c r="AD47" s="51"/>
      <c r="AE47" s="51"/>
      <c r="AF47" s="51"/>
      <c r="AH47" s="11"/>
      <c r="AO47" s="23"/>
      <c r="AP47" s="23"/>
      <c r="AQ47" s="23"/>
      <c r="AR47" s="23"/>
      <c r="AS47" s="23"/>
      <c r="AT47" s="23"/>
      <c r="AU47" s="23"/>
      <c r="AV47" s="23"/>
      <c r="AW47" s="23"/>
      <c r="AX47" s="23"/>
      <c r="AY47" s="23"/>
      <c r="AZ47" s="23"/>
      <c r="BA47" s="23"/>
      <c r="BB47" s="23"/>
      <c r="BC47" s="23"/>
    </row>
    <row r="48">
      <c r="A48" s="102" t="s">
        <v>66</v>
      </c>
      <c r="B48" s="103">
        <v>2000000.0</v>
      </c>
      <c r="C48" s="14">
        <v>0.07463584756829236</v>
      </c>
      <c r="D48" s="14">
        <v>0.08787602328392274</v>
      </c>
      <c r="E48" s="14">
        <v>0.09229023458323656</v>
      </c>
      <c r="F48" s="14">
        <v>0.09449795417832904</v>
      </c>
      <c r="G48" s="14">
        <v>0.09582307661208814</v>
      </c>
      <c r="H48" s="14">
        <v>0.09847699317747936</v>
      </c>
      <c r="I48" s="14">
        <v>0.09936569711249452</v>
      </c>
      <c r="J48" s="14">
        <v>0.09848918848989413</v>
      </c>
      <c r="K48" s="14">
        <v>0.09902481428367918</v>
      </c>
      <c r="L48" s="14">
        <v>0.09938390111528181</v>
      </c>
      <c r="M48" s="14">
        <v>0.09888558900628848</v>
      </c>
      <c r="N48" s="14">
        <v>0.09917528981662112</v>
      </c>
      <c r="O48" s="14">
        <v>0.09940192855472509</v>
      </c>
      <c r="P48" s="120">
        <v>0.09905486025393118</v>
      </c>
      <c r="R48" s="177"/>
      <c r="S48" s="144"/>
      <c r="T48" s="144"/>
      <c r="U48" s="144"/>
      <c r="V48" s="144"/>
      <c r="W48" s="144"/>
      <c r="X48" s="144"/>
      <c r="Y48" s="144"/>
      <c r="Z48" s="144"/>
      <c r="AA48" s="144"/>
      <c r="AB48" s="144"/>
      <c r="AC48" s="144"/>
      <c r="AD48" s="144"/>
      <c r="AE48" s="144"/>
      <c r="AF48" s="144"/>
      <c r="AH48" s="11"/>
      <c r="AO48" s="23"/>
      <c r="AP48" s="23"/>
      <c r="AQ48" s="23"/>
      <c r="AR48" s="23"/>
      <c r="AS48" s="23"/>
      <c r="AT48" s="23"/>
      <c r="AU48" s="23"/>
      <c r="AV48" s="23"/>
      <c r="AW48" s="23"/>
      <c r="AX48" s="23"/>
      <c r="AY48" s="23"/>
      <c r="AZ48" s="23"/>
      <c r="BA48" s="23"/>
      <c r="BB48" s="23"/>
      <c r="BC48" s="23"/>
    </row>
    <row r="49">
      <c r="A49" s="110"/>
      <c r="B49" s="93">
        <f t="shared" ref="B49:B64" si="8">B48+500000</f>
        <v>2500000</v>
      </c>
      <c r="C49" s="123">
        <v>0.06369498077981206</v>
      </c>
      <c r="D49" s="123">
        <v>0.07693515649544244</v>
      </c>
      <c r="E49" s="123">
        <v>0.08134936779475624</v>
      </c>
      <c r="F49" s="123">
        <v>0.08355708738984874</v>
      </c>
      <c r="G49" s="123">
        <v>0.08488220982360781</v>
      </c>
      <c r="H49" s="123">
        <v>0.08753612638899903</v>
      </c>
      <c r="I49" s="123">
        <v>0.08842483032401421</v>
      </c>
      <c r="J49" s="123">
        <v>0.08754832170141381</v>
      </c>
      <c r="K49" s="123">
        <v>0.08808394749519885</v>
      </c>
      <c r="L49" s="123">
        <v>0.0884430343268015</v>
      </c>
      <c r="M49" s="123">
        <v>0.08794472221780816</v>
      </c>
      <c r="N49" s="123">
        <v>0.0882344230281408</v>
      </c>
      <c r="O49" s="123">
        <v>0.08846106176624478</v>
      </c>
      <c r="P49" s="124">
        <v>0.08811399346545086</v>
      </c>
      <c r="R49" s="177"/>
      <c r="S49" s="51"/>
      <c r="T49" s="51"/>
      <c r="U49" s="51"/>
      <c r="V49" s="51"/>
      <c r="W49" s="51"/>
      <c r="X49" s="51"/>
      <c r="Y49" s="51"/>
      <c r="Z49" s="51"/>
      <c r="AA49" s="51"/>
      <c r="AB49" s="51"/>
      <c r="AC49" s="51"/>
      <c r="AD49" s="51"/>
      <c r="AE49" s="51"/>
      <c r="AF49" s="51"/>
      <c r="AH49" s="11"/>
      <c r="AO49" s="23"/>
      <c r="AP49" s="23"/>
      <c r="AQ49" s="23"/>
      <c r="AR49" s="23"/>
      <c r="AS49" s="23"/>
      <c r="AT49" s="23"/>
      <c r="AU49" s="23"/>
      <c r="AV49" s="23"/>
      <c r="AW49" s="23"/>
      <c r="AX49" s="23"/>
      <c r="AY49" s="23"/>
      <c r="AZ49" s="23"/>
      <c r="BA49" s="23"/>
      <c r="BB49" s="23"/>
      <c r="BC49" s="23"/>
    </row>
    <row r="50">
      <c r="A50" s="110"/>
      <c r="B50" s="93">
        <f t="shared" si="8"/>
        <v>3000000</v>
      </c>
      <c r="C50" s="14">
        <v>0.0556187684328984</v>
      </c>
      <c r="D50" s="14">
        <v>0.06885894414852878</v>
      </c>
      <c r="E50" s="14">
        <v>0.07327315544784258</v>
      </c>
      <c r="F50" s="14">
        <v>0.07548087504293507</v>
      </c>
      <c r="G50" s="14">
        <v>0.07680599747669416</v>
      </c>
      <c r="H50" s="14">
        <v>0.07945991404208538</v>
      </c>
      <c r="I50" s="14">
        <v>0.08034861797710054</v>
      </c>
      <c r="J50" s="14">
        <v>0.07947210935450015</v>
      </c>
      <c r="K50" s="14">
        <v>0.08000773514828519</v>
      </c>
      <c r="L50" s="14">
        <v>0.08036682197988783</v>
      </c>
      <c r="M50" s="14">
        <v>0.0798685098708945</v>
      </c>
      <c r="N50" s="14">
        <v>0.08015821068122714</v>
      </c>
      <c r="O50" s="14">
        <v>0.0803848494193311</v>
      </c>
      <c r="P50" s="120">
        <v>0.0800377811185372</v>
      </c>
      <c r="R50" s="177"/>
      <c r="S50" s="51"/>
      <c r="T50" s="51"/>
      <c r="U50" s="51"/>
      <c r="V50" s="51"/>
      <c r="W50" s="51"/>
      <c r="X50" s="51"/>
      <c r="Y50" s="51"/>
      <c r="Z50" s="51"/>
      <c r="AA50" s="51"/>
      <c r="AB50" s="51"/>
      <c r="AC50" s="51"/>
      <c r="AD50" s="51"/>
      <c r="AE50" s="51"/>
      <c r="AF50" s="51"/>
      <c r="AH50" s="11"/>
      <c r="AO50" s="23"/>
      <c r="AP50" s="23"/>
      <c r="AQ50" s="23"/>
      <c r="AR50" s="23"/>
      <c r="AS50" s="23"/>
      <c r="AT50" s="23"/>
      <c r="AU50" s="23"/>
      <c r="AV50" s="23"/>
      <c r="AW50" s="23"/>
      <c r="AX50" s="23"/>
      <c r="AY50" s="23"/>
      <c r="AZ50" s="23"/>
      <c r="BA50" s="23"/>
      <c r="BB50" s="23"/>
      <c r="BC50" s="23"/>
    </row>
    <row r="51">
      <c r="A51" s="110"/>
      <c r="B51" s="93">
        <f t="shared" si="8"/>
        <v>3500000</v>
      </c>
      <c r="C51" s="14">
        <v>0.049341939848796576</v>
      </c>
      <c r="D51" s="14">
        <v>0.06258211556442696</v>
      </c>
      <c r="E51" s="14">
        <v>0.06699632686374075</v>
      </c>
      <c r="F51" s="14">
        <v>0.06920404645883324</v>
      </c>
      <c r="G51" s="14">
        <v>0.07052916889259232</v>
      </c>
      <c r="H51" s="14">
        <v>0.07318308545798356</v>
      </c>
      <c r="I51" s="14">
        <v>0.07407178939299872</v>
      </c>
      <c r="J51" s="14">
        <v>0.07319528077039833</v>
      </c>
      <c r="K51" s="14">
        <v>0.07373090656418337</v>
      </c>
      <c r="L51" s="14">
        <v>0.07408999339578602</v>
      </c>
      <c r="M51" s="14">
        <v>0.07359168128679268</v>
      </c>
      <c r="N51" s="14">
        <v>0.07388138209712532</v>
      </c>
      <c r="O51" s="14">
        <v>0.07410802083522929</v>
      </c>
      <c r="P51" s="120">
        <v>0.07376095253443538</v>
      </c>
      <c r="R51" s="177"/>
      <c r="S51" s="51"/>
      <c r="T51" s="51"/>
      <c r="U51" s="51"/>
      <c r="V51" s="51"/>
      <c r="W51" s="51"/>
      <c r="X51" s="51"/>
      <c r="Y51" s="51"/>
      <c r="Z51" s="51"/>
      <c r="AA51" s="51"/>
      <c r="AB51" s="51"/>
      <c r="AC51" s="51"/>
      <c r="AD51" s="51"/>
      <c r="AE51" s="51"/>
      <c r="AF51" s="51"/>
      <c r="AH51" s="11"/>
      <c r="AO51" s="23"/>
      <c r="AP51" s="23"/>
      <c r="AQ51" s="23"/>
      <c r="AR51" s="23"/>
      <c r="AS51" s="23"/>
      <c r="AT51" s="23"/>
      <c r="AU51" s="23"/>
      <c r="AV51" s="23"/>
      <c r="AW51" s="23"/>
      <c r="AX51" s="23"/>
      <c r="AY51" s="23"/>
      <c r="AZ51" s="23"/>
      <c r="BA51" s="23"/>
      <c r="BB51" s="23"/>
      <c r="BC51" s="23"/>
    </row>
    <row r="52">
      <c r="A52" s="110"/>
      <c r="B52" s="93">
        <f t="shared" si="8"/>
        <v>4000000</v>
      </c>
      <c r="C52" s="14">
        <v>0.044282334001322185</v>
      </c>
      <c r="D52" s="14">
        <v>0.05752250971695257</v>
      </c>
      <c r="E52" s="14">
        <v>0.06193672101626637</v>
      </c>
      <c r="F52" s="14">
        <v>0.06414444061135885</v>
      </c>
      <c r="G52" s="14">
        <v>0.06546956304511795</v>
      </c>
      <c r="H52" s="14">
        <v>0.06812347961050919</v>
      </c>
      <c r="I52" s="14">
        <v>0.06901218354552435</v>
      </c>
      <c r="J52" s="14">
        <v>0.06813567492292395</v>
      </c>
      <c r="K52" s="14">
        <v>0.06867130071670899</v>
      </c>
      <c r="L52" s="14">
        <v>0.06903038754831166</v>
      </c>
      <c r="M52" s="14">
        <v>0.0685320754393183</v>
      </c>
      <c r="N52" s="14">
        <v>0.06882177624965094</v>
      </c>
      <c r="O52" s="14">
        <v>0.06904841498775492</v>
      </c>
      <c r="P52" s="120">
        <v>0.068701346686961</v>
      </c>
      <c r="R52" s="177"/>
      <c r="S52" s="51"/>
      <c r="T52" s="51"/>
      <c r="U52" s="51"/>
      <c r="V52" s="51"/>
      <c r="W52" s="51"/>
      <c r="X52" s="51"/>
      <c r="Y52" s="51"/>
      <c r="Z52" s="51"/>
      <c r="AA52" s="51"/>
      <c r="AB52" s="51"/>
      <c r="AC52" s="51"/>
      <c r="AD52" s="51"/>
      <c r="AE52" s="51"/>
      <c r="AF52" s="51"/>
      <c r="AH52" s="11"/>
      <c r="AO52" s="23"/>
      <c r="AP52" s="23"/>
      <c r="AQ52" s="23"/>
      <c r="AR52" s="23"/>
      <c r="AS52" s="23"/>
      <c r="AT52" s="23"/>
      <c r="AU52" s="23"/>
      <c r="AV52" s="23"/>
      <c r="AW52" s="23"/>
      <c r="AX52" s="23"/>
      <c r="AY52" s="23"/>
      <c r="AZ52" s="23"/>
      <c r="BA52" s="23"/>
      <c r="BB52" s="23"/>
      <c r="BC52" s="23"/>
    </row>
    <row r="53">
      <c r="A53" s="110"/>
      <c r="B53" s="93">
        <f t="shared" si="8"/>
        <v>4500000</v>
      </c>
      <c r="C53" s="14">
        <v>0.04009138833961727</v>
      </c>
      <c r="D53" s="14">
        <v>0.05333156405524765</v>
      </c>
      <c r="E53" s="14">
        <v>0.05774577535456145</v>
      </c>
      <c r="F53" s="14">
        <v>0.059953494949653935</v>
      </c>
      <c r="G53" s="14">
        <v>0.06127861738341302</v>
      </c>
      <c r="H53" s="14">
        <v>0.06393253394880426</v>
      </c>
      <c r="I53" s="14">
        <v>0.06482123788381942</v>
      </c>
      <c r="J53" s="14">
        <v>0.06394472926121902</v>
      </c>
      <c r="K53" s="14">
        <v>0.06448035505500405</v>
      </c>
      <c r="L53" s="14">
        <v>0.06483944188660673</v>
      </c>
      <c r="M53" s="14">
        <v>0.06434112977761337</v>
      </c>
      <c r="N53" s="14">
        <v>0.06463083058794601</v>
      </c>
      <c r="O53" s="14">
        <v>0.06485746932604998</v>
      </c>
      <c r="P53" s="120">
        <v>0.06451040102525606</v>
      </c>
      <c r="R53" s="177"/>
      <c r="S53" s="51"/>
      <c r="T53" s="51"/>
      <c r="U53" s="51"/>
      <c r="V53" s="51"/>
      <c r="W53" s="51"/>
      <c r="X53" s="51"/>
      <c r="Y53" s="51"/>
      <c r="Z53" s="51"/>
      <c r="AA53" s="51"/>
      <c r="AB53" s="51"/>
      <c r="AC53" s="51"/>
      <c r="AD53" s="51"/>
      <c r="AE53" s="51"/>
      <c r="AF53" s="51"/>
      <c r="AH53" s="11"/>
      <c r="AO53" s="23"/>
      <c r="AP53" s="23"/>
      <c r="AQ53" s="23"/>
      <c r="AR53" s="23"/>
      <c r="AS53" s="23"/>
      <c r="AT53" s="23"/>
      <c r="AU53" s="23"/>
      <c r="AV53" s="23"/>
      <c r="AW53" s="23"/>
      <c r="AX53" s="23"/>
      <c r="AY53" s="23"/>
      <c r="AZ53" s="23"/>
      <c r="BA53" s="23"/>
      <c r="BB53" s="23"/>
      <c r="BC53" s="23"/>
    </row>
    <row r="54">
      <c r="A54" s="110"/>
      <c r="B54" s="93">
        <f t="shared" si="8"/>
        <v>5000000</v>
      </c>
      <c r="C54" s="14">
        <v>0.03654597290312905</v>
      </c>
      <c r="D54" s="14">
        <v>0.049786148618759435</v>
      </c>
      <c r="E54" s="14">
        <v>0.054200359918073225</v>
      </c>
      <c r="F54" s="14">
        <v>0.05640807951316572</v>
      </c>
      <c r="G54" s="14">
        <v>0.05773320194692481</v>
      </c>
      <c r="H54" s="14">
        <v>0.06038711851231602</v>
      </c>
      <c r="I54" s="14">
        <v>0.0612758224473312</v>
      </c>
      <c r="J54" s="14">
        <v>0.0603993138247308</v>
      </c>
      <c r="K54" s="14">
        <v>0.06093493961851584</v>
      </c>
      <c r="L54" s="14">
        <v>0.061294026450118506</v>
      </c>
      <c r="M54" s="14">
        <v>0.06079571434112516</v>
      </c>
      <c r="N54" s="14">
        <v>0.06108541515145779</v>
      </c>
      <c r="O54" s="14">
        <v>0.06131205388956177</v>
      </c>
      <c r="P54" s="120">
        <v>0.06096498558876785</v>
      </c>
      <c r="R54" s="177"/>
      <c r="S54" s="51"/>
      <c r="T54" s="51"/>
      <c r="U54" s="51"/>
      <c r="V54" s="51"/>
      <c r="W54" s="51"/>
      <c r="X54" s="51"/>
      <c r="Y54" s="51"/>
      <c r="Z54" s="51"/>
      <c r="AA54" s="51"/>
      <c r="AB54" s="51"/>
      <c r="AC54" s="51"/>
      <c r="AD54" s="51"/>
      <c r="AE54" s="51"/>
      <c r="AF54" s="51"/>
      <c r="AH54" s="11"/>
      <c r="AO54" s="23"/>
      <c r="AP54" s="23"/>
      <c r="AQ54" s="23"/>
      <c r="AR54" s="23"/>
      <c r="AS54" s="23"/>
      <c r="AT54" s="23"/>
      <c r="AU54" s="23"/>
      <c r="AV54" s="23"/>
      <c r="AW54" s="23"/>
      <c r="AX54" s="23"/>
      <c r="AY54" s="23"/>
      <c r="AZ54" s="23"/>
      <c r="BA54" s="23"/>
      <c r="BB54" s="23"/>
      <c r="BC54" s="23"/>
    </row>
    <row r="55">
      <c r="A55" s="110"/>
      <c r="B55" s="93">
        <f t="shared" si="8"/>
        <v>5500000</v>
      </c>
      <c r="C55" s="14">
        <v>0.033495747980764455</v>
      </c>
      <c r="D55" s="14">
        <v>0.046735923696394836</v>
      </c>
      <c r="E55" s="14">
        <v>0.05115013499570863</v>
      </c>
      <c r="F55" s="14">
        <v>0.05335785459080112</v>
      </c>
      <c r="G55" s="14">
        <v>0.054682977024560216</v>
      </c>
      <c r="H55" s="14">
        <v>0.057336893589951435</v>
      </c>
      <c r="I55" s="14">
        <v>0.058225597524966595</v>
      </c>
      <c r="J55" s="14">
        <v>0.057349088902366216</v>
      </c>
      <c r="K55" s="14">
        <v>0.05788471469615124</v>
      </c>
      <c r="L55" s="14">
        <v>0.0582438015277539</v>
      </c>
      <c r="M55" s="14">
        <v>0.05774548941876056</v>
      </c>
      <c r="N55" s="14">
        <v>0.05803519022909319</v>
      </c>
      <c r="O55" s="14">
        <v>0.05826182896719717</v>
      </c>
      <c r="P55" s="120">
        <v>0.05791476066640325</v>
      </c>
      <c r="R55" s="177"/>
      <c r="S55" s="144"/>
      <c r="T55" s="144"/>
      <c r="U55" s="144"/>
      <c r="V55" s="144"/>
      <c r="W55" s="144"/>
      <c r="X55" s="144"/>
      <c r="Y55" s="144"/>
      <c r="Z55" s="144"/>
      <c r="AA55" s="144"/>
      <c r="AB55" s="144"/>
      <c r="AC55" s="144"/>
      <c r="AD55" s="144"/>
      <c r="AE55" s="144"/>
      <c r="AF55" s="144"/>
      <c r="AH55" s="11"/>
      <c r="AO55" s="23"/>
      <c r="AP55" s="23"/>
      <c r="AQ55" s="23"/>
      <c r="AR55" s="23"/>
      <c r="AS55" s="23"/>
      <c r="AT55" s="23"/>
      <c r="AU55" s="23"/>
      <c r="AV55" s="23"/>
      <c r="AW55" s="23"/>
      <c r="AX55" s="23"/>
      <c r="AY55" s="23"/>
      <c r="AZ55" s="23"/>
      <c r="BA55" s="23"/>
      <c r="BB55" s="23"/>
      <c r="BC55" s="23"/>
    </row>
    <row r="56">
      <c r="A56" s="110"/>
      <c r="B56" s="93">
        <f t="shared" si="8"/>
        <v>6000000</v>
      </c>
      <c r="C56" s="144">
        <v>0.03083522838632393</v>
      </c>
      <c r="D56" s="144">
        <v>0.04407540410195432</v>
      </c>
      <c r="E56" s="144">
        <v>0.048489615401268116</v>
      </c>
      <c r="F56" s="144">
        <v>0.0506973349963606</v>
      </c>
      <c r="G56" s="144">
        <v>0.052022457430119684</v>
      </c>
      <c r="H56" s="144">
        <v>0.05467637399551091</v>
      </c>
      <c r="I56" s="144">
        <v>0.055565077930526084</v>
      </c>
      <c r="J56" s="144">
        <v>0.054688569307925684</v>
      </c>
      <c r="K56" s="144">
        <v>0.05522419510171073</v>
      </c>
      <c r="L56" s="144">
        <v>0.05558328193331339</v>
      </c>
      <c r="M56" s="144">
        <v>0.05508496982432004</v>
      </c>
      <c r="N56" s="144">
        <v>0.055374670634652665</v>
      </c>
      <c r="O56" s="144">
        <v>0.055601309372756653</v>
      </c>
      <c r="P56" s="145">
        <v>0.05525424107196274</v>
      </c>
      <c r="R56" s="177"/>
      <c r="S56" s="51"/>
      <c r="T56" s="51"/>
      <c r="U56" s="51"/>
      <c r="V56" s="51"/>
      <c r="W56" s="51"/>
      <c r="X56" s="51"/>
      <c r="Y56" s="51"/>
      <c r="Z56" s="51"/>
      <c r="AA56" s="51"/>
      <c r="AB56" s="51"/>
      <c r="AC56" s="51"/>
      <c r="AD56" s="51"/>
      <c r="AE56" s="51"/>
      <c r="AF56" s="51"/>
      <c r="AH56" s="11"/>
      <c r="AO56" s="23"/>
      <c r="AP56" s="23"/>
      <c r="AQ56" s="23"/>
      <c r="AR56" s="23"/>
      <c r="AS56" s="23"/>
      <c r="AT56" s="23"/>
      <c r="AU56" s="23"/>
      <c r="AV56" s="23"/>
      <c r="AW56" s="23"/>
      <c r="AX56" s="23"/>
      <c r="AY56" s="23"/>
      <c r="AZ56" s="23"/>
      <c r="BA56" s="23"/>
      <c r="BB56" s="23"/>
      <c r="BC56" s="23"/>
    </row>
    <row r="57">
      <c r="A57" s="110"/>
      <c r="B57" s="93">
        <f t="shared" si="8"/>
        <v>6500000</v>
      </c>
      <c r="C57" s="51">
        <v>0.02848792482018857</v>
      </c>
      <c r="D57" s="51">
        <v>0.041728100535818956</v>
      </c>
      <c r="E57" s="51">
        <v>0.04614231183513275</v>
      </c>
      <c r="F57" s="51">
        <v>0.04835003143022524</v>
      </c>
      <c r="G57" s="51">
        <v>0.04967515386398433</v>
      </c>
      <c r="H57" s="51">
        <v>0.052329070429375554</v>
      </c>
      <c r="I57" s="51">
        <v>0.05321777436439072</v>
      </c>
      <c r="J57" s="51">
        <v>0.052341265741790335</v>
      </c>
      <c r="K57" s="51">
        <v>0.05287689153557536</v>
      </c>
      <c r="L57" s="51">
        <v>0.05323597836717803</v>
      </c>
      <c r="M57" s="51">
        <v>0.05273766625818468</v>
      </c>
      <c r="N57" s="51">
        <v>0.05302736706851731</v>
      </c>
      <c r="O57" s="51">
        <v>0.05325400580662129</v>
      </c>
      <c r="P57" s="150">
        <v>0.05290693750582737</v>
      </c>
      <c r="R57" s="177"/>
      <c r="S57" s="51"/>
      <c r="T57" s="51"/>
      <c r="U57" s="51"/>
      <c r="V57" s="51"/>
      <c r="W57" s="51"/>
      <c r="X57" s="51"/>
      <c r="Y57" s="51"/>
      <c r="Z57" s="51"/>
      <c r="AA57" s="51"/>
      <c r="AB57" s="51"/>
      <c r="AC57" s="51"/>
      <c r="AD57" s="51"/>
      <c r="AE57" s="51"/>
      <c r="AF57" s="51"/>
      <c r="AH57" s="11"/>
      <c r="AO57" s="23"/>
      <c r="AP57" s="23"/>
      <c r="AQ57" s="23"/>
      <c r="AR57" s="23"/>
      <c r="AS57" s="23"/>
      <c r="AT57" s="23"/>
      <c r="AU57" s="23"/>
      <c r="AV57" s="23"/>
      <c r="AW57" s="23"/>
      <c r="AX57" s="23"/>
      <c r="AY57" s="23"/>
      <c r="AZ57" s="23"/>
      <c r="BA57" s="23"/>
      <c r="BB57" s="23"/>
      <c r="BC57" s="23"/>
    </row>
    <row r="58">
      <c r="A58" s="110"/>
      <c r="B58" s="93">
        <f t="shared" si="8"/>
        <v>7000000</v>
      </c>
      <c r="C58" s="51">
        <v>0.02639684033015995</v>
      </c>
      <c r="D58" s="51">
        <v>0.039637016045790334</v>
      </c>
      <c r="E58" s="51">
        <v>0.04405122734510413</v>
      </c>
      <c r="F58" s="51">
        <v>0.04625894694019662</v>
      </c>
      <c r="G58" s="51">
        <v>0.047584069373955706</v>
      </c>
      <c r="H58" s="51">
        <v>0.05023798593934693</v>
      </c>
      <c r="I58" s="51">
        <v>0.05112668987436209</v>
      </c>
      <c r="J58" s="51">
        <v>0.050250181251761714</v>
      </c>
      <c r="K58" s="51">
        <v>0.050785807045546735</v>
      </c>
      <c r="L58" s="51">
        <v>0.051144893877149405</v>
      </c>
      <c r="M58" s="51">
        <v>0.050646581768156056</v>
      </c>
      <c r="N58" s="51">
        <v>0.05093628257848869</v>
      </c>
      <c r="O58" s="51">
        <v>0.051162921316592676</v>
      </c>
      <c r="P58" s="150">
        <v>0.05081585301579875</v>
      </c>
      <c r="R58" s="177"/>
      <c r="S58" s="51"/>
      <c r="T58" s="51"/>
      <c r="U58" s="51"/>
      <c r="V58" s="51"/>
      <c r="W58" s="51"/>
      <c r="X58" s="51"/>
      <c r="Y58" s="51"/>
      <c r="Z58" s="51"/>
      <c r="AA58" s="51"/>
      <c r="AB58" s="51"/>
      <c r="AC58" s="51"/>
      <c r="AD58" s="51"/>
      <c r="AE58" s="51"/>
      <c r="AF58" s="51"/>
      <c r="AH58" s="11"/>
      <c r="AO58" s="23"/>
      <c r="AP58" s="23"/>
      <c r="AQ58" s="23"/>
      <c r="AR58" s="23"/>
      <c r="AS58" s="23"/>
      <c r="AT58" s="23"/>
      <c r="AU58" s="23"/>
      <c r="AV58" s="23"/>
      <c r="AW58" s="23"/>
      <c r="AX58" s="23"/>
      <c r="AY58" s="23"/>
      <c r="AZ58" s="23"/>
      <c r="BA58" s="23"/>
      <c r="BB58" s="23"/>
      <c r="BC58" s="23"/>
    </row>
    <row r="59">
      <c r="A59" s="110"/>
      <c r="B59" s="93">
        <f t="shared" si="8"/>
        <v>7500000</v>
      </c>
      <c r="C59" s="51">
        <v>0.02451851600082696</v>
      </c>
      <c r="D59" s="51">
        <v>0.03775869171645735</v>
      </c>
      <c r="E59" s="51">
        <v>0.04217290301577114</v>
      </c>
      <c r="F59" s="51">
        <v>0.04438062261086363</v>
      </c>
      <c r="G59" s="51">
        <v>0.04570574504462272</v>
      </c>
      <c r="H59" s="51">
        <v>0.04835966161001395</v>
      </c>
      <c r="I59" s="51">
        <v>0.04924836554502911</v>
      </c>
      <c r="J59" s="51">
        <v>0.04837185692242872</v>
      </c>
      <c r="K59" s="51">
        <v>0.04890748271621375</v>
      </c>
      <c r="L59" s="51">
        <v>0.04926656954781641</v>
      </c>
      <c r="M59" s="51">
        <v>0.04876825743882307</v>
      </c>
      <c r="N59" s="51">
        <v>0.0490579582491557</v>
      </c>
      <c r="O59" s="51">
        <v>0.04928459698725969</v>
      </c>
      <c r="P59" s="150">
        <v>0.04893752868646576</v>
      </c>
      <c r="R59" s="177"/>
      <c r="S59" s="51"/>
      <c r="T59" s="51"/>
      <c r="U59" s="51"/>
      <c r="V59" s="51"/>
      <c r="W59" s="51"/>
      <c r="X59" s="51"/>
      <c r="Y59" s="51"/>
      <c r="Z59" s="51"/>
      <c r="AA59" s="51"/>
      <c r="AB59" s="51"/>
      <c r="AC59" s="51"/>
      <c r="AD59" s="51"/>
      <c r="AE59" s="51"/>
      <c r="AF59" s="51"/>
      <c r="AH59" s="11"/>
      <c r="AO59" s="23"/>
      <c r="AP59" s="23"/>
      <c r="AQ59" s="23"/>
      <c r="AR59" s="23"/>
      <c r="AS59" s="23"/>
      <c r="AT59" s="23"/>
      <c r="AU59" s="23"/>
      <c r="AV59" s="23"/>
      <c r="AW59" s="23"/>
      <c r="AX59" s="23"/>
      <c r="AY59" s="23"/>
      <c r="AZ59" s="23"/>
      <c r="BA59" s="23"/>
      <c r="BB59" s="23"/>
      <c r="BC59" s="23"/>
    </row>
    <row r="60">
      <c r="A60" s="110"/>
      <c r="B60" s="93">
        <f t="shared" si="8"/>
        <v>8000000</v>
      </c>
      <c r="C60" s="51">
        <v>0.022819158725279703</v>
      </c>
      <c r="D60" s="51">
        <v>0.03605933444091009</v>
      </c>
      <c r="E60" s="51">
        <v>0.04047354574022389</v>
      </c>
      <c r="F60" s="51">
        <v>0.042681265335316375</v>
      </c>
      <c r="G60" s="51">
        <v>0.044006387769075464</v>
      </c>
      <c r="H60" s="51">
        <v>0.04666030433446669</v>
      </c>
      <c r="I60" s="51">
        <v>0.04754900826948185</v>
      </c>
      <c r="J60" s="51">
        <v>0.046672499646881464</v>
      </c>
      <c r="K60" s="51">
        <v>0.0472081254406665</v>
      </c>
      <c r="L60" s="51">
        <v>0.04756721227226916</v>
      </c>
      <c r="M60" s="51">
        <v>0.04706890016327581</v>
      </c>
      <c r="N60" s="51">
        <v>0.047358600973608445</v>
      </c>
      <c r="O60" s="51">
        <v>0.04758523971171243</v>
      </c>
      <c r="P60" s="150">
        <v>0.04723817141091851</v>
      </c>
      <c r="R60" s="177"/>
      <c r="S60" s="51"/>
      <c r="T60" s="51"/>
      <c r="U60" s="51"/>
      <c r="V60" s="51"/>
      <c r="W60" s="51"/>
      <c r="X60" s="51"/>
      <c r="Y60" s="51"/>
      <c r="Z60" s="51"/>
      <c r="AA60" s="51"/>
      <c r="AB60" s="51"/>
      <c r="AC60" s="51"/>
      <c r="AD60" s="51"/>
      <c r="AE60" s="51"/>
      <c r="AF60" s="51"/>
      <c r="AH60" s="11"/>
      <c r="AO60" s="23"/>
      <c r="AP60" s="23"/>
      <c r="AQ60" s="23"/>
      <c r="AR60" s="23"/>
      <c r="AS60" s="23"/>
      <c r="AT60" s="23"/>
      <c r="AU60" s="23"/>
      <c r="AV60" s="23"/>
      <c r="AW60" s="23"/>
      <c r="AX60" s="23"/>
      <c r="AY60" s="23"/>
      <c r="AZ60" s="23"/>
      <c r="BA60" s="23"/>
      <c r="BB60" s="23"/>
      <c r="BC60" s="23"/>
    </row>
    <row r="61">
      <c r="A61" s="110"/>
      <c r="B61" s="93">
        <f t="shared" si="8"/>
        <v>8500000</v>
      </c>
      <c r="C61" s="51">
        <v>0.021272041945680067</v>
      </c>
      <c r="D61" s="51">
        <v>0.03451221766131045</v>
      </c>
      <c r="E61" s="51">
        <v>0.038926428960624246</v>
      </c>
      <c r="F61" s="51">
        <v>0.04113414855571673</v>
      </c>
      <c r="G61" s="51">
        <v>0.04245927098947582</v>
      </c>
      <c r="H61" s="51">
        <v>0.04511318755486705</v>
      </c>
      <c r="I61" s="51">
        <v>0.046001891489882214</v>
      </c>
      <c r="J61" s="51">
        <v>0.04512538286728182</v>
      </c>
      <c r="K61" s="51">
        <v>0.04566100866106686</v>
      </c>
      <c r="L61" s="51">
        <v>0.04602009549266952</v>
      </c>
      <c r="M61" s="51">
        <v>0.04552178338367617</v>
      </c>
      <c r="N61" s="51">
        <v>0.0458114841940088</v>
      </c>
      <c r="O61" s="51">
        <v>0.0460381229321128</v>
      </c>
      <c r="P61" s="150">
        <v>0.04569105463131887</v>
      </c>
      <c r="R61" s="177"/>
      <c r="S61" s="51"/>
      <c r="T61" s="51"/>
      <c r="U61" s="51"/>
      <c r="V61" s="51"/>
      <c r="W61" s="51"/>
      <c r="X61" s="51"/>
      <c r="Y61" s="51"/>
      <c r="Z61" s="51"/>
      <c r="AA61" s="51"/>
      <c r="AB61" s="51"/>
      <c r="AC61" s="51"/>
      <c r="AD61" s="51"/>
      <c r="AE61" s="51"/>
      <c r="AF61" s="51"/>
      <c r="AH61" s="11"/>
      <c r="AO61" s="23"/>
      <c r="AP61" s="23"/>
      <c r="AQ61" s="23"/>
      <c r="AR61" s="23"/>
      <c r="AS61" s="23"/>
      <c r="AT61" s="23"/>
      <c r="AU61" s="23"/>
      <c r="AV61" s="23"/>
      <c r="AW61" s="23"/>
      <c r="AX61" s="23"/>
      <c r="AY61" s="23"/>
      <c r="AZ61" s="23"/>
      <c r="BA61" s="23"/>
      <c r="BB61" s="23"/>
      <c r="BC61" s="23"/>
    </row>
    <row r="62">
      <c r="A62" s="110"/>
      <c r="B62" s="93">
        <f t="shared" si="8"/>
        <v>9000000</v>
      </c>
      <c r="C62" s="51">
        <v>0.0198557126283038</v>
      </c>
      <c r="D62" s="51">
        <v>0.033095888343934184</v>
      </c>
      <c r="E62" s="51">
        <v>0.037510099643247974</v>
      </c>
      <c r="F62" s="51">
        <v>0.03971781923834047</v>
      </c>
      <c r="G62" s="51">
        <v>0.041042941672099556</v>
      </c>
      <c r="H62" s="51">
        <v>0.04369685823749078</v>
      </c>
      <c r="I62" s="51">
        <v>0.04458556217250595</v>
      </c>
      <c r="J62" s="51">
        <v>0.04370905354990556</v>
      </c>
      <c r="K62" s="51">
        <v>0.04424467934369059</v>
      </c>
      <c r="L62" s="51">
        <v>0.044603766175293255</v>
      </c>
      <c r="M62" s="51">
        <v>0.04410545406629991</v>
      </c>
      <c r="N62" s="51">
        <v>0.04439515487663254</v>
      </c>
      <c r="O62" s="51">
        <v>0.044621793614736525</v>
      </c>
      <c r="P62" s="150">
        <v>0.044274725313942595</v>
      </c>
      <c r="R62" s="177"/>
      <c r="S62" s="51"/>
      <c r="T62" s="51"/>
      <c r="U62" s="51"/>
      <c r="V62" s="51"/>
      <c r="W62" s="51"/>
      <c r="X62" s="51"/>
      <c r="Y62" s="51"/>
      <c r="Z62" s="51"/>
      <c r="AA62" s="51"/>
      <c r="AB62" s="51"/>
      <c r="AC62" s="51"/>
      <c r="AD62" s="51"/>
      <c r="AE62" s="51"/>
      <c r="AF62" s="51"/>
      <c r="AH62" s="11"/>
      <c r="AO62" s="23"/>
      <c r="AP62" s="23"/>
      <c r="AQ62" s="23"/>
      <c r="AR62" s="23"/>
      <c r="AS62" s="23"/>
      <c r="AT62" s="23"/>
      <c r="AU62" s="23"/>
      <c r="AV62" s="23"/>
      <c r="AW62" s="23"/>
      <c r="AX62" s="23"/>
      <c r="AY62" s="23"/>
      <c r="AZ62" s="23"/>
      <c r="BA62" s="23"/>
      <c r="BB62" s="23"/>
      <c r="BC62" s="23"/>
    </row>
    <row r="63">
      <c r="A63" s="110"/>
      <c r="B63" s="93">
        <f t="shared" si="8"/>
        <v>9500000</v>
      </c>
      <c r="C63" s="51">
        <v>0.018552724672916236</v>
      </c>
      <c r="D63" s="51">
        <v>0.031792900388546624</v>
      </c>
      <c r="E63" s="51">
        <v>0.03620711168786042</v>
      </c>
      <c r="F63" s="51">
        <v>0.03841483128295291</v>
      </c>
      <c r="G63" s="51">
        <v>0.039739953716712</v>
      </c>
      <c r="H63" s="51">
        <v>0.04239387028210322</v>
      </c>
      <c r="I63" s="51">
        <v>0.04328257421711838</v>
      </c>
      <c r="J63" s="51">
        <v>0.042406065594518</v>
      </c>
      <c r="K63" s="51">
        <v>0.04294169138830303</v>
      </c>
      <c r="L63" s="51">
        <v>0.043300778219905696</v>
      </c>
      <c r="M63" s="51">
        <v>0.042802466110912346</v>
      </c>
      <c r="N63" s="51">
        <v>0.04309216692124498</v>
      </c>
      <c r="O63" s="51">
        <v>0.043318805659348966</v>
      </c>
      <c r="P63" s="150">
        <v>0.042971737358555036</v>
      </c>
      <c r="R63" s="177"/>
      <c r="S63" s="144"/>
      <c r="T63" s="144"/>
      <c r="U63" s="144"/>
      <c r="V63" s="144"/>
      <c r="W63" s="144"/>
      <c r="X63" s="144"/>
      <c r="Y63" s="144"/>
      <c r="Z63" s="144"/>
      <c r="AA63" s="144"/>
      <c r="AB63" s="144"/>
      <c r="AC63" s="144"/>
      <c r="AD63" s="144"/>
      <c r="AE63" s="144"/>
      <c r="AF63" s="144"/>
      <c r="AH63" s="11"/>
      <c r="AO63" s="23"/>
      <c r="AP63" s="23"/>
      <c r="AQ63" s="23"/>
      <c r="AR63" s="23"/>
      <c r="AS63" s="23"/>
      <c r="AT63" s="23"/>
      <c r="AU63" s="23"/>
      <c r="AV63" s="23"/>
      <c r="AW63" s="23"/>
      <c r="AX63" s="23"/>
      <c r="AY63" s="23"/>
      <c r="AZ63" s="23"/>
      <c r="BA63" s="23"/>
      <c r="BB63" s="23"/>
      <c r="BC63" s="23"/>
    </row>
    <row r="64">
      <c r="A64" s="146"/>
      <c r="B64" s="156">
        <f t="shared" si="8"/>
        <v>10000000</v>
      </c>
      <c r="C64" s="457">
        <v>0.01734872533103955</v>
      </c>
      <c r="D64" s="457">
        <v>0.030588901046669937</v>
      </c>
      <c r="E64" s="457">
        <v>0.03500311234598373</v>
      </c>
      <c r="F64" s="457">
        <v>0.03721083194107622</v>
      </c>
      <c r="G64" s="457">
        <v>0.038535954374835306</v>
      </c>
      <c r="H64" s="457">
        <v>0.04118987094022653</v>
      </c>
      <c r="I64" s="457">
        <v>0.0420785748752417</v>
      </c>
      <c r="J64" s="457">
        <v>0.04120206625264131</v>
      </c>
      <c r="K64" s="457">
        <v>0.04173769204642634</v>
      </c>
      <c r="L64" s="457">
        <v>0.042096778878029005</v>
      </c>
      <c r="M64" s="457">
        <v>0.041598466769035655</v>
      </c>
      <c r="N64" s="457">
        <v>0.041888167579368286</v>
      </c>
      <c r="O64" s="457">
        <v>0.04211480631747228</v>
      </c>
      <c r="P64" s="458">
        <v>0.041767738016678345</v>
      </c>
      <c r="Q64" s="51"/>
      <c r="R64" s="51"/>
      <c r="S64" s="51"/>
      <c r="T64" s="51"/>
      <c r="U64" s="51"/>
      <c r="V64" s="51"/>
      <c r="W64" s="51"/>
      <c r="X64" s="51"/>
      <c r="Y64" s="51"/>
      <c r="Z64" s="51"/>
      <c r="AA64" s="51"/>
      <c r="AB64" s="51"/>
      <c r="AC64" s="51"/>
      <c r="AD64" s="51"/>
      <c r="AE64" s="51"/>
      <c r="AF64" s="51"/>
      <c r="AO64" s="23"/>
      <c r="AP64" s="23"/>
      <c r="AQ64" s="23"/>
      <c r="AR64" s="23"/>
      <c r="AS64" s="23"/>
      <c r="AT64" s="23"/>
      <c r="AU64" s="23"/>
      <c r="AV64" s="23"/>
      <c r="AW64" s="23"/>
      <c r="AX64" s="23"/>
      <c r="AY64" s="23"/>
      <c r="AZ64" s="23"/>
      <c r="BA64" s="23"/>
      <c r="BB64" s="23"/>
      <c r="BC64" s="23"/>
    </row>
    <row r="65">
      <c r="M65" s="51"/>
      <c r="N65" s="51"/>
      <c r="O65" s="51"/>
      <c r="P65" s="51"/>
      <c r="Q65" s="51"/>
      <c r="R65" s="51"/>
      <c r="S65" s="51"/>
      <c r="T65" s="51"/>
      <c r="U65" s="51"/>
      <c r="V65" s="51"/>
      <c r="W65" s="51"/>
      <c r="X65" s="51"/>
      <c r="Y65" s="51"/>
      <c r="Z65" s="51"/>
      <c r="AA65" s="51"/>
      <c r="AB65" s="51"/>
      <c r="AC65" s="51"/>
      <c r="AD65" s="51"/>
      <c r="AE65" s="51"/>
      <c r="AF65" s="51"/>
      <c r="AO65" s="23"/>
      <c r="AP65" s="23"/>
      <c r="AQ65" s="23"/>
      <c r="AR65" s="23"/>
      <c r="AS65" s="23"/>
      <c r="AT65" s="23"/>
      <c r="AU65" s="23"/>
      <c r="AV65" s="23"/>
      <c r="AW65" s="23"/>
      <c r="AX65" s="23"/>
      <c r="AY65" s="23"/>
      <c r="AZ65" s="23"/>
      <c r="BA65" s="23"/>
      <c r="BB65" s="23"/>
      <c r="BC65" s="23"/>
    </row>
    <row r="66">
      <c r="A66" s="70" t="s">
        <v>109</v>
      </c>
      <c r="B66" s="71"/>
      <c r="C66" s="71"/>
      <c r="D66" s="71"/>
      <c r="E66" s="71"/>
      <c r="F66" s="71"/>
      <c r="G66" s="71"/>
      <c r="H66" s="71"/>
      <c r="I66" s="71"/>
      <c r="J66" s="71"/>
      <c r="K66" s="71"/>
      <c r="L66" s="18"/>
      <c r="M66" s="51"/>
      <c r="N66" s="433" t="s">
        <v>108</v>
      </c>
      <c r="O66" s="434"/>
      <c r="P66" s="434"/>
      <c r="Q66" s="434"/>
      <c r="R66" s="434"/>
      <c r="S66" s="434"/>
      <c r="T66" s="73"/>
      <c r="U66" s="73"/>
      <c r="V66" s="73"/>
      <c r="W66" s="73"/>
      <c r="X66" s="73"/>
      <c r="Y66" s="480"/>
      <c r="Z66" s="51"/>
      <c r="AA66" s="51"/>
      <c r="AB66" s="51"/>
      <c r="AC66" s="51"/>
      <c r="AD66" s="51"/>
      <c r="AE66" s="51"/>
      <c r="AF66" s="51"/>
      <c r="AO66" s="23"/>
      <c r="AP66" s="23"/>
      <c r="AQ66" s="23"/>
      <c r="AR66" s="23"/>
      <c r="AS66" s="23"/>
      <c r="AT66" s="23"/>
      <c r="AU66" s="23"/>
      <c r="AV66" s="23"/>
      <c r="AW66" s="23"/>
      <c r="AX66" s="23"/>
      <c r="AY66" s="23"/>
      <c r="AZ66" s="23"/>
      <c r="BA66" s="23"/>
      <c r="BB66" s="23"/>
      <c r="BC66" s="23"/>
    </row>
    <row r="67">
      <c r="A67" s="85" t="s">
        <v>58</v>
      </c>
      <c r="B67" s="182"/>
      <c r="C67" s="182"/>
      <c r="D67" s="182"/>
      <c r="E67" s="183" t="s">
        <v>59</v>
      </c>
      <c r="F67" s="183"/>
      <c r="G67" s="183"/>
      <c r="H67" s="183"/>
      <c r="I67" s="183"/>
      <c r="J67" s="183"/>
      <c r="K67" s="183"/>
      <c r="L67" s="184"/>
      <c r="M67" s="51"/>
      <c r="N67" s="435" t="s">
        <v>58</v>
      </c>
      <c r="O67" s="80"/>
      <c r="P67" s="80"/>
      <c r="Q67" s="80"/>
      <c r="R67" s="436" t="s">
        <v>59</v>
      </c>
      <c r="S67" s="437"/>
      <c r="T67" s="481"/>
      <c r="U67" s="437"/>
      <c r="V67" s="82"/>
      <c r="W67" s="82"/>
      <c r="X67" s="82"/>
      <c r="Y67" s="482"/>
      <c r="Z67" s="51"/>
      <c r="AA67" s="51"/>
      <c r="AB67" s="51"/>
      <c r="AC67" s="51"/>
      <c r="AD67" s="51"/>
      <c r="AE67" s="51"/>
      <c r="AF67" s="51"/>
      <c r="AO67" s="23"/>
      <c r="AP67" s="23"/>
      <c r="AQ67" s="23"/>
      <c r="AR67" s="23"/>
      <c r="AS67" s="23"/>
      <c r="AT67" s="23"/>
      <c r="AU67" s="23"/>
      <c r="AV67" s="23"/>
      <c r="AW67" s="23"/>
      <c r="AX67" s="23"/>
      <c r="AY67" s="23"/>
      <c r="AZ67" s="23"/>
      <c r="BA67" s="23"/>
      <c r="BB67" s="23"/>
      <c r="BC67" s="23"/>
    </row>
    <row r="68">
      <c r="A68" s="90"/>
      <c r="B68" s="239">
        <f>$F$41</f>
        <v>0.005224493572</v>
      </c>
      <c r="C68" s="386">
        <f t="shared" ref="C68:E68" si="9">D68-0.05</f>
        <v>0.7</v>
      </c>
      <c r="D68" s="386">
        <f t="shared" si="9"/>
        <v>0.75</v>
      </c>
      <c r="E68" s="386">
        <f t="shared" si="9"/>
        <v>0.8</v>
      </c>
      <c r="F68" s="119">
        <v>0.85</v>
      </c>
      <c r="G68" s="387">
        <v>0.9</v>
      </c>
      <c r="H68" s="386">
        <f t="shared" ref="H68:L68" si="10">G68+0.02</f>
        <v>0.92</v>
      </c>
      <c r="I68" s="386">
        <f t="shared" si="10"/>
        <v>0.94</v>
      </c>
      <c r="J68" s="386">
        <f t="shared" si="10"/>
        <v>0.96</v>
      </c>
      <c r="K68" s="386">
        <f t="shared" si="10"/>
        <v>0.98</v>
      </c>
      <c r="L68" s="388">
        <f t="shared" si="10"/>
        <v>1</v>
      </c>
      <c r="M68" s="51"/>
      <c r="N68" s="95"/>
      <c r="O68" s="483">
        <f>$F$32</f>
        <v>0.003874588133</v>
      </c>
      <c r="P68" s="97">
        <f t="shared" ref="P68:R68" si="11">Q68-0.05</f>
        <v>0.7</v>
      </c>
      <c r="Q68" s="97">
        <f t="shared" si="11"/>
        <v>0.75</v>
      </c>
      <c r="R68" s="97">
        <f t="shared" si="11"/>
        <v>0.8</v>
      </c>
      <c r="S68" s="484">
        <v>0.85</v>
      </c>
      <c r="T68" s="98">
        <v>0.9</v>
      </c>
      <c r="U68" s="97">
        <f t="shared" ref="U68:Y68" si="12">T68+0.02</f>
        <v>0.92</v>
      </c>
      <c r="V68" s="97">
        <f t="shared" si="12"/>
        <v>0.94</v>
      </c>
      <c r="W68" s="97">
        <f t="shared" si="12"/>
        <v>0.96</v>
      </c>
      <c r="X68" s="97">
        <f t="shared" si="12"/>
        <v>0.98</v>
      </c>
      <c r="Y68" s="99">
        <f t="shared" si="12"/>
        <v>1</v>
      </c>
      <c r="Z68" s="51"/>
      <c r="AA68" s="51"/>
      <c r="AB68" s="51"/>
      <c r="AC68" s="51"/>
      <c r="AD68" s="51"/>
      <c r="AE68" s="51"/>
      <c r="AF68" s="51"/>
      <c r="AO68" s="23"/>
      <c r="AP68" s="23"/>
      <c r="AQ68" s="23"/>
      <c r="AR68" s="23"/>
      <c r="AS68" s="23"/>
      <c r="AT68" s="23"/>
      <c r="AU68" s="23"/>
      <c r="AV68" s="23"/>
      <c r="AW68" s="23"/>
      <c r="AX68" s="23"/>
      <c r="AY68" s="23"/>
      <c r="AZ68" s="23"/>
      <c r="BA68" s="23"/>
      <c r="BB68" s="23"/>
      <c r="BC68" s="23"/>
    </row>
    <row r="69">
      <c r="A69" s="102" t="s">
        <v>66</v>
      </c>
      <c r="B69" s="103">
        <v>2000000.0</v>
      </c>
      <c r="C69" s="14">
        <v>0.05396764593046697</v>
      </c>
      <c r="D69" s="14">
        <v>0.059283603016139046</v>
      </c>
      <c r="E69" s="14">
        <v>0.06450028898433396</v>
      </c>
      <c r="F69" s="14">
        <v>0.06961770383505173</v>
      </c>
      <c r="G69" s="288">
        <v>0.07463584756829236</v>
      </c>
      <c r="H69" s="14">
        <v>0.07661530914869503</v>
      </c>
      <c r="I69" s="14">
        <v>0.07857888735030134</v>
      </c>
      <c r="J69" s="14">
        <v>0.0805265821731113</v>
      </c>
      <c r="K69" s="14">
        <v>0.08245839361712494</v>
      </c>
      <c r="L69" s="120">
        <v>0.0843743216823422</v>
      </c>
      <c r="N69" s="102" t="s">
        <v>66</v>
      </c>
      <c r="O69" s="301">
        <v>2000000.0</v>
      </c>
      <c r="P69" s="485">
        <f>'Average Validator'!AL73</f>
        <v>0.0841961379</v>
      </c>
      <c r="Q69" s="485">
        <f>'Average Validator'!AM73</f>
        <v>0.08919702737</v>
      </c>
      <c r="R69" s="485">
        <f>'Average Validator'!AN73</f>
        <v>0.09412306957</v>
      </c>
      <c r="S69" s="485">
        <f>'Average Validator'!AO73</f>
        <v>0.0989889188</v>
      </c>
      <c r="T69" s="486">
        <f>'Average Validator'!AP73</f>
        <v>0.1038092294</v>
      </c>
      <c r="U69" s="485">
        <f>'Average Validator'!AQ73</f>
        <v>0.1057278854</v>
      </c>
      <c r="V69" s="485">
        <f>'Average Validator'!AR73</f>
        <v>0.1076425377</v>
      </c>
      <c r="W69" s="485">
        <f>'Average Validator'!AS73</f>
        <v>0.1095541243</v>
      </c>
      <c r="X69" s="485">
        <f>'Average Validator'!AT73</f>
        <v>0.1114635831</v>
      </c>
      <c r="Y69" s="487">
        <f>'Average Validator'!AU73</f>
        <v>0.1133718518</v>
      </c>
      <c r="AO69" s="23"/>
      <c r="AP69" s="23"/>
      <c r="AQ69" s="23"/>
      <c r="AR69" s="23"/>
      <c r="AS69" s="23"/>
      <c r="AT69" s="23"/>
      <c r="AU69" s="23"/>
      <c r="AV69" s="23"/>
      <c r="AW69" s="23"/>
      <c r="AX69" s="23"/>
      <c r="AY69" s="23"/>
      <c r="AZ69" s="23"/>
      <c r="BA69" s="23"/>
      <c r="BB69" s="23"/>
      <c r="BC69" s="23"/>
    </row>
    <row r="70">
      <c r="A70" s="110"/>
      <c r="B70" s="93">
        <f t="shared" ref="B70:B85" si="13">B69+500000</f>
        <v>2500000</v>
      </c>
      <c r="C70" s="123">
        <v>0.04520877924587202</v>
      </c>
      <c r="D70" s="123">
        <v>0.04996351580948578</v>
      </c>
      <c r="E70" s="123">
        <v>0.05462946158634703</v>
      </c>
      <c r="F70" s="123">
        <v>0.05920661657645579</v>
      </c>
      <c r="G70" s="454">
        <v>0.06369498077981206</v>
      </c>
      <c r="H70" s="123">
        <v>0.06546546504086381</v>
      </c>
      <c r="I70" s="123">
        <v>0.06722174277603524</v>
      </c>
      <c r="J70" s="123">
        <v>0.06896381398532625</v>
      </c>
      <c r="K70" s="123">
        <v>0.07069167866873685</v>
      </c>
      <c r="L70" s="124">
        <v>0.07240533682626706</v>
      </c>
      <c r="N70" s="110"/>
      <c r="O70" s="301">
        <f t="shared" ref="O70:O85" si="14">O69+500000</f>
        <v>2500000</v>
      </c>
      <c r="P70" s="485">
        <f>'Average Validator'!AL74</f>
        <v>0.07530731512</v>
      </c>
      <c r="Q70" s="485">
        <f>'Average Validator'!AM74</f>
        <v>0.07978024664</v>
      </c>
      <c r="R70" s="485">
        <f>'Average Validator'!AN74</f>
        <v>0.08418623272</v>
      </c>
      <c r="S70" s="485">
        <f>'Average Validator'!AO74</f>
        <v>0.08853838058</v>
      </c>
      <c r="T70" s="486">
        <f>'Average Validator'!AP74</f>
        <v>0.09284979743</v>
      </c>
      <c r="U70" s="485">
        <f>'Average Validator'!AQ74</f>
        <v>0.09456589551</v>
      </c>
      <c r="V70" s="485">
        <f>'Average Validator'!AR74</f>
        <v>0.09627841263</v>
      </c>
      <c r="W70" s="485">
        <f>'Average Validator'!AS74</f>
        <v>0.09798818767</v>
      </c>
      <c r="X70" s="485">
        <f>'Average Validator'!AT74</f>
        <v>0.09969605949</v>
      </c>
      <c r="Y70" s="487">
        <f>'Average Validator'!AU74</f>
        <v>0.1014028669</v>
      </c>
      <c r="AO70" s="23"/>
      <c r="AP70" s="23"/>
      <c r="AQ70" s="23"/>
      <c r="AR70" s="23"/>
      <c r="AS70" s="23"/>
      <c r="AT70" s="23"/>
      <c r="AU70" s="23"/>
      <c r="AV70" s="23"/>
      <c r="AW70" s="23"/>
      <c r="AX70" s="23"/>
      <c r="AY70" s="23"/>
      <c r="AZ70" s="23"/>
      <c r="BA70" s="23"/>
      <c r="BB70" s="23"/>
      <c r="BC70" s="23"/>
    </row>
    <row r="71">
      <c r="A71" s="110"/>
      <c r="B71" s="93">
        <f t="shared" si="13"/>
        <v>3000000</v>
      </c>
      <c r="C71" s="14">
        <v>0.03874325246168918</v>
      </c>
      <c r="D71" s="14">
        <v>0.04308371324649891</v>
      </c>
      <c r="E71" s="14">
        <v>0.047343119503303686</v>
      </c>
      <c r="F71" s="14">
        <v>0.05152147123210354</v>
      </c>
      <c r="G71" s="288">
        <v>0.0556187684328984</v>
      </c>
      <c r="H71" s="14">
        <v>0.05723499204537498</v>
      </c>
      <c r="I71" s="14">
        <v>0.05883824693337074</v>
      </c>
      <c r="J71" s="14">
        <v>0.060428533096885714</v>
      </c>
      <c r="K71" s="14">
        <v>0.062005850535919865</v>
      </c>
      <c r="L71" s="120">
        <v>0.06357019925047329</v>
      </c>
      <c r="N71" s="110"/>
      <c r="O71" s="301">
        <f t="shared" si="14"/>
        <v>3000000</v>
      </c>
      <c r="P71" s="485">
        <f>'Average Validator'!AL75</f>
        <v>0.06874585873</v>
      </c>
      <c r="Q71" s="485">
        <f>'Average Validator'!AM75</f>
        <v>0.07282906788</v>
      </c>
      <c r="R71" s="485">
        <f>'Average Validator'!AN75</f>
        <v>0.07685116449</v>
      </c>
      <c r="S71" s="485">
        <f>'Average Validator'!AO75</f>
        <v>0.08082411375</v>
      </c>
      <c r="T71" s="486">
        <f>'Average Validator'!AP75</f>
        <v>0.08475988086</v>
      </c>
      <c r="U71" s="485">
        <f>'Average Validator'!AQ75</f>
        <v>0.0863264569</v>
      </c>
      <c r="V71" s="485">
        <f>'Average Validator'!AR75</f>
        <v>0.087889764</v>
      </c>
      <c r="W71" s="485">
        <f>'Average Validator'!AS75</f>
        <v>0.08945056793</v>
      </c>
      <c r="X71" s="485">
        <f>'Average Validator'!AT75</f>
        <v>0.09100963446</v>
      </c>
      <c r="Y71" s="487">
        <f>'Average Validator'!AU75</f>
        <v>0.09256772937</v>
      </c>
      <c r="AO71" s="23"/>
      <c r="AP71" s="23"/>
      <c r="AQ71" s="23"/>
      <c r="AR71" s="23"/>
      <c r="AS71" s="23"/>
      <c r="AT71" s="23"/>
      <c r="AU71" s="23"/>
      <c r="AV71" s="23"/>
      <c r="AW71" s="23"/>
      <c r="AX71" s="23"/>
      <c r="AY71" s="23"/>
      <c r="AZ71" s="23"/>
      <c r="BA71" s="23"/>
      <c r="BB71" s="23"/>
      <c r="BC71" s="23"/>
    </row>
    <row r="72">
      <c r="A72" s="110"/>
      <c r="B72" s="93">
        <f t="shared" si="13"/>
        <v>3500000</v>
      </c>
      <c r="C72" s="14">
        <v>0.033718247968618324</v>
      </c>
      <c r="D72" s="14">
        <v>0.037736733805469755</v>
      </c>
      <c r="E72" s="14">
        <v>0.041680177731116576</v>
      </c>
      <c r="F72" s="14">
        <v>0.04554857974555887</v>
      </c>
      <c r="G72" s="288">
        <v>0.049341939848796576</v>
      </c>
      <c r="H72" s="14">
        <v>0.05083827215495437</v>
      </c>
      <c r="I72" s="14">
        <v>0.05232259775531943</v>
      </c>
      <c r="J72" s="14">
        <v>0.053794916649891805</v>
      </c>
      <c r="K72" s="14">
        <v>0.05525522883867141</v>
      </c>
      <c r="L72" s="120">
        <v>0.05670353432165828</v>
      </c>
      <c r="N72" s="110"/>
      <c r="O72" s="301">
        <f t="shared" si="14"/>
        <v>3500000</v>
      </c>
      <c r="P72" s="485">
        <f>'Average Validator'!AL76</f>
        <v>0.06364629779</v>
      </c>
      <c r="Q72" s="485">
        <f>'Average Validator'!AM76</f>
        <v>0.06742661489</v>
      </c>
      <c r="R72" s="485">
        <f>'Average Validator'!AN76</f>
        <v>0.07115035278</v>
      </c>
      <c r="S72" s="485">
        <f>'Average Validator'!AO76</f>
        <v>0.07482858906</v>
      </c>
      <c r="T72" s="486">
        <f>'Average Validator'!AP76</f>
        <v>0.07847240135</v>
      </c>
      <c r="U72" s="485">
        <f>'Average Validator'!AQ76</f>
        <v>0.07992276894</v>
      </c>
      <c r="V72" s="485">
        <f>'Average Validator'!AR76</f>
        <v>0.08137011007</v>
      </c>
      <c r="W72" s="485">
        <f>'Average Validator'!AS76</f>
        <v>0.08281513372</v>
      </c>
      <c r="X72" s="485">
        <f>'Average Validator'!AT76</f>
        <v>0.08425854886</v>
      </c>
      <c r="Y72" s="487">
        <f>'Average Validator'!AU76</f>
        <v>0.08570106444</v>
      </c>
      <c r="AO72" s="23"/>
      <c r="AP72" s="23"/>
      <c r="AQ72" s="23"/>
      <c r="AR72" s="23"/>
      <c r="AS72" s="23"/>
      <c r="AT72" s="23"/>
      <c r="AU72" s="23"/>
      <c r="AV72" s="23"/>
      <c r="AW72" s="23"/>
      <c r="AX72" s="23"/>
      <c r="AY72" s="23"/>
      <c r="AZ72" s="23"/>
      <c r="BA72" s="23"/>
      <c r="BB72" s="23"/>
      <c r="BC72" s="23"/>
    </row>
    <row r="73">
      <c r="A73" s="110"/>
      <c r="B73" s="93">
        <f t="shared" si="13"/>
        <v>4000000</v>
      </c>
      <c r="C73" s="14">
        <v>0.029667708468284953</v>
      </c>
      <c r="D73" s="14">
        <v>0.03342665777206035</v>
      </c>
      <c r="E73" s="14">
        <v>0.03711541179549168</v>
      </c>
      <c r="F73" s="14">
        <v>0.04073397053857895</v>
      </c>
      <c r="G73" s="288">
        <v>0.044282334001322185</v>
      </c>
      <c r="H73" s="14">
        <v>0.04568202470792316</v>
      </c>
      <c r="I73" s="14">
        <v>0.047070484169669066</v>
      </c>
      <c r="J73" s="14">
        <v>0.0484477123865599</v>
      </c>
      <c r="K73" s="14">
        <v>0.049813709358595734</v>
      </c>
      <c r="L73" s="120">
        <v>0.05116847508577648</v>
      </c>
      <c r="N73" s="110"/>
      <c r="O73" s="301">
        <f t="shared" si="14"/>
        <v>4000000</v>
      </c>
      <c r="P73" s="485">
        <f>'Average Validator'!AL77</f>
        <v>0.05953566006</v>
      </c>
      <c r="Q73" s="485">
        <f>'Average Validator'!AM77</f>
        <v>0.06307182292</v>
      </c>
      <c r="R73" s="485">
        <f>'Average Validator'!AN77</f>
        <v>0.06655506076</v>
      </c>
      <c r="S73" s="485">
        <f>'Average Validator'!AO77</f>
        <v>0.06999573575</v>
      </c>
      <c r="T73" s="486">
        <f>'Average Validator'!AP77</f>
        <v>0.07340421004</v>
      </c>
      <c r="U73" s="485">
        <f>'Average Validator'!AQ77</f>
        <v>0.07476090469</v>
      </c>
      <c r="V73" s="485">
        <f>'Average Validator'!AR77</f>
        <v>0.07611476836</v>
      </c>
      <c r="W73" s="485">
        <f>'Average Validator'!AS77</f>
        <v>0.07746646421</v>
      </c>
      <c r="X73" s="485">
        <f>'Average Validator'!AT77</f>
        <v>0.07881665543</v>
      </c>
      <c r="Y73" s="487">
        <f>'Average Validator'!AU77</f>
        <v>0.0801660052</v>
      </c>
      <c r="AO73" s="23"/>
      <c r="AP73" s="23"/>
      <c r="AQ73" s="23"/>
      <c r="AR73" s="23"/>
      <c r="AS73" s="23"/>
      <c r="AT73" s="23"/>
      <c r="AU73" s="23"/>
      <c r="AV73" s="23"/>
      <c r="AW73" s="23"/>
      <c r="AX73" s="23"/>
      <c r="AY73" s="23"/>
      <c r="AZ73" s="23"/>
      <c r="BA73" s="23"/>
      <c r="BB73" s="23"/>
      <c r="BC73" s="23"/>
    </row>
    <row r="74">
      <c r="A74" s="110"/>
      <c r="B74" s="93">
        <f t="shared" si="13"/>
        <v>4500000</v>
      </c>
      <c r="C74" s="14">
        <v>0.026312587247733672</v>
      </c>
      <c r="D74" s="14">
        <v>0.029856558638181704</v>
      </c>
      <c r="E74" s="14">
        <v>0.03333434928364499</v>
      </c>
      <c r="F74" s="14">
        <v>0.0367459591841235</v>
      </c>
      <c r="G74" s="288">
        <v>0.04009138833961727</v>
      </c>
      <c r="H74" s="14">
        <v>0.041411029393219036</v>
      </c>
      <c r="I74" s="14">
        <v>0.042720081527623244</v>
      </c>
      <c r="J74" s="14">
        <v>0.044018544742829874</v>
      </c>
      <c r="K74" s="14">
        <v>0.04530641903883899</v>
      </c>
      <c r="L74" s="120">
        <v>0.04658370441565048</v>
      </c>
      <c r="N74" s="110"/>
      <c r="O74" s="301">
        <f t="shared" si="14"/>
        <v>4500000</v>
      </c>
      <c r="P74" s="485">
        <f>'Average Validator'!AL78</f>
        <v>0.058100855</v>
      </c>
      <c r="Q74" s="485">
        <f>'Average Validator'!AM78</f>
        <v>0.06155179659</v>
      </c>
      <c r="R74" s="485">
        <f>'Average Validator'!AN78</f>
        <v>0.06495108865</v>
      </c>
      <c r="S74" s="485">
        <f>'Average Validator'!AO78</f>
        <v>0.06830884362</v>
      </c>
      <c r="T74" s="486">
        <f>'Average Validator'!AP78</f>
        <v>0.07163517394</v>
      </c>
      <c r="U74" s="485">
        <f>'Average Validator'!AQ78</f>
        <v>0.07295917234</v>
      </c>
      <c r="V74" s="485">
        <f>'Average Validator'!AR78</f>
        <v>0.07428040799</v>
      </c>
      <c r="W74" s="485">
        <f>'Average Validator'!AS78</f>
        <v>0.07559952807</v>
      </c>
      <c r="X74" s="485">
        <f>'Average Validator'!AT78</f>
        <v>0.07691717979</v>
      </c>
      <c r="Y74" s="487">
        <f>'Average Validator'!AU78</f>
        <v>0.07823401033</v>
      </c>
      <c r="AO74" s="23"/>
      <c r="AP74" s="23"/>
      <c r="AQ74" s="23"/>
      <c r="AR74" s="23"/>
      <c r="AS74" s="23"/>
      <c r="AT74" s="23"/>
      <c r="AU74" s="23"/>
      <c r="AV74" s="23"/>
      <c r="AW74" s="23"/>
      <c r="AX74" s="23"/>
      <c r="AY74" s="23"/>
      <c r="AZ74" s="23"/>
      <c r="BA74" s="23"/>
      <c r="BB74" s="23"/>
      <c r="BC74" s="23"/>
    </row>
    <row r="75">
      <c r="A75" s="110"/>
      <c r="B75" s="93">
        <f t="shared" si="13"/>
        <v>5000000</v>
      </c>
      <c r="C75" s="14">
        <v>0.023474254440098916</v>
      </c>
      <c r="D75" s="14">
        <v>0.02683636090698581</v>
      </c>
      <c r="E75" s="14">
        <v>0.030135682806453137</v>
      </c>
      <c r="F75" s="14">
        <v>0.033372220138500885</v>
      </c>
      <c r="G75" s="288">
        <v>0.03654597290312905</v>
      </c>
      <c r="H75" s="14">
        <v>0.03779789433010283</v>
      </c>
      <c r="I75" s="14">
        <v>0.03903977022628948</v>
      </c>
      <c r="J75" s="14">
        <v>0.04027160059168901</v>
      </c>
      <c r="K75" s="14">
        <v>0.04149338542630138</v>
      </c>
      <c r="L75" s="120">
        <v>0.04270512473012664</v>
      </c>
      <c r="N75" s="110"/>
      <c r="O75" s="301">
        <f t="shared" si="14"/>
        <v>5000000</v>
      </c>
      <c r="P75" s="485">
        <f>'Average Validator'!AL79</f>
        <v>0.05325031319</v>
      </c>
      <c r="Q75" s="485">
        <f>'Average Validator'!AM79</f>
        <v>0.0564131534</v>
      </c>
      <c r="R75" s="485">
        <f>'Average Validator'!AN79</f>
        <v>0.05952865604</v>
      </c>
      <c r="S75" s="485">
        <f>'Average Validator'!AO79</f>
        <v>0.06260608931</v>
      </c>
      <c r="T75" s="486">
        <f>'Average Validator'!AP79</f>
        <v>0.0656547214</v>
      </c>
      <c r="U75" s="485">
        <f>'Average Validator'!AQ79</f>
        <v>0.06686818598</v>
      </c>
      <c r="V75" s="485">
        <f>'Average Validator'!AR79</f>
        <v>0.06807911845</v>
      </c>
      <c r="W75" s="485">
        <f>'Average Validator'!AS79</f>
        <v>0.06928811198</v>
      </c>
      <c r="X75" s="485">
        <f>'Average Validator'!AT79</f>
        <v>0.07049575972</v>
      </c>
      <c r="Y75" s="487">
        <f>'Average Validator'!AU79</f>
        <v>0.07170265485</v>
      </c>
      <c r="AO75" s="23"/>
      <c r="AP75" s="23"/>
      <c r="AQ75" s="23"/>
      <c r="AR75" s="23"/>
      <c r="AS75" s="23"/>
      <c r="AT75" s="23"/>
      <c r="AU75" s="23"/>
      <c r="AV75" s="23"/>
      <c r="AW75" s="23"/>
      <c r="AX75" s="23"/>
      <c r="AY75" s="23"/>
      <c r="AZ75" s="23"/>
      <c r="BA75" s="23"/>
      <c r="BB75" s="23"/>
      <c r="BC75" s="23"/>
    </row>
    <row r="76">
      <c r="A76" s="110"/>
      <c r="B76" s="93">
        <f t="shared" si="13"/>
        <v>5500000</v>
      </c>
      <c r="C76" s="14">
        <v>0.021032353449114326</v>
      </c>
      <c r="D76" s="14">
        <v>0.024237996186351668</v>
      </c>
      <c r="E76" s="14">
        <v>0.02738377618737246</v>
      </c>
      <c r="F76" s="14">
        <v>0.03046969345217672</v>
      </c>
      <c r="G76" s="288">
        <v>0.033495747980764455</v>
      </c>
      <c r="H76" s="14">
        <v>0.034689408226058906</v>
      </c>
      <c r="I76" s="14">
        <v>0.03587349043355873</v>
      </c>
      <c r="J76" s="14">
        <v>0.0370479946032639</v>
      </c>
      <c r="K76" s="14">
        <v>0.03821292073517442</v>
      </c>
      <c r="L76" s="120">
        <v>0.039368268829290266</v>
      </c>
      <c r="N76" s="110"/>
      <c r="O76" s="301">
        <f t="shared" si="14"/>
        <v>5500000</v>
      </c>
      <c r="P76" s="485">
        <f>'Average Validator'!AL80</f>
        <v>0.0507721815</v>
      </c>
      <c r="Q76" s="485">
        <f>'Average Validator'!AM80</f>
        <v>0.05378783131</v>
      </c>
      <c r="R76" s="485">
        <f>'Average Validator'!AN80</f>
        <v>0.05675834652</v>
      </c>
      <c r="S76" s="485">
        <f>'Average Validator'!AO80</f>
        <v>0.05969256401</v>
      </c>
      <c r="T76" s="486">
        <f>'Average Validator'!AP80</f>
        <v>0.06259932066</v>
      </c>
      <c r="U76" s="485">
        <f>'Average Validator'!AQ80</f>
        <v>0.06375631374</v>
      </c>
      <c r="V76" s="485">
        <f>'Average Validator'!AR80</f>
        <v>0.06491089255</v>
      </c>
      <c r="W76" s="485">
        <f>'Average Validator'!AS80</f>
        <v>0.06606362265</v>
      </c>
      <c r="X76" s="485">
        <f>'Average Validator'!AT80</f>
        <v>0.0672150696</v>
      </c>
      <c r="Y76" s="487">
        <f>'Average Validator'!AU80</f>
        <v>0.06836579895</v>
      </c>
      <c r="AO76" s="23"/>
      <c r="AP76" s="23"/>
      <c r="AQ76" s="23"/>
      <c r="AR76" s="23"/>
      <c r="AS76" s="23"/>
      <c r="AT76" s="23"/>
      <c r="AU76" s="23"/>
      <c r="AV76" s="23"/>
      <c r="AW76" s="23"/>
      <c r="AX76" s="23"/>
      <c r="AY76" s="23"/>
      <c r="AZ76" s="23"/>
      <c r="BA76" s="23"/>
      <c r="BB76" s="23"/>
      <c r="BC76" s="23"/>
    </row>
    <row r="77">
      <c r="A77" s="110"/>
      <c r="B77" s="93">
        <f t="shared" si="13"/>
        <v>6000000</v>
      </c>
      <c r="C77" s="144">
        <v>0.018902436607059977</v>
      </c>
      <c r="D77" s="144">
        <v>0.021971605861473238</v>
      </c>
      <c r="E77" s="144">
        <v>0.024983460909488317</v>
      </c>
      <c r="F77" s="144">
        <v>0.02793800175110522</v>
      </c>
      <c r="G77" s="455">
        <v>0.03083522838632393</v>
      </c>
      <c r="H77" s="144">
        <v>0.03197807106261993</v>
      </c>
      <c r="I77" s="144">
        <v>0.03311174346589221</v>
      </c>
      <c r="J77" s="144">
        <v>0.03423624559614079</v>
      </c>
      <c r="K77" s="144">
        <v>0.03535157745336565</v>
      </c>
      <c r="L77" s="145">
        <v>0.036457739037566814</v>
      </c>
      <c r="N77" s="110"/>
      <c r="O77" s="301">
        <f t="shared" si="14"/>
        <v>6000000</v>
      </c>
      <c r="P77" s="485">
        <f>'Average Validator'!AL81</f>
        <v>0.04861066288</v>
      </c>
      <c r="Q77" s="485">
        <f>'Average Validator'!AM81</f>
        <v>0.05149792776</v>
      </c>
      <c r="R77" s="485">
        <f>'Average Validator'!AN81</f>
        <v>0.05434197955</v>
      </c>
      <c r="S77" s="485">
        <f>'Average Validator'!AO81</f>
        <v>0.05715127892</v>
      </c>
      <c r="T77" s="486">
        <f>'Average Validator'!AP81</f>
        <v>0.05993428653</v>
      </c>
      <c r="U77" s="485">
        <f>'Average Validator'!AQ81</f>
        <v>0.06104202307</v>
      </c>
      <c r="V77" s="485">
        <f>'Average Validator'!AR81</f>
        <v>0.06214744812</v>
      </c>
      <c r="W77" s="485">
        <f>'Average Validator'!AS81</f>
        <v>0.06325110316</v>
      </c>
      <c r="X77" s="485">
        <f>'Average Validator'!AT81</f>
        <v>0.06435352968</v>
      </c>
      <c r="Y77" s="487">
        <f>'Average Validator'!AU81</f>
        <v>0.06545526916</v>
      </c>
      <c r="AO77" s="23"/>
      <c r="AP77" s="23"/>
      <c r="AQ77" s="23"/>
      <c r="AR77" s="23"/>
      <c r="AS77" s="23"/>
      <c r="AT77" s="23"/>
      <c r="AU77" s="23"/>
      <c r="AV77" s="23"/>
      <c r="AW77" s="23"/>
      <c r="AX77" s="23"/>
      <c r="AY77" s="23"/>
      <c r="AZ77" s="23"/>
      <c r="BA77" s="23"/>
      <c r="BB77" s="23"/>
      <c r="BC77" s="23"/>
    </row>
    <row r="78">
      <c r="A78" s="110"/>
      <c r="B78" s="93">
        <f t="shared" si="13"/>
        <v>6500000</v>
      </c>
      <c r="C78" s="14">
        <v>0.01702326931606423</v>
      </c>
      <c r="D78" s="14">
        <v>0.019972031754611434</v>
      </c>
      <c r="E78" s="14">
        <v>0.022865728484814527</v>
      </c>
      <c r="F78" s="14">
        <v>0.025704359506673578</v>
      </c>
      <c r="G78" s="288">
        <v>0.02848792482018857</v>
      </c>
      <c r="H78" s="14">
        <v>0.02958593254725822</v>
      </c>
      <c r="I78" s="14">
        <v>0.030675129760992834</v>
      </c>
      <c r="J78" s="14">
        <v>0.03175551646139237</v>
      </c>
      <c r="K78" s="14">
        <v>0.03282709264845689</v>
      </c>
      <c r="L78" s="120">
        <v>0.03388985832218632</v>
      </c>
      <c r="N78" s="110"/>
      <c r="O78" s="301">
        <f t="shared" si="14"/>
        <v>6500000</v>
      </c>
      <c r="P78" s="485">
        <f>'Average Validator'!AL82</f>
        <v>0.04670361422</v>
      </c>
      <c r="Q78" s="485">
        <f>'Average Validator'!AM82</f>
        <v>0.04947760859</v>
      </c>
      <c r="R78" s="485">
        <f>'Average Validator'!AN82</f>
        <v>0.05221008516</v>
      </c>
      <c r="S78" s="485">
        <f>'Average Validator'!AO82</f>
        <v>0.05490917268</v>
      </c>
      <c r="T78" s="486">
        <f>'Average Validator'!AP82</f>
        <v>0.05758299991</v>
      </c>
      <c r="U78" s="485">
        <f>'Average Validator'!AQ82</f>
        <v>0.05864727875</v>
      </c>
      <c r="V78" s="485">
        <f>'Average Validator'!AR82</f>
        <v>0.05970933679</v>
      </c>
      <c r="W78" s="485">
        <f>'Average Validator'!AS82</f>
        <v>0.06076969425</v>
      </c>
      <c r="X78" s="485">
        <f>'Average Validator'!AT82</f>
        <v>0.06182887139</v>
      </c>
      <c r="Y78" s="487">
        <f>'Average Validator'!AU82</f>
        <v>0.06288738844</v>
      </c>
      <c r="AO78" s="23"/>
      <c r="AP78" s="23"/>
      <c r="AQ78" s="23"/>
      <c r="AR78" s="23"/>
      <c r="AS78" s="23"/>
      <c r="AT78" s="23"/>
      <c r="AU78" s="23"/>
      <c r="AV78" s="23"/>
      <c r="AW78" s="23"/>
      <c r="AX78" s="23"/>
      <c r="AY78" s="23"/>
      <c r="AZ78" s="23"/>
      <c r="BA78" s="23"/>
      <c r="BB78" s="23"/>
      <c r="BC78" s="23"/>
    </row>
    <row r="79">
      <c r="A79" s="110"/>
      <c r="B79" s="93">
        <f t="shared" si="13"/>
        <v>7000000</v>
      </c>
      <c r="C79" s="14">
        <v>0.015349221854516723</v>
      </c>
      <c r="D79" s="14">
        <v>0.018190720439856464</v>
      </c>
      <c r="E79" s="14">
        <v>0.020979156380910233</v>
      </c>
      <c r="F79" s="14">
        <v>0.023714529677678065</v>
      </c>
      <c r="G79" s="288">
        <v>0.02639684033015995</v>
      </c>
      <c r="H79" s="14">
        <v>0.027454907050752632</v>
      </c>
      <c r="I79" s="14">
        <v>0.028504483748259576</v>
      </c>
      <c r="J79" s="14">
        <v>0.02954557042268075</v>
      </c>
      <c r="K79" s="14">
        <v>0.030578167074016196</v>
      </c>
      <c r="L79" s="120">
        <v>0.03160227370226587</v>
      </c>
      <c r="N79" s="110"/>
      <c r="O79" s="301">
        <f t="shared" si="14"/>
        <v>7000000</v>
      </c>
      <c r="P79" s="485">
        <f>'Average Validator'!AL83</f>
        <v>0.04500472876</v>
      </c>
      <c r="Q79" s="485">
        <f>'Average Validator'!AM83</f>
        <v>0.04767781662</v>
      </c>
      <c r="R79" s="485">
        <f>'Average Validator'!AN83</f>
        <v>0.05031089693</v>
      </c>
      <c r="S79" s="485">
        <f>'Average Validator'!AO83</f>
        <v>0.05291180275</v>
      </c>
      <c r="T79" s="486">
        <f>'Average Validator'!AP83</f>
        <v>0.05548836713</v>
      </c>
      <c r="U79" s="485">
        <f>'Average Validator'!AQ83</f>
        <v>0.05651393189</v>
      </c>
      <c r="V79" s="485">
        <f>'Average Validator'!AR83</f>
        <v>0.05753735662</v>
      </c>
      <c r="W79" s="485">
        <f>'Average Validator'!AS83</f>
        <v>0.05855914264</v>
      </c>
      <c r="X79" s="485">
        <f>'Average Validator'!AT83</f>
        <v>0.05957979127</v>
      </c>
      <c r="Y79" s="487">
        <f>'Average Validator'!AU83</f>
        <v>0.06059980382</v>
      </c>
      <c r="AO79" s="23"/>
      <c r="AP79" s="23"/>
      <c r="AQ79" s="23"/>
      <c r="AR79" s="23"/>
      <c r="AS79" s="23"/>
      <c r="AT79" s="23"/>
      <c r="AU79" s="23"/>
      <c r="AV79" s="23"/>
      <c r="AW79" s="23"/>
      <c r="AX79" s="23"/>
      <c r="AY79" s="23"/>
      <c r="AZ79" s="23"/>
      <c r="BA79" s="23"/>
      <c r="BB79" s="23"/>
      <c r="BC79" s="23"/>
    </row>
    <row r="80">
      <c r="A80" s="110"/>
      <c r="B80" s="93">
        <f t="shared" si="13"/>
        <v>7500000</v>
      </c>
      <c r="C80" s="14">
        <v>0.013845502568913023</v>
      </c>
      <c r="D80" s="14">
        <v>0.016590651003841182</v>
      </c>
      <c r="E80" s="14">
        <v>0.019284536054136225</v>
      </c>
      <c r="F80" s="14">
        <v>0.021927157719798154</v>
      </c>
      <c r="G80" s="288">
        <v>0.02451851600082696</v>
      </c>
      <c r="H80" s="14">
        <v>0.025540705565541222</v>
      </c>
      <c r="I80" s="14">
        <v>0.02655469298871417</v>
      </c>
      <c r="J80" s="14">
        <v>0.027560478270345825</v>
      </c>
      <c r="K80" s="14">
        <v>0.028558061410436188</v>
      </c>
      <c r="L80" s="120">
        <v>0.029547442408985238</v>
      </c>
      <c r="N80" s="110"/>
      <c r="O80" s="301">
        <f t="shared" si="14"/>
        <v>7500000</v>
      </c>
      <c r="P80" s="485">
        <f>'Average Validator'!AL84</f>
        <v>0.04347869866</v>
      </c>
      <c r="Q80" s="485">
        <f>'Average Validator'!AM84</f>
        <v>0.04606114687</v>
      </c>
      <c r="R80" s="485">
        <f>'Average Validator'!AN84</f>
        <v>0.04860494412</v>
      </c>
      <c r="S80" s="485">
        <f>'Average Validator'!AO84</f>
        <v>0.05111765786</v>
      </c>
      <c r="T80" s="486">
        <f>'Average Validator'!AP84</f>
        <v>0.05360685554</v>
      </c>
      <c r="U80" s="485">
        <f>'Average Validator'!AQ84</f>
        <v>0.05459764523</v>
      </c>
      <c r="V80" s="485">
        <f>'Average Validator'!AR84</f>
        <v>0.05558636745</v>
      </c>
      <c r="W80" s="485">
        <f>'Average Validator'!AS84</f>
        <v>0.05657350653</v>
      </c>
      <c r="X80" s="485">
        <f>'Average Validator'!AT84</f>
        <v>0.05755954678</v>
      </c>
      <c r="Y80" s="487">
        <f>'Average Validator'!AU84</f>
        <v>0.05854497253</v>
      </c>
      <c r="AO80" s="23"/>
      <c r="AP80" s="23"/>
      <c r="AQ80" s="23"/>
      <c r="AR80" s="23"/>
      <c r="AS80" s="23"/>
      <c r="AT80" s="23"/>
      <c r="AU80" s="23"/>
      <c r="AV80" s="23"/>
      <c r="AW80" s="23"/>
      <c r="AX80" s="23"/>
      <c r="AY80" s="23"/>
      <c r="AZ80" s="23"/>
      <c r="BA80" s="23"/>
      <c r="BB80" s="23"/>
      <c r="BC80" s="23"/>
    </row>
    <row r="81">
      <c r="A81" s="110"/>
      <c r="B81" s="93">
        <f t="shared" si="13"/>
        <v>8000000</v>
      </c>
      <c r="C81" s="14">
        <v>0.012485057906367005</v>
      </c>
      <c r="D81" s="14">
        <v>0.015143036449203041</v>
      </c>
      <c r="E81" s="14">
        <v>0.017751379433300504</v>
      </c>
      <c r="F81" s="14">
        <v>0.020310086858659385</v>
      </c>
      <c r="G81" s="288">
        <v>0.022819158725279703</v>
      </c>
      <c r="H81" s="14">
        <v>0.023808889515481036</v>
      </c>
      <c r="I81" s="14">
        <v>0.024790678616284194</v>
      </c>
      <c r="J81" s="14">
        <v>0.02576452602768917</v>
      </c>
      <c r="K81" s="14">
        <v>0.02673043174969599</v>
      </c>
      <c r="L81" s="120">
        <v>0.027688395782304618</v>
      </c>
      <c r="N81" s="110"/>
      <c r="O81" s="301">
        <f t="shared" si="14"/>
        <v>8000000</v>
      </c>
      <c r="P81" s="485">
        <f>'Average Validator'!AL85</f>
        <v>0.04209806895</v>
      </c>
      <c r="Q81" s="485">
        <f>'Average Validator'!AM85</f>
        <v>0.04459851369</v>
      </c>
      <c r="R81" s="485">
        <f>'Average Validator'!AN85</f>
        <v>0.04706153478</v>
      </c>
      <c r="S81" s="485">
        <f>'Average Validator'!AO85</f>
        <v>0.0494944594</v>
      </c>
      <c r="T81" s="486">
        <f>'Average Validator'!AP85</f>
        <v>0.05190461469</v>
      </c>
      <c r="U81" s="485">
        <f>'Average Validator'!AQ85</f>
        <v>0.05286394268</v>
      </c>
      <c r="V81" s="485">
        <f>'Average Validator'!AR85</f>
        <v>0.05382126885</v>
      </c>
      <c r="W81" s="485">
        <f>'Average Validator'!AS85</f>
        <v>0.05477706216</v>
      </c>
      <c r="X81" s="485">
        <f>'Average Validator'!AT85</f>
        <v>0.05573179153</v>
      </c>
      <c r="Y81" s="487">
        <f>'Average Validator'!AU85</f>
        <v>0.0566859259</v>
      </c>
      <c r="AO81" s="23"/>
      <c r="AP81" s="23"/>
      <c r="AQ81" s="23"/>
      <c r="AR81" s="23"/>
      <c r="AS81" s="23"/>
      <c r="AT81" s="23"/>
      <c r="AU81" s="23"/>
      <c r="AV81" s="23"/>
      <c r="AW81" s="23"/>
      <c r="AX81" s="23"/>
      <c r="AY81" s="23"/>
      <c r="AZ81" s="23"/>
      <c r="BA81" s="23"/>
      <c r="BB81" s="23"/>
      <c r="BC81" s="23"/>
    </row>
    <row r="82">
      <c r="A82" s="110"/>
      <c r="B82" s="93">
        <f t="shared" si="13"/>
        <v>8500000</v>
      </c>
      <c r="C82" s="14">
        <v>0.011246491540466188</v>
      </c>
      <c r="D82" s="14">
        <v>0.013825109489345786</v>
      </c>
      <c r="E82" s="14">
        <v>0.016355573873174614</v>
      </c>
      <c r="F82" s="14">
        <v>0.018837884691952717</v>
      </c>
      <c r="G82" s="288">
        <v>0.021272041945680067</v>
      </c>
      <c r="H82" s="14">
        <v>0.02223222184895681</v>
      </c>
      <c r="I82" s="14">
        <v>0.023184697181825413</v>
      </c>
      <c r="J82" s="14">
        <v>0.0241294679442859</v>
      </c>
      <c r="K82" s="14">
        <v>0.025066534136338272</v>
      </c>
      <c r="L82" s="120">
        <v>0.025995895757982532</v>
      </c>
      <c r="N82" s="110"/>
      <c r="O82" s="301">
        <f t="shared" si="14"/>
        <v>8500000</v>
      </c>
      <c r="P82" s="485">
        <f>'Average Validator'!AL86</f>
        <v>0.04084112586</v>
      </c>
      <c r="Q82" s="485">
        <f>'Average Validator'!AM86</f>
        <v>0.04326691357</v>
      </c>
      <c r="R82" s="485">
        <f>'Average Validator'!AN86</f>
        <v>0.04565639502</v>
      </c>
      <c r="S82" s="485">
        <f>'Average Validator'!AO86</f>
        <v>0.04801667859</v>
      </c>
      <c r="T82" s="486">
        <f>'Average Validator'!AP86</f>
        <v>0.05035487266</v>
      </c>
      <c r="U82" s="485">
        <f>'Average Validator'!AQ86</f>
        <v>0.05128555752</v>
      </c>
      <c r="V82" s="485">
        <f>'Average Validator'!AR86</f>
        <v>0.05221430033</v>
      </c>
      <c r="W82" s="485">
        <f>'Average Validator'!AS86</f>
        <v>0.05314155603</v>
      </c>
      <c r="X82" s="485">
        <f>'Average Validator'!AT86</f>
        <v>0.05406777957</v>
      </c>
      <c r="Y82" s="487">
        <f>'Average Validator'!AU86</f>
        <v>0.05499342588</v>
      </c>
      <c r="AO82" s="23"/>
      <c r="AP82" s="23"/>
      <c r="AQ82" s="23"/>
      <c r="AR82" s="23"/>
      <c r="AS82" s="23"/>
      <c r="AT82" s="23"/>
      <c r="AU82" s="23"/>
      <c r="AV82" s="23"/>
      <c r="AW82" s="23"/>
      <c r="AX82" s="23"/>
      <c r="AY82" s="23"/>
      <c r="AZ82" s="23"/>
      <c r="BA82" s="23"/>
      <c r="BB82" s="23"/>
      <c r="BC82" s="23"/>
    </row>
    <row r="83">
      <c r="A83" s="110"/>
      <c r="B83" s="93">
        <f t="shared" si="13"/>
        <v>9000000</v>
      </c>
      <c r="C83" s="14">
        <v>0.01011262893961232</v>
      </c>
      <c r="D83" s="14">
        <v>0.012618595142129246</v>
      </c>
      <c r="E83" s="14">
        <v>0.015077764491083464</v>
      </c>
      <c r="F83" s="14">
        <v>0.017490136986474978</v>
      </c>
      <c r="G83" s="288">
        <v>0.0198557126283038</v>
      </c>
      <c r="H83" s="14">
        <v>0.02078883976603778</v>
      </c>
      <c r="I83" s="14">
        <v>0.02171447940720172</v>
      </c>
      <c r="J83" s="14">
        <v>0.022632631551795637</v>
      </c>
      <c r="K83" s="14">
        <v>0.023543296199819506</v>
      </c>
      <c r="L83" s="120">
        <v>0.02444647335127334</v>
      </c>
      <c r="N83" s="110"/>
      <c r="O83" s="301">
        <f t="shared" si="14"/>
        <v>9000000</v>
      </c>
      <c r="P83" s="485">
        <f>'Average Validator'!AL87</f>
        <v>0.03969044004</v>
      </c>
      <c r="Q83" s="485">
        <f>'Average Validator'!AM87</f>
        <v>0.04204788194</v>
      </c>
      <c r="R83" s="485">
        <f>'Average Validator'!AN87</f>
        <v>0.04437004051</v>
      </c>
      <c r="S83" s="485">
        <f>'Average Validator'!AO87</f>
        <v>0.04666382383</v>
      </c>
      <c r="T83" s="486">
        <f>'Average Validator'!AP87</f>
        <v>0.04893614003</v>
      </c>
      <c r="U83" s="485">
        <f>'Average Validator'!AQ87</f>
        <v>0.04984060313</v>
      </c>
      <c r="V83" s="485">
        <f>'Average Validator'!AR87</f>
        <v>0.0507431789</v>
      </c>
      <c r="W83" s="485">
        <f>'Average Validator'!AS87</f>
        <v>0.05164430947</v>
      </c>
      <c r="X83" s="485">
        <f>'Average Validator'!AT87</f>
        <v>0.05254443695</v>
      </c>
      <c r="Y83" s="487">
        <f>'Average Validator'!AU87</f>
        <v>0.05344400347</v>
      </c>
      <c r="AO83" s="23"/>
      <c r="AP83" s="23"/>
      <c r="AQ83" s="23"/>
      <c r="AR83" s="23"/>
      <c r="AS83" s="23"/>
      <c r="AT83" s="23"/>
      <c r="AU83" s="23"/>
      <c r="AV83" s="23"/>
      <c r="AW83" s="23"/>
      <c r="AX83" s="23"/>
      <c r="AY83" s="23"/>
      <c r="AZ83" s="23"/>
      <c r="BA83" s="23"/>
      <c r="BB83" s="23"/>
      <c r="BC83" s="23"/>
    </row>
    <row r="84">
      <c r="A84" s="110"/>
      <c r="B84" s="93">
        <f t="shared" si="13"/>
        <v>9500000</v>
      </c>
      <c r="C84" s="14">
        <v>0.009069503379863324</v>
      </c>
      <c r="D84" s="14">
        <v>0.011508631771931057</v>
      </c>
      <c r="E84" s="14">
        <v>0.013902211451462441</v>
      </c>
      <c r="F84" s="14">
        <v>0.016250242418457513</v>
      </c>
      <c r="G84" s="288">
        <v>0.018552724672916236</v>
      </c>
      <c r="H84" s="14">
        <v>0.019460963935189552</v>
      </c>
      <c r="I84" s="14">
        <v>0.020361915403457047</v>
      </c>
      <c r="J84" s="14">
        <v>0.021255579077718745</v>
      </c>
      <c r="K84" s="14">
        <v>0.02214195495797461</v>
      </c>
      <c r="L84" s="120">
        <v>0.023021043044224664</v>
      </c>
      <c r="N84" s="110"/>
      <c r="O84" s="301">
        <f t="shared" si="14"/>
        <v>9500000</v>
      </c>
      <c r="P84" s="485">
        <f>'Average Validator'!AL88</f>
        <v>0.03863183753</v>
      </c>
      <c r="Q84" s="485">
        <f>'Average Validator'!AM88</f>
        <v>0.04092640299</v>
      </c>
      <c r="R84" s="485">
        <f>'Average Validator'!AN88</f>
        <v>0.04318662616</v>
      </c>
      <c r="S84" s="485">
        <f>'Average Validator'!AO88</f>
        <v>0.0454192309</v>
      </c>
      <c r="T84" s="486">
        <f>'Average Validator'!AP88</f>
        <v>0.04763094108</v>
      </c>
      <c r="U84" s="485">
        <f>'Average Validator'!AQ88</f>
        <v>0.04851128082</v>
      </c>
      <c r="V84" s="485">
        <f>'Average Validator'!AR88</f>
        <v>0.04938978357</v>
      </c>
      <c r="W84" s="485">
        <f>'Average Validator'!AS88</f>
        <v>0.05026687966</v>
      </c>
      <c r="X84" s="485">
        <f>'Average Validator'!AT88</f>
        <v>0.05114299941</v>
      </c>
      <c r="Y84" s="487">
        <f>'Average Validator'!AU88</f>
        <v>0.05201857316</v>
      </c>
      <c r="AO84" s="23"/>
      <c r="AP84" s="23"/>
      <c r="AQ84" s="23"/>
      <c r="AR84" s="23"/>
      <c r="AS84" s="23"/>
      <c r="AT84" s="23"/>
      <c r="AU84" s="23"/>
      <c r="AV84" s="23"/>
      <c r="AW84" s="23"/>
      <c r="AX84" s="23"/>
      <c r="AY84" s="23"/>
      <c r="AZ84" s="23"/>
      <c r="BA84" s="23"/>
      <c r="BB84" s="23"/>
      <c r="BC84" s="23"/>
    </row>
    <row r="85">
      <c r="A85" s="146"/>
      <c r="B85" s="156">
        <f t="shared" si="13"/>
        <v>10000000</v>
      </c>
      <c r="C85" s="457">
        <v>0.00810562456406953</v>
      </c>
      <c r="D85" s="457">
        <v>0.01048299284587641</v>
      </c>
      <c r="E85" s="457">
        <v>0.012815965734307034</v>
      </c>
      <c r="F85" s="457">
        <v>0.015104543229361417</v>
      </c>
      <c r="G85" s="465">
        <v>0.01734872533103955</v>
      </c>
      <c r="H85" s="457">
        <v>0.01823396746156543</v>
      </c>
      <c r="I85" s="457">
        <v>0.019112106329151137</v>
      </c>
      <c r="J85" s="457">
        <v>0.019983141933796647</v>
      </c>
      <c r="K85" s="457">
        <v>0.020847074275501948</v>
      </c>
      <c r="L85" s="458">
        <v>0.021703903354267046</v>
      </c>
      <c r="N85" s="146"/>
      <c r="O85" s="449">
        <f t="shared" si="14"/>
        <v>10000000</v>
      </c>
      <c r="P85" s="488">
        <f>'Average Validator'!AL89</f>
        <v>0.03765365756</v>
      </c>
      <c r="Q85" s="488">
        <f>'Average Validator'!AM89</f>
        <v>0.03989012332</v>
      </c>
      <c r="R85" s="488">
        <f>'Average Validator'!AN89</f>
        <v>0.04209311636</v>
      </c>
      <c r="S85" s="488">
        <f>'Average Validator'!AO89</f>
        <v>0.04426919029</v>
      </c>
      <c r="T85" s="489">
        <f>'Average Validator'!AP89</f>
        <v>0.04642489872</v>
      </c>
      <c r="U85" s="488">
        <f>'Average Validator'!AQ89</f>
        <v>0.04728294775</v>
      </c>
      <c r="V85" s="488">
        <f>'Average Validator'!AR89</f>
        <v>0.04813920632</v>
      </c>
      <c r="W85" s="488">
        <f>'Average Validator'!AS89</f>
        <v>0.04899409384</v>
      </c>
      <c r="X85" s="488">
        <f>'Average Validator'!AT89</f>
        <v>0.04984802974</v>
      </c>
      <c r="Y85" s="490">
        <f>'Average Validator'!AU89</f>
        <v>0.05070143347</v>
      </c>
      <c r="AO85" s="23"/>
      <c r="AP85" s="23"/>
      <c r="AQ85" s="23"/>
      <c r="AR85" s="23"/>
      <c r="AS85" s="23"/>
      <c r="AT85" s="23"/>
      <c r="AU85" s="23"/>
      <c r="AV85" s="23"/>
      <c r="AW85" s="23"/>
      <c r="AX85" s="23"/>
      <c r="AY85" s="23"/>
      <c r="AZ85" s="23"/>
      <c r="BA85" s="23"/>
      <c r="BB85" s="23"/>
      <c r="BC85" s="23"/>
    </row>
    <row r="86">
      <c r="AO86" s="23"/>
      <c r="AP86" s="23"/>
      <c r="AQ86" s="23"/>
      <c r="AR86" s="23"/>
      <c r="AS86" s="23"/>
      <c r="AT86" s="23"/>
      <c r="AU86" s="23"/>
      <c r="AV86" s="23"/>
      <c r="AW86" s="23"/>
      <c r="AX86" s="23"/>
      <c r="AY86" s="23"/>
      <c r="AZ86" s="23"/>
      <c r="BA86" s="23"/>
      <c r="BB86" s="23"/>
      <c r="BC86" s="23"/>
    </row>
    <row r="87">
      <c r="AO87" s="23"/>
      <c r="AP87" s="23"/>
      <c r="AQ87" s="23"/>
      <c r="AR87" s="23"/>
      <c r="AS87" s="23"/>
      <c r="AT87" s="23"/>
      <c r="AU87" s="23"/>
      <c r="AV87" s="23"/>
      <c r="AW87" s="23"/>
      <c r="AX87" s="23"/>
      <c r="AY87" s="23"/>
      <c r="AZ87" s="23"/>
      <c r="BA87" s="23"/>
      <c r="BB87" s="23"/>
      <c r="BC87" s="23"/>
    </row>
    <row r="88">
      <c r="A88" s="491" t="s">
        <v>88</v>
      </c>
      <c r="B88" s="492"/>
      <c r="C88" s="493"/>
      <c r="D88" s="493"/>
      <c r="E88" s="74"/>
      <c r="F88" s="494"/>
      <c r="G88" s="495"/>
      <c r="H88" s="495"/>
      <c r="I88" s="495"/>
      <c r="J88" s="495"/>
      <c r="K88" s="495"/>
      <c r="L88" s="496"/>
      <c r="AO88" s="23"/>
      <c r="AP88" s="23"/>
      <c r="AQ88" s="23"/>
      <c r="AR88" s="23"/>
      <c r="AS88" s="23"/>
      <c r="AT88" s="23"/>
      <c r="AU88" s="23"/>
      <c r="AV88" s="23"/>
      <c r="AW88" s="23"/>
      <c r="AX88" s="23"/>
      <c r="AY88" s="23"/>
      <c r="AZ88" s="23"/>
      <c r="BA88" s="23"/>
      <c r="BB88" s="23"/>
      <c r="BC88" s="23"/>
    </row>
    <row r="89">
      <c r="A89" s="497" t="s">
        <v>58</v>
      </c>
      <c r="B89" s="498"/>
      <c r="C89" s="499"/>
      <c r="D89" s="499"/>
      <c r="E89" s="500" t="s">
        <v>59</v>
      </c>
      <c r="F89" s="501"/>
      <c r="G89" s="502"/>
      <c r="H89" s="501"/>
      <c r="I89" s="503"/>
      <c r="J89" s="503"/>
      <c r="K89" s="503"/>
      <c r="L89" s="504"/>
      <c r="N89" s="505"/>
      <c r="AO89" s="23"/>
      <c r="AP89" s="23"/>
      <c r="AQ89" s="23"/>
      <c r="AR89" s="23"/>
      <c r="AS89" s="23"/>
      <c r="AT89" s="23"/>
      <c r="AU89" s="23"/>
      <c r="AV89" s="23"/>
      <c r="AW89" s="23"/>
      <c r="AX89" s="23"/>
      <c r="AY89" s="23"/>
      <c r="AZ89" s="23"/>
      <c r="BA89" s="23"/>
      <c r="BB89" s="23"/>
      <c r="BC89" s="23"/>
    </row>
    <row r="90">
      <c r="A90" s="506"/>
      <c r="B90" s="483">
        <f>$F$13</f>
        <v>0.08457503111</v>
      </c>
      <c r="C90" s="97">
        <f t="shared" ref="C90:E90" si="15">D90-0.05</f>
        <v>0.7</v>
      </c>
      <c r="D90" s="97">
        <f t="shared" si="15"/>
        <v>0.75</v>
      </c>
      <c r="E90" s="97">
        <f t="shared" si="15"/>
        <v>0.8</v>
      </c>
      <c r="F90" s="484">
        <v>0.85</v>
      </c>
      <c r="G90" s="98">
        <v>0.9</v>
      </c>
      <c r="H90" s="97">
        <f t="shared" ref="H90:L90" si="16">G90+0.02</f>
        <v>0.92</v>
      </c>
      <c r="I90" s="97">
        <f t="shared" si="16"/>
        <v>0.94</v>
      </c>
      <c r="J90" s="97">
        <f t="shared" si="16"/>
        <v>0.96</v>
      </c>
      <c r="K90" s="97">
        <f t="shared" si="16"/>
        <v>0.98</v>
      </c>
      <c r="L90" s="99">
        <f t="shared" si="16"/>
        <v>1</v>
      </c>
      <c r="M90" s="507"/>
      <c r="N90" s="505"/>
      <c r="O90" s="505"/>
      <c r="P90" s="505"/>
      <c r="Q90" s="505"/>
      <c r="R90" s="505"/>
      <c r="S90" s="508"/>
      <c r="T90" s="508"/>
      <c r="U90" s="508"/>
      <c r="V90" s="508"/>
      <c r="W90" s="508"/>
      <c r="AO90" s="23"/>
      <c r="AP90" s="23"/>
      <c r="AQ90" s="23"/>
      <c r="AR90" s="23"/>
      <c r="AS90" s="23"/>
      <c r="AT90" s="23"/>
      <c r="AU90" s="23"/>
      <c r="AV90" s="23"/>
      <c r="AW90" s="23"/>
      <c r="AX90" s="23"/>
      <c r="AY90" s="23"/>
      <c r="AZ90" s="23"/>
      <c r="BA90" s="23"/>
      <c r="BB90" s="23"/>
      <c r="BC90" s="23"/>
    </row>
    <row r="91">
      <c r="A91" s="102" t="s">
        <v>66</v>
      </c>
      <c r="B91" s="301">
        <v>2000000.0</v>
      </c>
      <c r="C91" s="509">
        <f>'Average Validator'!AL116</f>
        <v>0.0005887190431</v>
      </c>
      <c r="D91" s="509">
        <f>'Average Validator'!AM116</f>
        <v>0.0008269278155</v>
      </c>
      <c r="E91" s="509">
        <f>'Average Validator'!AN116</f>
        <v>0.001073525805</v>
      </c>
      <c r="F91" s="509">
        <f>'Average Validator'!AO116</f>
        <v>0.001328236748</v>
      </c>
      <c r="G91" s="510">
        <f>'Average Validator'!AP116</f>
        <v>0.001590784378</v>
      </c>
      <c r="H91" s="509">
        <f>'Average Validator'!AQ116</f>
        <v>0.001697935819</v>
      </c>
      <c r="I91" s="509">
        <f>'Average Validator'!AR116</f>
        <v>0.001806279248</v>
      </c>
      <c r="J91" s="509">
        <f>'Average Validator'!AS116</f>
        <v>0.001915796982</v>
      </c>
      <c r="K91" s="509">
        <f>'Average Validator'!AT116</f>
        <v>0.002026471341</v>
      </c>
      <c r="L91" s="511">
        <f>'Average Validator'!AU116</f>
        <v>0.002138284644</v>
      </c>
      <c r="AO91" s="23"/>
      <c r="AP91" s="23"/>
      <c r="AQ91" s="23"/>
      <c r="AR91" s="23"/>
      <c r="AS91" s="23"/>
      <c r="AT91" s="23"/>
      <c r="AU91" s="23"/>
      <c r="AV91" s="23"/>
      <c r="AW91" s="23"/>
      <c r="AX91" s="23"/>
      <c r="AY91" s="23"/>
      <c r="AZ91" s="23"/>
      <c r="BA91" s="23"/>
      <c r="BB91" s="23"/>
      <c r="BC91" s="23"/>
    </row>
    <row r="92">
      <c r="A92" s="110"/>
      <c r="B92" s="301">
        <f t="shared" ref="B92:B107" si="17">B91+500000</f>
        <v>2500000</v>
      </c>
      <c r="C92" s="509">
        <f>'Average Validator'!AL117</f>
        <v>0.0006582079001</v>
      </c>
      <c r="D92" s="509">
        <f>'Average Validator'!AM117</f>
        <v>0.000924533404</v>
      </c>
      <c r="E92" s="509">
        <f>'Average Validator'!AN117</f>
        <v>0.001200238338</v>
      </c>
      <c r="F92" s="509">
        <f>'Average Validator'!AO117</f>
        <v>0.001485013829</v>
      </c>
      <c r="G92" s="510">
        <f>'Average Validator'!AP117</f>
        <v>0.001778551003</v>
      </c>
      <c r="H92" s="509">
        <f>'Average Validator'!AQ117</f>
        <v>0.001898349957</v>
      </c>
      <c r="I92" s="509">
        <f>'Average Validator'!AR117</f>
        <v>0.002019481592</v>
      </c>
      <c r="J92" s="509">
        <f>'Average Validator'!AS117</f>
        <v>0.002141926141</v>
      </c>
      <c r="K92" s="509">
        <f>'Average Validator'!AT117</f>
        <v>0.002265663836</v>
      </c>
      <c r="L92" s="511">
        <f>'Average Validator'!AU117</f>
        <v>0.002390674909</v>
      </c>
      <c r="AO92" s="23"/>
      <c r="AP92" s="23"/>
      <c r="AQ92" s="23"/>
      <c r="AR92" s="23"/>
      <c r="AS92" s="23"/>
      <c r="AT92" s="23"/>
      <c r="AU92" s="23"/>
      <c r="AV92" s="23"/>
      <c r="AW92" s="23"/>
      <c r="AX92" s="23"/>
      <c r="AY92" s="23"/>
      <c r="AZ92" s="23"/>
      <c r="BA92" s="23"/>
      <c r="BB92" s="23"/>
      <c r="BC92" s="23"/>
    </row>
    <row r="93">
      <c r="A93" s="110"/>
      <c r="B93" s="301">
        <f t="shared" si="17"/>
        <v>3000000</v>
      </c>
      <c r="C93" s="509">
        <f>'Average Validator'!AL118</f>
        <v>0.0007210306288</v>
      </c>
      <c r="D93" s="509">
        <f>'Average Validator'!AM118</f>
        <v>0.001012775601</v>
      </c>
      <c r="E93" s="509">
        <f>'Average Validator'!AN118</f>
        <v>0.001314795224</v>
      </c>
      <c r="F93" s="509">
        <f>'Average Validator'!AO118</f>
        <v>0.001626751145</v>
      </c>
      <c r="G93" s="510">
        <f>'Average Validator'!AP118</f>
        <v>0.001948305008</v>
      </c>
      <c r="H93" s="509">
        <f>'Average Validator'!AQ118</f>
        <v>0.002079538187</v>
      </c>
      <c r="I93" s="509">
        <f>'Average Validator'!AR118</f>
        <v>0.002212231245</v>
      </c>
      <c r="J93" s="509">
        <f>'Average Validator'!AS118</f>
        <v>0.002346362528</v>
      </c>
      <c r="K93" s="509">
        <f>'Average Validator'!AT118</f>
        <v>0.002481910381</v>
      </c>
      <c r="L93" s="511">
        <f>'Average Validator'!AU118</f>
        <v>0.002618853151</v>
      </c>
      <c r="AO93" s="23"/>
      <c r="AP93" s="23"/>
      <c r="AQ93" s="23"/>
      <c r="AR93" s="23"/>
      <c r="AS93" s="23"/>
      <c r="AT93" s="23"/>
      <c r="AU93" s="23"/>
      <c r="AV93" s="23"/>
      <c r="AW93" s="23"/>
      <c r="AX93" s="23"/>
      <c r="AY93" s="23"/>
      <c r="AZ93" s="23"/>
      <c r="BA93" s="23"/>
      <c r="BB93" s="23"/>
      <c r="BC93" s="23"/>
    </row>
    <row r="94">
      <c r="A94" s="110"/>
      <c r="B94" s="301">
        <f t="shared" si="17"/>
        <v>3500000</v>
      </c>
      <c r="C94" s="509">
        <f>'Average Validator'!AL119</f>
        <v>0.0007788020901</v>
      </c>
      <c r="D94" s="509">
        <f>'Average Validator'!AM119</f>
        <v>0.001093922676</v>
      </c>
      <c r="E94" s="509">
        <f>'Average Validator'!AN119</f>
        <v>0.001420141153</v>
      </c>
      <c r="F94" s="509">
        <f>'Average Validator'!AO119</f>
        <v>0.001757092058</v>
      </c>
      <c r="G94" s="510">
        <f>'Average Validator'!AP119</f>
        <v>0.002104409927</v>
      </c>
      <c r="H94" s="509">
        <f>'Average Validator'!AQ119</f>
        <v>0.00224615796</v>
      </c>
      <c r="I94" s="509">
        <f>'Average Validator'!AR119</f>
        <v>0.002389482844</v>
      </c>
      <c r="J94" s="509">
        <f>'Average Validator'!AS119</f>
        <v>0.002534361188</v>
      </c>
      <c r="K94" s="509">
        <f>'Average Validator'!AT119</f>
        <v>0.002680769603</v>
      </c>
      <c r="L94" s="511">
        <f>'Average Validator'!AU119</f>
        <v>0.0028286847</v>
      </c>
      <c r="AO94" s="23"/>
      <c r="AP94" s="23"/>
      <c r="AQ94" s="23"/>
      <c r="AR94" s="23"/>
      <c r="AS94" s="23"/>
      <c r="AT94" s="23"/>
      <c r="AU94" s="23"/>
      <c r="AV94" s="23"/>
      <c r="AW94" s="23"/>
      <c r="AX94" s="23"/>
      <c r="AY94" s="23"/>
      <c r="AZ94" s="23"/>
      <c r="BA94" s="23"/>
      <c r="BB94" s="23"/>
      <c r="BC94" s="23"/>
    </row>
    <row r="95">
      <c r="A95" s="110"/>
      <c r="B95" s="301">
        <f t="shared" si="17"/>
        <v>4000000</v>
      </c>
      <c r="C95" s="509">
        <f>'Average Validator'!AL120</f>
        <v>0.0008325744552</v>
      </c>
      <c r="D95" s="509">
        <f>'Average Validator'!AM120</f>
        <v>0.001169452532</v>
      </c>
      <c r="E95" s="509">
        <f>'Average Validator'!AN120</f>
        <v>0.001518194753</v>
      </c>
      <c r="F95" s="509">
        <f>'Average Validator'!AO120</f>
        <v>0.001878410423</v>
      </c>
      <c r="G95" s="510">
        <f>'Average Validator'!AP120</f>
        <v>0.002249708842</v>
      </c>
      <c r="H95" s="509">
        <f>'Average Validator'!AQ120</f>
        <v>0.002401243864</v>
      </c>
      <c r="I95" s="509">
        <f>'Average Validator'!AR120</f>
        <v>0.002554464609</v>
      </c>
      <c r="J95" s="509">
        <f>'Average Validator'!AS120</f>
        <v>0.002709346074</v>
      </c>
      <c r="K95" s="509">
        <f>'Average Validator'!AT120</f>
        <v>0.002865863254</v>
      </c>
      <c r="L95" s="511">
        <f>'Average Validator'!AU120</f>
        <v>0.003023991143</v>
      </c>
      <c r="AO95" s="23"/>
      <c r="AP95" s="23"/>
      <c r="AQ95" s="23"/>
      <c r="AR95" s="23"/>
      <c r="AS95" s="23"/>
      <c r="AT95" s="23"/>
      <c r="AU95" s="23"/>
      <c r="AV95" s="23"/>
      <c r="AW95" s="23"/>
      <c r="AX95" s="23"/>
      <c r="AY95" s="23"/>
      <c r="AZ95" s="23"/>
      <c r="BA95" s="23"/>
      <c r="BB95" s="23"/>
      <c r="BC95" s="23"/>
    </row>
    <row r="96">
      <c r="A96" s="110"/>
      <c r="B96" s="301">
        <f t="shared" si="17"/>
        <v>4500000</v>
      </c>
      <c r="C96" s="509">
        <f>'Average Validator'!AL121</f>
        <v>0.0008830785647</v>
      </c>
      <c r="D96" s="509">
        <f>'Average Validator'!AM121</f>
        <v>0.001240391723</v>
      </c>
      <c r="E96" s="509">
        <f>'Average Validator'!AN121</f>
        <v>0.001610288708</v>
      </c>
      <c r="F96" s="509">
        <f>'Average Validator'!AO121</f>
        <v>0.001992355121</v>
      </c>
      <c r="G96" s="510">
        <f>'Average Validator'!AP121</f>
        <v>0.002386176567</v>
      </c>
      <c r="H96" s="509">
        <f>'Average Validator'!AQ121</f>
        <v>0.002546903729</v>
      </c>
      <c r="I96" s="509">
        <f>'Average Validator'!AR121</f>
        <v>0.002709418871</v>
      </c>
      <c r="J96" s="509">
        <f>'Average Validator'!AS121</f>
        <v>0.002873695473</v>
      </c>
      <c r="K96" s="509">
        <f>'Average Validator'!AT121</f>
        <v>0.003039707011</v>
      </c>
      <c r="L96" s="511">
        <f>'Average Validator'!AU121</f>
        <v>0.003207426965</v>
      </c>
      <c r="AO96" s="23"/>
      <c r="AP96" s="23"/>
      <c r="AQ96" s="23"/>
      <c r="AR96" s="23"/>
      <c r="AS96" s="23"/>
      <c r="AT96" s="23"/>
      <c r="AU96" s="23"/>
      <c r="AV96" s="23"/>
      <c r="AW96" s="23"/>
      <c r="AX96" s="23"/>
      <c r="AY96" s="23"/>
      <c r="AZ96" s="23"/>
      <c r="BA96" s="23"/>
      <c r="BB96" s="23"/>
      <c r="BC96" s="23"/>
    </row>
    <row r="97">
      <c r="A97" s="110"/>
      <c r="B97" s="301">
        <f t="shared" si="17"/>
        <v>5000000</v>
      </c>
      <c r="C97" s="509">
        <f>'Average Validator'!AL122</f>
        <v>0.0009308465391</v>
      </c>
      <c r="D97" s="509">
        <f>'Average Validator'!AM122</f>
        <v>0.001307487679</v>
      </c>
      <c r="E97" s="509">
        <f>'Average Validator'!AN122</f>
        <v>0.001697393336</v>
      </c>
      <c r="F97" s="509">
        <f>'Average Validator'!AO122</f>
        <v>0.002100126697</v>
      </c>
      <c r="G97" s="510">
        <f>'Average Validator'!AP122</f>
        <v>0.00251525095</v>
      </c>
      <c r="H97" s="509">
        <f>'Average Validator'!AQ122</f>
        <v>0.002684672255</v>
      </c>
      <c r="I97" s="509">
        <f>'Average Validator'!AR122</f>
        <v>0.002855978256</v>
      </c>
      <c r="J97" s="509">
        <f>'Average Validator'!AS122</f>
        <v>0.003029140998</v>
      </c>
      <c r="K97" s="509">
        <f>'Average Validator'!AT122</f>
        <v>0.003204132525</v>
      </c>
      <c r="L97" s="511">
        <f>'Average Validator'!AU122</f>
        <v>0.00338092488</v>
      </c>
      <c r="AO97" s="23"/>
      <c r="AP97" s="23"/>
      <c r="AQ97" s="23"/>
      <c r="AR97" s="23"/>
      <c r="AS97" s="23"/>
      <c r="AT97" s="23"/>
      <c r="AU97" s="23"/>
      <c r="AV97" s="23"/>
      <c r="AW97" s="23"/>
      <c r="AX97" s="23"/>
      <c r="AY97" s="23"/>
      <c r="AZ97" s="23"/>
      <c r="BA97" s="23"/>
      <c r="BB97" s="23"/>
      <c r="BC97" s="23"/>
    </row>
    <row r="98">
      <c r="A98" s="110"/>
      <c r="B98" s="301">
        <f t="shared" si="17"/>
        <v>5500000</v>
      </c>
      <c r="C98" s="509">
        <f>'Average Validator'!AL123</f>
        <v>0.0009762800865</v>
      </c>
      <c r="D98" s="509">
        <f>'Average Validator'!AM123</f>
        <v>0.001371304646</v>
      </c>
      <c r="E98" s="509">
        <f>'Average Validator'!AN123</f>
        <v>0.001780241149</v>
      </c>
      <c r="F98" s="509">
        <f>'Average Validator'!AO123</f>
        <v>0.002202631462</v>
      </c>
      <c r="G98" s="510">
        <f>'Average Validator'!AP123</f>
        <v>0.002638017452</v>
      </c>
      <c r="H98" s="509">
        <f>'Average Validator'!AQ123</f>
        <v>0.002815708016</v>
      </c>
      <c r="I98" s="509">
        <f>'Average Validator'!AR123</f>
        <v>0.002995375265</v>
      </c>
      <c r="J98" s="509">
        <f>'Average Validator'!AS123</f>
        <v>0.003176989881</v>
      </c>
      <c r="K98" s="509">
        <f>'Average Validator'!AT123</f>
        <v>0.003360522543</v>
      </c>
      <c r="L98" s="511">
        <f>'Average Validator'!AU123</f>
        <v>0.003545943929</v>
      </c>
      <c r="AO98" s="23"/>
      <c r="AP98" s="23"/>
      <c r="AQ98" s="23"/>
      <c r="AR98" s="23"/>
      <c r="AS98" s="23"/>
      <c r="AT98" s="23"/>
      <c r="AU98" s="23"/>
      <c r="AV98" s="23"/>
      <c r="AW98" s="23"/>
      <c r="AX98" s="23"/>
      <c r="AY98" s="23"/>
      <c r="AZ98" s="23"/>
      <c r="BA98" s="23"/>
      <c r="BB98" s="23"/>
      <c r="BC98" s="23"/>
    </row>
    <row r="99">
      <c r="A99" s="110"/>
      <c r="B99" s="301">
        <f t="shared" si="17"/>
        <v>6000000</v>
      </c>
      <c r="C99" s="509">
        <f>'Average Validator'!AL124</f>
        <v>0.001019691294</v>
      </c>
      <c r="D99" s="509">
        <f>'Average Validator'!AM124</f>
        <v>0.001432280991</v>
      </c>
      <c r="E99" s="509">
        <f>'Average Validator'!AN124</f>
        <v>0.001859401238</v>
      </c>
      <c r="F99" s="509">
        <f>'Average Validator'!AO124</f>
        <v>0.002300573531</v>
      </c>
      <c r="G99" s="510">
        <f>'Average Validator'!AP124</f>
        <v>0.002755319367</v>
      </c>
      <c r="H99" s="509">
        <f>'Average Validator'!AQ124</f>
        <v>0.002940911107</v>
      </c>
      <c r="I99" s="509">
        <f>'Average Validator'!AR124</f>
        <v>0.00312856743</v>
      </c>
      <c r="J99" s="509">
        <f>'Average Validator'!AS124</f>
        <v>0.003318257709</v>
      </c>
      <c r="K99" s="509">
        <f>'Average Validator'!AT124</f>
        <v>0.003509951322</v>
      </c>
      <c r="L99" s="511">
        <f>'Average Validator'!AU124</f>
        <v>0.003703617644</v>
      </c>
      <c r="AO99" s="23"/>
      <c r="AP99" s="23"/>
      <c r="AQ99" s="23"/>
      <c r="AR99" s="23"/>
      <c r="AS99" s="23"/>
      <c r="AT99" s="23"/>
      <c r="AU99" s="23"/>
      <c r="AV99" s="23"/>
      <c r="AW99" s="23"/>
      <c r="AX99" s="23"/>
      <c r="AY99" s="23"/>
      <c r="AZ99" s="23"/>
      <c r="BA99" s="23"/>
      <c r="BB99" s="23"/>
      <c r="BC99" s="23"/>
    </row>
    <row r="100">
      <c r="A100" s="110"/>
      <c r="B100" s="301">
        <f t="shared" si="17"/>
        <v>6500000</v>
      </c>
      <c r="C100" s="509">
        <f>'Average Validator'!AL125</f>
        <v>0.001061328348</v>
      </c>
      <c r="D100" s="509">
        <f>'Average Validator'!AM125</f>
        <v>0.00149076532</v>
      </c>
      <c r="E100" s="509">
        <f>'Average Validator'!AN125</f>
        <v>0.001935326168</v>
      </c>
      <c r="F100" s="509">
        <f>'Average Validator'!AO125</f>
        <v>0.00239451285</v>
      </c>
      <c r="G100" s="510">
        <f>'Average Validator'!AP125</f>
        <v>0.002867827321</v>
      </c>
      <c r="H100" s="509">
        <f>'Average Validator'!AQ125</f>
        <v>0.00306099733</v>
      </c>
      <c r="I100" s="509">
        <f>'Average Validator'!AR125</f>
        <v>0.003256316223</v>
      </c>
      <c r="J100" s="509">
        <f>'Average Validator'!AS125</f>
        <v>0.003453752125</v>
      </c>
      <c r="K100" s="509">
        <f>'Average Validator'!AT125</f>
        <v>0.003653273163</v>
      </c>
      <c r="L100" s="511">
        <f>'Average Validator'!AU125</f>
        <v>0.003854847462</v>
      </c>
      <c r="AO100" s="23"/>
      <c r="AP100" s="23"/>
      <c r="AQ100" s="23"/>
      <c r="AR100" s="23"/>
      <c r="AS100" s="23"/>
      <c r="AT100" s="23"/>
      <c r="AU100" s="23"/>
      <c r="AV100" s="23"/>
      <c r="AW100" s="23"/>
      <c r="AX100" s="23"/>
      <c r="AY100" s="23"/>
      <c r="AZ100" s="23"/>
      <c r="BA100" s="23"/>
      <c r="BB100" s="23"/>
      <c r="BC100" s="23"/>
    </row>
    <row r="101">
      <c r="A101" s="110"/>
      <c r="B101" s="301">
        <f t="shared" si="17"/>
        <v>7000000</v>
      </c>
      <c r="C101" s="509">
        <f>'Average Validator'!AL126</f>
        <v>0.001101392478</v>
      </c>
      <c r="D101" s="509">
        <f>'Average Validator'!AM126</f>
        <v>0.001547040285</v>
      </c>
      <c r="E101" s="509">
        <f>'Average Validator'!AN126</f>
        <v>0.00200838288</v>
      </c>
      <c r="F101" s="509">
        <f>'Average Validator'!AO126</f>
        <v>0.002484903419</v>
      </c>
      <c r="G101" s="510">
        <f>'Average Validator'!AP126</f>
        <v>0.002976085059</v>
      </c>
      <c r="H101" s="509">
        <f>'Average Validator'!AQ126</f>
        <v>0.00317654705</v>
      </c>
      <c r="I101" s="509">
        <f>'Average Validator'!AR126</f>
        <v>0.003379239045</v>
      </c>
      <c r="J101" s="509">
        <f>'Average Validator'!AS126</f>
        <v>0.003584127964</v>
      </c>
      <c r="K101" s="509">
        <f>'Average Validator'!AT126</f>
        <v>0.00379118073</v>
      </c>
      <c r="L101" s="511">
        <f>'Average Validator'!AU126</f>
        <v>0.004000364266</v>
      </c>
      <c r="AO101" s="23"/>
      <c r="AP101" s="23"/>
      <c r="AQ101" s="23"/>
      <c r="AR101" s="23"/>
      <c r="AS101" s="23"/>
      <c r="AT101" s="23"/>
      <c r="AU101" s="23"/>
      <c r="AV101" s="23"/>
      <c r="AW101" s="23"/>
      <c r="AX101" s="23"/>
      <c r="AY101" s="23"/>
      <c r="AZ101" s="23"/>
      <c r="BA101" s="23"/>
      <c r="BB101" s="23"/>
      <c r="BC101" s="23"/>
    </row>
    <row r="102">
      <c r="A102" s="110"/>
      <c r="B102" s="301">
        <f t="shared" si="17"/>
        <v>7500000</v>
      </c>
      <c r="C102" s="509">
        <f>'Average Validator'!AL127</f>
        <v>0.001140049525</v>
      </c>
      <c r="D102" s="509">
        <f>'Average Validator'!AM127</f>
        <v>0.001601338829</v>
      </c>
      <c r="E102" s="509">
        <f>'Average Validator'!AN127</f>
        <v>0.002078873783</v>
      </c>
      <c r="F102" s="509">
        <f>'Average Validator'!AO127</f>
        <v>0.002572119402</v>
      </c>
      <c r="G102" s="510">
        <f>'Average Validator'!AP127</f>
        <v>0.003080540702</v>
      </c>
      <c r="H102" s="509">
        <f>'Average Validator'!AQ127</f>
        <v>0.003288038576</v>
      </c>
      <c r="I102" s="509">
        <f>'Average Validator'!AR127</f>
        <v>0.003497844722</v>
      </c>
      <c r="J102" s="509">
        <f>'Average Validator'!AS127</f>
        <v>0.003709924902</v>
      </c>
      <c r="K102" s="509">
        <f>'Average Validator'!AT127</f>
        <v>0.003924244877</v>
      </c>
      <c r="L102" s="511">
        <f>'Average Validator'!AU127</f>
        <v>0.004140770407</v>
      </c>
      <c r="AO102" s="23"/>
      <c r="AP102" s="23"/>
      <c r="AQ102" s="23"/>
      <c r="AR102" s="23"/>
      <c r="AS102" s="23"/>
      <c r="AT102" s="23"/>
      <c r="AU102" s="23"/>
      <c r="AV102" s="23"/>
      <c r="AW102" s="23"/>
      <c r="AX102" s="23"/>
      <c r="AY102" s="23"/>
      <c r="AZ102" s="23"/>
      <c r="BA102" s="23"/>
      <c r="BB102" s="23"/>
      <c r="BC102" s="23"/>
    </row>
    <row r="103">
      <c r="A103" s="110"/>
      <c r="B103" s="301">
        <f t="shared" si="17"/>
        <v>8000000</v>
      </c>
      <c r="C103" s="509">
        <f>'Average Validator'!AL128</f>
        <v>0.001177438086</v>
      </c>
      <c r="D103" s="509">
        <f>'Average Validator'!AM128</f>
        <v>0.001653855631</v>
      </c>
      <c r="E103" s="509">
        <f>'Average Validator'!AN128</f>
        <v>0.002147051611</v>
      </c>
      <c r="F103" s="509">
        <f>'Average Validator'!AO128</f>
        <v>0.002656473495</v>
      </c>
      <c r="G103" s="510">
        <f>'Average Validator'!AP128</f>
        <v>0.003181568756</v>
      </c>
      <c r="H103" s="509">
        <f>'Average Validator'!AQ128</f>
        <v>0.003395871639</v>
      </c>
      <c r="I103" s="509">
        <f>'Average Validator'!AR128</f>
        <v>0.003612558495</v>
      </c>
      <c r="J103" s="509">
        <f>'Average Validator'!AS128</f>
        <v>0.003831593963</v>
      </c>
      <c r="K103" s="509">
        <f>'Average Validator'!AT128</f>
        <v>0.004052942681</v>
      </c>
      <c r="L103" s="511">
        <f>'Average Validator'!AU128</f>
        <v>0.004276569287</v>
      </c>
      <c r="AO103" s="23"/>
      <c r="AP103" s="23"/>
      <c r="AQ103" s="23"/>
      <c r="AR103" s="23"/>
      <c r="AS103" s="23"/>
      <c r="AT103" s="23"/>
      <c r="AU103" s="23"/>
      <c r="AV103" s="23"/>
      <c r="AW103" s="23"/>
      <c r="AX103" s="23"/>
      <c r="AY103" s="23"/>
      <c r="AZ103" s="23"/>
      <c r="BA103" s="23"/>
      <c r="BB103" s="23"/>
      <c r="BC103" s="23"/>
    </row>
    <row r="104">
      <c r="A104" s="110"/>
      <c r="B104" s="301">
        <f t="shared" si="17"/>
        <v>8500000</v>
      </c>
      <c r="C104" s="509">
        <f>'Average Validator'!AL129</f>
        <v>0.001213675399</v>
      </c>
      <c r="D104" s="509">
        <f>'Average Validator'!AM129</f>
        <v>0.001704755364</v>
      </c>
      <c r="E104" s="509">
        <f>'Average Validator'!AN129</f>
        <v>0.002213130144</v>
      </c>
      <c r="F104" s="509">
        <f>'Average Validator'!AO129</f>
        <v>0.002738230203</v>
      </c>
      <c r="G104" s="510">
        <f>'Average Validator'!AP129</f>
        <v>0.003279486009</v>
      </c>
      <c r="H104" s="509">
        <f>'Average Validator'!AQ129</f>
        <v>0.003500384364</v>
      </c>
      <c r="I104" s="509">
        <f>'Average Validator'!AR129</f>
        <v>0.003723740064</v>
      </c>
      <c r="J104" s="509">
        <f>'Average Validator'!AS129</f>
        <v>0.003949516656</v>
      </c>
      <c r="K104" s="509">
        <f>'Average Validator'!AT129</f>
        <v>0.004177677692</v>
      </c>
      <c r="L104" s="511">
        <f>'Average Validator'!AU129</f>
        <v>0.004408186721</v>
      </c>
      <c r="AO104" s="23"/>
      <c r="AP104" s="23"/>
      <c r="AQ104" s="23"/>
      <c r="AR104" s="23"/>
      <c r="AS104" s="23"/>
      <c r="AT104" s="23"/>
      <c r="AU104" s="23"/>
      <c r="AV104" s="23"/>
      <c r="AW104" s="23"/>
      <c r="AX104" s="23"/>
      <c r="AY104" s="23"/>
      <c r="AZ104" s="23"/>
      <c r="BA104" s="23"/>
      <c r="BB104" s="23"/>
      <c r="BC104" s="23"/>
    </row>
    <row r="105">
      <c r="A105" s="110"/>
      <c r="B105" s="301">
        <f t="shared" si="17"/>
        <v>9000000</v>
      </c>
      <c r="C105" s="509">
        <f>'Average Validator'!AL130</f>
        <v>0.001248861683</v>
      </c>
      <c r="D105" s="509">
        <f>'Average Validator'!AM130</f>
        <v>0.001754178798</v>
      </c>
      <c r="E105" s="509">
        <f>'Average Validator'!AN130</f>
        <v>0.00227729213</v>
      </c>
      <c r="F105" s="509">
        <f>'Average Validator'!AO130</f>
        <v>0.002817615634</v>
      </c>
      <c r="G105" s="510">
        <f>'Average Validator'!AP130</f>
        <v>0.003374563263</v>
      </c>
      <c r="H105" s="509">
        <f>'Average Validator'!AQ130</f>
        <v>0.003601865796</v>
      </c>
      <c r="I105" s="509">
        <f>'Average Validator'!AR130</f>
        <v>0.003831696914</v>
      </c>
      <c r="J105" s="509">
        <f>'Average Validator'!AS130</f>
        <v>0.004064019111</v>
      </c>
      <c r="K105" s="509">
        <f>'Average Validator'!AT130</f>
        <v>0.004298794881</v>
      </c>
      <c r="L105" s="511">
        <f>'Average Validator'!AU130</f>
        <v>0.004535986715</v>
      </c>
      <c r="AO105" s="23"/>
      <c r="AP105" s="23"/>
      <c r="AQ105" s="23"/>
      <c r="AR105" s="23"/>
      <c r="AS105" s="23"/>
      <c r="AT105" s="23"/>
      <c r="AU105" s="23"/>
      <c r="AV105" s="23"/>
      <c r="AW105" s="23"/>
      <c r="AX105" s="23"/>
      <c r="AY105" s="23"/>
      <c r="AZ105" s="23"/>
      <c r="BA105" s="23"/>
      <c r="BB105" s="23"/>
      <c r="BC105" s="23"/>
    </row>
    <row r="106">
      <c r="A106" s="110"/>
      <c r="B106" s="301">
        <f t="shared" si="17"/>
        <v>9500000</v>
      </c>
      <c r="C106" s="509">
        <f>'Average Validator'!AL131</f>
        <v>0.001283083408</v>
      </c>
      <c r="D106" s="509">
        <f>'Average Validator'!AM131</f>
        <v>0.001802247391</v>
      </c>
      <c r="E106" s="509">
        <f>'Average Validator'!AN131</f>
        <v>0.002339695249</v>
      </c>
      <c r="F106" s="509">
        <f>'Average Validator'!AO131</f>
        <v>0.002894824878</v>
      </c>
      <c r="G106" s="510">
        <f>'Average Validator'!AP131</f>
        <v>0.003467034172</v>
      </c>
      <c r="H106" s="509">
        <f>'Average Validator'!AQ131</f>
        <v>0.003700565325</v>
      </c>
      <c r="I106" s="509">
        <f>'Average Validator'!AR131</f>
        <v>0.003936694352</v>
      </c>
      <c r="J106" s="509">
        <f>'Average Validator'!AS131</f>
        <v>0.00417538272</v>
      </c>
      <c r="K106" s="509">
        <f>'Average Validator'!AT131</f>
        <v>0.004416591893</v>
      </c>
      <c r="L106" s="511">
        <f>'Average Validator'!AU131</f>
        <v>0.004660283337</v>
      </c>
      <c r="AO106" s="23"/>
      <c r="AP106" s="23"/>
      <c r="AQ106" s="23"/>
      <c r="AR106" s="23"/>
      <c r="AS106" s="23"/>
      <c r="AT106" s="23"/>
      <c r="AU106" s="23"/>
      <c r="AV106" s="23"/>
      <c r="AW106" s="23"/>
      <c r="AX106" s="23"/>
      <c r="AY106" s="23"/>
      <c r="AZ106" s="23"/>
      <c r="BA106" s="23"/>
      <c r="BB106" s="23"/>
      <c r="BC106" s="23"/>
    </row>
    <row r="107">
      <c r="A107" s="146"/>
      <c r="B107" s="449">
        <f t="shared" si="17"/>
        <v>10000000</v>
      </c>
      <c r="C107" s="512">
        <f>'Average Validator'!AL132</f>
        <v>0.0013164158</v>
      </c>
      <c r="D107" s="512">
        <f>'Average Validator'!AM132</f>
        <v>0.001849066808</v>
      </c>
      <c r="E107" s="512">
        <f>'Average Validator'!AN132</f>
        <v>0.002400476676</v>
      </c>
      <c r="F107" s="512">
        <f>'Average Validator'!AO132</f>
        <v>0.002970027658</v>
      </c>
      <c r="G107" s="513">
        <f>'Average Validator'!AP132</f>
        <v>0.003557102007</v>
      </c>
      <c r="H107" s="512">
        <f>'Average Validator'!AQ132</f>
        <v>0.003796699914</v>
      </c>
      <c r="I107" s="512">
        <f>'Average Validator'!AR132</f>
        <v>0.004038963184</v>
      </c>
      <c r="J107" s="512">
        <f>'Average Validator'!AS132</f>
        <v>0.004283852282</v>
      </c>
      <c r="K107" s="512">
        <f>'Average Validator'!AT132</f>
        <v>0.004531327672</v>
      </c>
      <c r="L107" s="514">
        <f>'Average Validator'!AU132</f>
        <v>0.004781349818</v>
      </c>
      <c r="AO107" s="23"/>
      <c r="AP107" s="23"/>
      <c r="AQ107" s="23"/>
      <c r="AR107" s="23"/>
      <c r="AS107" s="23"/>
      <c r="AT107" s="23"/>
      <c r="AU107" s="23"/>
      <c r="AV107" s="23"/>
      <c r="AW107" s="23"/>
      <c r="AX107" s="23"/>
      <c r="AY107" s="23"/>
      <c r="AZ107" s="23"/>
      <c r="BA107" s="23"/>
      <c r="BB107" s="23"/>
      <c r="BC107" s="23"/>
    </row>
    <row r="108">
      <c r="AO108" s="23"/>
      <c r="AP108" s="23"/>
      <c r="AQ108" s="23"/>
      <c r="AR108" s="23"/>
      <c r="AS108" s="23"/>
      <c r="AT108" s="23"/>
      <c r="AU108" s="23"/>
      <c r="AV108" s="23"/>
      <c r="AW108" s="23"/>
      <c r="AX108" s="23"/>
      <c r="AY108" s="23"/>
      <c r="AZ108" s="23"/>
      <c r="BA108" s="23"/>
      <c r="BB108" s="23"/>
      <c r="BC108" s="23"/>
    </row>
    <row r="109">
      <c r="AO109" s="23"/>
      <c r="AP109" s="23"/>
      <c r="AQ109" s="23"/>
      <c r="AR109" s="23"/>
      <c r="AS109" s="23"/>
      <c r="AT109" s="23"/>
      <c r="AU109" s="23"/>
      <c r="AV109" s="23"/>
      <c r="AW109" s="23"/>
      <c r="AX109" s="23"/>
      <c r="AY109" s="23"/>
      <c r="AZ109" s="23"/>
      <c r="BA109" s="23"/>
      <c r="BB109" s="23"/>
      <c r="BC109" s="23"/>
    </row>
    <row r="110">
      <c r="AO110" s="23"/>
      <c r="AP110" s="23"/>
      <c r="AQ110" s="23"/>
      <c r="AR110" s="23"/>
      <c r="AS110" s="23"/>
      <c r="AT110" s="23"/>
      <c r="AU110" s="23"/>
      <c r="AV110" s="23"/>
      <c r="AW110" s="23"/>
      <c r="AX110" s="23"/>
      <c r="AY110" s="23"/>
      <c r="AZ110" s="23"/>
      <c r="BA110" s="23"/>
      <c r="BB110" s="23"/>
      <c r="BC110" s="23"/>
    </row>
    <row r="111">
      <c r="AO111" s="23"/>
      <c r="AP111" s="23"/>
      <c r="AQ111" s="23"/>
      <c r="AR111" s="23"/>
      <c r="AS111" s="23"/>
      <c r="AT111" s="23"/>
      <c r="AU111" s="23"/>
      <c r="AV111" s="23"/>
      <c r="AW111" s="23"/>
      <c r="AX111" s="23"/>
      <c r="AY111" s="23"/>
      <c r="AZ111" s="23"/>
      <c r="BA111" s="23"/>
      <c r="BB111" s="23"/>
      <c r="BC111" s="23"/>
    </row>
    <row r="112">
      <c r="AO112" s="23"/>
      <c r="AP112" s="23"/>
      <c r="AQ112" s="23"/>
      <c r="AR112" s="23"/>
      <c r="AS112" s="23"/>
      <c r="AT112" s="23"/>
      <c r="AU112" s="23"/>
      <c r="AV112" s="23"/>
      <c r="AW112" s="23"/>
      <c r="AX112" s="23"/>
      <c r="AY112" s="23"/>
      <c r="AZ112" s="23"/>
      <c r="BA112" s="23"/>
      <c r="BB112" s="23"/>
      <c r="BC112" s="23"/>
    </row>
    <row r="113">
      <c r="AO113" s="23"/>
      <c r="AP113" s="23"/>
      <c r="AQ113" s="23"/>
      <c r="AR113" s="23"/>
      <c r="AS113" s="23"/>
      <c r="AT113" s="23"/>
      <c r="AU113" s="23"/>
      <c r="AV113" s="23"/>
      <c r="AW113" s="23"/>
      <c r="AX113" s="23"/>
      <c r="AY113" s="23"/>
      <c r="AZ113" s="23"/>
      <c r="BA113" s="23"/>
      <c r="BB113" s="23"/>
      <c r="BC113" s="23"/>
    </row>
    <row r="114">
      <c r="AO114" s="23"/>
      <c r="AP114" s="23"/>
      <c r="AQ114" s="23"/>
      <c r="AR114" s="23"/>
      <c r="AS114" s="23"/>
      <c r="AT114" s="23"/>
      <c r="AU114" s="23"/>
      <c r="AV114" s="23"/>
      <c r="AW114" s="23"/>
      <c r="AX114" s="23"/>
      <c r="AY114" s="23"/>
      <c r="AZ114" s="23"/>
      <c r="BA114" s="23"/>
      <c r="BB114" s="23"/>
      <c r="BC114" s="23"/>
    </row>
    <row r="115">
      <c r="AO115" s="23"/>
      <c r="AP115" s="23"/>
      <c r="AQ115" s="23"/>
      <c r="AR115" s="23"/>
      <c r="AS115" s="23"/>
      <c r="AT115" s="23"/>
      <c r="AU115" s="23"/>
      <c r="AV115" s="23"/>
      <c r="AW115" s="23"/>
      <c r="AX115" s="23"/>
      <c r="AY115" s="23"/>
      <c r="AZ115" s="23"/>
      <c r="BA115" s="23"/>
      <c r="BB115" s="23"/>
      <c r="BC115" s="23"/>
    </row>
    <row r="116">
      <c r="AO116" s="23"/>
      <c r="AP116" s="23"/>
      <c r="AQ116" s="23"/>
      <c r="AR116" s="23"/>
      <c r="AS116" s="23"/>
      <c r="AT116" s="23"/>
      <c r="AU116" s="23"/>
      <c r="AV116" s="23"/>
      <c r="AW116" s="23"/>
      <c r="AX116" s="23"/>
      <c r="AY116" s="23"/>
      <c r="AZ116" s="23"/>
      <c r="BA116" s="23"/>
      <c r="BB116" s="23"/>
      <c r="BC116" s="23"/>
    </row>
    <row r="117">
      <c r="AO117" s="23"/>
      <c r="AP117" s="23"/>
      <c r="AQ117" s="23"/>
      <c r="AR117" s="23"/>
      <c r="AS117" s="23"/>
      <c r="AT117" s="23"/>
      <c r="AU117" s="23"/>
      <c r="AV117" s="23"/>
      <c r="AW117" s="23"/>
      <c r="AX117" s="23"/>
      <c r="AY117" s="23"/>
      <c r="AZ117" s="23"/>
      <c r="BA117" s="23"/>
      <c r="BB117" s="23"/>
      <c r="BC117" s="23"/>
    </row>
    <row r="118">
      <c r="AO118" s="23"/>
      <c r="AP118" s="23"/>
      <c r="AQ118" s="23"/>
      <c r="AR118" s="23"/>
      <c r="AS118" s="23"/>
      <c r="AT118" s="23"/>
      <c r="AU118" s="23"/>
      <c r="AV118" s="23"/>
      <c r="AW118" s="23"/>
      <c r="AX118" s="23"/>
      <c r="AY118" s="23"/>
      <c r="AZ118" s="23"/>
      <c r="BA118" s="23"/>
      <c r="BB118" s="23"/>
      <c r="BC118" s="23"/>
    </row>
    <row r="119">
      <c r="AO119" s="23"/>
      <c r="AP119" s="23"/>
      <c r="AQ119" s="23"/>
      <c r="AR119" s="23"/>
      <c r="AS119" s="23"/>
      <c r="AT119" s="23"/>
      <c r="AU119" s="23"/>
      <c r="AV119" s="23"/>
      <c r="AW119" s="23"/>
      <c r="AX119" s="23"/>
      <c r="AY119" s="23"/>
      <c r="AZ119" s="23"/>
      <c r="BA119" s="23"/>
      <c r="BB119" s="23"/>
      <c r="BC119" s="23"/>
    </row>
    <row r="120">
      <c r="AO120" s="23"/>
      <c r="AP120" s="23"/>
      <c r="AQ120" s="23"/>
      <c r="AR120" s="23"/>
      <c r="AS120" s="23"/>
      <c r="AT120" s="23"/>
      <c r="AU120" s="23"/>
      <c r="AV120" s="23"/>
      <c r="AW120" s="23"/>
      <c r="AX120" s="23"/>
      <c r="AY120" s="23"/>
      <c r="AZ120" s="23"/>
      <c r="BA120" s="23"/>
      <c r="BB120" s="23"/>
      <c r="BC120" s="23"/>
    </row>
    <row r="121">
      <c r="AO121" s="23"/>
      <c r="AP121" s="23"/>
      <c r="AQ121" s="23"/>
      <c r="AR121" s="23"/>
      <c r="AS121" s="23"/>
      <c r="AT121" s="23"/>
      <c r="AU121" s="23"/>
      <c r="AV121" s="23"/>
      <c r="AW121" s="23"/>
      <c r="AX121" s="23"/>
      <c r="AY121" s="23"/>
      <c r="AZ121" s="23"/>
      <c r="BA121" s="23"/>
      <c r="BB121" s="23"/>
      <c r="BC121" s="23"/>
    </row>
    <row r="122">
      <c r="AO122" s="23"/>
      <c r="AP122" s="23"/>
      <c r="AQ122" s="23"/>
      <c r="AR122" s="23"/>
      <c r="AS122" s="23"/>
      <c r="AT122" s="23"/>
      <c r="AU122" s="23"/>
      <c r="AV122" s="23"/>
      <c r="AW122" s="23"/>
      <c r="AX122" s="23"/>
      <c r="AY122" s="23"/>
      <c r="AZ122" s="23"/>
      <c r="BA122" s="23"/>
      <c r="BB122" s="23"/>
      <c r="BC122" s="23"/>
    </row>
    <row r="123">
      <c r="AO123" s="23"/>
      <c r="AP123" s="23"/>
      <c r="AQ123" s="23"/>
      <c r="AR123" s="23"/>
      <c r="AS123" s="23"/>
      <c r="AT123" s="23"/>
      <c r="AU123" s="23"/>
      <c r="AV123" s="23"/>
      <c r="AW123" s="23"/>
      <c r="AX123" s="23"/>
      <c r="AY123" s="23"/>
      <c r="AZ123" s="23"/>
      <c r="BA123" s="23"/>
      <c r="BB123" s="23"/>
      <c r="BC123" s="23"/>
    </row>
    <row r="124">
      <c r="AO124" s="23"/>
      <c r="AP124" s="23"/>
      <c r="AQ124" s="23"/>
      <c r="AR124" s="23"/>
      <c r="AS124" s="23"/>
      <c r="AT124" s="23"/>
      <c r="AU124" s="23"/>
      <c r="AV124" s="23"/>
      <c r="AW124" s="23"/>
      <c r="AX124" s="23"/>
      <c r="AY124" s="23"/>
      <c r="AZ124" s="23"/>
      <c r="BA124" s="23"/>
      <c r="BB124" s="23"/>
      <c r="BC124" s="23"/>
    </row>
    <row r="125">
      <c r="AO125" s="23"/>
      <c r="AP125" s="23"/>
      <c r="AQ125" s="23"/>
      <c r="AR125" s="23"/>
      <c r="AS125" s="23"/>
      <c r="AT125" s="23"/>
      <c r="AU125" s="23"/>
      <c r="AV125" s="23"/>
      <c r="AW125" s="23"/>
      <c r="AX125" s="23"/>
      <c r="AY125" s="23"/>
      <c r="AZ125" s="23"/>
      <c r="BA125" s="23"/>
      <c r="BB125" s="23"/>
      <c r="BC125" s="23"/>
    </row>
    <row r="126">
      <c r="AO126" s="23"/>
      <c r="AP126" s="23"/>
      <c r="AQ126" s="23"/>
      <c r="AR126" s="23"/>
      <c r="AS126" s="23"/>
      <c r="AT126" s="23"/>
      <c r="AU126" s="23"/>
      <c r="AV126" s="23"/>
      <c r="AW126" s="23"/>
      <c r="AX126" s="23"/>
      <c r="AY126" s="23"/>
      <c r="AZ126" s="23"/>
      <c r="BA126" s="23"/>
      <c r="BB126" s="23"/>
      <c r="BC126" s="23"/>
    </row>
    <row r="127">
      <c r="AO127" s="23"/>
      <c r="AP127" s="23"/>
      <c r="AQ127" s="23"/>
      <c r="AR127" s="23"/>
      <c r="AS127" s="23"/>
      <c r="AT127" s="23"/>
      <c r="AU127" s="23"/>
      <c r="AV127" s="23"/>
      <c r="AW127" s="23"/>
      <c r="AX127" s="23"/>
      <c r="AY127" s="23"/>
      <c r="AZ127" s="23"/>
      <c r="BA127" s="23"/>
      <c r="BB127" s="23"/>
      <c r="BC127" s="23"/>
    </row>
    <row r="128">
      <c r="AO128" s="23"/>
      <c r="AP128" s="23"/>
      <c r="AQ128" s="23"/>
      <c r="AR128" s="23"/>
      <c r="AS128" s="23"/>
      <c r="AT128" s="23"/>
      <c r="AU128" s="23"/>
      <c r="AV128" s="23"/>
      <c r="AW128" s="23"/>
      <c r="AX128" s="23"/>
      <c r="AY128" s="23"/>
      <c r="AZ128" s="23"/>
      <c r="BA128" s="23"/>
      <c r="BB128" s="23"/>
      <c r="BC128" s="23"/>
    </row>
    <row r="129">
      <c r="AO129" s="23"/>
      <c r="AP129" s="23"/>
      <c r="AQ129" s="23"/>
      <c r="AR129" s="23"/>
      <c r="AS129" s="23"/>
      <c r="AT129" s="23"/>
      <c r="AU129" s="23"/>
      <c r="AV129" s="23"/>
      <c r="AW129" s="23"/>
      <c r="AX129" s="23"/>
      <c r="AY129" s="23"/>
      <c r="AZ129" s="23"/>
      <c r="BA129" s="23"/>
      <c r="BB129" s="23"/>
      <c r="BC129" s="23"/>
    </row>
    <row r="130">
      <c r="AO130" s="23"/>
      <c r="AP130" s="23"/>
      <c r="AQ130" s="23"/>
      <c r="AR130" s="23"/>
      <c r="AS130" s="23"/>
      <c r="AT130" s="23"/>
      <c r="AU130" s="23"/>
      <c r="AV130" s="23"/>
      <c r="AW130" s="23"/>
      <c r="AX130" s="23"/>
      <c r="AY130" s="23"/>
      <c r="AZ130" s="23"/>
      <c r="BA130" s="23"/>
      <c r="BB130" s="23"/>
      <c r="BC130" s="23"/>
    </row>
    <row r="131">
      <c r="AO131" s="23"/>
      <c r="AP131" s="23"/>
      <c r="AQ131" s="23"/>
      <c r="AR131" s="23"/>
      <c r="AS131" s="23"/>
      <c r="AT131" s="23"/>
      <c r="AU131" s="23"/>
      <c r="AV131" s="23"/>
      <c r="AW131" s="23"/>
      <c r="AX131" s="23"/>
      <c r="AY131" s="23"/>
      <c r="AZ131" s="23"/>
      <c r="BA131" s="23"/>
      <c r="BB131" s="23"/>
      <c r="BC131" s="23"/>
    </row>
    <row r="132">
      <c r="AO132" s="23"/>
      <c r="AP132" s="23"/>
      <c r="AQ132" s="23"/>
      <c r="AR132" s="23"/>
      <c r="AS132" s="23"/>
      <c r="AT132" s="23"/>
      <c r="AU132" s="23"/>
      <c r="AV132" s="23"/>
      <c r="AW132" s="23"/>
      <c r="AX132" s="23"/>
      <c r="AY132" s="23"/>
      <c r="AZ132" s="23"/>
      <c r="BA132" s="23"/>
      <c r="BB132" s="23"/>
      <c r="BC132" s="23"/>
    </row>
    <row r="133">
      <c r="AO133" s="23"/>
      <c r="AP133" s="23"/>
      <c r="AQ133" s="23"/>
      <c r="AR133" s="23"/>
      <c r="AS133" s="23"/>
      <c r="AT133" s="23"/>
      <c r="AU133" s="23"/>
      <c r="AV133" s="23"/>
      <c r="AW133" s="23"/>
      <c r="AX133" s="23"/>
      <c r="AY133" s="23"/>
      <c r="AZ133" s="23"/>
      <c r="BA133" s="23"/>
      <c r="BB133" s="23"/>
      <c r="BC133" s="23"/>
    </row>
    <row r="134">
      <c r="AO134" s="23"/>
      <c r="AP134" s="23"/>
      <c r="AQ134" s="23"/>
      <c r="AR134" s="23"/>
      <c r="AS134" s="23"/>
      <c r="AT134" s="23"/>
      <c r="AU134" s="23"/>
      <c r="AV134" s="23"/>
      <c r="AW134" s="23"/>
      <c r="AX134" s="23"/>
      <c r="AY134" s="23"/>
      <c r="AZ134" s="23"/>
      <c r="BA134" s="23"/>
      <c r="BB134" s="23"/>
      <c r="BC134" s="23"/>
    </row>
    <row r="135">
      <c r="AO135" s="23"/>
      <c r="AP135" s="23"/>
      <c r="AQ135" s="23"/>
      <c r="AR135" s="23"/>
      <c r="AS135" s="23"/>
      <c r="AT135" s="23"/>
      <c r="AU135" s="23"/>
      <c r="AV135" s="23"/>
      <c r="AW135" s="23"/>
      <c r="AX135" s="23"/>
      <c r="AY135" s="23"/>
      <c r="AZ135" s="23"/>
      <c r="BA135" s="23"/>
      <c r="BB135" s="23"/>
      <c r="BC135" s="23"/>
    </row>
    <row r="136">
      <c r="AO136" s="23"/>
      <c r="AP136" s="23"/>
      <c r="AQ136" s="23"/>
      <c r="AR136" s="23"/>
      <c r="AS136" s="23"/>
      <c r="AT136" s="23"/>
      <c r="AU136" s="23"/>
      <c r="AV136" s="23"/>
      <c r="AW136" s="23"/>
      <c r="AX136" s="23"/>
      <c r="AY136" s="23"/>
      <c r="AZ136" s="23"/>
      <c r="BA136" s="23"/>
      <c r="BB136" s="23"/>
      <c r="BC136" s="23"/>
    </row>
    <row r="137">
      <c r="AO137" s="23"/>
      <c r="AP137" s="23"/>
      <c r="AQ137" s="23"/>
      <c r="AR137" s="23"/>
      <c r="AS137" s="23"/>
      <c r="AT137" s="23"/>
      <c r="AU137" s="23"/>
      <c r="AV137" s="23"/>
      <c r="AW137" s="23"/>
      <c r="AX137" s="23"/>
      <c r="AY137" s="23"/>
      <c r="AZ137" s="23"/>
      <c r="BA137" s="23"/>
      <c r="BB137" s="23"/>
      <c r="BC137" s="23"/>
    </row>
    <row r="138">
      <c r="AO138" s="23"/>
      <c r="AP138" s="23"/>
      <c r="AQ138" s="23"/>
      <c r="AR138" s="23"/>
      <c r="AS138" s="23"/>
      <c r="AT138" s="23"/>
      <c r="AU138" s="23"/>
      <c r="AV138" s="23"/>
      <c r="AW138" s="23"/>
      <c r="AX138" s="23"/>
      <c r="AY138" s="23"/>
      <c r="AZ138" s="23"/>
      <c r="BA138" s="23"/>
      <c r="BB138" s="23"/>
      <c r="BC138" s="23"/>
    </row>
    <row r="139">
      <c r="AO139" s="23"/>
      <c r="AP139" s="23"/>
      <c r="AQ139" s="23"/>
      <c r="AR139" s="23"/>
      <c r="AS139" s="23"/>
      <c r="AT139" s="23"/>
      <c r="AU139" s="23"/>
      <c r="AV139" s="23"/>
      <c r="AW139" s="23"/>
      <c r="AX139" s="23"/>
      <c r="AY139" s="23"/>
      <c r="AZ139" s="23"/>
      <c r="BA139" s="23"/>
      <c r="BB139" s="23"/>
      <c r="BC139" s="23"/>
    </row>
    <row r="140">
      <c r="AO140" s="23"/>
      <c r="AP140" s="23"/>
      <c r="AQ140" s="23"/>
      <c r="AR140" s="23"/>
      <c r="AS140" s="23"/>
      <c r="AT140" s="23"/>
      <c r="AU140" s="23"/>
      <c r="AV140" s="23"/>
      <c r="AW140" s="23"/>
      <c r="AX140" s="23"/>
      <c r="AY140" s="23"/>
      <c r="AZ140" s="23"/>
      <c r="BA140" s="23"/>
      <c r="BB140" s="23"/>
      <c r="BC140" s="23"/>
    </row>
    <row r="141">
      <c r="AO141" s="23"/>
      <c r="AP141" s="23"/>
      <c r="AQ141" s="23"/>
      <c r="AR141" s="23"/>
      <c r="AS141" s="23"/>
      <c r="AT141" s="23"/>
      <c r="AU141" s="23"/>
      <c r="AV141" s="23"/>
      <c r="AW141" s="23"/>
      <c r="AX141" s="23"/>
      <c r="AY141" s="23"/>
      <c r="AZ141" s="23"/>
      <c r="BA141" s="23"/>
      <c r="BB141" s="23"/>
      <c r="BC141" s="23"/>
    </row>
    <row r="142">
      <c r="AO142" s="23"/>
      <c r="AP142" s="23"/>
      <c r="AQ142" s="23"/>
      <c r="AR142" s="23"/>
      <c r="AS142" s="23"/>
      <c r="AT142" s="23"/>
      <c r="AU142" s="23"/>
      <c r="AV142" s="23"/>
      <c r="AW142" s="23"/>
      <c r="AX142" s="23"/>
      <c r="AY142" s="23"/>
      <c r="AZ142" s="23"/>
      <c r="BA142" s="23"/>
      <c r="BB142" s="23"/>
      <c r="BC142" s="23"/>
    </row>
    <row r="143">
      <c r="AO143" s="23"/>
      <c r="AP143" s="23"/>
      <c r="AQ143" s="23"/>
      <c r="AR143" s="23"/>
      <c r="AS143" s="23"/>
      <c r="AT143" s="23"/>
      <c r="AU143" s="23"/>
      <c r="AV143" s="23"/>
      <c r="AW143" s="23"/>
      <c r="AX143" s="23"/>
      <c r="AY143" s="23"/>
      <c r="AZ143" s="23"/>
      <c r="BA143" s="23"/>
      <c r="BB143" s="23"/>
      <c r="BC143" s="23"/>
    </row>
    <row r="144">
      <c r="AO144" s="23"/>
      <c r="AP144" s="23"/>
      <c r="AQ144" s="23"/>
      <c r="AR144" s="23"/>
      <c r="AS144" s="23"/>
      <c r="AT144" s="23"/>
      <c r="AU144" s="23"/>
      <c r="AV144" s="23"/>
      <c r="AW144" s="23"/>
      <c r="AX144" s="23"/>
      <c r="AY144" s="23"/>
      <c r="AZ144" s="23"/>
      <c r="BA144" s="23"/>
      <c r="BB144" s="23"/>
      <c r="BC144" s="23"/>
    </row>
    <row r="145">
      <c r="AO145" s="23"/>
      <c r="AP145" s="23"/>
      <c r="AQ145" s="23"/>
      <c r="AR145" s="23"/>
      <c r="AS145" s="23"/>
      <c r="AT145" s="23"/>
      <c r="AU145" s="23"/>
      <c r="AV145" s="23"/>
      <c r="AW145" s="23"/>
      <c r="AX145" s="23"/>
      <c r="AY145" s="23"/>
      <c r="AZ145" s="23"/>
      <c r="BA145" s="23"/>
      <c r="BB145" s="23"/>
      <c r="BC145" s="23"/>
    </row>
    <row r="146">
      <c r="AO146" s="23"/>
      <c r="AP146" s="23"/>
      <c r="AQ146" s="23"/>
      <c r="AR146" s="23"/>
      <c r="AS146" s="23"/>
      <c r="AT146" s="23"/>
      <c r="AU146" s="23"/>
      <c r="AV146" s="23"/>
      <c r="AW146" s="23"/>
      <c r="AX146" s="23"/>
      <c r="AY146" s="23"/>
      <c r="AZ146" s="23"/>
      <c r="BA146" s="23"/>
      <c r="BB146" s="23"/>
      <c r="BC146" s="23"/>
    </row>
    <row r="147">
      <c r="AO147" s="23"/>
      <c r="AP147" s="23"/>
      <c r="AQ147" s="23"/>
      <c r="AR147" s="23"/>
      <c r="AS147" s="23"/>
      <c r="AT147" s="23"/>
      <c r="AU147" s="23"/>
      <c r="AV147" s="23"/>
      <c r="AW147" s="23"/>
      <c r="AX147" s="23"/>
      <c r="AY147" s="23"/>
      <c r="AZ147" s="23"/>
      <c r="BA147" s="23"/>
      <c r="BB147" s="23"/>
      <c r="BC147" s="23"/>
    </row>
    <row r="148">
      <c r="AO148" s="23"/>
      <c r="AP148" s="23"/>
      <c r="AQ148" s="23"/>
      <c r="AR148" s="23"/>
      <c r="AS148" s="23"/>
      <c r="AT148" s="23"/>
      <c r="AU148" s="23"/>
      <c r="AV148" s="23"/>
      <c r="AW148" s="23"/>
      <c r="AX148" s="23"/>
      <c r="AY148" s="23"/>
      <c r="AZ148" s="23"/>
      <c r="BA148" s="23"/>
      <c r="BB148" s="23"/>
      <c r="BC148" s="23"/>
    </row>
    <row r="149">
      <c r="AO149" s="23"/>
      <c r="AP149" s="23"/>
      <c r="AQ149" s="23"/>
      <c r="AR149" s="23"/>
      <c r="AS149" s="23"/>
      <c r="AT149" s="23"/>
      <c r="AU149" s="23"/>
      <c r="AV149" s="23"/>
      <c r="AW149" s="23"/>
      <c r="AX149" s="23"/>
      <c r="AY149" s="23"/>
      <c r="AZ149" s="23"/>
      <c r="BA149" s="23"/>
      <c r="BB149" s="23"/>
      <c r="BC149" s="23"/>
    </row>
    <row r="150">
      <c r="AO150" s="23"/>
      <c r="AP150" s="23"/>
      <c r="AQ150" s="23"/>
      <c r="AR150" s="23"/>
      <c r="AS150" s="23"/>
      <c r="AT150" s="23"/>
      <c r="AU150" s="23"/>
      <c r="AV150" s="23"/>
      <c r="AW150" s="23"/>
      <c r="AX150" s="23"/>
      <c r="AY150" s="23"/>
      <c r="AZ150" s="23"/>
      <c r="BA150" s="23"/>
      <c r="BB150" s="23"/>
      <c r="BC150" s="23"/>
    </row>
    <row r="151">
      <c r="AO151" s="23"/>
      <c r="AP151" s="23"/>
      <c r="AQ151" s="23"/>
      <c r="AR151" s="23"/>
      <c r="AS151" s="23"/>
      <c r="AT151" s="23"/>
      <c r="AU151" s="23"/>
      <c r="AV151" s="23"/>
      <c r="AW151" s="23"/>
      <c r="AX151" s="23"/>
      <c r="AY151" s="23"/>
      <c r="AZ151" s="23"/>
      <c r="BA151" s="23"/>
      <c r="BB151" s="23"/>
      <c r="BC151" s="23"/>
    </row>
    <row r="152">
      <c r="AO152" s="23"/>
      <c r="AP152" s="23"/>
      <c r="AQ152" s="23"/>
      <c r="AR152" s="23"/>
      <c r="AS152" s="23"/>
      <c r="AT152" s="23"/>
      <c r="AU152" s="23"/>
      <c r="AV152" s="23"/>
      <c r="AW152" s="23"/>
      <c r="AX152" s="23"/>
      <c r="AY152" s="23"/>
      <c r="AZ152" s="23"/>
      <c r="BA152" s="23"/>
      <c r="BB152" s="23"/>
      <c r="BC152" s="23"/>
    </row>
    <row r="153">
      <c r="AO153" s="23"/>
      <c r="AP153" s="23"/>
      <c r="AQ153" s="23"/>
      <c r="AR153" s="23"/>
      <c r="AS153" s="23"/>
      <c r="AT153" s="23"/>
      <c r="AU153" s="23"/>
      <c r="AV153" s="23"/>
      <c r="AW153" s="23"/>
      <c r="AX153" s="23"/>
      <c r="AY153" s="23"/>
      <c r="AZ153" s="23"/>
      <c r="BA153" s="23"/>
      <c r="BB153" s="23"/>
      <c r="BC153" s="23"/>
    </row>
    <row r="154">
      <c r="AO154" s="23"/>
      <c r="AP154" s="23"/>
      <c r="AQ154" s="23"/>
      <c r="AR154" s="23"/>
      <c r="AS154" s="23"/>
      <c r="AT154" s="23"/>
      <c r="AU154" s="23"/>
      <c r="AV154" s="23"/>
      <c r="AW154" s="23"/>
      <c r="AX154" s="23"/>
      <c r="AY154" s="23"/>
      <c r="AZ154" s="23"/>
      <c r="BA154" s="23"/>
      <c r="BB154" s="23"/>
      <c r="BC154" s="23"/>
    </row>
    <row r="155">
      <c r="AO155" s="23"/>
      <c r="AP155" s="23"/>
      <c r="AQ155" s="23"/>
      <c r="AR155" s="23"/>
      <c r="AS155" s="23"/>
      <c r="AT155" s="23"/>
      <c r="AU155" s="23"/>
      <c r="AV155" s="23"/>
      <c r="AW155" s="23"/>
      <c r="AX155" s="23"/>
      <c r="AY155" s="23"/>
      <c r="AZ155" s="23"/>
      <c r="BA155" s="23"/>
      <c r="BB155" s="23"/>
      <c r="BC155" s="23"/>
    </row>
    <row r="156">
      <c r="AO156" s="23"/>
      <c r="AP156" s="23"/>
      <c r="AQ156" s="23"/>
      <c r="AR156" s="23"/>
      <c r="AS156" s="23"/>
      <c r="AT156" s="23"/>
      <c r="AU156" s="23"/>
      <c r="AV156" s="23"/>
      <c r="AW156" s="23"/>
      <c r="AX156" s="23"/>
      <c r="AY156" s="23"/>
      <c r="AZ156" s="23"/>
      <c r="BA156" s="23"/>
      <c r="BB156" s="23"/>
      <c r="BC156" s="23"/>
    </row>
    <row r="157">
      <c r="AO157" s="23"/>
      <c r="AP157" s="23"/>
      <c r="AQ157" s="23"/>
      <c r="AR157" s="23"/>
      <c r="AS157" s="23"/>
      <c r="AT157" s="23"/>
      <c r="AU157" s="23"/>
      <c r="AV157" s="23"/>
      <c r="AW157" s="23"/>
      <c r="AX157" s="23"/>
      <c r="AY157" s="23"/>
      <c r="AZ157" s="23"/>
      <c r="BA157" s="23"/>
      <c r="BB157" s="23"/>
      <c r="BC157" s="23"/>
    </row>
    <row r="158">
      <c r="AO158" s="23"/>
      <c r="AP158" s="23"/>
      <c r="AQ158" s="23"/>
      <c r="AR158" s="23"/>
      <c r="AS158" s="23"/>
      <c r="AT158" s="23"/>
      <c r="AU158" s="23"/>
      <c r="AV158" s="23"/>
      <c r="AW158" s="23"/>
      <c r="AX158" s="23"/>
      <c r="AY158" s="23"/>
      <c r="AZ158" s="23"/>
      <c r="BA158" s="23"/>
      <c r="BB158" s="23"/>
      <c r="BC158" s="23"/>
    </row>
    <row r="159">
      <c r="AO159" s="23"/>
      <c r="AP159" s="23"/>
      <c r="AQ159" s="23"/>
      <c r="AR159" s="23"/>
      <c r="AS159" s="23"/>
      <c r="AT159" s="23"/>
      <c r="AU159" s="23"/>
      <c r="AV159" s="23"/>
      <c r="AW159" s="23"/>
      <c r="AX159" s="23"/>
      <c r="AY159" s="23"/>
      <c r="AZ159" s="23"/>
      <c r="BA159" s="23"/>
      <c r="BB159" s="23"/>
      <c r="BC159" s="23"/>
    </row>
    <row r="160">
      <c r="AO160" s="23"/>
      <c r="AP160" s="23"/>
      <c r="AQ160" s="23"/>
      <c r="AR160" s="23"/>
      <c r="AS160" s="23"/>
      <c r="AT160" s="23"/>
      <c r="AU160" s="23"/>
      <c r="AV160" s="23"/>
      <c r="AW160" s="23"/>
      <c r="AX160" s="23"/>
      <c r="AY160" s="23"/>
      <c r="AZ160" s="23"/>
      <c r="BA160" s="23"/>
      <c r="BB160" s="23"/>
      <c r="BC160" s="23"/>
    </row>
    <row r="161">
      <c r="AO161" s="23"/>
      <c r="AP161" s="23"/>
      <c r="AQ161" s="23"/>
      <c r="AR161" s="23"/>
      <c r="AS161" s="23"/>
      <c r="AT161" s="23"/>
      <c r="AU161" s="23"/>
      <c r="AV161" s="23"/>
      <c r="AW161" s="23"/>
      <c r="AX161" s="23"/>
      <c r="AY161" s="23"/>
      <c r="AZ161" s="23"/>
      <c r="BA161" s="23"/>
      <c r="BB161" s="23"/>
      <c r="BC161" s="23"/>
    </row>
    <row r="162">
      <c r="AO162" s="23"/>
      <c r="AP162" s="23"/>
      <c r="AQ162" s="23"/>
      <c r="AR162" s="23"/>
      <c r="AS162" s="23"/>
      <c r="AT162" s="23"/>
      <c r="AU162" s="23"/>
      <c r="AV162" s="23"/>
      <c r="AW162" s="23"/>
      <c r="AX162" s="23"/>
      <c r="AY162" s="23"/>
      <c r="AZ162" s="23"/>
      <c r="BA162" s="23"/>
      <c r="BB162" s="23"/>
      <c r="BC162" s="23"/>
    </row>
    <row r="163">
      <c r="AO163" s="23"/>
      <c r="AP163" s="23"/>
      <c r="AQ163" s="23"/>
      <c r="AR163" s="23"/>
      <c r="AS163" s="23"/>
      <c r="AT163" s="23"/>
      <c r="AU163" s="23"/>
      <c r="AV163" s="23"/>
      <c r="AW163" s="23"/>
      <c r="AX163" s="23"/>
      <c r="AY163" s="23"/>
      <c r="AZ163" s="23"/>
      <c r="BA163" s="23"/>
      <c r="BB163" s="23"/>
      <c r="BC163" s="23"/>
    </row>
    <row r="164">
      <c r="AO164" s="23"/>
      <c r="AP164" s="23"/>
      <c r="AQ164" s="23"/>
      <c r="AR164" s="23"/>
      <c r="AS164" s="23"/>
      <c r="AT164" s="23"/>
      <c r="AU164" s="23"/>
      <c r="AV164" s="23"/>
      <c r="AW164" s="23"/>
      <c r="AX164" s="23"/>
      <c r="AY164" s="23"/>
      <c r="AZ164" s="23"/>
      <c r="BA164" s="23"/>
      <c r="BB164" s="23"/>
      <c r="BC164" s="23"/>
    </row>
    <row r="165">
      <c r="AO165" s="23"/>
      <c r="AP165" s="23"/>
      <c r="AQ165" s="23"/>
      <c r="AR165" s="23"/>
      <c r="AS165" s="23"/>
      <c r="AT165" s="23"/>
      <c r="AU165" s="23"/>
      <c r="AV165" s="23"/>
      <c r="AW165" s="23"/>
      <c r="AX165" s="23"/>
      <c r="AY165" s="23"/>
      <c r="AZ165" s="23"/>
      <c r="BA165" s="23"/>
      <c r="BB165" s="23"/>
      <c r="BC165" s="23"/>
    </row>
    <row r="166">
      <c r="AO166" s="23"/>
      <c r="AP166" s="23"/>
      <c r="AQ166" s="23"/>
      <c r="AR166" s="23"/>
      <c r="AS166" s="23"/>
      <c r="AT166" s="23"/>
      <c r="AU166" s="23"/>
      <c r="AV166" s="23"/>
      <c r="AW166" s="23"/>
      <c r="AX166" s="23"/>
      <c r="AY166" s="23"/>
      <c r="AZ166" s="23"/>
      <c r="BA166" s="23"/>
      <c r="BB166" s="23"/>
      <c r="BC166" s="23"/>
    </row>
    <row r="167">
      <c r="AO167" s="23"/>
      <c r="AP167" s="23"/>
      <c r="AQ167" s="23"/>
      <c r="AR167" s="23"/>
      <c r="AS167" s="23"/>
      <c r="AT167" s="23"/>
      <c r="AU167" s="23"/>
      <c r="AV167" s="23"/>
      <c r="AW167" s="23"/>
      <c r="AX167" s="23"/>
      <c r="AY167" s="23"/>
      <c r="AZ167" s="23"/>
      <c r="BA167" s="23"/>
      <c r="BB167" s="23"/>
      <c r="BC167" s="23"/>
    </row>
    <row r="168">
      <c r="AO168" s="23"/>
      <c r="AP168" s="23"/>
      <c r="AQ168" s="23"/>
      <c r="AR168" s="23"/>
      <c r="AS168" s="23"/>
      <c r="AT168" s="23"/>
      <c r="AU168" s="23"/>
      <c r="AV168" s="23"/>
      <c r="AW168" s="23"/>
      <c r="AX168" s="23"/>
      <c r="AY168" s="23"/>
      <c r="AZ168" s="23"/>
      <c r="BA168" s="23"/>
      <c r="BB168" s="23"/>
      <c r="BC168" s="23"/>
    </row>
    <row r="169">
      <c r="AO169" s="23"/>
      <c r="AP169" s="23"/>
      <c r="AQ169" s="23"/>
      <c r="AR169" s="23"/>
      <c r="AS169" s="23"/>
      <c r="AT169" s="23"/>
      <c r="AU169" s="23"/>
      <c r="AV169" s="23"/>
      <c r="AW169" s="23"/>
      <c r="AX169" s="23"/>
      <c r="AY169" s="23"/>
      <c r="AZ169" s="23"/>
      <c r="BA169" s="23"/>
      <c r="BB169" s="23"/>
      <c r="BC169" s="23"/>
    </row>
    <row r="170">
      <c r="AO170" s="23"/>
      <c r="AP170" s="23"/>
      <c r="AQ170" s="23"/>
      <c r="AR170" s="23"/>
      <c r="AS170" s="23"/>
      <c r="AT170" s="23"/>
      <c r="AU170" s="23"/>
      <c r="AV170" s="23"/>
      <c r="AW170" s="23"/>
      <c r="AX170" s="23"/>
      <c r="AY170" s="23"/>
      <c r="AZ170" s="23"/>
      <c r="BA170" s="23"/>
      <c r="BB170" s="23"/>
      <c r="BC170" s="23"/>
    </row>
    <row r="171">
      <c r="AO171" s="23"/>
      <c r="AP171" s="23"/>
      <c r="AQ171" s="23"/>
      <c r="AR171" s="23"/>
      <c r="AS171" s="23"/>
      <c r="AT171" s="23"/>
      <c r="AU171" s="23"/>
      <c r="AV171" s="23"/>
      <c r="AW171" s="23"/>
      <c r="AX171" s="23"/>
      <c r="AY171" s="23"/>
      <c r="AZ171" s="23"/>
      <c r="BA171" s="23"/>
      <c r="BB171" s="23"/>
      <c r="BC171" s="23"/>
    </row>
    <row r="172">
      <c r="AO172" s="23"/>
      <c r="AP172" s="23"/>
      <c r="AQ172" s="23"/>
      <c r="AR172" s="23"/>
      <c r="AS172" s="23"/>
      <c r="AT172" s="23"/>
      <c r="AU172" s="23"/>
      <c r="AV172" s="23"/>
      <c r="AW172" s="23"/>
      <c r="AX172" s="23"/>
      <c r="AY172" s="23"/>
      <c r="AZ172" s="23"/>
      <c r="BA172" s="23"/>
      <c r="BB172" s="23"/>
      <c r="BC172" s="23"/>
    </row>
    <row r="173">
      <c r="AO173" s="23"/>
      <c r="AP173" s="23"/>
      <c r="AQ173" s="23"/>
      <c r="AR173" s="23"/>
      <c r="AS173" s="23"/>
      <c r="AT173" s="23"/>
      <c r="AU173" s="23"/>
      <c r="AV173" s="23"/>
      <c r="AW173" s="23"/>
      <c r="AX173" s="23"/>
      <c r="AY173" s="23"/>
      <c r="AZ173" s="23"/>
      <c r="BA173" s="23"/>
      <c r="BB173" s="23"/>
      <c r="BC173" s="23"/>
    </row>
    <row r="174">
      <c r="AO174" s="23"/>
      <c r="AP174" s="23"/>
      <c r="AQ174" s="23"/>
      <c r="AR174" s="23"/>
      <c r="AS174" s="23"/>
      <c r="AT174" s="23"/>
      <c r="AU174" s="23"/>
      <c r="AV174" s="23"/>
      <c r="AW174" s="23"/>
      <c r="AX174" s="23"/>
      <c r="AY174" s="23"/>
      <c r="AZ174" s="23"/>
      <c r="BA174" s="23"/>
      <c r="BB174" s="23"/>
      <c r="BC174" s="23"/>
    </row>
    <row r="175">
      <c r="AO175" s="23"/>
      <c r="AP175" s="23"/>
      <c r="AQ175" s="23"/>
      <c r="AR175" s="23"/>
      <c r="AS175" s="23"/>
      <c r="AT175" s="23"/>
      <c r="AU175" s="23"/>
      <c r="AV175" s="23"/>
      <c r="AW175" s="23"/>
      <c r="AX175" s="23"/>
      <c r="AY175" s="23"/>
      <c r="AZ175" s="23"/>
      <c r="BA175" s="23"/>
      <c r="BB175" s="23"/>
      <c r="BC175" s="23"/>
    </row>
    <row r="176">
      <c r="AO176" s="23"/>
      <c r="AP176" s="23"/>
      <c r="AQ176" s="23"/>
      <c r="AR176" s="23"/>
      <c r="AS176" s="23"/>
      <c r="AT176" s="23"/>
      <c r="AU176" s="23"/>
      <c r="AV176" s="23"/>
      <c r="AW176" s="23"/>
      <c r="AX176" s="23"/>
      <c r="AY176" s="23"/>
      <c r="AZ176" s="23"/>
      <c r="BA176" s="23"/>
      <c r="BB176" s="23"/>
      <c r="BC176" s="23"/>
    </row>
    <row r="177">
      <c r="AO177" s="23"/>
      <c r="AP177" s="23"/>
      <c r="AQ177" s="23"/>
      <c r="AR177" s="23"/>
      <c r="AS177" s="23"/>
      <c r="AT177" s="23"/>
      <c r="AU177" s="23"/>
      <c r="AV177" s="23"/>
      <c r="AW177" s="23"/>
      <c r="AX177" s="23"/>
      <c r="AY177" s="23"/>
      <c r="AZ177" s="23"/>
      <c r="BA177" s="23"/>
      <c r="BB177" s="23"/>
      <c r="BC177" s="23"/>
    </row>
    <row r="178">
      <c r="AO178" s="23"/>
      <c r="AP178" s="23"/>
      <c r="AQ178" s="23"/>
      <c r="AR178" s="23"/>
      <c r="AS178" s="23"/>
      <c r="AT178" s="23"/>
      <c r="AU178" s="23"/>
      <c r="AV178" s="23"/>
      <c r="AW178" s="23"/>
      <c r="AX178" s="23"/>
      <c r="AY178" s="23"/>
      <c r="AZ178" s="23"/>
      <c r="BA178" s="23"/>
      <c r="BB178" s="23"/>
      <c r="BC178" s="23"/>
    </row>
    <row r="179">
      <c r="AO179" s="23"/>
      <c r="AP179" s="23"/>
      <c r="AQ179" s="23"/>
      <c r="AR179" s="23"/>
      <c r="AS179" s="23"/>
      <c r="AT179" s="23"/>
      <c r="AU179" s="23"/>
      <c r="AV179" s="23"/>
      <c r="AW179" s="23"/>
      <c r="AX179" s="23"/>
      <c r="AY179" s="23"/>
      <c r="AZ179" s="23"/>
      <c r="BA179" s="23"/>
      <c r="BB179" s="23"/>
      <c r="BC179" s="23"/>
    </row>
    <row r="180">
      <c r="AO180" s="23"/>
      <c r="AP180" s="23"/>
      <c r="AQ180" s="23"/>
      <c r="AR180" s="23"/>
      <c r="AS180" s="23"/>
      <c r="AT180" s="23"/>
      <c r="AU180" s="23"/>
      <c r="AV180" s="23"/>
      <c r="AW180" s="23"/>
      <c r="AX180" s="23"/>
      <c r="AY180" s="23"/>
      <c r="AZ180" s="23"/>
      <c r="BA180" s="23"/>
      <c r="BB180" s="23"/>
      <c r="BC180" s="23"/>
    </row>
    <row r="181">
      <c r="AO181" s="23"/>
      <c r="AP181" s="23"/>
      <c r="AQ181" s="23"/>
      <c r="AR181" s="23"/>
      <c r="AS181" s="23"/>
      <c r="AT181" s="23"/>
      <c r="AU181" s="23"/>
      <c r="AV181" s="23"/>
      <c r="AW181" s="23"/>
      <c r="AX181" s="23"/>
      <c r="AY181" s="23"/>
      <c r="AZ181" s="23"/>
      <c r="BA181" s="23"/>
      <c r="BB181" s="23"/>
      <c r="BC181" s="23"/>
    </row>
    <row r="182">
      <c r="AO182" s="23"/>
      <c r="AP182" s="23"/>
      <c r="AQ182" s="23"/>
      <c r="AR182" s="23"/>
      <c r="AS182" s="23"/>
      <c r="AT182" s="23"/>
      <c r="AU182" s="23"/>
      <c r="AV182" s="23"/>
      <c r="AW182" s="23"/>
      <c r="AX182" s="23"/>
      <c r="AY182" s="23"/>
      <c r="AZ182" s="23"/>
      <c r="BA182" s="23"/>
      <c r="BB182" s="23"/>
      <c r="BC182" s="23"/>
    </row>
    <row r="183">
      <c r="AO183" s="23"/>
      <c r="AP183" s="23"/>
      <c r="AQ183" s="23"/>
      <c r="AR183" s="23"/>
      <c r="AS183" s="23"/>
      <c r="AT183" s="23"/>
      <c r="AU183" s="23"/>
      <c r="AV183" s="23"/>
      <c r="AW183" s="23"/>
      <c r="AX183" s="23"/>
      <c r="AY183" s="23"/>
      <c r="AZ183" s="23"/>
      <c r="BA183" s="23"/>
      <c r="BB183" s="23"/>
      <c r="BC183" s="23"/>
    </row>
    <row r="184">
      <c r="AO184" s="23"/>
      <c r="AP184" s="23"/>
      <c r="AQ184" s="23"/>
      <c r="AR184" s="23"/>
      <c r="AS184" s="23"/>
      <c r="AT184" s="23"/>
      <c r="AU184" s="23"/>
      <c r="AV184" s="23"/>
      <c r="AW184" s="23"/>
      <c r="AX184" s="23"/>
      <c r="AY184" s="23"/>
      <c r="AZ184" s="23"/>
      <c r="BA184" s="23"/>
      <c r="BB184" s="23"/>
      <c r="BC184" s="23"/>
    </row>
    <row r="185">
      <c r="AO185" s="23"/>
      <c r="AP185" s="23"/>
      <c r="AQ185" s="23"/>
      <c r="AR185" s="23"/>
      <c r="AS185" s="23"/>
      <c r="AT185" s="23"/>
      <c r="AU185" s="23"/>
      <c r="AV185" s="23"/>
      <c r="AW185" s="23"/>
      <c r="AX185" s="23"/>
      <c r="AY185" s="23"/>
      <c r="AZ185" s="23"/>
      <c r="BA185" s="23"/>
      <c r="BB185" s="23"/>
      <c r="BC185" s="23"/>
    </row>
    <row r="186">
      <c r="AO186" s="23"/>
      <c r="AP186" s="23"/>
      <c r="AQ186" s="23"/>
      <c r="AR186" s="23"/>
      <c r="AS186" s="23"/>
      <c r="AT186" s="23"/>
      <c r="AU186" s="23"/>
      <c r="AV186" s="23"/>
      <c r="AW186" s="23"/>
      <c r="AX186" s="23"/>
      <c r="AY186" s="23"/>
      <c r="AZ186" s="23"/>
      <c r="BA186" s="23"/>
      <c r="BB186" s="23"/>
      <c r="BC186" s="23"/>
    </row>
    <row r="187">
      <c r="AO187" s="23"/>
      <c r="AP187" s="23"/>
      <c r="AQ187" s="23"/>
      <c r="AR187" s="23"/>
      <c r="AS187" s="23"/>
      <c r="AT187" s="23"/>
      <c r="AU187" s="23"/>
      <c r="AV187" s="23"/>
      <c r="AW187" s="23"/>
      <c r="AX187" s="23"/>
      <c r="AY187" s="23"/>
      <c r="AZ187" s="23"/>
      <c r="BA187" s="23"/>
      <c r="BB187" s="23"/>
      <c r="BC187" s="23"/>
    </row>
    <row r="188">
      <c r="AO188" s="23"/>
      <c r="AP188" s="23"/>
      <c r="AQ188" s="23"/>
      <c r="AR188" s="23"/>
      <c r="AS188" s="23"/>
      <c r="AT188" s="23"/>
      <c r="AU188" s="23"/>
      <c r="AV188" s="23"/>
      <c r="AW188" s="23"/>
      <c r="AX188" s="23"/>
      <c r="AY188" s="23"/>
      <c r="AZ188" s="23"/>
      <c r="BA188" s="23"/>
      <c r="BB188" s="23"/>
      <c r="BC188" s="23"/>
    </row>
    <row r="189">
      <c r="AO189" s="23"/>
      <c r="AP189" s="23"/>
      <c r="AQ189" s="23"/>
      <c r="AR189" s="23"/>
      <c r="AS189" s="23"/>
      <c r="AT189" s="23"/>
      <c r="AU189" s="23"/>
      <c r="AV189" s="23"/>
      <c r="AW189" s="23"/>
      <c r="AX189" s="23"/>
      <c r="AY189" s="23"/>
      <c r="AZ189" s="23"/>
      <c r="BA189" s="23"/>
      <c r="BB189" s="23"/>
      <c r="BC189" s="23"/>
    </row>
    <row r="190">
      <c r="AO190" s="23"/>
      <c r="AP190" s="23"/>
      <c r="AQ190" s="23"/>
      <c r="AR190" s="23"/>
      <c r="AS190" s="23"/>
      <c r="AT190" s="23"/>
      <c r="AU190" s="23"/>
      <c r="AV190" s="23"/>
      <c r="AW190" s="23"/>
      <c r="AX190" s="23"/>
      <c r="AY190" s="23"/>
      <c r="AZ190" s="23"/>
      <c r="BA190" s="23"/>
      <c r="BB190" s="23"/>
      <c r="BC190" s="23"/>
    </row>
    <row r="191">
      <c r="AO191" s="23"/>
      <c r="AP191" s="23"/>
      <c r="AQ191" s="23"/>
      <c r="AR191" s="23"/>
      <c r="AS191" s="23"/>
      <c r="AT191" s="23"/>
      <c r="AU191" s="23"/>
      <c r="AV191" s="23"/>
      <c r="AW191" s="23"/>
      <c r="AX191" s="23"/>
      <c r="AY191" s="23"/>
      <c r="AZ191" s="23"/>
      <c r="BA191" s="23"/>
      <c r="BB191" s="23"/>
      <c r="BC191" s="23"/>
    </row>
    <row r="192">
      <c r="AO192" s="23"/>
      <c r="AP192" s="23"/>
      <c r="AQ192" s="23"/>
      <c r="AR192" s="23"/>
      <c r="AS192" s="23"/>
      <c r="AT192" s="23"/>
      <c r="AU192" s="23"/>
      <c r="AV192" s="23"/>
      <c r="AW192" s="23"/>
      <c r="AX192" s="23"/>
      <c r="AY192" s="23"/>
      <c r="AZ192" s="23"/>
      <c r="BA192" s="23"/>
      <c r="BB192" s="23"/>
      <c r="BC192" s="23"/>
    </row>
    <row r="193">
      <c r="AO193" s="23"/>
      <c r="AP193" s="23"/>
      <c r="AQ193" s="23"/>
      <c r="AR193" s="23"/>
      <c r="AS193" s="23"/>
      <c r="AT193" s="23"/>
      <c r="AU193" s="23"/>
      <c r="AV193" s="23"/>
      <c r="AW193" s="23"/>
      <c r="AX193" s="23"/>
      <c r="AY193" s="23"/>
      <c r="AZ193" s="23"/>
      <c r="BA193" s="23"/>
      <c r="BB193" s="23"/>
      <c r="BC193" s="23"/>
    </row>
    <row r="194">
      <c r="AO194" s="23"/>
      <c r="AP194" s="23"/>
      <c r="AQ194" s="23"/>
      <c r="AR194" s="23"/>
      <c r="AS194" s="23"/>
      <c r="AT194" s="23"/>
      <c r="AU194" s="23"/>
      <c r="AV194" s="23"/>
      <c r="AW194" s="23"/>
      <c r="AX194" s="23"/>
      <c r="AY194" s="23"/>
      <c r="AZ194" s="23"/>
      <c r="BA194" s="23"/>
      <c r="BB194" s="23"/>
      <c r="BC194" s="23"/>
    </row>
    <row r="195">
      <c r="AO195" s="23"/>
      <c r="AP195" s="23"/>
      <c r="AQ195" s="23"/>
      <c r="AR195" s="23"/>
      <c r="AS195" s="23"/>
      <c r="AT195" s="23"/>
      <c r="AU195" s="23"/>
      <c r="AV195" s="23"/>
      <c r="AW195" s="23"/>
      <c r="AX195" s="23"/>
      <c r="AY195" s="23"/>
      <c r="AZ195" s="23"/>
      <c r="BA195" s="23"/>
      <c r="BB195" s="23"/>
      <c r="BC195" s="23"/>
    </row>
    <row r="196">
      <c r="AO196" s="23"/>
      <c r="AP196" s="23"/>
      <c r="AQ196" s="23"/>
      <c r="AR196" s="23"/>
      <c r="AS196" s="23"/>
      <c r="AT196" s="23"/>
      <c r="AU196" s="23"/>
      <c r="AV196" s="23"/>
      <c r="AW196" s="23"/>
      <c r="AX196" s="23"/>
      <c r="AY196" s="23"/>
      <c r="AZ196" s="23"/>
      <c r="BA196" s="23"/>
      <c r="BB196" s="23"/>
      <c r="BC196" s="23"/>
    </row>
    <row r="197">
      <c r="AO197" s="23"/>
      <c r="AP197" s="23"/>
      <c r="AQ197" s="23"/>
      <c r="AR197" s="23"/>
      <c r="AS197" s="23"/>
      <c r="AT197" s="23"/>
      <c r="AU197" s="23"/>
      <c r="AV197" s="23"/>
      <c r="AW197" s="23"/>
      <c r="AX197" s="23"/>
      <c r="AY197" s="23"/>
      <c r="AZ197" s="23"/>
      <c r="BA197" s="23"/>
      <c r="BB197" s="23"/>
      <c r="BC197" s="23"/>
    </row>
    <row r="198">
      <c r="AO198" s="23"/>
      <c r="AP198" s="23"/>
      <c r="AQ198" s="23"/>
      <c r="AR198" s="23"/>
      <c r="AS198" s="23"/>
      <c r="AT198" s="23"/>
      <c r="AU198" s="23"/>
      <c r="AV198" s="23"/>
      <c r="AW198" s="23"/>
      <c r="AX198" s="23"/>
      <c r="AY198" s="23"/>
      <c r="AZ198" s="23"/>
      <c r="BA198" s="23"/>
      <c r="BB198" s="23"/>
      <c r="BC198" s="23"/>
    </row>
    <row r="199">
      <c r="AO199" s="23"/>
      <c r="AP199" s="23"/>
      <c r="AQ199" s="23"/>
      <c r="AR199" s="23"/>
      <c r="AS199" s="23"/>
      <c r="AT199" s="23"/>
      <c r="AU199" s="23"/>
      <c r="AV199" s="23"/>
      <c r="AW199" s="23"/>
      <c r="AX199" s="23"/>
      <c r="AY199" s="23"/>
      <c r="AZ199" s="23"/>
      <c r="BA199" s="23"/>
      <c r="BB199" s="23"/>
      <c r="BC199" s="23"/>
    </row>
    <row r="200">
      <c r="AO200" s="23"/>
      <c r="AP200" s="23"/>
      <c r="AQ200" s="23"/>
      <c r="AR200" s="23"/>
      <c r="AS200" s="23"/>
      <c r="AT200" s="23"/>
      <c r="AU200" s="23"/>
      <c r="AV200" s="23"/>
      <c r="AW200" s="23"/>
      <c r="AX200" s="23"/>
      <c r="AY200" s="23"/>
      <c r="AZ200" s="23"/>
      <c r="BA200" s="23"/>
      <c r="BB200" s="23"/>
      <c r="BC200" s="23"/>
    </row>
    <row r="201">
      <c r="AO201" s="23"/>
      <c r="AP201" s="23"/>
      <c r="AQ201" s="23"/>
      <c r="AR201" s="23"/>
      <c r="AS201" s="23"/>
      <c r="AT201" s="23"/>
      <c r="AU201" s="23"/>
      <c r="AV201" s="23"/>
      <c r="AW201" s="23"/>
      <c r="AX201" s="23"/>
      <c r="AY201" s="23"/>
      <c r="AZ201" s="23"/>
      <c r="BA201" s="23"/>
      <c r="BB201" s="23"/>
      <c r="BC201" s="23"/>
    </row>
    <row r="202">
      <c r="AO202" s="23"/>
      <c r="AP202" s="23"/>
      <c r="AQ202" s="23"/>
      <c r="AR202" s="23"/>
      <c r="AS202" s="23"/>
      <c r="AT202" s="23"/>
      <c r="AU202" s="23"/>
      <c r="AV202" s="23"/>
      <c r="AW202" s="23"/>
      <c r="AX202" s="23"/>
      <c r="AY202" s="23"/>
      <c r="AZ202" s="23"/>
      <c r="BA202" s="23"/>
      <c r="BB202" s="23"/>
      <c r="BC202" s="23"/>
    </row>
    <row r="203">
      <c r="AO203" s="23"/>
      <c r="AP203" s="23"/>
      <c r="AQ203" s="23"/>
      <c r="AR203" s="23"/>
      <c r="AS203" s="23"/>
      <c r="AT203" s="23"/>
      <c r="AU203" s="23"/>
      <c r="AV203" s="23"/>
      <c r="AW203" s="23"/>
      <c r="AX203" s="23"/>
      <c r="AY203" s="23"/>
      <c r="AZ203" s="23"/>
      <c r="BA203" s="23"/>
      <c r="BB203" s="23"/>
      <c r="BC203" s="23"/>
    </row>
    <row r="204">
      <c r="AO204" s="23"/>
      <c r="AP204" s="23"/>
      <c r="AQ204" s="23"/>
      <c r="AR204" s="23"/>
      <c r="AS204" s="23"/>
      <c r="AT204" s="23"/>
      <c r="AU204" s="23"/>
      <c r="AV204" s="23"/>
      <c r="AW204" s="23"/>
      <c r="AX204" s="23"/>
      <c r="AY204" s="23"/>
      <c r="AZ204" s="23"/>
      <c r="BA204" s="23"/>
      <c r="BB204" s="23"/>
      <c r="BC204" s="23"/>
    </row>
    <row r="205">
      <c r="AO205" s="23"/>
      <c r="AP205" s="23"/>
      <c r="AQ205" s="23"/>
      <c r="AR205" s="23"/>
      <c r="AS205" s="23"/>
      <c r="AT205" s="23"/>
      <c r="AU205" s="23"/>
      <c r="AV205" s="23"/>
      <c r="AW205" s="23"/>
      <c r="AX205" s="23"/>
      <c r="AY205" s="23"/>
      <c r="AZ205" s="23"/>
      <c r="BA205" s="23"/>
      <c r="BB205" s="23"/>
      <c r="BC205" s="23"/>
    </row>
    <row r="206">
      <c r="AO206" s="23"/>
      <c r="AP206" s="23"/>
      <c r="AQ206" s="23"/>
      <c r="AR206" s="23"/>
      <c r="AS206" s="23"/>
      <c r="AT206" s="23"/>
      <c r="AU206" s="23"/>
      <c r="AV206" s="23"/>
      <c r="AW206" s="23"/>
      <c r="AX206" s="23"/>
      <c r="AY206" s="23"/>
      <c r="AZ206" s="23"/>
      <c r="BA206" s="23"/>
      <c r="BB206" s="23"/>
      <c r="BC206" s="23"/>
    </row>
    <row r="207">
      <c r="AO207" s="23"/>
      <c r="AP207" s="23"/>
      <c r="AQ207" s="23"/>
      <c r="AR207" s="23"/>
      <c r="AS207" s="23"/>
      <c r="AT207" s="23"/>
      <c r="AU207" s="23"/>
      <c r="AV207" s="23"/>
      <c r="AW207" s="23"/>
      <c r="AX207" s="23"/>
      <c r="AY207" s="23"/>
      <c r="AZ207" s="23"/>
      <c r="BA207" s="23"/>
      <c r="BB207" s="23"/>
      <c r="BC207" s="23"/>
    </row>
    <row r="208">
      <c r="AO208" s="23"/>
      <c r="AP208" s="23"/>
      <c r="AQ208" s="23"/>
      <c r="AR208" s="23"/>
      <c r="AS208" s="23"/>
      <c r="AT208" s="23"/>
      <c r="AU208" s="23"/>
      <c r="AV208" s="23"/>
      <c r="AW208" s="23"/>
      <c r="AX208" s="23"/>
      <c r="AY208" s="23"/>
      <c r="AZ208" s="23"/>
      <c r="BA208" s="23"/>
      <c r="BB208" s="23"/>
      <c r="BC208" s="23"/>
    </row>
    <row r="209">
      <c r="AO209" s="23"/>
      <c r="AP209" s="23"/>
      <c r="AQ209" s="23"/>
      <c r="AR209" s="23"/>
      <c r="AS209" s="23"/>
      <c r="AT209" s="23"/>
      <c r="AU209" s="23"/>
      <c r="AV209" s="23"/>
      <c r="AW209" s="23"/>
      <c r="AX209" s="23"/>
      <c r="AY209" s="23"/>
      <c r="AZ209" s="23"/>
      <c r="BA209" s="23"/>
      <c r="BB209" s="23"/>
      <c r="BC209" s="23"/>
    </row>
    <row r="210">
      <c r="AO210" s="23"/>
      <c r="AP210" s="23"/>
      <c r="AQ210" s="23"/>
      <c r="AR210" s="23"/>
      <c r="AS210" s="23"/>
      <c r="AT210" s="23"/>
      <c r="AU210" s="23"/>
      <c r="AV210" s="23"/>
      <c r="AW210" s="23"/>
      <c r="AX210" s="23"/>
      <c r="AY210" s="23"/>
      <c r="AZ210" s="23"/>
      <c r="BA210" s="23"/>
      <c r="BB210" s="23"/>
      <c r="BC210" s="23"/>
    </row>
    <row r="211">
      <c r="AO211" s="23"/>
      <c r="AP211" s="23"/>
      <c r="AQ211" s="23"/>
      <c r="AR211" s="23"/>
      <c r="AS211" s="23"/>
      <c r="AT211" s="23"/>
      <c r="AU211" s="23"/>
      <c r="AV211" s="23"/>
      <c r="AW211" s="23"/>
      <c r="AX211" s="23"/>
      <c r="AY211" s="23"/>
      <c r="AZ211" s="23"/>
      <c r="BA211" s="23"/>
      <c r="BB211" s="23"/>
      <c r="BC211" s="23"/>
    </row>
    <row r="212">
      <c r="AO212" s="23"/>
      <c r="AP212" s="23"/>
      <c r="AQ212" s="23"/>
      <c r="AR212" s="23"/>
      <c r="AS212" s="23"/>
      <c r="AT212" s="23"/>
      <c r="AU212" s="23"/>
      <c r="AV212" s="23"/>
      <c r="AW212" s="23"/>
      <c r="AX212" s="23"/>
      <c r="AY212" s="23"/>
      <c r="AZ212" s="23"/>
      <c r="BA212" s="23"/>
      <c r="BB212" s="23"/>
      <c r="BC212" s="23"/>
    </row>
    <row r="213">
      <c r="AO213" s="23"/>
      <c r="AP213" s="23"/>
      <c r="AQ213" s="23"/>
      <c r="AR213" s="23"/>
      <c r="AS213" s="23"/>
      <c r="AT213" s="23"/>
      <c r="AU213" s="23"/>
      <c r="AV213" s="23"/>
      <c r="AW213" s="23"/>
      <c r="AX213" s="23"/>
      <c r="AY213" s="23"/>
      <c r="AZ213" s="23"/>
      <c r="BA213" s="23"/>
      <c r="BB213" s="23"/>
      <c r="BC213" s="23"/>
    </row>
    <row r="214">
      <c r="AO214" s="23"/>
      <c r="AP214" s="23"/>
      <c r="AQ214" s="23"/>
      <c r="AR214" s="23"/>
      <c r="AS214" s="23"/>
      <c r="AT214" s="23"/>
      <c r="AU214" s="23"/>
      <c r="AV214" s="23"/>
      <c r="AW214" s="23"/>
      <c r="AX214" s="23"/>
      <c r="AY214" s="23"/>
      <c r="AZ214" s="23"/>
      <c r="BA214" s="23"/>
      <c r="BB214" s="23"/>
      <c r="BC214" s="23"/>
    </row>
    <row r="215">
      <c r="AO215" s="23"/>
      <c r="AP215" s="23"/>
      <c r="AQ215" s="23"/>
      <c r="AR215" s="23"/>
      <c r="AS215" s="23"/>
      <c r="AT215" s="23"/>
      <c r="AU215" s="23"/>
      <c r="AV215" s="23"/>
      <c r="AW215" s="23"/>
      <c r="AX215" s="23"/>
      <c r="AY215" s="23"/>
      <c r="AZ215" s="23"/>
      <c r="BA215" s="23"/>
      <c r="BB215" s="23"/>
      <c r="BC215" s="23"/>
    </row>
    <row r="216">
      <c r="AO216" s="23"/>
      <c r="AP216" s="23"/>
      <c r="AQ216" s="23"/>
      <c r="AR216" s="23"/>
      <c r="AS216" s="23"/>
      <c r="AT216" s="23"/>
      <c r="AU216" s="23"/>
      <c r="AV216" s="23"/>
      <c r="AW216" s="23"/>
      <c r="AX216" s="23"/>
      <c r="AY216" s="23"/>
      <c r="AZ216" s="23"/>
      <c r="BA216" s="23"/>
      <c r="BB216" s="23"/>
      <c r="BC216" s="23"/>
    </row>
    <row r="217">
      <c r="AO217" s="23"/>
      <c r="AP217" s="23"/>
      <c r="AQ217" s="23"/>
      <c r="AR217" s="23"/>
      <c r="AS217" s="23"/>
      <c r="AT217" s="23"/>
      <c r="AU217" s="23"/>
      <c r="AV217" s="23"/>
      <c r="AW217" s="23"/>
      <c r="AX217" s="23"/>
      <c r="AY217" s="23"/>
      <c r="AZ217" s="23"/>
      <c r="BA217" s="23"/>
      <c r="BB217" s="23"/>
      <c r="BC217" s="23"/>
    </row>
    <row r="218">
      <c r="AO218" s="23"/>
      <c r="AP218" s="23"/>
      <c r="AQ218" s="23"/>
      <c r="AR218" s="23"/>
      <c r="AS218" s="23"/>
      <c r="AT218" s="23"/>
      <c r="AU218" s="23"/>
      <c r="AV218" s="23"/>
      <c r="AW218" s="23"/>
      <c r="AX218" s="23"/>
      <c r="AY218" s="23"/>
      <c r="AZ218" s="23"/>
      <c r="BA218" s="23"/>
      <c r="BB218" s="23"/>
      <c r="BC218" s="23"/>
    </row>
    <row r="219">
      <c r="AO219" s="23"/>
      <c r="AP219" s="23"/>
      <c r="AQ219" s="23"/>
      <c r="AR219" s="23"/>
      <c r="AS219" s="23"/>
      <c r="AT219" s="23"/>
      <c r="AU219" s="23"/>
      <c r="AV219" s="23"/>
      <c r="AW219" s="23"/>
      <c r="AX219" s="23"/>
      <c r="AY219" s="23"/>
      <c r="AZ219" s="23"/>
      <c r="BA219" s="23"/>
      <c r="BB219" s="23"/>
      <c r="BC219" s="23"/>
    </row>
    <row r="220">
      <c r="AO220" s="23"/>
      <c r="AP220" s="23"/>
      <c r="AQ220" s="23"/>
      <c r="AR220" s="23"/>
      <c r="AS220" s="23"/>
      <c r="AT220" s="23"/>
      <c r="AU220" s="23"/>
      <c r="AV220" s="23"/>
      <c r="AW220" s="23"/>
      <c r="AX220" s="23"/>
      <c r="AY220" s="23"/>
      <c r="AZ220" s="23"/>
      <c r="BA220" s="23"/>
      <c r="BB220" s="23"/>
      <c r="BC220" s="23"/>
    </row>
    <row r="221">
      <c r="AO221" s="23"/>
      <c r="AP221" s="23"/>
      <c r="AQ221" s="23"/>
      <c r="AR221" s="23"/>
      <c r="AS221" s="23"/>
      <c r="AT221" s="23"/>
      <c r="AU221" s="23"/>
      <c r="AV221" s="23"/>
      <c r="AW221" s="23"/>
      <c r="AX221" s="23"/>
      <c r="AY221" s="23"/>
      <c r="AZ221" s="23"/>
      <c r="BA221" s="23"/>
      <c r="BB221" s="23"/>
      <c r="BC221" s="23"/>
    </row>
    <row r="222">
      <c r="AO222" s="23"/>
      <c r="AP222" s="23"/>
      <c r="AQ222" s="23"/>
      <c r="AR222" s="23"/>
      <c r="AS222" s="23"/>
      <c r="AT222" s="23"/>
      <c r="AU222" s="23"/>
      <c r="AV222" s="23"/>
      <c r="AW222" s="23"/>
      <c r="AX222" s="23"/>
      <c r="AY222" s="23"/>
      <c r="AZ222" s="23"/>
      <c r="BA222" s="23"/>
      <c r="BB222" s="23"/>
      <c r="BC222" s="23"/>
    </row>
    <row r="223">
      <c r="AO223" s="23"/>
      <c r="AP223" s="23"/>
      <c r="AQ223" s="23"/>
      <c r="AR223" s="23"/>
      <c r="AS223" s="23"/>
      <c r="AT223" s="23"/>
      <c r="AU223" s="23"/>
      <c r="AV223" s="23"/>
      <c r="AW223" s="23"/>
      <c r="AX223" s="23"/>
      <c r="AY223" s="23"/>
      <c r="AZ223" s="23"/>
      <c r="BA223" s="23"/>
      <c r="BB223" s="23"/>
      <c r="BC223" s="23"/>
    </row>
    <row r="224">
      <c r="AO224" s="23"/>
      <c r="AP224" s="23"/>
      <c r="AQ224" s="23"/>
      <c r="AR224" s="23"/>
      <c r="AS224" s="23"/>
      <c r="AT224" s="23"/>
      <c r="AU224" s="23"/>
      <c r="AV224" s="23"/>
      <c r="AW224" s="23"/>
      <c r="AX224" s="23"/>
      <c r="AY224" s="23"/>
      <c r="AZ224" s="23"/>
      <c r="BA224" s="23"/>
      <c r="BB224" s="23"/>
      <c r="BC224" s="23"/>
    </row>
    <row r="225">
      <c r="AO225" s="23"/>
      <c r="AP225" s="23"/>
      <c r="AQ225" s="23"/>
      <c r="AR225" s="23"/>
      <c r="AS225" s="23"/>
      <c r="AT225" s="23"/>
      <c r="AU225" s="23"/>
      <c r="AV225" s="23"/>
      <c r="AW225" s="23"/>
      <c r="AX225" s="23"/>
      <c r="AY225" s="23"/>
      <c r="AZ225" s="23"/>
      <c r="BA225" s="23"/>
      <c r="BB225" s="23"/>
      <c r="BC225" s="23"/>
    </row>
    <row r="226">
      <c r="AO226" s="23"/>
      <c r="AP226" s="23"/>
      <c r="AQ226" s="23"/>
      <c r="AR226" s="23"/>
      <c r="AS226" s="23"/>
      <c r="AT226" s="23"/>
      <c r="AU226" s="23"/>
      <c r="AV226" s="23"/>
      <c r="AW226" s="23"/>
      <c r="AX226" s="23"/>
      <c r="AY226" s="23"/>
      <c r="AZ226" s="23"/>
      <c r="BA226" s="23"/>
      <c r="BB226" s="23"/>
      <c r="BC226" s="23"/>
    </row>
    <row r="227">
      <c r="AO227" s="23"/>
      <c r="AP227" s="23"/>
      <c r="AQ227" s="23"/>
      <c r="AR227" s="23"/>
      <c r="AS227" s="23"/>
      <c r="AT227" s="23"/>
      <c r="AU227" s="23"/>
      <c r="AV227" s="23"/>
      <c r="AW227" s="23"/>
      <c r="AX227" s="23"/>
      <c r="AY227" s="23"/>
      <c r="AZ227" s="23"/>
      <c r="BA227" s="23"/>
      <c r="BB227" s="23"/>
      <c r="BC227" s="23"/>
    </row>
    <row r="228">
      <c r="AO228" s="23"/>
      <c r="AP228" s="23"/>
      <c r="AQ228" s="23"/>
      <c r="AR228" s="23"/>
      <c r="AS228" s="23"/>
      <c r="AT228" s="23"/>
      <c r="AU228" s="23"/>
      <c r="AV228" s="23"/>
      <c r="AW228" s="23"/>
      <c r="AX228" s="23"/>
      <c r="AY228" s="23"/>
      <c r="AZ228" s="23"/>
      <c r="BA228" s="23"/>
      <c r="BB228" s="23"/>
      <c r="BC228" s="23"/>
    </row>
    <row r="229">
      <c r="AO229" s="23"/>
      <c r="AP229" s="23"/>
      <c r="AQ229" s="23"/>
      <c r="AR229" s="23"/>
      <c r="AS229" s="23"/>
      <c r="AT229" s="23"/>
      <c r="AU229" s="23"/>
      <c r="AV229" s="23"/>
      <c r="AW229" s="23"/>
      <c r="AX229" s="23"/>
      <c r="AY229" s="23"/>
      <c r="AZ229" s="23"/>
      <c r="BA229" s="23"/>
      <c r="BB229" s="23"/>
      <c r="BC229" s="23"/>
    </row>
    <row r="230">
      <c r="AO230" s="23"/>
      <c r="AP230" s="23"/>
      <c r="AQ230" s="23"/>
      <c r="AR230" s="23"/>
      <c r="AS230" s="23"/>
      <c r="AT230" s="23"/>
      <c r="AU230" s="23"/>
      <c r="AV230" s="23"/>
      <c r="AW230" s="23"/>
      <c r="AX230" s="23"/>
      <c r="AY230" s="23"/>
      <c r="AZ230" s="23"/>
      <c r="BA230" s="23"/>
      <c r="BB230" s="23"/>
      <c r="BC230" s="23"/>
    </row>
    <row r="231">
      <c r="AO231" s="23"/>
      <c r="AP231" s="23"/>
      <c r="AQ231" s="23"/>
      <c r="AR231" s="23"/>
      <c r="AS231" s="23"/>
      <c r="AT231" s="23"/>
      <c r="AU231" s="23"/>
      <c r="AV231" s="23"/>
      <c r="AW231" s="23"/>
      <c r="AX231" s="23"/>
      <c r="AY231" s="23"/>
      <c r="AZ231" s="23"/>
      <c r="BA231" s="23"/>
      <c r="BB231" s="23"/>
      <c r="BC231" s="23"/>
    </row>
    <row r="232">
      <c r="AO232" s="23"/>
      <c r="AP232" s="23"/>
      <c r="AQ232" s="23"/>
      <c r="AR232" s="23"/>
      <c r="AS232" s="23"/>
      <c r="AT232" s="23"/>
      <c r="AU232" s="23"/>
      <c r="AV232" s="23"/>
      <c r="AW232" s="23"/>
      <c r="AX232" s="23"/>
      <c r="AY232" s="23"/>
      <c r="AZ232" s="23"/>
      <c r="BA232" s="23"/>
      <c r="BB232" s="23"/>
      <c r="BC232" s="23"/>
    </row>
    <row r="233">
      <c r="AO233" s="23"/>
      <c r="AP233" s="23"/>
      <c r="AQ233" s="23"/>
      <c r="AR233" s="23"/>
      <c r="AS233" s="23"/>
      <c r="AT233" s="23"/>
      <c r="AU233" s="23"/>
      <c r="AV233" s="23"/>
      <c r="AW233" s="23"/>
      <c r="AX233" s="23"/>
      <c r="AY233" s="23"/>
      <c r="AZ233" s="23"/>
      <c r="BA233" s="23"/>
      <c r="BB233" s="23"/>
      <c r="BC233" s="23"/>
    </row>
    <row r="234">
      <c r="AO234" s="23"/>
      <c r="AP234" s="23"/>
      <c r="AQ234" s="23"/>
      <c r="AR234" s="23"/>
      <c r="AS234" s="23"/>
      <c r="AT234" s="23"/>
      <c r="AU234" s="23"/>
      <c r="AV234" s="23"/>
      <c r="AW234" s="23"/>
      <c r="AX234" s="23"/>
      <c r="AY234" s="23"/>
      <c r="AZ234" s="23"/>
      <c r="BA234" s="23"/>
      <c r="BB234" s="23"/>
      <c r="BC234" s="23"/>
    </row>
    <row r="235">
      <c r="AO235" s="23"/>
      <c r="AP235" s="23"/>
      <c r="AQ235" s="23"/>
      <c r="AR235" s="23"/>
      <c r="AS235" s="23"/>
      <c r="AT235" s="23"/>
      <c r="AU235" s="23"/>
      <c r="AV235" s="23"/>
      <c r="AW235" s="23"/>
      <c r="AX235" s="23"/>
      <c r="AY235" s="23"/>
      <c r="AZ235" s="23"/>
      <c r="BA235" s="23"/>
      <c r="BB235" s="23"/>
      <c r="BC235" s="23"/>
    </row>
    <row r="236">
      <c r="AO236" s="23"/>
      <c r="AP236" s="23"/>
      <c r="AQ236" s="23"/>
      <c r="AR236" s="23"/>
      <c r="AS236" s="23"/>
      <c r="AT236" s="23"/>
      <c r="AU236" s="23"/>
      <c r="AV236" s="23"/>
      <c r="AW236" s="23"/>
      <c r="AX236" s="23"/>
      <c r="AY236" s="23"/>
      <c r="AZ236" s="23"/>
      <c r="BA236" s="23"/>
      <c r="BB236" s="23"/>
      <c r="BC236" s="23"/>
    </row>
    <row r="237">
      <c r="AO237" s="23"/>
      <c r="AP237" s="23"/>
      <c r="AQ237" s="23"/>
      <c r="AR237" s="23"/>
      <c r="AS237" s="23"/>
      <c r="AT237" s="23"/>
      <c r="AU237" s="23"/>
      <c r="AV237" s="23"/>
      <c r="AW237" s="23"/>
      <c r="AX237" s="23"/>
      <c r="AY237" s="23"/>
      <c r="AZ237" s="23"/>
      <c r="BA237" s="23"/>
      <c r="BB237" s="23"/>
      <c r="BC237" s="23"/>
    </row>
    <row r="238">
      <c r="AO238" s="23"/>
      <c r="AP238" s="23"/>
      <c r="AQ238" s="23"/>
      <c r="AR238" s="23"/>
      <c r="AS238" s="23"/>
      <c r="AT238" s="23"/>
      <c r="AU238" s="23"/>
      <c r="AV238" s="23"/>
      <c r="AW238" s="23"/>
      <c r="AX238" s="23"/>
      <c r="AY238" s="23"/>
      <c r="AZ238" s="23"/>
      <c r="BA238" s="23"/>
      <c r="BB238" s="23"/>
      <c r="BC238" s="23"/>
    </row>
    <row r="239">
      <c r="AO239" s="23"/>
      <c r="AP239" s="23"/>
      <c r="AQ239" s="23"/>
      <c r="AR239" s="23"/>
      <c r="AS239" s="23"/>
      <c r="AT239" s="23"/>
      <c r="AU239" s="23"/>
      <c r="AV239" s="23"/>
      <c r="AW239" s="23"/>
      <c r="AX239" s="23"/>
      <c r="AY239" s="23"/>
      <c r="AZ239" s="23"/>
      <c r="BA239" s="23"/>
      <c r="BB239" s="23"/>
      <c r="BC239" s="23"/>
    </row>
    <row r="240">
      <c r="AO240" s="23"/>
      <c r="AP240" s="23"/>
      <c r="AQ240" s="23"/>
      <c r="AR240" s="23"/>
      <c r="AS240" s="23"/>
      <c r="AT240" s="23"/>
      <c r="AU240" s="23"/>
      <c r="AV240" s="23"/>
      <c r="AW240" s="23"/>
      <c r="AX240" s="23"/>
      <c r="AY240" s="23"/>
      <c r="AZ240" s="23"/>
      <c r="BA240" s="23"/>
      <c r="BB240" s="23"/>
      <c r="BC240" s="23"/>
    </row>
    <row r="241">
      <c r="AO241" s="23"/>
      <c r="AP241" s="23"/>
      <c r="AQ241" s="23"/>
      <c r="AR241" s="23"/>
      <c r="AS241" s="23"/>
      <c r="AT241" s="23"/>
      <c r="AU241" s="23"/>
      <c r="AV241" s="23"/>
      <c r="AW241" s="23"/>
      <c r="AX241" s="23"/>
      <c r="AY241" s="23"/>
      <c r="AZ241" s="23"/>
      <c r="BA241" s="23"/>
      <c r="BB241" s="23"/>
      <c r="BC241" s="23"/>
    </row>
    <row r="242">
      <c r="AO242" s="23"/>
      <c r="AP242" s="23"/>
      <c r="AQ242" s="23"/>
      <c r="AR242" s="23"/>
      <c r="AS242" s="23"/>
      <c r="AT242" s="23"/>
      <c r="AU242" s="23"/>
      <c r="AV242" s="23"/>
      <c r="AW242" s="23"/>
      <c r="AX242" s="23"/>
      <c r="AY242" s="23"/>
      <c r="AZ242" s="23"/>
      <c r="BA242" s="23"/>
      <c r="BB242" s="23"/>
      <c r="BC242" s="23"/>
    </row>
    <row r="243">
      <c r="AO243" s="23"/>
      <c r="AP243" s="23"/>
      <c r="AQ243" s="23"/>
      <c r="AR243" s="23"/>
      <c r="AS243" s="23"/>
      <c r="AT243" s="23"/>
      <c r="AU243" s="23"/>
      <c r="AV243" s="23"/>
      <c r="AW243" s="23"/>
      <c r="AX243" s="23"/>
      <c r="AY243" s="23"/>
      <c r="AZ243" s="23"/>
      <c r="BA243" s="23"/>
      <c r="BB243" s="23"/>
      <c r="BC243" s="23"/>
    </row>
    <row r="244">
      <c r="AO244" s="23"/>
      <c r="AP244" s="23"/>
      <c r="AQ244" s="23"/>
      <c r="AR244" s="23"/>
      <c r="AS244" s="23"/>
      <c r="AT244" s="23"/>
      <c r="AU244" s="23"/>
      <c r="AV244" s="23"/>
      <c r="AW244" s="23"/>
      <c r="AX244" s="23"/>
      <c r="AY244" s="23"/>
      <c r="AZ244" s="23"/>
      <c r="BA244" s="23"/>
      <c r="BB244" s="23"/>
      <c r="BC244" s="23"/>
    </row>
    <row r="245">
      <c r="AO245" s="23"/>
      <c r="AP245" s="23"/>
      <c r="AQ245" s="23"/>
      <c r="AR245" s="23"/>
      <c r="AS245" s="23"/>
      <c r="AT245" s="23"/>
      <c r="AU245" s="23"/>
      <c r="AV245" s="23"/>
      <c r="AW245" s="23"/>
      <c r="AX245" s="23"/>
      <c r="AY245" s="23"/>
      <c r="AZ245" s="23"/>
      <c r="BA245" s="23"/>
      <c r="BB245" s="23"/>
      <c r="BC245" s="23"/>
    </row>
    <row r="246">
      <c r="AO246" s="23"/>
      <c r="AP246" s="23"/>
      <c r="AQ246" s="23"/>
      <c r="AR246" s="23"/>
      <c r="AS246" s="23"/>
      <c r="AT246" s="23"/>
      <c r="AU246" s="23"/>
      <c r="AV246" s="23"/>
      <c r="AW246" s="23"/>
      <c r="AX246" s="23"/>
      <c r="AY246" s="23"/>
      <c r="AZ246" s="23"/>
      <c r="BA246" s="23"/>
      <c r="BB246" s="23"/>
      <c r="BC246" s="23"/>
    </row>
    <row r="247">
      <c r="AO247" s="23"/>
      <c r="AP247" s="23"/>
      <c r="AQ247" s="23"/>
      <c r="AR247" s="23"/>
      <c r="AS247" s="23"/>
      <c r="AT247" s="23"/>
      <c r="AU247" s="23"/>
      <c r="AV247" s="23"/>
      <c r="AW247" s="23"/>
      <c r="AX247" s="23"/>
      <c r="AY247" s="23"/>
      <c r="AZ247" s="23"/>
      <c r="BA247" s="23"/>
      <c r="BB247" s="23"/>
      <c r="BC247" s="23"/>
    </row>
    <row r="248">
      <c r="AO248" s="23"/>
      <c r="AP248" s="23"/>
      <c r="AQ248" s="23"/>
      <c r="AR248" s="23"/>
      <c r="AS248" s="23"/>
      <c r="AT248" s="23"/>
      <c r="AU248" s="23"/>
      <c r="AV248" s="23"/>
      <c r="AW248" s="23"/>
      <c r="AX248" s="23"/>
      <c r="AY248" s="23"/>
      <c r="AZ248" s="23"/>
      <c r="BA248" s="23"/>
      <c r="BB248" s="23"/>
      <c r="BC248" s="23"/>
    </row>
    <row r="249">
      <c r="AO249" s="23"/>
      <c r="AP249" s="23"/>
      <c r="AQ249" s="23"/>
      <c r="AR249" s="23"/>
      <c r="AS249" s="23"/>
      <c r="AT249" s="23"/>
      <c r="AU249" s="23"/>
      <c r="AV249" s="23"/>
      <c r="AW249" s="23"/>
      <c r="AX249" s="23"/>
      <c r="AY249" s="23"/>
      <c r="AZ249" s="23"/>
      <c r="BA249" s="23"/>
      <c r="BB249" s="23"/>
      <c r="BC249" s="23"/>
    </row>
    <row r="250">
      <c r="AO250" s="23"/>
      <c r="AP250" s="23"/>
      <c r="AQ250" s="23"/>
      <c r="AR250" s="23"/>
      <c r="AS250" s="23"/>
      <c r="AT250" s="23"/>
      <c r="AU250" s="23"/>
      <c r="AV250" s="23"/>
      <c r="AW250" s="23"/>
      <c r="AX250" s="23"/>
      <c r="AY250" s="23"/>
      <c r="AZ250" s="23"/>
      <c r="BA250" s="23"/>
      <c r="BB250" s="23"/>
      <c r="BC250" s="23"/>
    </row>
    <row r="251">
      <c r="AO251" s="23"/>
      <c r="AP251" s="23"/>
      <c r="AQ251" s="23"/>
      <c r="AR251" s="23"/>
      <c r="AS251" s="23"/>
      <c r="AT251" s="23"/>
      <c r="AU251" s="23"/>
      <c r="AV251" s="23"/>
      <c r="AW251" s="23"/>
      <c r="AX251" s="23"/>
      <c r="AY251" s="23"/>
      <c r="AZ251" s="23"/>
      <c r="BA251" s="23"/>
      <c r="BB251" s="23"/>
      <c r="BC251" s="23"/>
    </row>
    <row r="252">
      <c r="AO252" s="23"/>
      <c r="AP252" s="23"/>
      <c r="AQ252" s="23"/>
      <c r="AR252" s="23"/>
      <c r="AS252" s="23"/>
      <c r="AT252" s="23"/>
      <c r="AU252" s="23"/>
      <c r="AV252" s="23"/>
      <c r="AW252" s="23"/>
      <c r="AX252" s="23"/>
      <c r="AY252" s="23"/>
      <c r="AZ252" s="23"/>
      <c r="BA252" s="23"/>
      <c r="BB252" s="23"/>
      <c r="BC252" s="23"/>
    </row>
    <row r="253">
      <c r="AO253" s="23"/>
      <c r="AP253" s="23"/>
      <c r="AQ253" s="23"/>
      <c r="AR253" s="23"/>
      <c r="AS253" s="23"/>
      <c r="AT253" s="23"/>
      <c r="AU253" s="23"/>
      <c r="AV253" s="23"/>
      <c r="AW253" s="23"/>
      <c r="AX253" s="23"/>
      <c r="AY253" s="23"/>
      <c r="AZ253" s="23"/>
      <c r="BA253" s="23"/>
      <c r="BB253" s="23"/>
      <c r="BC253" s="23"/>
    </row>
    <row r="254">
      <c r="AO254" s="23"/>
      <c r="AP254" s="23"/>
      <c r="AQ254" s="23"/>
      <c r="AR254" s="23"/>
      <c r="AS254" s="23"/>
      <c r="AT254" s="23"/>
      <c r="AU254" s="23"/>
      <c r="AV254" s="23"/>
      <c r="AW254" s="23"/>
      <c r="AX254" s="23"/>
      <c r="AY254" s="23"/>
      <c r="AZ254" s="23"/>
      <c r="BA254" s="23"/>
      <c r="BB254" s="23"/>
      <c r="BC254" s="23"/>
    </row>
    <row r="255">
      <c r="AO255" s="23"/>
      <c r="AP255" s="23"/>
      <c r="AQ255" s="23"/>
      <c r="AR255" s="23"/>
      <c r="AS255" s="23"/>
      <c r="AT255" s="23"/>
      <c r="AU255" s="23"/>
      <c r="AV255" s="23"/>
      <c r="AW255" s="23"/>
      <c r="AX255" s="23"/>
      <c r="AY255" s="23"/>
      <c r="AZ255" s="23"/>
      <c r="BA255" s="23"/>
      <c r="BB255" s="23"/>
      <c r="BC255" s="23"/>
    </row>
    <row r="256">
      <c r="AO256" s="23"/>
      <c r="AP256" s="23"/>
      <c r="AQ256" s="23"/>
      <c r="AR256" s="23"/>
      <c r="AS256" s="23"/>
      <c r="AT256" s="23"/>
      <c r="AU256" s="23"/>
      <c r="AV256" s="23"/>
      <c r="AW256" s="23"/>
      <c r="AX256" s="23"/>
      <c r="AY256" s="23"/>
      <c r="AZ256" s="23"/>
      <c r="BA256" s="23"/>
      <c r="BB256" s="23"/>
      <c r="BC256" s="23"/>
    </row>
    <row r="257">
      <c r="AO257" s="23"/>
      <c r="AP257" s="23"/>
      <c r="AQ257" s="23"/>
      <c r="AR257" s="23"/>
      <c r="AS257" s="23"/>
      <c r="AT257" s="23"/>
      <c r="AU257" s="23"/>
      <c r="AV257" s="23"/>
      <c r="AW257" s="23"/>
      <c r="AX257" s="23"/>
      <c r="AY257" s="23"/>
      <c r="AZ257" s="23"/>
      <c r="BA257" s="23"/>
      <c r="BB257" s="23"/>
      <c r="BC257" s="23"/>
    </row>
    <row r="258">
      <c r="AO258" s="23"/>
      <c r="AP258" s="23"/>
      <c r="AQ258" s="23"/>
      <c r="AR258" s="23"/>
      <c r="AS258" s="23"/>
      <c r="AT258" s="23"/>
      <c r="AU258" s="23"/>
      <c r="AV258" s="23"/>
      <c r="AW258" s="23"/>
      <c r="AX258" s="23"/>
      <c r="AY258" s="23"/>
      <c r="AZ258" s="23"/>
      <c r="BA258" s="23"/>
      <c r="BB258" s="23"/>
      <c r="BC258" s="23"/>
    </row>
    <row r="259">
      <c r="AO259" s="23"/>
      <c r="AP259" s="23"/>
      <c r="AQ259" s="23"/>
      <c r="AR259" s="23"/>
      <c r="AS259" s="23"/>
      <c r="AT259" s="23"/>
      <c r="AU259" s="23"/>
      <c r="AV259" s="23"/>
      <c r="AW259" s="23"/>
      <c r="AX259" s="23"/>
      <c r="AY259" s="23"/>
      <c r="AZ259" s="23"/>
      <c r="BA259" s="23"/>
      <c r="BB259" s="23"/>
      <c r="BC259" s="23"/>
    </row>
    <row r="260">
      <c r="AO260" s="23"/>
      <c r="AP260" s="23"/>
      <c r="AQ260" s="23"/>
      <c r="AR260" s="23"/>
      <c r="AS260" s="23"/>
      <c r="AT260" s="23"/>
      <c r="AU260" s="23"/>
      <c r="AV260" s="23"/>
      <c r="AW260" s="23"/>
      <c r="AX260" s="23"/>
      <c r="AY260" s="23"/>
      <c r="AZ260" s="23"/>
      <c r="BA260" s="23"/>
      <c r="BB260" s="23"/>
      <c r="BC260" s="23"/>
    </row>
    <row r="261">
      <c r="AO261" s="23"/>
      <c r="AP261" s="23"/>
      <c r="AQ261" s="23"/>
      <c r="AR261" s="23"/>
      <c r="AS261" s="23"/>
      <c r="AT261" s="23"/>
      <c r="AU261" s="23"/>
      <c r="AV261" s="23"/>
      <c r="AW261" s="23"/>
      <c r="AX261" s="23"/>
      <c r="AY261" s="23"/>
      <c r="AZ261" s="23"/>
      <c r="BA261" s="23"/>
      <c r="BB261" s="23"/>
      <c r="BC261" s="23"/>
    </row>
    <row r="262">
      <c r="AO262" s="23"/>
      <c r="AP262" s="23"/>
      <c r="AQ262" s="23"/>
      <c r="AR262" s="23"/>
      <c r="AS262" s="23"/>
      <c r="AT262" s="23"/>
      <c r="AU262" s="23"/>
      <c r="AV262" s="23"/>
      <c r="AW262" s="23"/>
      <c r="AX262" s="23"/>
      <c r="AY262" s="23"/>
      <c r="AZ262" s="23"/>
      <c r="BA262" s="23"/>
      <c r="BB262" s="23"/>
      <c r="BC262" s="23"/>
    </row>
    <row r="263">
      <c r="AO263" s="23"/>
      <c r="AP263" s="23"/>
      <c r="AQ263" s="23"/>
      <c r="AR263" s="23"/>
      <c r="AS263" s="23"/>
      <c r="AT263" s="23"/>
      <c r="AU263" s="23"/>
      <c r="AV263" s="23"/>
      <c r="AW263" s="23"/>
      <c r="AX263" s="23"/>
      <c r="AY263" s="23"/>
      <c r="AZ263" s="23"/>
      <c r="BA263" s="23"/>
      <c r="BB263" s="23"/>
      <c r="BC263" s="23"/>
    </row>
    <row r="264">
      <c r="AO264" s="23"/>
      <c r="AP264" s="23"/>
      <c r="AQ264" s="23"/>
      <c r="AR264" s="23"/>
      <c r="AS264" s="23"/>
      <c r="AT264" s="23"/>
      <c r="AU264" s="23"/>
      <c r="AV264" s="23"/>
      <c r="AW264" s="23"/>
      <c r="AX264" s="23"/>
      <c r="AY264" s="23"/>
      <c r="AZ264" s="23"/>
      <c r="BA264" s="23"/>
      <c r="BB264" s="23"/>
      <c r="BC264" s="23"/>
    </row>
    <row r="265">
      <c r="AO265" s="23"/>
      <c r="AP265" s="23"/>
      <c r="AQ265" s="23"/>
      <c r="AR265" s="23"/>
      <c r="AS265" s="23"/>
      <c r="AT265" s="23"/>
      <c r="AU265" s="23"/>
      <c r="AV265" s="23"/>
      <c r="AW265" s="23"/>
      <c r="AX265" s="23"/>
      <c r="AY265" s="23"/>
      <c r="AZ265" s="23"/>
      <c r="BA265" s="23"/>
      <c r="BB265" s="23"/>
      <c r="BC265" s="23"/>
    </row>
    <row r="266">
      <c r="AO266" s="23"/>
      <c r="AP266" s="23"/>
      <c r="AQ266" s="23"/>
      <c r="AR266" s="23"/>
      <c r="AS266" s="23"/>
      <c r="AT266" s="23"/>
      <c r="AU266" s="23"/>
      <c r="AV266" s="23"/>
      <c r="AW266" s="23"/>
      <c r="AX266" s="23"/>
      <c r="AY266" s="23"/>
      <c r="AZ266" s="23"/>
      <c r="BA266" s="23"/>
      <c r="BB266" s="23"/>
      <c r="BC266" s="23"/>
    </row>
    <row r="267">
      <c r="AO267" s="23"/>
      <c r="AP267" s="23"/>
      <c r="AQ267" s="23"/>
      <c r="AR267" s="23"/>
      <c r="AS267" s="23"/>
      <c r="AT267" s="23"/>
      <c r="AU267" s="23"/>
      <c r="AV267" s="23"/>
      <c r="AW267" s="23"/>
      <c r="AX267" s="23"/>
      <c r="AY267" s="23"/>
      <c r="AZ267" s="23"/>
      <c r="BA267" s="23"/>
      <c r="BB267" s="23"/>
      <c r="BC267" s="23"/>
    </row>
    <row r="268">
      <c r="AO268" s="23"/>
      <c r="AP268" s="23"/>
      <c r="AQ268" s="23"/>
      <c r="AR268" s="23"/>
      <c r="AS268" s="23"/>
      <c r="AT268" s="23"/>
      <c r="AU268" s="23"/>
      <c r="AV268" s="23"/>
      <c r="AW268" s="23"/>
      <c r="AX268" s="23"/>
      <c r="AY268" s="23"/>
      <c r="AZ268" s="23"/>
      <c r="BA268" s="23"/>
      <c r="BB268" s="23"/>
      <c r="BC268" s="23"/>
    </row>
    <row r="269">
      <c r="AO269" s="23"/>
      <c r="AP269" s="23"/>
      <c r="AQ269" s="23"/>
      <c r="AR269" s="23"/>
      <c r="AS269" s="23"/>
      <c r="AT269" s="23"/>
      <c r="AU269" s="23"/>
      <c r="AV269" s="23"/>
      <c r="AW269" s="23"/>
      <c r="AX269" s="23"/>
      <c r="AY269" s="23"/>
      <c r="AZ269" s="23"/>
      <c r="BA269" s="23"/>
      <c r="BB269" s="23"/>
      <c r="BC269" s="23"/>
    </row>
    <row r="270">
      <c r="AO270" s="23"/>
      <c r="AP270" s="23"/>
      <c r="AQ270" s="23"/>
      <c r="AR270" s="23"/>
      <c r="AS270" s="23"/>
      <c r="AT270" s="23"/>
      <c r="AU270" s="23"/>
      <c r="AV270" s="23"/>
      <c r="AW270" s="23"/>
      <c r="AX270" s="23"/>
      <c r="AY270" s="23"/>
      <c r="AZ270" s="23"/>
      <c r="BA270" s="23"/>
      <c r="BB270" s="23"/>
      <c r="BC270" s="23"/>
    </row>
    <row r="271">
      <c r="AO271" s="23"/>
      <c r="AP271" s="23"/>
      <c r="AQ271" s="23"/>
      <c r="AR271" s="23"/>
      <c r="AS271" s="23"/>
      <c r="AT271" s="23"/>
      <c r="AU271" s="23"/>
      <c r="AV271" s="23"/>
      <c r="AW271" s="23"/>
      <c r="AX271" s="23"/>
      <c r="AY271" s="23"/>
      <c r="AZ271" s="23"/>
      <c r="BA271" s="23"/>
      <c r="BB271" s="23"/>
      <c r="BC271" s="23"/>
    </row>
    <row r="272">
      <c r="AO272" s="23"/>
      <c r="AP272" s="23"/>
      <c r="AQ272" s="23"/>
      <c r="AR272" s="23"/>
      <c r="AS272" s="23"/>
      <c r="AT272" s="23"/>
      <c r="AU272" s="23"/>
      <c r="AV272" s="23"/>
      <c r="AW272" s="23"/>
      <c r="AX272" s="23"/>
      <c r="AY272" s="23"/>
      <c r="AZ272" s="23"/>
      <c r="BA272" s="23"/>
      <c r="BB272" s="23"/>
      <c r="BC272" s="23"/>
    </row>
    <row r="273">
      <c r="AO273" s="23"/>
      <c r="AP273" s="23"/>
      <c r="AQ273" s="23"/>
      <c r="AR273" s="23"/>
      <c r="AS273" s="23"/>
      <c r="AT273" s="23"/>
      <c r="AU273" s="23"/>
      <c r="AV273" s="23"/>
      <c r="AW273" s="23"/>
      <c r="AX273" s="23"/>
      <c r="AY273" s="23"/>
      <c r="AZ273" s="23"/>
      <c r="BA273" s="23"/>
      <c r="BB273" s="23"/>
      <c r="BC273" s="23"/>
    </row>
    <row r="274">
      <c r="AO274" s="23"/>
      <c r="AP274" s="23"/>
      <c r="AQ274" s="23"/>
      <c r="AR274" s="23"/>
      <c r="AS274" s="23"/>
      <c r="AT274" s="23"/>
      <c r="AU274" s="23"/>
      <c r="AV274" s="23"/>
      <c r="AW274" s="23"/>
      <c r="AX274" s="23"/>
      <c r="AY274" s="23"/>
      <c r="AZ274" s="23"/>
      <c r="BA274" s="23"/>
      <c r="BB274" s="23"/>
      <c r="BC274" s="23"/>
    </row>
    <row r="275">
      <c r="AO275" s="23"/>
      <c r="AP275" s="23"/>
      <c r="AQ275" s="23"/>
      <c r="AR275" s="23"/>
      <c r="AS275" s="23"/>
      <c r="AT275" s="23"/>
      <c r="AU275" s="23"/>
      <c r="AV275" s="23"/>
      <c r="AW275" s="23"/>
      <c r="AX275" s="23"/>
      <c r="AY275" s="23"/>
      <c r="AZ275" s="23"/>
      <c r="BA275" s="23"/>
      <c r="BB275" s="23"/>
      <c r="BC275" s="23"/>
    </row>
    <row r="276">
      <c r="AO276" s="23"/>
      <c r="AP276" s="23"/>
      <c r="AQ276" s="23"/>
      <c r="AR276" s="23"/>
      <c r="AS276" s="23"/>
      <c r="AT276" s="23"/>
      <c r="AU276" s="23"/>
      <c r="AV276" s="23"/>
      <c r="AW276" s="23"/>
      <c r="AX276" s="23"/>
      <c r="AY276" s="23"/>
      <c r="AZ276" s="23"/>
      <c r="BA276" s="23"/>
      <c r="BB276" s="23"/>
      <c r="BC276" s="23"/>
    </row>
    <row r="277">
      <c r="AO277" s="23"/>
      <c r="AP277" s="23"/>
      <c r="AQ277" s="23"/>
      <c r="AR277" s="23"/>
      <c r="AS277" s="23"/>
      <c r="AT277" s="23"/>
      <c r="AU277" s="23"/>
      <c r="AV277" s="23"/>
      <c r="AW277" s="23"/>
      <c r="AX277" s="23"/>
      <c r="AY277" s="23"/>
      <c r="AZ277" s="23"/>
      <c r="BA277" s="23"/>
      <c r="BB277" s="23"/>
      <c r="BC277" s="23"/>
    </row>
    <row r="278">
      <c r="AO278" s="23"/>
      <c r="AP278" s="23"/>
      <c r="AQ278" s="23"/>
      <c r="AR278" s="23"/>
      <c r="AS278" s="23"/>
      <c r="AT278" s="23"/>
      <c r="AU278" s="23"/>
      <c r="AV278" s="23"/>
      <c r="AW278" s="23"/>
      <c r="AX278" s="23"/>
      <c r="AY278" s="23"/>
      <c r="AZ278" s="23"/>
      <c r="BA278" s="23"/>
      <c r="BB278" s="23"/>
      <c r="BC278" s="23"/>
    </row>
    <row r="279">
      <c r="AO279" s="23"/>
      <c r="AP279" s="23"/>
      <c r="AQ279" s="23"/>
      <c r="AR279" s="23"/>
      <c r="AS279" s="23"/>
      <c r="AT279" s="23"/>
      <c r="AU279" s="23"/>
      <c r="AV279" s="23"/>
      <c r="AW279" s="23"/>
      <c r="AX279" s="23"/>
      <c r="AY279" s="23"/>
      <c r="AZ279" s="23"/>
      <c r="BA279" s="23"/>
      <c r="BB279" s="23"/>
      <c r="BC279" s="23"/>
    </row>
    <row r="280">
      <c r="AO280" s="23"/>
      <c r="AP280" s="23"/>
      <c r="AQ280" s="23"/>
      <c r="AR280" s="23"/>
      <c r="AS280" s="23"/>
      <c r="AT280" s="23"/>
      <c r="AU280" s="23"/>
      <c r="AV280" s="23"/>
      <c r="AW280" s="23"/>
      <c r="AX280" s="23"/>
      <c r="AY280" s="23"/>
      <c r="AZ280" s="23"/>
      <c r="BA280" s="23"/>
      <c r="BB280" s="23"/>
      <c r="BC280" s="23"/>
    </row>
    <row r="281">
      <c r="AO281" s="23"/>
      <c r="AP281" s="23"/>
      <c r="AQ281" s="23"/>
      <c r="AR281" s="23"/>
      <c r="AS281" s="23"/>
      <c r="AT281" s="23"/>
      <c r="AU281" s="23"/>
      <c r="AV281" s="23"/>
      <c r="AW281" s="23"/>
      <c r="AX281" s="23"/>
      <c r="AY281" s="23"/>
      <c r="AZ281" s="23"/>
      <c r="BA281" s="23"/>
      <c r="BB281" s="23"/>
      <c r="BC281" s="23"/>
    </row>
    <row r="282">
      <c r="AO282" s="23"/>
      <c r="AP282" s="23"/>
      <c r="AQ282" s="23"/>
      <c r="AR282" s="23"/>
      <c r="AS282" s="23"/>
      <c r="AT282" s="23"/>
      <c r="AU282" s="23"/>
      <c r="AV282" s="23"/>
      <c r="AW282" s="23"/>
      <c r="AX282" s="23"/>
      <c r="AY282" s="23"/>
      <c r="AZ282" s="23"/>
      <c r="BA282" s="23"/>
      <c r="BB282" s="23"/>
      <c r="BC282" s="23"/>
    </row>
    <row r="283">
      <c r="AO283" s="23"/>
      <c r="AP283" s="23"/>
      <c r="AQ283" s="23"/>
      <c r="AR283" s="23"/>
      <c r="AS283" s="23"/>
      <c r="AT283" s="23"/>
      <c r="AU283" s="23"/>
      <c r="AV283" s="23"/>
      <c r="AW283" s="23"/>
      <c r="AX283" s="23"/>
      <c r="AY283" s="23"/>
      <c r="AZ283" s="23"/>
      <c r="BA283" s="23"/>
      <c r="BB283" s="23"/>
      <c r="BC283" s="23"/>
    </row>
    <row r="284">
      <c r="AO284" s="23"/>
      <c r="AP284" s="23"/>
      <c r="AQ284" s="23"/>
      <c r="AR284" s="23"/>
      <c r="AS284" s="23"/>
      <c r="AT284" s="23"/>
      <c r="AU284" s="23"/>
      <c r="AV284" s="23"/>
      <c r="AW284" s="23"/>
      <c r="AX284" s="23"/>
      <c r="AY284" s="23"/>
      <c r="AZ284" s="23"/>
      <c r="BA284" s="23"/>
      <c r="BB284" s="23"/>
      <c r="BC284" s="23"/>
    </row>
    <row r="285">
      <c r="AO285" s="23"/>
      <c r="AP285" s="23"/>
      <c r="AQ285" s="23"/>
      <c r="AR285" s="23"/>
      <c r="AS285" s="23"/>
      <c r="AT285" s="23"/>
      <c r="AU285" s="23"/>
      <c r="AV285" s="23"/>
      <c r="AW285" s="23"/>
      <c r="AX285" s="23"/>
      <c r="AY285" s="23"/>
      <c r="AZ285" s="23"/>
      <c r="BA285" s="23"/>
      <c r="BB285" s="23"/>
      <c r="BC285" s="23"/>
    </row>
    <row r="286">
      <c r="AO286" s="23"/>
      <c r="AP286" s="23"/>
      <c r="AQ286" s="23"/>
      <c r="AR286" s="23"/>
      <c r="AS286" s="23"/>
      <c r="AT286" s="23"/>
      <c r="AU286" s="23"/>
      <c r="AV286" s="23"/>
      <c r="AW286" s="23"/>
      <c r="AX286" s="23"/>
      <c r="AY286" s="23"/>
      <c r="AZ286" s="23"/>
      <c r="BA286" s="23"/>
      <c r="BB286" s="23"/>
      <c r="BC286" s="23"/>
    </row>
    <row r="287">
      <c r="AO287" s="23"/>
      <c r="AP287" s="23"/>
      <c r="AQ287" s="23"/>
      <c r="AR287" s="23"/>
      <c r="AS287" s="23"/>
      <c r="AT287" s="23"/>
      <c r="AU287" s="23"/>
      <c r="AV287" s="23"/>
      <c r="AW287" s="23"/>
      <c r="AX287" s="23"/>
      <c r="AY287" s="23"/>
      <c r="AZ287" s="23"/>
      <c r="BA287" s="23"/>
      <c r="BB287" s="23"/>
      <c r="BC287" s="23"/>
    </row>
    <row r="288">
      <c r="AO288" s="23"/>
      <c r="AP288" s="23"/>
      <c r="AQ288" s="23"/>
      <c r="AR288" s="23"/>
      <c r="AS288" s="23"/>
      <c r="AT288" s="23"/>
      <c r="AU288" s="23"/>
      <c r="AV288" s="23"/>
      <c r="AW288" s="23"/>
      <c r="AX288" s="23"/>
      <c r="AY288" s="23"/>
      <c r="AZ288" s="23"/>
      <c r="BA288" s="23"/>
      <c r="BB288" s="23"/>
      <c r="BC288" s="23"/>
    </row>
    <row r="289">
      <c r="AO289" s="23"/>
      <c r="AP289" s="23"/>
      <c r="AQ289" s="23"/>
      <c r="AR289" s="23"/>
      <c r="AS289" s="23"/>
      <c r="AT289" s="23"/>
      <c r="AU289" s="23"/>
      <c r="AV289" s="23"/>
      <c r="AW289" s="23"/>
      <c r="AX289" s="23"/>
      <c r="AY289" s="23"/>
      <c r="AZ289" s="23"/>
      <c r="BA289" s="23"/>
      <c r="BB289" s="23"/>
      <c r="BC289" s="23"/>
    </row>
    <row r="290">
      <c r="AO290" s="23"/>
      <c r="AP290" s="23"/>
      <c r="AQ290" s="23"/>
      <c r="AR290" s="23"/>
      <c r="AS290" s="23"/>
      <c r="AT290" s="23"/>
      <c r="AU290" s="23"/>
      <c r="AV290" s="23"/>
      <c r="AW290" s="23"/>
      <c r="AX290" s="23"/>
      <c r="AY290" s="23"/>
      <c r="AZ290" s="23"/>
      <c r="BA290" s="23"/>
      <c r="BB290" s="23"/>
      <c r="BC290" s="23"/>
    </row>
    <row r="291">
      <c r="AO291" s="23"/>
      <c r="AP291" s="23"/>
      <c r="AQ291" s="23"/>
      <c r="AR291" s="23"/>
      <c r="AS291" s="23"/>
      <c r="AT291" s="23"/>
      <c r="AU291" s="23"/>
      <c r="AV291" s="23"/>
      <c r="AW291" s="23"/>
      <c r="AX291" s="23"/>
      <c r="AY291" s="23"/>
      <c r="AZ291" s="23"/>
      <c r="BA291" s="23"/>
      <c r="BB291" s="23"/>
      <c r="BC291" s="23"/>
    </row>
    <row r="292">
      <c r="AO292" s="23"/>
      <c r="AP292" s="23"/>
      <c r="AQ292" s="23"/>
      <c r="AR292" s="23"/>
      <c r="AS292" s="23"/>
      <c r="AT292" s="23"/>
      <c r="AU292" s="23"/>
      <c r="AV292" s="23"/>
      <c r="AW292" s="23"/>
      <c r="AX292" s="23"/>
      <c r="AY292" s="23"/>
      <c r="AZ292" s="23"/>
      <c r="BA292" s="23"/>
      <c r="BB292" s="23"/>
      <c r="BC292" s="23"/>
    </row>
    <row r="293">
      <c r="AO293" s="23"/>
      <c r="AP293" s="23"/>
      <c r="AQ293" s="23"/>
      <c r="AR293" s="23"/>
      <c r="AS293" s="23"/>
      <c r="AT293" s="23"/>
      <c r="AU293" s="23"/>
      <c r="AV293" s="23"/>
      <c r="AW293" s="23"/>
      <c r="AX293" s="23"/>
      <c r="AY293" s="23"/>
      <c r="AZ293" s="23"/>
      <c r="BA293" s="23"/>
      <c r="BB293" s="23"/>
      <c r="BC293" s="23"/>
    </row>
    <row r="294">
      <c r="AO294" s="23"/>
      <c r="AP294" s="23"/>
      <c r="AQ294" s="23"/>
      <c r="AR294" s="23"/>
      <c r="AS294" s="23"/>
      <c r="AT294" s="23"/>
      <c r="AU294" s="23"/>
      <c r="AV294" s="23"/>
      <c r="AW294" s="23"/>
      <c r="AX294" s="23"/>
      <c r="AY294" s="23"/>
      <c r="AZ294" s="23"/>
      <c r="BA294" s="23"/>
      <c r="BB294" s="23"/>
      <c r="BC294" s="23"/>
    </row>
    <row r="295">
      <c r="AO295" s="23"/>
      <c r="AP295" s="23"/>
      <c r="AQ295" s="23"/>
      <c r="AR295" s="23"/>
      <c r="AS295" s="23"/>
      <c r="AT295" s="23"/>
      <c r="AU295" s="23"/>
      <c r="AV295" s="23"/>
      <c r="AW295" s="23"/>
      <c r="AX295" s="23"/>
      <c r="AY295" s="23"/>
      <c r="AZ295" s="23"/>
      <c r="BA295" s="23"/>
      <c r="BB295" s="23"/>
      <c r="BC295" s="23"/>
    </row>
    <row r="296">
      <c r="AO296" s="23"/>
      <c r="AP296" s="23"/>
      <c r="AQ296" s="23"/>
      <c r="AR296" s="23"/>
      <c r="AS296" s="23"/>
      <c r="AT296" s="23"/>
      <c r="AU296" s="23"/>
      <c r="AV296" s="23"/>
      <c r="AW296" s="23"/>
      <c r="AX296" s="23"/>
      <c r="AY296" s="23"/>
      <c r="AZ296" s="23"/>
      <c r="BA296" s="23"/>
      <c r="BB296" s="23"/>
      <c r="BC296" s="23"/>
    </row>
    <row r="297">
      <c r="AO297" s="23"/>
      <c r="AP297" s="23"/>
      <c r="AQ297" s="23"/>
      <c r="AR297" s="23"/>
      <c r="AS297" s="23"/>
      <c r="AT297" s="23"/>
      <c r="AU297" s="23"/>
      <c r="AV297" s="23"/>
      <c r="AW297" s="23"/>
      <c r="AX297" s="23"/>
      <c r="AY297" s="23"/>
      <c r="AZ297" s="23"/>
      <c r="BA297" s="23"/>
      <c r="BB297" s="23"/>
      <c r="BC297" s="23"/>
    </row>
    <row r="298">
      <c r="AO298" s="23"/>
      <c r="AP298" s="23"/>
      <c r="AQ298" s="23"/>
      <c r="AR298" s="23"/>
      <c r="AS298" s="23"/>
      <c r="AT298" s="23"/>
      <c r="AU298" s="23"/>
      <c r="AV298" s="23"/>
      <c r="AW298" s="23"/>
      <c r="AX298" s="23"/>
      <c r="AY298" s="23"/>
      <c r="AZ298" s="23"/>
      <c r="BA298" s="23"/>
      <c r="BB298" s="23"/>
      <c r="BC298" s="23"/>
    </row>
    <row r="299">
      <c r="AO299" s="23"/>
      <c r="AP299" s="23"/>
      <c r="AQ299" s="23"/>
      <c r="AR299" s="23"/>
      <c r="AS299" s="23"/>
      <c r="AT299" s="23"/>
      <c r="AU299" s="23"/>
      <c r="AV299" s="23"/>
      <c r="AW299" s="23"/>
      <c r="AX299" s="23"/>
      <c r="AY299" s="23"/>
      <c r="AZ299" s="23"/>
      <c r="BA299" s="23"/>
      <c r="BB299" s="23"/>
      <c r="BC299" s="23"/>
    </row>
    <row r="300">
      <c r="AO300" s="23"/>
      <c r="AP300" s="23"/>
      <c r="AQ300" s="23"/>
      <c r="AR300" s="23"/>
      <c r="AS300" s="23"/>
      <c r="AT300" s="23"/>
      <c r="AU300" s="23"/>
      <c r="AV300" s="23"/>
      <c r="AW300" s="23"/>
      <c r="AX300" s="23"/>
      <c r="AY300" s="23"/>
      <c r="AZ300" s="23"/>
      <c r="BA300" s="23"/>
      <c r="BB300" s="23"/>
      <c r="BC300" s="23"/>
    </row>
    <row r="301">
      <c r="AO301" s="23"/>
      <c r="AP301" s="23"/>
      <c r="AQ301" s="23"/>
      <c r="AR301" s="23"/>
      <c r="AS301" s="23"/>
      <c r="AT301" s="23"/>
      <c r="AU301" s="23"/>
      <c r="AV301" s="23"/>
      <c r="AW301" s="23"/>
      <c r="AX301" s="23"/>
      <c r="AY301" s="23"/>
      <c r="AZ301" s="23"/>
      <c r="BA301" s="23"/>
      <c r="BB301" s="23"/>
      <c r="BC301" s="23"/>
    </row>
    <row r="302">
      <c r="AO302" s="23"/>
      <c r="AP302" s="23"/>
      <c r="AQ302" s="23"/>
      <c r="AR302" s="23"/>
      <c r="AS302" s="23"/>
      <c r="AT302" s="23"/>
      <c r="AU302" s="23"/>
      <c r="AV302" s="23"/>
      <c r="AW302" s="23"/>
      <c r="AX302" s="23"/>
      <c r="AY302" s="23"/>
      <c r="AZ302" s="23"/>
      <c r="BA302" s="23"/>
      <c r="BB302" s="23"/>
      <c r="BC302" s="23"/>
    </row>
    <row r="303">
      <c r="AO303" s="23"/>
      <c r="AP303" s="23"/>
      <c r="AQ303" s="23"/>
      <c r="AR303" s="23"/>
      <c r="AS303" s="23"/>
      <c r="AT303" s="23"/>
      <c r="AU303" s="23"/>
      <c r="AV303" s="23"/>
      <c r="AW303" s="23"/>
      <c r="AX303" s="23"/>
      <c r="AY303" s="23"/>
      <c r="AZ303" s="23"/>
      <c r="BA303" s="23"/>
      <c r="BB303" s="23"/>
      <c r="BC303" s="23"/>
    </row>
    <row r="304">
      <c r="AO304" s="23"/>
      <c r="AP304" s="23"/>
      <c r="AQ304" s="23"/>
      <c r="AR304" s="23"/>
      <c r="AS304" s="23"/>
      <c r="AT304" s="23"/>
      <c r="AU304" s="23"/>
      <c r="AV304" s="23"/>
      <c r="AW304" s="23"/>
      <c r="AX304" s="23"/>
      <c r="AY304" s="23"/>
      <c r="AZ304" s="23"/>
      <c r="BA304" s="23"/>
      <c r="BB304" s="23"/>
      <c r="BC304" s="23"/>
    </row>
    <row r="305">
      <c r="AO305" s="23"/>
      <c r="AP305" s="23"/>
      <c r="AQ305" s="23"/>
      <c r="AR305" s="23"/>
      <c r="AS305" s="23"/>
      <c r="AT305" s="23"/>
      <c r="AU305" s="23"/>
      <c r="AV305" s="23"/>
      <c r="AW305" s="23"/>
      <c r="AX305" s="23"/>
      <c r="AY305" s="23"/>
      <c r="AZ305" s="23"/>
      <c r="BA305" s="23"/>
      <c r="BB305" s="23"/>
      <c r="BC305" s="23"/>
    </row>
    <row r="306">
      <c r="AO306" s="23"/>
      <c r="AP306" s="23"/>
      <c r="AQ306" s="23"/>
      <c r="AR306" s="23"/>
      <c r="AS306" s="23"/>
      <c r="AT306" s="23"/>
      <c r="AU306" s="23"/>
      <c r="AV306" s="23"/>
      <c r="AW306" s="23"/>
      <c r="AX306" s="23"/>
      <c r="AY306" s="23"/>
      <c r="AZ306" s="23"/>
      <c r="BA306" s="23"/>
      <c r="BB306" s="23"/>
      <c r="BC306" s="23"/>
    </row>
    <row r="307">
      <c r="AO307" s="23"/>
      <c r="AP307" s="23"/>
      <c r="AQ307" s="23"/>
      <c r="AR307" s="23"/>
      <c r="AS307" s="23"/>
      <c r="AT307" s="23"/>
      <c r="AU307" s="23"/>
      <c r="AV307" s="23"/>
      <c r="AW307" s="23"/>
      <c r="AX307" s="23"/>
      <c r="AY307" s="23"/>
      <c r="AZ307" s="23"/>
      <c r="BA307" s="23"/>
      <c r="BB307" s="23"/>
      <c r="BC307" s="23"/>
    </row>
    <row r="308">
      <c r="AO308" s="23"/>
      <c r="AP308" s="23"/>
      <c r="AQ308" s="23"/>
      <c r="AR308" s="23"/>
      <c r="AS308" s="23"/>
      <c r="AT308" s="23"/>
      <c r="AU308" s="23"/>
      <c r="AV308" s="23"/>
      <c r="AW308" s="23"/>
      <c r="AX308" s="23"/>
      <c r="AY308" s="23"/>
      <c r="AZ308" s="23"/>
      <c r="BA308" s="23"/>
      <c r="BB308" s="23"/>
      <c r="BC308" s="23"/>
    </row>
    <row r="309">
      <c r="AO309" s="23"/>
      <c r="AP309" s="23"/>
      <c r="AQ309" s="23"/>
      <c r="AR309" s="23"/>
      <c r="AS309" s="23"/>
      <c r="AT309" s="23"/>
      <c r="AU309" s="23"/>
      <c r="AV309" s="23"/>
      <c r="AW309" s="23"/>
      <c r="AX309" s="23"/>
      <c r="AY309" s="23"/>
      <c r="AZ309" s="23"/>
      <c r="BA309" s="23"/>
      <c r="BB309" s="23"/>
      <c r="BC309" s="23"/>
    </row>
    <row r="310">
      <c r="AO310" s="23"/>
      <c r="AP310" s="23"/>
      <c r="AQ310" s="23"/>
      <c r="AR310" s="23"/>
      <c r="AS310" s="23"/>
      <c r="AT310" s="23"/>
      <c r="AU310" s="23"/>
      <c r="AV310" s="23"/>
      <c r="AW310" s="23"/>
      <c r="AX310" s="23"/>
      <c r="AY310" s="23"/>
      <c r="AZ310" s="23"/>
      <c r="BA310" s="23"/>
      <c r="BB310" s="23"/>
      <c r="BC310" s="23"/>
    </row>
    <row r="311">
      <c r="AO311" s="23"/>
      <c r="AP311" s="23"/>
      <c r="AQ311" s="23"/>
      <c r="AR311" s="23"/>
      <c r="AS311" s="23"/>
      <c r="AT311" s="23"/>
      <c r="AU311" s="23"/>
      <c r="AV311" s="23"/>
      <c r="AW311" s="23"/>
      <c r="AX311" s="23"/>
      <c r="AY311" s="23"/>
      <c r="AZ311" s="23"/>
      <c r="BA311" s="23"/>
      <c r="BB311" s="23"/>
      <c r="BC311" s="23"/>
    </row>
    <row r="312">
      <c r="AO312" s="23"/>
      <c r="AP312" s="23"/>
      <c r="AQ312" s="23"/>
      <c r="AR312" s="23"/>
      <c r="AS312" s="23"/>
      <c r="AT312" s="23"/>
      <c r="AU312" s="23"/>
      <c r="AV312" s="23"/>
      <c r="AW312" s="23"/>
      <c r="AX312" s="23"/>
      <c r="AY312" s="23"/>
      <c r="AZ312" s="23"/>
      <c r="BA312" s="23"/>
      <c r="BB312" s="23"/>
      <c r="BC312" s="23"/>
    </row>
    <row r="313">
      <c r="AO313" s="23"/>
      <c r="AP313" s="23"/>
      <c r="AQ313" s="23"/>
      <c r="AR313" s="23"/>
      <c r="AS313" s="23"/>
      <c r="AT313" s="23"/>
      <c r="AU313" s="23"/>
      <c r="AV313" s="23"/>
      <c r="AW313" s="23"/>
      <c r="AX313" s="23"/>
      <c r="AY313" s="23"/>
      <c r="AZ313" s="23"/>
      <c r="BA313" s="23"/>
      <c r="BB313" s="23"/>
      <c r="BC313" s="23"/>
    </row>
    <row r="314">
      <c r="AO314" s="23"/>
      <c r="AP314" s="23"/>
      <c r="AQ314" s="23"/>
      <c r="AR314" s="23"/>
      <c r="AS314" s="23"/>
      <c r="AT314" s="23"/>
      <c r="AU314" s="23"/>
      <c r="AV314" s="23"/>
      <c r="AW314" s="23"/>
      <c r="AX314" s="23"/>
      <c r="AY314" s="23"/>
      <c r="AZ314" s="23"/>
      <c r="BA314" s="23"/>
      <c r="BB314" s="23"/>
      <c r="BC314" s="23"/>
    </row>
    <row r="315">
      <c r="AO315" s="23"/>
      <c r="AP315" s="23"/>
      <c r="AQ315" s="23"/>
      <c r="AR315" s="23"/>
      <c r="AS315" s="23"/>
      <c r="AT315" s="23"/>
      <c r="AU315" s="23"/>
      <c r="AV315" s="23"/>
      <c r="AW315" s="23"/>
      <c r="AX315" s="23"/>
      <c r="AY315" s="23"/>
      <c r="AZ315" s="23"/>
      <c r="BA315" s="23"/>
      <c r="BB315" s="23"/>
      <c r="BC315" s="23"/>
    </row>
    <row r="316">
      <c r="AO316" s="23"/>
      <c r="AP316" s="23"/>
      <c r="AQ316" s="23"/>
      <c r="AR316" s="23"/>
      <c r="AS316" s="23"/>
      <c r="AT316" s="23"/>
      <c r="AU316" s="23"/>
      <c r="AV316" s="23"/>
      <c r="AW316" s="23"/>
      <c r="AX316" s="23"/>
      <c r="AY316" s="23"/>
      <c r="AZ316" s="23"/>
      <c r="BA316" s="23"/>
      <c r="BB316" s="23"/>
      <c r="BC316" s="23"/>
    </row>
    <row r="317">
      <c r="AO317" s="23"/>
      <c r="AP317" s="23"/>
      <c r="AQ317" s="23"/>
      <c r="AR317" s="23"/>
      <c r="AS317" s="23"/>
      <c r="AT317" s="23"/>
      <c r="AU317" s="23"/>
      <c r="AV317" s="23"/>
      <c r="AW317" s="23"/>
      <c r="AX317" s="23"/>
      <c r="AY317" s="23"/>
      <c r="AZ317" s="23"/>
      <c r="BA317" s="23"/>
      <c r="BB317" s="23"/>
      <c r="BC317" s="23"/>
    </row>
    <row r="318">
      <c r="AO318" s="23"/>
      <c r="AP318" s="23"/>
      <c r="AQ318" s="23"/>
      <c r="AR318" s="23"/>
      <c r="AS318" s="23"/>
      <c r="AT318" s="23"/>
      <c r="AU318" s="23"/>
      <c r="AV318" s="23"/>
      <c r="AW318" s="23"/>
      <c r="AX318" s="23"/>
      <c r="AY318" s="23"/>
      <c r="AZ318" s="23"/>
      <c r="BA318" s="23"/>
      <c r="BB318" s="23"/>
      <c r="BC318" s="23"/>
    </row>
    <row r="319">
      <c r="AO319" s="23"/>
      <c r="AP319" s="23"/>
      <c r="AQ319" s="23"/>
      <c r="AR319" s="23"/>
      <c r="AS319" s="23"/>
      <c r="AT319" s="23"/>
      <c r="AU319" s="23"/>
      <c r="AV319" s="23"/>
      <c r="AW319" s="23"/>
      <c r="AX319" s="23"/>
      <c r="AY319" s="23"/>
      <c r="AZ319" s="23"/>
      <c r="BA319" s="23"/>
      <c r="BB319" s="23"/>
      <c r="BC319" s="23"/>
    </row>
    <row r="320">
      <c r="AO320" s="23"/>
      <c r="AP320" s="23"/>
      <c r="AQ320" s="23"/>
      <c r="AR320" s="23"/>
      <c r="AS320" s="23"/>
      <c r="AT320" s="23"/>
      <c r="AU320" s="23"/>
      <c r="AV320" s="23"/>
      <c r="AW320" s="23"/>
      <c r="AX320" s="23"/>
      <c r="AY320" s="23"/>
      <c r="AZ320" s="23"/>
      <c r="BA320" s="23"/>
      <c r="BB320" s="23"/>
      <c r="BC320" s="23"/>
    </row>
    <row r="321">
      <c r="AO321" s="23"/>
      <c r="AP321" s="23"/>
      <c r="AQ321" s="23"/>
      <c r="AR321" s="23"/>
      <c r="AS321" s="23"/>
      <c r="AT321" s="23"/>
      <c r="AU321" s="23"/>
      <c r="AV321" s="23"/>
      <c r="AW321" s="23"/>
      <c r="AX321" s="23"/>
      <c r="AY321" s="23"/>
      <c r="AZ321" s="23"/>
      <c r="BA321" s="23"/>
      <c r="BB321" s="23"/>
      <c r="BC321" s="23"/>
    </row>
    <row r="322">
      <c r="AO322" s="23"/>
      <c r="AP322" s="23"/>
      <c r="AQ322" s="23"/>
      <c r="AR322" s="23"/>
      <c r="AS322" s="23"/>
      <c r="AT322" s="23"/>
      <c r="AU322" s="23"/>
      <c r="AV322" s="23"/>
      <c r="AW322" s="23"/>
      <c r="AX322" s="23"/>
      <c r="AY322" s="23"/>
      <c r="AZ322" s="23"/>
      <c r="BA322" s="23"/>
      <c r="BB322" s="23"/>
      <c r="BC322" s="23"/>
    </row>
    <row r="323">
      <c r="AO323" s="23"/>
      <c r="AP323" s="23"/>
      <c r="AQ323" s="23"/>
      <c r="AR323" s="23"/>
      <c r="AS323" s="23"/>
      <c r="AT323" s="23"/>
      <c r="AU323" s="23"/>
      <c r="AV323" s="23"/>
      <c r="AW323" s="23"/>
      <c r="AX323" s="23"/>
      <c r="AY323" s="23"/>
      <c r="AZ323" s="23"/>
      <c r="BA323" s="23"/>
      <c r="BB323" s="23"/>
      <c r="BC323" s="23"/>
    </row>
    <row r="324">
      <c r="AO324" s="23"/>
      <c r="AP324" s="23"/>
      <c r="AQ324" s="23"/>
      <c r="AR324" s="23"/>
      <c r="AS324" s="23"/>
      <c r="AT324" s="23"/>
      <c r="AU324" s="23"/>
      <c r="AV324" s="23"/>
      <c r="AW324" s="23"/>
      <c r="AX324" s="23"/>
      <c r="AY324" s="23"/>
      <c r="AZ324" s="23"/>
      <c r="BA324" s="23"/>
      <c r="BB324" s="23"/>
      <c r="BC324" s="23"/>
    </row>
    <row r="325">
      <c r="AO325" s="23"/>
      <c r="AP325" s="23"/>
      <c r="AQ325" s="23"/>
      <c r="AR325" s="23"/>
      <c r="AS325" s="23"/>
      <c r="AT325" s="23"/>
      <c r="AU325" s="23"/>
      <c r="AV325" s="23"/>
      <c r="AW325" s="23"/>
      <c r="AX325" s="23"/>
      <c r="AY325" s="23"/>
      <c r="AZ325" s="23"/>
      <c r="BA325" s="23"/>
      <c r="BB325" s="23"/>
      <c r="BC325" s="23"/>
    </row>
    <row r="326">
      <c r="AO326" s="23"/>
      <c r="AP326" s="23"/>
      <c r="AQ326" s="23"/>
      <c r="AR326" s="23"/>
      <c r="AS326" s="23"/>
      <c r="AT326" s="23"/>
      <c r="AU326" s="23"/>
      <c r="AV326" s="23"/>
      <c r="AW326" s="23"/>
      <c r="AX326" s="23"/>
      <c r="AY326" s="23"/>
      <c r="AZ326" s="23"/>
      <c r="BA326" s="23"/>
      <c r="BB326" s="23"/>
      <c r="BC326" s="23"/>
    </row>
    <row r="327">
      <c r="AO327" s="23"/>
      <c r="AP327" s="23"/>
      <c r="AQ327" s="23"/>
      <c r="AR327" s="23"/>
      <c r="AS327" s="23"/>
      <c r="AT327" s="23"/>
      <c r="AU327" s="23"/>
      <c r="AV327" s="23"/>
      <c r="AW327" s="23"/>
      <c r="AX327" s="23"/>
      <c r="AY327" s="23"/>
      <c r="AZ327" s="23"/>
      <c r="BA327" s="23"/>
      <c r="BB327" s="23"/>
      <c r="BC327" s="23"/>
    </row>
    <row r="328">
      <c r="AO328" s="23"/>
      <c r="AP328" s="23"/>
      <c r="AQ328" s="23"/>
      <c r="AR328" s="23"/>
      <c r="AS328" s="23"/>
      <c r="AT328" s="23"/>
      <c r="AU328" s="23"/>
      <c r="AV328" s="23"/>
      <c r="AW328" s="23"/>
      <c r="AX328" s="23"/>
      <c r="AY328" s="23"/>
      <c r="AZ328" s="23"/>
      <c r="BA328" s="23"/>
      <c r="BB328" s="23"/>
      <c r="BC328" s="23"/>
    </row>
    <row r="329">
      <c r="AO329" s="23"/>
      <c r="AP329" s="23"/>
      <c r="AQ329" s="23"/>
      <c r="AR329" s="23"/>
      <c r="AS329" s="23"/>
      <c r="AT329" s="23"/>
      <c r="AU329" s="23"/>
      <c r="AV329" s="23"/>
      <c r="AW329" s="23"/>
      <c r="AX329" s="23"/>
      <c r="AY329" s="23"/>
      <c r="AZ329" s="23"/>
      <c r="BA329" s="23"/>
      <c r="BB329" s="23"/>
      <c r="BC329" s="23"/>
    </row>
    <row r="330">
      <c r="AO330" s="23"/>
      <c r="AP330" s="23"/>
      <c r="AQ330" s="23"/>
      <c r="AR330" s="23"/>
      <c r="AS330" s="23"/>
      <c r="AT330" s="23"/>
      <c r="AU330" s="23"/>
      <c r="AV330" s="23"/>
      <c r="AW330" s="23"/>
      <c r="AX330" s="23"/>
      <c r="AY330" s="23"/>
      <c r="AZ330" s="23"/>
      <c r="BA330" s="23"/>
      <c r="BB330" s="23"/>
      <c r="BC330" s="23"/>
    </row>
    <row r="331">
      <c r="AO331" s="23"/>
      <c r="AP331" s="23"/>
      <c r="AQ331" s="23"/>
      <c r="AR331" s="23"/>
      <c r="AS331" s="23"/>
      <c r="AT331" s="23"/>
      <c r="AU331" s="23"/>
      <c r="AV331" s="23"/>
      <c r="AW331" s="23"/>
      <c r="AX331" s="23"/>
      <c r="AY331" s="23"/>
      <c r="AZ331" s="23"/>
      <c r="BA331" s="23"/>
      <c r="BB331" s="23"/>
      <c r="BC331" s="23"/>
    </row>
    <row r="332">
      <c r="AO332" s="23"/>
      <c r="AP332" s="23"/>
      <c r="AQ332" s="23"/>
      <c r="AR332" s="23"/>
      <c r="AS332" s="23"/>
      <c r="AT332" s="23"/>
      <c r="AU332" s="23"/>
      <c r="AV332" s="23"/>
      <c r="AW332" s="23"/>
      <c r="AX332" s="23"/>
      <c r="AY332" s="23"/>
      <c r="AZ332" s="23"/>
      <c r="BA332" s="23"/>
      <c r="BB332" s="23"/>
      <c r="BC332" s="23"/>
    </row>
    <row r="333">
      <c r="AO333" s="23"/>
      <c r="AP333" s="23"/>
      <c r="AQ333" s="23"/>
      <c r="AR333" s="23"/>
      <c r="AS333" s="23"/>
      <c r="AT333" s="23"/>
      <c r="AU333" s="23"/>
      <c r="AV333" s="23"/>
      <c r="AW333" s="23"/>
      <c r="AX333" s="23"/>
      <c r="AY333" s="23"/>
      <c r="AZ333" s="23"/>
      <c r="BA333" s="23"/>
      <c r="BB333" s="23"/>
      <c r="BC333" s="23"/>
    </row>
    <row r="334">
      <c r="AO334" s="23"/>
      <c r="AP334" s="23"/>
      <c r="AQ334" s="23"/>
      <c r="AR334" s="23"/>
      <c r="AS334" s="23"/>
      <c r="AT334" s="23"/>
      <c r="AU334" s="23"/>
      <c r="AV334" s="23"/>
      <c r="AW334" s="23"/>
      <c r="AX334" s="23"/>
      <c r="AY334" s="23"/>
      <c r="AZ334" s="23"/>
      <c r="BA334" s="23"/>
      <c r="BB334" s="23"/>
      <c r="BC334" s="23"/>
    </row>
    <row r="335">
      <c r="AO335" s="23"/>
      <c r="AP335" s="23"/>
      <c r="AQ335" s="23"/>
      <c r="AR335" s="23"/>
      <c r="AS335" s="23"/>
      <c r="AT335" s="23"/>
      <c r="AU335" s="23"/>
      <c r="AV335" s="23"/>
      <c r="AW335" s="23"/>
      <c r="AX335" s="23"/>
      <c r="AY335" s="23"/>
      <c r="AZ335" s="23"/>
      <c r="BA335" s="23"/>
      <c r="BB335" s="23"/>
      <c r="BC335" s="23"/>
    </row>
    <row r="336">
      <c r="AO336" s="23"/>
      <c r="AP336" s="23"/>
      <c r="AQ336" s="23"/>
      <c r="AR336" s="23"/>
      <c r="AS336" s="23"/>
      <c r="AT336" s="23"/>
      <c r="AU336" s="23"/>
      <c r="AV336" s="23"/>
      <c r="AW336" s="23"/>
      <c r="AX336" s="23"/>
      <c r="AY336" s="23"/>
      <c r="AZ336" s="23"/>
      <c r="BA336" s="23"/>
      <c r="BB336" s="23"/>
      <c r="BC336" s="23"/>
    </row>
    <row r="337">
      <c r="AO337" s="23"/>
      <c r="AP337" s="23"/>
      <c r="AQ337" s="23"/>
      <c r="AR337" s="23"/>
      <c r="AS337" s="23"/>
      <c r="AT337" s="23"/>
      <c r="AU337" s="23"/>
      <c r="AV337" s="23"/>
      <c r="AW337" s="23"/>
      <c r="AX337" s="23"/>
      <c r="AY337" s="23"/>
      <c r="AZ337" s="23"/>
      <c r="BA337" s="23"/>
      <c r="BB337" s="23"/>
      <c r="BC337" s="23"/>
    </row>
    <row r="338">
      <c r="AO338" s="23"/>
      <c r="AP338" s="23"/>
      <c r="AQ338" s="23"/>
      <c r="AR338" s="23"/>
      <c r="AS338" s="23"/>
      <c r="AT338" s="23"/>
      <c r="AU338" s="23"/>
      <c r="AV338" s="23"/>
      <c r="AW338" s="23"/>
      <c r="AX338" s="23"/>
      <c r="AY338" s="23"/>
      <c r="AZ338" s="23"/>
      <c r="BA338" s="23"/>
      <c r="BB338" s="23"/>
      <c r="BC338" s="23"/>
    </row>
    <row r="339">
      <c r="AO339" s="23"/>
      <c r="AP339" s="23"/>
      <c r="AQ339" s="23"/>
      <c r="AR339" s="23"/>
      <c r="AS339" s="23"/>
      <c r="AT339" s="23"/>
      <c r="AU339" s="23"/>
      <c r="AV339" s="23"/>
      <c r="AW339" s="23"/>
      <c r="AX339" s="23"/>
      <c r="AY339" s="23"/>
      <c r="AZ339" s="23"/>
      <c r="BA339" s="23"/>
      <c r="BB339" s="23"/>
      <c r="BC339" s="23"/>
    </row>
    <row r="340">
      <c r="AO340" s="23"/>
      <c r="AP340" s="23"/>
      <c r="AQ340" s="23"/>
      <c r="AR340" s="23"/>
      <c r="AS340" s="23"/>
      <c r="AT340" s="23"/>
      <c r="AU340" s="23"/>
      <c r="AV340" s="23"/>
      <c r="AW340" s="23"/>
      <c r="AX340" s="23"/>
      <c r="AY340" s="23"/>
      <c r="AZ340" s="23"/>
      <c r="BA340" s="23"/>
      <c r="BB340" s="23"/>
      <c r="BC340" s="23"/>
    </row>
    <row r="341">
      <c r="AO341" s="23"/>
      <c r="AP341" s="23"/>
      <c r="AQ341" s="23"/>
      <c r="AR341" s="23"/>
      <c r="AS341" s="23"/>
      <c r="AT341" s="23"/>
      <c r="AU341" s="23"/>
      <c r="AV341" s="23"/>
      <c r="AW341" s="23"/>
      <c r="AX341" s="23"/>
      <c r="AY341" s="23"/>
      <c r="AZ341" s="23"/>
      <c r="BA341" s="23"/>
      <c r="BB341" s="23"/>
      <c r="BC341" s="23"/>
    </row>
    <row r="342">
      <c r="AO342" s="23"/>
      <c r="AP342" s="23"/>
      <c r="AQ342" s="23"/>
      <c r="AR342" s="23"/>
      <c r="AS342" s="23"/>
      <c r="AT342" s="23"/>
      <c r="AU342" s="23"/>
      <c r="AV342" s="23"/>
      <c r="AW342" s="23"/>
      <c r="AX342" s="23"/>
      <c r="AY342" s="23"/>
      <c r="AZ342" s="23"/>
      <c r="BA342" s="23"/>
      <c r="BB342" s="23"/>
      <c r="BC342" s="23"/>
    </row>
    <row r="343">
      <c r="AO343" s="23"/>
      <c r="AP343" s="23"/>
      <c r="AQ343" s="23"/>
      <c r="AR343" s="23"/>
      <c r="AS343" s="23"/>
      <c r="AT343" s="23"/>
      <c r="AU343" s="23"/>
      <c r="AV343" s="23"/>
      <c r="AW343" s="23"/>
      <c r="AX343" s="23"/>
      <c r="AY343" s="23"/>
      <c r="AZ343" s="23"/>
      <c r="BA343" s="23"/>
      <c r="BB343" s="23"/>
      <c r="BC343" s="23"/>
    </row>
    <row r="344">
      <c r="AO344" s="23"/>
      <c r="AP344" s="23"/>
      <c r="AQ344" s="23"/>
      <c r="AR344" s="23"/>
      <c r="AS344" s="23"/>
      <c r="AT344" s="23"/>
      <c r="AU344" s="23"/>
      <c r="AV344" s="23"/>
      <c r="AW344" s="23"/>
      <c r="AX344" s="23"/>
      <c r="AY344" s="23"/>
      <c r="AZ344" s="23"/>
      <c r="BA344" s="23"/>
      <c r="BB344" s="23"/>
      <c r="BC344" s="23"/>
    </row>
    <row r="345">
      <c r="AO345" s="23"/>
      <c r="AP345" s="23"/>
      <c r="AQ345" s="23"/>
      <c r="AR345" s="23"/>
      <c r="AS345" s="23"/>
      <c r="AT345" s="23"/>
      <c r="AU345" s="23"/>
      <c r="AV345" s="23"/>
      <c r="AW345" s="23"/>
      <c r="AX345" s="23"/>
      <c r="AY345" s="23"/>
      <c r="AZ345" s="23"/>
      <c r="BA345" s="23"/>
      <c r="BB345" s="23"/>
      <c r="BC345" s="23"/>
    </row>
    <row r="346">
      <c r="AO346" s="23"/>
      <c r="AP346" s="23"/>
      <c r="AQ346" s="23"/>
      <c r="AR346" s="23"/>
      <c r="AS346" s="23"/>
      <c r="AT346" s="23"/>
      <c r="AU346" s="23"/>
      <c r="AV346" s="23"/>
      <c r="AW346" s="23"/>
      <c r="AX346" s="23"/>
      <c r="AY346" s="23"/>
      <c r="AZ346" s="23"/>
      <c r="BA346" s="23"/>
      <c r="BB346" s="23"/>
      <c r="BC346" s="23"/>
    </row>
    <row r="347">
      <c r="AO347" s="23"/>
      <c r="AP347" s="23"/>
      <c r="AQ347" s="23"/>
      <c r="AR347" s="23"/>
      <c r="AS347" s="23"/>
      <c r="AT347" s="23"/>
      <c r="AU347" s="23"/>
      <c r="AV347" s="23"/>
      <c r="AW347" s="23"/>
      <c r="AX347" s="23"/>
      <c r="AY347" s="23"/>
      <c r="AZ347" s="23"/>
      <c r="BA347" s="23"/>
      <c r="BB347" s="23"/>
      <c r="BC347" s="23"/>
    </row>
    <row r="348">
      <c r="AO348" s="23"/>
      <c r="AP348" s="23"/>
      <c r="AQ348" s="23"/>
      <c r="AR348" s="23"/>
      <c r="AS348" s="23"/>
      <c r="AT348" s="23"/>
      <c r="AU348" s="23"/>
      <c r="AV348" s="23"/>
      <c r="AW348" s="23"/>
      <c r="AX348" s="23"/>
      <c r="AY348" s="23"/>
      <c r="AZ348" s="23"/>
      <c r="BA348" s="23"/>
      <c r="BB348" s="23"/>
      <c r="BC348" s="23"/>
    </row>
    <row r="349">
      <c r="AO349" s="23"/>
      <c r="AP349" s="23"/>
      <c r="AQ349" s="23"/>
      <c r="AR349" s="23"/>
      <c r="AS349" s="23"/>
      <c r="AT349" s="23"/>
      <c r="AU349" s="23"/>
      <c r="AV349" s="23"/>
      <c r="AW349" s="23"/>
      <c r="AX349" s="23"/>
      <c r="AY349" s="23"/>
      <c r="AZ349" s="23"/>
      <c r="BA349" s="23"/>
      <c r="BB349" s="23"/>
      <c r="BC349" s="23"/>
    </row>
    <row r="350">
      <c r="AO350" s="23"/>
      <c r="AP350" s="23"/>
      <c r="AQ350" s="23"/>
      <c r="AR350" s="23"/>
      <c r="AS350" s="23"/>
      <c r="AT350" s="23"/>
      <c r="AU350" s="23"/>
      <c r="AV350" s="23"/>
      <c r="AW350" s="23"/>
      <c r="AX350" s="23"/>
      <c r="AY350" s="23"/>
      <c r="AZ350" s="23"/>
      <c r="BA350" s="23"/>
      <c r="BB350" s="23"/>
      <c r="BC350" s="23"/>
    </row>
    <row r="351">
      <c r="AO351" s="23"/>
      <c r="AP351" s="23"/>
      <c r="AQ351" s="23"/>
      <c r="AR351" s="23"/>
      <c r="AS351" s="23"/>
      <c r="AT351" s="23"/>
      <c r="AU351" s="23"/>
      <c r="AV351" s="23"/>
      <c r="AW351" s="23"/>
      <c r="AX351" s="23"/>
      <c r="AY351" s="23"/>
      <c r="AZ351" s="23"/>
      <c r="BA351" s="23"/>
      <c r="BB351" s="23"/>
      <c r="BC351" s="23"/>
    </row>
    <row r="352">
      <c r="AO352" s="23"/>
      <c r="AP352" s="23"/>
      <c r="AQ352" s="23"/>
      <c r="AR352" s="23"/>
      <c r="AS352" s="23"/>
      <c r="AT352" s="23"/>
      <c r="AU352" s="23"/>
      <c r="AV352" s="23"/>
      <c r="AW352" s="23"/>
      <c r="AX352" s="23"/>
      <c r="AY352" s="23"/>
      <c r="AZ352" s="23"/>
      <c r="BA352" s="23"/>
      <c r="BB352" s="23"/>
      <c r="BC352" s="23"/>
    </row>
    <row r="353">
      <c r="AO353" s="23"/>
      <c r="AP353" s="23"/>
      <c r="AQ353" s="23"/>
      <c r="AR353" s="23"/>
      <c r="AS353" s="23"/>
      <c r="AT353" s="23"/>
      <c r="AU353" s="23"/>
      <c r="AV353" s="23"/>
      <c r="AW353" s="23"/>
      <c r="AX353" s="23"/>
      <c r="AY353" s="23"/>
      <c r="AZ353" s="23"/>
      <c r="BA353" s="23"/>
      <c r="BB353" s="23"/>
      <c r="BC353" s="23"/>
    </row>
    <row r="354">
      <c r="AO354" s="23"/>
      <c r="AP354" s="23"/>
      <c r="AQ354" s="23"/>
      <c r="AR354" s="23"/>
      <c r="AS354" s="23"/>
      <c r="AT354" s="23"/>
      <c r="AU354" s="23"/>
      <c r="AV354" s="23"/>
      <c r="AW354" s="23"/>
      <c r="AX354" s="23"/>
      <c r="AY354" s="23"/>
      <c r="AZ354" s="23"/>
      <c r="BA354" s="23"/>
      <c r="BB354" s="23"/>
      <c r="BC354" s="23"/>
    </row>
    <row r="355">
      <c r="AO355" s="23"/>
      <c r="AP355" s="23"/>
      <c r="AQ355" s="23"/>
      <c r="AR355" s="23"/>
      <c r="AS355" s="23"/>
      <c r="AT355" s="23"/>
      <c r="AU355" s="23"/>
      <c r="AV355" s="23"/>
      <c r="AW355" s="23"/>
      <c r="AX355" s="23"/>
      <c r="AY355" s="23"/>
      <c r="AZ355" s="23"/>
      <c r="BA355" s="23"/>
      <c r="BB355" s="23"/>
      <c r="BC355" s="23"/>
    </row>
    <row r="356">
      <c r="AO356" s="23"/>
      <c r="AP356" s="23"/>
      <c r="AQ356" s="23"/>
      <c r="AR356" s="23"/>
      <c r="AS356" s="23"/>
      <c r="AT356" s="23"/>
      <c r="AU356" s="23"/>
      <c r="AV356" s="23"/>
      <c r="AW356" s="23"/>
      <c r="AX356" s="23"/>
      <c r="AY356" s="23"/>
      <c r="AZ356" s="23"/>
      <c r="BA356" s="23"/>
      <c r="BB356" s="23"/>
      <c r="BC356" s="23"/>
    </row>
    <row r="357">
      <c r="AO357" s="23"/>
      <c r="AP357" s="23"/>
      <c r="AQ357" s="23"/>
      <c r="AR357" s="23"/>
      <c r="AS357" s="23"/>
      <c r="AT357" s="23"/>
      <c r="AU357" s="23"/>
      <c r="AV357" s="23"/>
      <c r="AW357" s="23"/>
      <c r="AX357" s="23"/>
      <c r="AY357" s="23"/>
      <c r="AZ357" s="23"/>
      <c r="BA357" s="23"/>
      <c r="BB357" s="23"/>
      <c r="BC357" s="23"/>
    </row>
    <row r="358">
      <c r="AO358" s="23"/>
      <c r="AP358" s="23"/>
      <c r="AQ358" s="23"/>
      <c r="AR358" s="23"/>
      <c r="AS358" s="23"/>
      <c r="AT358" s="23"/>
      <c r="AU358" s="23"/>
      <c r="AV358" s="23"/>
      <c r="AW358" s="23"/>
      <c r="AX358" s="23"/>
      <c r="AY358" s="23"/>
      <c r="AZ358" s="23"/>
      <c r="BA358" s="23"/>
      <c r="BB358" s="23"/>
      <c r="BC358" s="23"/>
    </row>
    <row r="359">
      <c r="AO359" s="23"/>
      <c r="AP359" s="23"/>
      <c r="AQ359" s="23"/>
      <c r="AR359" s="23"/>
      <c r="AS359" s="23"/>
      <c r="AT359" s="23"/>
      <c r="AU359" s="23"/>
      <c r="AV359" s="23"/>
      <c r="AW359" s="23"/>
      <c r="AX359" s="23"/>
      <c r="AY359" s="23"/>
      <c r="AZ359" s="23"/>
      <c r="BA359" s="23"/>
      <c r="BB359" s="23"/>
      <c r="BC359" s="23"/>
    </row>
    <row r="360">
      <c r="AO360" s="23"/>
      <c r="AP360" s="23"/>
      <c r="AQ360" s="23"/>
      <c r="AR360" s="23"/>
      <c r="AS360" s="23"/>
      <c r="AT360" s="23"/>
      <c r="AU360" s="23"/>
      <c r="AV360" s="23"/>
      <c r="AW360" s="23"/>
      <c r="AX360" s="23"/>
      <c r="AY360" s="23"/>
      <c r="AZ360" s="23"/>
      <c r="BA360" s="23"/>
      <c r="BB360" s="23"/>
      <c r="BC360" s="23"/>
    </row>
    <row r="361">
      <c r="AO361" s="23"/>
      <c r="AP361" s="23"/>
      <c r="AQ361" s="23"/>
      <c r="AR361" s="23"/>
      <c r="AS361" s="23"/>
      <c r="AT361" s="23"/>
      <c r="AU361" s="23"/>
      <c r="AV361" s="23"/>
      <c r="AW361" s="23"/>
      <c r="AX361" s="23"/>
      <c r="AY361" s="23"/>
      <c r="AZ361" s="23"/>
      <c r="BA361" s="23"/>
      <c r="BB361" s="23"/>
      <c r="BC361" s="23"/>
    </row>
    <row r="362">
      <c r="AO362" s="23"/>
      <c r="AP362" s="23"/>
      <c r="AQ362" s="23"/>
      <c r="AR362" s="23"/>
      <c r="AS362" s="23"/>
      <c r="AT362" s="23"/>
      <c r="AU362" s="23"/>
      <c r="AV362" s="23"/>
      <c r="AW362" s="23"/>
      <c r="AX362" s="23"/>
      <c r="AY362" s="23"/>
      <c r="AZ362" s="23"/>
      <c r="BA362" s="23"/>
      <c r="BB362" s="23"/>
      <c r="BC362" s="23"/>
    </row>
    <row r="363">
      <c r="AO363" s="23"/>
      <c r="AP363" s="23"/>
      <c r="AQ363" s="23"/>
      <c r="AR363" s="23"/>
      <c r="AS363" s="23"/>
      <c r="AT363" s="23"/>
      <c r="AU363" s="23"/>
      <c r="AV363" s="23"/>
      <c r="AW363" s="23"/>
      <c r="AX363" s="23"/>
      <c r="AY363" s="23"/>
      <c r="AZ363" s="23"/>
      <c r="BA363" s="23"/>
      <c r="BB363" s="23"/>
      <c r="BC363" s="23"/>
    </row>
    <row r="364">
      <c r="AO364" s="23"/>
      <c r="AP364" s="23"/>
      <c r="AQ364" s="23"/>
      <c r="AR364" s="23"/>
      <c r="AS364" s="23"/>
      <c r="AT364" s="23"/>
      <c r="AU364" s="23"/>
      <c r="AV364" s="23"/>
      <c r="AW364" s="23"/>
      <c r="AX364" s="23"/>
      <c r="AY364" s="23"/>
      <c r="AZ364" s="23"/>
      <c r="BA364" s="23"/>
      <c r="BB364" s="23"/>
      <c r="BC364" s="23"/>
    </row>
    <row r="365">
      <c r="AO365" s="23"/>
      <c r="AP365" s="23"/>
      <c r="AQ365" s="23"/>
      <c r="AR365" s="23"/>
      <c r="AS365" s="23"/>
      <c r="AT365" s="23"/>
      <c r="AU365" s="23"/>
      <c r="AV365" s="23"/>
      <c r="AW365" s="23"/>
      <c r="AX365" s="23"/>
      <c r="AY365" s="23"/>
      <c r="AZ365" s="23"/>
      <c r="BA365" s="23"/>
      <c r="BB365" s="23"/>
      <c r="BC365" s="23"/>
    </row>
    <row r="366">
      <c r="AO366" s="23"/>
      <c r="AP366" s="23"/>
      <c r="AQ366" s="23"/>
      <c r="AR366" s="23"/>
      <c r="AS366" s="23"/>
      <c r="AT366" s="23"/>
      <c r="AU366" s="23"/>
      <c r="AV366" s="23"/>
      <c r="AW366" s="23"/>
      <c r="AX366" s="23"/>
      <c r="AY366" s="23"/>
      <c r="AZ366" s="23"/>
      <c r="BA366" s="23"/>
      <c r="BB366" s="23"/>
      <c r="BC366" s="23"/>
    </row>
    <row r="367">
      <c r="AO367" s="23"/>
      <c r="AP367" s="23"/>
      <c r="AQ367" s="23"/>
      <c r="AR367" s="23"/>
      <c r="AS367" s="23"/>
      <c r="AT367" s="23"/>
      <c r="AU367" s="23"/>
      <c r="AV367" s="23"/>
      <c r="AW367" s="23"/>
      <c r="AX367" s="23"/>
      <c r="AY367" s="23"/>
      <c r="AZ367" s="23"/>
      <c r="BA367" s="23"/>
      <c r="BB367" s="23"/>
      <c r="BC367" s="23"/>
    </row>
    <row r="368">
      <c r="AO368" s="23"/>
      <c r="AP368" s="23"/>
      <c r="AQ368" s="23"/>
      <c r="AR368" s="23"/>
      <c r="AS368" s="23"/>
      <c r="AT368" s="23"/>
      <c r="AU368" s="23"/>
      <c r="AV368" s="23"/>
      <c r="AW368" s="23"/>
      <c r="AX368" s="23"/>
      <c r="AY368" s="23"/>
      <c r="AZ368" s="23"/>
      <c r="BA368" s="23"/>
      <c r="BB368" s="23"/>
      <c r="BC368" s="23"/>
    </row>
    <row r="369">
      <c r="AO369" s="23"/>
      <c r="AP369" s="23"/>
      <c r="AQ369" s="23"/>
      <c r="AR369" s="23"/>
      <c r="AS369" s="23"/>
      <c r="AT369" s="23"/>
      <c r="AU369" s="23"/>
      <c r="AV369" s="23"/>
      <c r="AW369" s="23"/>
      <c r="AX369" s="23"/>
      <c r="AY369" s="23"/>
      <c r="AZ369" s="23"/>
      <c r="BA369" s="23"/>
      <c r="BB369" s="23"/>
      <c r="BC369" s="23"/>
    </row>
    <row r="370">
      <c r="AO370" s="23"/>
      <c r="AP370" s="23"/>
      <c r="AQ370" s="23"/>
      <c r="AR370" s="23"/>
      <c r="AS370" s="23"/>
      <c r="AT370" s="23"/>
      <c r="AU370" s="23"/>
      <c r="AV370" s="23"/>
      <c r="AW370" s="23"/>
      <c r="AX370" s="23"/>
      <c r="AY370" s="23"/>
      <c r="AZ370" s="23"/>
      <c r="BA370" s="23"/>
      <c r="BB370" s="23"/>
      <c r="BC370" s="23"/>
    </row>
    <row r="371">
      <c r="AO371" s="23"/>
      <c r="AP371" s="23"/>
      <c r="AQ371" s="23"/>
      <c r="AR371" s="23"/>
      <c r="AS371" s="23"/>
      <c r="AT371" s="23"/>
      <c r="AU371" s="23"/>
      <c r="AV371" s="23"/>
      <c r="AW371" s="23"/>
      <c r="AX371" s="23"/>
      <c r="AY371" s="23"/>
      <c r="AZ371" s="23"/>
      <c r="BA371" s="23"/>
      <c r="BB371" s="23"/>
      <c r="BC371" s="23"/>
    </row>
    <row r="372">
      <c r="AO372" s="23"/>
      <c r="AP372" s="23"/>
      <c r="AQ372" s="23"/>
      <c r="AR372" s="23"/>
      <c r="AS372" s="23"/>
      <c r="AT372" s="23"/>
      <c r="AU372" s="23"/>
      <c r="AV372" s="23"/>
      <c r="AW372" s="23"/>
      <c r="AX372" s="23"/>
      <c r="AY372" s="23"/>
      <c r="AZ372" s="23"/>
      <c r="BA372" s="23"/>
      <c r="BB372" s="23"/>
      <c r="BC372" s="23"/>
    </row>
    <row r="373">
      <c r="AO373" s="23"/>
      <c r="AP373" s="23"/>
      <c r="AQ373" s="23"/>
      <c r="AR373" s="23"/>
      <c r="AS373" s="23"/>
      <c r="AT373" s="23"/>
      <c r="AU373" s="23"/>
      <c r="AV373" s="23"/>
      <c r="AW373" s="23"/>
      <c r="AX373" s="23"/>
      <c r="AY373" s="23"/>
      <c r="AZ373" s="23"/>
      <c r="BA373" s="23"/>
      <c r="BB373" s="23"/>
      <c r="BC373" s="23"/>
    </row>
    <row r="374">
      <c r="AO374" s="23"/>
      <c r="AP374" s="23"/>
      <c r="AQ374" s="23"/>
      <c r="AR374" s="23"/>
      <c r="AS374" s="23"/>
      <c r="AT374" s="23"/>
      <c r="AU374" s="23"/>
      <c r="AV374" s="23"/>
      <c r="AW374" s="23"/>
      <c r="AX374" s="23"/>
      <c r="AY374" s="23"/>
      <c r="AZ374" s="23"/>
      <c r="BA374" s="23"/>
      <c r="BB374" s="23"/>
      <c r="BC374" s="23"/>
    </row>
    <row r="375">
      <c r="AO375" s="23"/>
      <c r="AP375" s="23"/>
      <c r="AQ375" s="23"/>
      <c r="AR375" s="23"/>
      <c r="AS375" s="23"/>
      <c r="AT375" s="23"/>
      <c r="AU375" s="23"/>
      <c r="AV375" s="23"/>
      <c r="AW375" s="23"/>
      <c r="AX375" s="23"/>
      <c r="AY375" s="23"/>
      <c r="AZ375" s="23"/>
      <c r="BA375" s="23"/>
      <c r="BB375" s="23"/>
      <c r="BC375" s="23"/>
    </row>
    <row r="376">
      <c r="AO376" s="23"/>
      <c r="AP376" s="23"/>
      <c r="AQ376" s="23"/>
      <c r="AR376" s="23"/>
      <c r="AS376" s="23"/>
      <c r="AT376" s="23"/>
      <c r="AU376" s="23"/>
      <c r="AV376" s="23"/>
      <c r="AW376" s="23"/>
      <c r="AX376" s="23"/>
      <c r="AY376" s="23"/>
      <c r="AZ376" s="23"/>
      <c r="BA376" s="23"/>
      <c r="BB376" s="23"/>
      <c r="BC376" s="23"/>
    </row>
    <row r="377">
      <c r="AO377" s="23"/>
      <c r="AP377" s="23"/>
      <c r="AQ377" s="23"/>
      <c r="AR377" s="23"/>
      <c r="AS377" s="23"/>
      <c r="AT377" s="23"/>
      <c r="AU377" s="23"/>
      <c r="AV377" s="23"/>
      <c r="AW377" s="23"/>
      <c r="AX377" s="23"/>
      <c r="AY377" s="23"/>
      <c r="AZ377" s="23"/>
      <c r="BA377" s="23"/>
      <c r="BB377" s="23"/>
      <c r="BC377" s="23"/>
    </row>
    <row r="378">
      <c r="AO378" s="23"/>
      <c r="AP378" s="23"/>
      <c r="AQ378" s="23"/>
      <c r="AR378" s="23"/>
      <c r="AS378" s="23"/>
      <c r="AT378" s="23"/>
      <c r="AU378" s="23"/>
      <c r="AV378" s="23"/>
      <c r="AW378" s="23"/>
      <c r="AX378" s="23"/>
      <c r="AY378" s="23"/>
      <c r="AZ378" s="23"/>
      <c r="BA378" s="23"/>
      <c r="BB378" s="23"/>
      <c r="BC378" s="23"/>
    </row>
    <row r="379">
      <c r="AO379" s="23"/>
      <c r="AP379" s="23"/>
      <c r="AQ379" s="23"/>
      <c r="AR379" s="23"/>
      <c r="AS379" s="23"/>
      <c r="AT379" s="23"/>
      <c r="AU379" s="23"/>
      <c r="AV379" s="23"/>
      <c r="AW379" s="23"/>
      <c r="AX379" s="23"/>
      <c r="AY379" s="23"/>
      <c r="AZ379" s="23"/>
      <c r="BA379" s="23"/>
      <c r="BB379" s="23"/>
      <c r="BC379" s="23"/>
    </row>
    <row r="380">
      <c r="AO380" s="23"/>
      <c r="AP380" s="23"/>
      <c r="AQ380" s="23"/>
      <c r="AR380" s="23"/>
      <c r="AS380" s="23"/>
      <c r="AT380" s="23"/>
      <c r="AU380" s="23"/>
      <c r="AV380" s="23"/>
      <c r="AW380" s="23"/>
      <c r="AX380" s="23"/>
      <c r="AY380" s="23"/>
      <c r="AZ380" s="23"/>
      <c r="BA380" s="23"/>
      <c r="BB380" s="23"/>
      <c r="BC380" s="23"/>
    </row>
    <row r="381">
      <c r="AO381" s="23"/>
      <c r="AP381" s="23"/>
      <c r="AQ381" s="23"/>
      <c r="AR381" s="23"/>
      <c r="AS381" s="23"/>
      <c r="AT381" s="23"/>
      <c r="AU381" s="23"/>
      <c r="AV381" s="23"/>
      <c r="AW381" s="23"/>
      <c r="AX381" s="23"/>
      <c r="AY381" s="23"/>
      <c r="AZ381" s="23"/>
      <c r="BA381" s="23"/>
      <c r="BB381" s="23"/>
      <c r="BC381" s="23"/>
    </row>
    <row r="382">
      <c r="AO382" s="23"/>
      <c r="AP382" s="23"/>
      <c r="AQ382" s="23"/>
      <c r="AR382" s="23"/>
      <c r="AS382" s="23"/>
      <c r="AT382" s="23"/>
      <c r="AU382" s="23"/>
      <c r="AV382" s="23"/>
      <c r="AW382" s="23"/>
      <c r="AX382" s="23"/>
      <c r="AY382" s="23"/>
      <c r="AZ382" s="23"/>
      <c r="BA382" s="23"/>
      <c r="BB382" s="23"/>
      <c r="BC382" s="23"/>
    </row>
    <row r="383">
      <c r="AO383" s="23"/>
      <c r="AP383" s="23"/>
      <c r="AQ383" s="23"/>
      <c r="AR383" s="23"/>
      <c r="AS383" s="23"/>
      <c r="AT383" s="23"/>
      <c r="AU383" s="23"/>
      <c r="AV383" s="23"/>
      <c r="AW383" s="23"/>
      <c r="AX383" s="23"/>
      <c r="AY383" s="23"/>
      <c r="AZ383" s="23"/>
      <c r="BA383" s="23"/>
      <c r="BB383" s="23"/>
      <c r="BC383" s="23"/>
    </row>
    <row r="384">
      <c r="AO384" s="23"/>
      <c r="AP384" s="23"/>
      <c r="AQ384" s="23"/>
      <c r="AR384" s="23"/>
      <c r="AS384" s="23"/>
      <c r="AT384" s="23"/>
      <c r="AU384" s="23"/>
      <c r="AV384" s="23"/>
      <c r="AW384" s="23"/>
      <c r="AX384" s="23"/>
      <c r="AY384" s="23"/>
      <c r="AZ384" s="23"/>
      <c r="BA384" s="23"/>
      <c r="BB384" s="23"/>
      <c r="BC384" s="23"/>
    </row>
    <row r="385">
      <c r="AO385" s="23"/>
      <c r="AP385" s="23"/>
      <c r="AQ385" s="23"/>
      <c r="AR385" s="23"/>
      <c r="AS385" s="23"/>
      <c r="AT385" s="23"/>
      <c r="AU385" s="23"/>
      <c r="AV385" s="23"/>
      <c r="AW385" s="23"/>
      <c r="AX385" s="23"/>
      <c r="AY385" s="23"/>
      <c r="AZ385" s="23"/>
      <c r="BA385" s="23"/>
      <c r="BB385" s="23"/>
      <c r="BC385" s="23"/>
    </row>
    <row r="386">
      <c r="AO386" s="23"/>
      <c r="AP386" s="23"/>
      <c r="AQ386" s="23"/>
      <c r="AR386" s="23"/>
      <c r="AS386" s="23"/>
      <c r="AT386" s="23"/>
      <c r="AU386" s="23"/>
      <c r="AV386" s="23"/>
      <c r="AW386" s="23"/>
      <c r="AX386" s="23"/>
      <c r="AY386" s="23"/>
      <c r="AZ386" s="23"/>
      <c r="BA386" s="23"/>
      <c r="BB386" s="23"/>
      <c r="BC386" s="23"/>
    </row>
    <row r="387">
      <c r="AO387" s="23"/>
      <c r="AP387" s="23"/>
      <c r="AQ387" s="23"/>
      <c r="AR387" s="23"/>
      <c r="AS387" s="23"/>
      <c r="AT387" s="23"/>
      <c r="AU387" s="23"/>
      <c r="AV387" s="23"/>
      <c r="AW387" s="23"/>
      <c r="AX387" s="23"/>
      <c r="AY387" s="23"/>
      <c r="AZ387" s="23"/>
      <c r="BA387" s="23"/>
      <c r="BB387" s="23"/>
      <c r="BC387" s="23"/>
    </row>
    <row r="388">
      <c r="AO388" s="23"/>
      <c r="AP388" s="23"/>
      <c r="AQ388" s="23"/>
      <c r="AR388" s="23"/>
      <c r="AS388" s="23"/>
      <c r="AT388" s="23"/>
      <c r="AU388" s="23"/>
      <c r="AV388" s="23"/>
      <c r="AW388" s="23"/>
      <c r="AX388" s="23"/>
      <c r="AY388" s="23"/>
      <c r="AZ388" s="23"/>
      <c r="BA388" s="23"/>
      <c r="BB388" s="23"/>
      <c r="BC388" s="23"/>
    </row>
    <row r="389">
      <c r="AO389" s="23"/>
      <c r="AP389" s="23"/>
      <c r="AQ389" s="23"/>
      <c r="AR389" s="23"/>
      <c r="AS389" s="23"/>
      <c r="AT389" s="23"/>
      <c r="AU389" s="23"/>
      <c r="AV389" s="23"/>
      <c r="AW389" s="23"/>
      <c r="AX389" s="23"/>
      <c r="AY389" s="23"/>
      <c r="AZ389" s="23"/>
      <c r="BA389" s="23"/>
      <c r="BB389" s="23"/>
      <c r="BC389" s="23"/>
    </row>
    <row r="390">
      <c r="AO390" s="23"/>
      <c r="AP390" s="23"/>
      <c r="AQ390" s="23"/>
      <c r="AR390" s="23"/>
      <c r="AS390" s="23"/>
      <c r="AT390" s="23"/>
      <c r="AU390" s="23"/>
      <c r="AV390" s="23"/>
      <c r="AW390" s="23"/>
      <c r="AX390" s="23"/>
      <c r="AY390" s="23"/>
      <c r="AZ390" s="23"/>
      <c r="BA390" s="23"/>
      <c r="BB390" s="23"/>
      <c r="BC390" s="23"/>
    </row>
    <row r="391">
      <c r="AO391" s="23"/>
      <c r="AP391" s="23"/>
      <c r="AQ391" s="23"/>
      <c r="AR391" s="23"/>
      <c r="AS391" s="23"/>
      <c r="AT391" s="23"/>
      <c r="AU391" s="23"/>
      <c r="AV391" s="23"/>
      <c r="AW391" s="23"/>
      <c r="AX391" s="23"/>
      <c r="AY391" s="23"/>
      <c r="AZ391" s="23"/>
      <c r="BA391" s="23"/>
      <c r="BB391" s="23"/>
      <c r="BC391" s="23"/>
    </row>
    <row r="392">
      <c r="AO392" s="23"/>
      <c r="AP392" s="23"/>
      <c r="AQ392" s="23"/>
      <c r="AR392" s="23"/>
      <c r="AS392" s="23"/>
      <c r="AT392" s="23"/>
      <c r="AU392" s="23"/>
      <c r="AV392" s="23"/>
      <c r="AW392" s="23"/>
      <c r="AX392" s="23"/>
      <c r="AY392" s="23"/>
      <c r="AZ392" s="23"/>
      <c r="BA392" s="23"/>
      <c r="BB392" s="23"/>
      <c r="BC392" s="23"/>
    </row>
    <row r="393">
      <c r="AO393" s="23"/>
      <c r="AP393" s="23"/>
      <c r="AQ393" s="23"/>
      <c r="AR393" s="23"/>
      <c r="AS393" s="23"/>
      <c r="AT393" s="23"/>
      <c r="AU393" s="23"/>
      <c r="AV393" s="23"/>
      <c r="AW393" s="23"/>
      <c r="AX393" s="23"/>
      <c r="AY393" s="23"/>
      <c r="AZ393" s="23"/>
      <c r="BA393" s="23"/>
      <c r="BB393" s="23"/>
      <c r="BC393" s="23"/>
    </row>
    <row r="394">
      <c r="AO394" s="23"/>
      <c r="AP394" s="23"/>
      <c r="AQ394" s="23"/>
      <c r="AR394" s="23"/>
      <c r="AS394" s="23"/>
      <c r="AT394" s="23"/>
      <c r="AU394" s="23"/>
      <c r="AV394" s="23"/>
      <c r="AW394" s="23"/>
      <c r="AX394" s="23"/>
      <c r="AY394" s="23"/>
      <c r="AZ394" s="23"/>
      <c r="BA394" s="23"/>
      <c r="BB394" s="23"/>
      <c r="BC394" s="23"/>
    </row>
    <row r="395">
      <c r="AO395" s="23"/>
      <c r="AP395" s="23"/>
      <c r="AQ395" s="23"/>
      <c r="AR395" s="23"/>
      <c r="AS395" s="23"/>
      <c r="AT395" s="23"/>
      <c r="AU395" s="23"/>
      <c r="AV395" s="23"/>
      <c r="AW395" s="23"/>
      <c r="AX395" s="23"/>
      <c r="AY395" s="23"/>
      <c r="AZ395" s="23"/>
      <c r="BA395" s="23"/>
      <c r="BB395" s="23"/>
      <c r="BC395" s="23"/>
    </row>
    <row r="396">
      <c r="AO396" s="23"/>
      <c r="AP396" s="23"/>
      <c r="AQ396" s="23"/>
      <c r="AR396" s="23"/>
      <c r="AS396" s="23"/>
      <c r="AT396" s="23"/>
      <c r="AU396" s="23"/>
      <c r="AV396" s="23"/>
      <c r="AW396" s="23"/>
      <c r="AX396" s="23"/>
      <c r="AY396" s="23"/>
      <c r="AZ396" s="23"/>
      <c r="BA396" s="23"/>
      <c r="BB396" s="23"/>
      <c r="BC396" s="23"/>
    </row>
    <row r="397">
      <c r="AO397" s="23"/>
      <c r="AP397" s="23"/>
      <c r="AQ397" s="23"/>
      <c r="AR397" s="23"/>
      <c r="AS397" s="23"/>
      <c r="AT397" s="23"/>
      <c r="AU397" s="23"/>
      <c r="AV397" s="23"/>
      <c r="AW397" s="23"/>
      <c r="AX397" s="23"/>
      <c r="AY397" s="23"/>
      <c r="AZ397" s="23"/>
      <c r="BA397" s="23"/>
      <c r="BB397" s="23"/>
      <c r="BC397" s="23"/>
    </row>
    <row r="398">
      <c r="AO398" s="23"/>
      <c r="AP398" s="23"/>
      <c r="AQ398" s="23"/>
      <c r="AR398" s="23"/>
      <c r="AS398" s="23"/>
      <c r="AT398" s="23"/>
      <c r="AU398" s="23"/>
      <c r="AV398" s="23"/>
      <c r="AW398" s="23"/>
      <c r="AX398" s="23"/>
      <c r="AY398" s="23"/>
      <c r="AZ398" s="23"/>
      <c r="BA398" s="23"/>
      <c r="BB398" s="23"/>
      <c r="BC398" s="23"/>
    </row>
    <row r="399">
      <c r="AO399" s="23"/>
      <c r="AP399" s="23"/>
      <c r="AQ399" s="23"/>
      <c r="AR399" s="23"/>
      <c r="AS399" s="23"/>
      <c r="AT399" s="23"/>
      <c r="AU399" s="23"/>
      <c r="AV399" s="23"/>
      <c r="AW399" s="23"/>
      <c r="AX399" s="23"/>
      <c r="AY399" s="23"/>
      <c r="AZ399" s="23"/>
      <c r="BA399" s="23"/>
      <c r="BB399" s="23"/>
      <c r="BC399" s="23"/>
    </row>
    <row r="400">
      <c r="AO400" s="23"/>
      <c r="AP400" s="23"/>
      <c r="AQ400" s="23"/>
      <c r="AR400" s="23"/>
      <c r="AS400" s="23"/>
      <c r="AT400" s="23"/>
      <c r="AU400" s="23"/>
      <c r="AV400" s="23"/>
      <c r="AW400" s="23"/>
      <c r="AX400" s="23"/>
      <c r="AY400" s="23"/>
      <c r="AZ400" s="23"/>
      <c r="BA400" s="23"/>
      <c r="BB400" s="23"/>
      <c r="BC400" s="23"/>
    </row>
    <row r="401">
      <c r="AO401" s="23"/>
      <c r="AP401" s="23"/>
      <c r="AQ401" s="23"/>
      <c r="AR401" s="23"/>
      <c r="AS401" s="23"/>
      <c r="AT401" s="23"/>
      <c r="AU401" s="23"/>
      <c r="AV401" s="23"/>
      <c r="AW401" s="23"/>
      <c r="AX401" s="23"/>
      <c r="AY401" s="23"/>
      <c r="AZ401" s="23"/>
      <c r="BA401" s="23"/>
      <c r="BB401" s="23"/>
      <c r="BC401" s="23"/>
    </row>
    <row r="402">
      <c r="AO402" s="23"/>
      <c r="AP402" s="23"/>
      <c r="AQ402" s="23"/>
      <c r="AR402" s="23"/>
      <c r="AS402" s="23"/>
      <c r="AT402" s="23"/>
      <c r="AU402" s="23"/>
      <c r="AV402" s="23"/>
      <c r="AW402" s="23"/>
      <c r="AX402" s="23"/>
      <c r="AY402" s="23"/>
      <c r="AZ402" s="23"/>
      <c r="BA402" s="23"/>
      <c r="BB402" s="23"/>
      <c r="BC402" s="23"/>
    </row>
    <row r="403">
      <c r="AO403" s="23"/>
      <c r="AP403" s="23"/>
      <c r="AQ403" s="23"/>
      <c r="AR403" s="23"/>
      <c r="AS403" s="23"/>
      <c r="AT403" s="23"/>
      <c r="AU403" s="23"/>
      <c r="AV403" s="23"/>
      <c r="AW403" s="23"/>
      <c r="AX403" s="23"/>
      <c r="AY403" s="23"/>
      <c r="AZ403" s="23"/>
      <c r="BA403" s="23"/>
      <c r="BB403" s="23"/>
      <c r="BC403" s="23"/>
    </row>
    <row r="404">
      <c r="AO404" s="23"/>
      <c r="AP404" s="23"/>
      <c r="AQ404" s="23"/>
      <c r="AR404" s="23"/>
      <c r="AS404" s="23"/>
      <c r="AT404" s="23"/>
      <c r="AU404" s="23"/>
      <c r="AV404" s="23"/>
      <c r="AW404" s="23"/>
      <c r="AX404" s="23"/>
      <c r="AY404" s="23"/>
      <c r="AZ404" s="23"/>
      <c r="BA404" s="23"/>
      <c r="BB404" s="23"/>
      <c r="BC404" s="23"/>
    </row>
    <row r="405">
      <c r="AO405" s="23"/>
      <c r="AP405" s="23"/>
      <c r="AQ405" s="23"/>
      <c r="AR405" s="23"/>
      <c r="AS405" s="23"/>
      <c r="AT405" s="23"/>
      <c r="AU405" s="23"/>
      <c r="AV405" s="23"/>
      <c r="AW405" s="23"/>
      <c r="AX405" s="23"/>
      <c r="AY405" s="23"/>
      <c r="AZ405" s="23"/>
      <c r="BA405" s="23"/>
      <c r="BB405" s="23"/>
      <c r="BC405" s="23"/>
    </row>
    <row r="406">
      <c r="AO406" s="23"/>
      <c r="AP406" s="23"/>
      <c r="AQ406" s="23"/>
      <c r="AR406" s="23"/>
      <c r="AS406" s="23"/>
      <c r="AT406" s="23"/>
      <c r="AU406" s="23"/>
      <c r="AV406" s="23"/>
      <c r="AW406" s="23"/>
      <c r="AX406" s="23"/>
      <c r="AY406" s="23"/>
      <c r="AZ406" s="23"/>
      <c r="BA406" s="23"/>
      <c r="BB406" s="23"/>
      <c r="BC406" s="23"/>
    </row>
    <row r="407">
      <c r="AO407" s="23"/>
      <c r="AP407" s="23"/>
      <c r="AQ407" s="23"/>
      <c r="AR407" s="23"/>
      <c r="AS407" s="23"/>
      <c r="AT407" s="23"/>
      <c r="AU407" s="23"/>
      <c r="AV407" s="23"/>
      <c r="AW407" s="23"/>
      <c r="AX407" s="23"/>
      <c r="AY407" s="23"/>
      <c r="AZ407" s="23"/>
      <c r="BA407" s="23"/>
      <c r="BB407" s="23"/>
      <c r="BC407" s="23"/>
    </row>
    <row r="408">
      <c r="AO408" s="23"/>
      <c r="AP408" s="23"/>
      <c r="AQ408" s="23"/>
      <c r="AR408" s="23"/>
      <c r="AS408" s="23"/>
      <c r="AT408" s="23"/>
      <c r="AU408" s="23"/>
      <c r="AV408" s="23"/>
      <c r="AW408" s="23"/>
      <c r="AX408" s="23"/>
      <c r="AY408" s="23"/>
      <c r="AZ408" s="23"/>
      <c r="BA408" s="23"/>
      <c r="BB408" s="23"/>
      <c r="BC408" s="23"/>
    </row>
    <row r="409">
      <c r="AO409" s="23"/>
      <c r="AP409" s="23"/>
      <c r="AQ409" s="23"/>
      <c r="AR409" s="23"/>
      <c r="AS409" s="23"/>
      <c r="AT409" s="23"/>
      <c r="AU409" s="23"/>
      <c r="AV409" s="23"/>
      <c r="AW409" s="23"/>
      <c r="AX409" s="23"/>
      <c r="AY409" s="23"/>
      <c r="AZ409" s="23"/>
      <c r="BA409" s="23"/>
      <c r="BB409" s="23"/>
      <c r="BC409" s="23"/>
    </row>
    <row r="410">
      <c r="AO410" s="23"/>
      <c r="AP410" s="23"/>
      <c r="AQ410" s="23"/>
      <c r="AR410" s="23"/>
      <c r="AS410" s="23"/>
      <c r="AT410" s="23"/>
      <c r="AU410" s="23"/>
      <c r="AV410" s="23"/>
      <c r="AW410" s="23"/>
      <c r="AX410" s="23"/>
      <c r="AY410" s="23"/>
      <c r="AZ410" s="23"/>
      <c r="BA410" s="23"/>
      <c r="BB410" s="23"/>
      <c r="BC410" s="23"/>
    </row>
    <row r="411">
      <c r="AO411" s="23"/>
      <c r="AP411" s="23"/>
      <c r="AQ411" s="23"/>
      <c r="AR411" s="23"/>
      <c r="AS411" s="23"/>
      <c r="AT411" s="23"/>
      <c r="AU411" s="23"/>
      <c r="AV411" s="23"/>
      <c r="AW411" s="23"/>
      <c r="AX411" s="23"/>
      <c r="AY411" s="23"/>
      <c r="AZ411" s="23"/>
      <c r="BA411" s="23"/>
      <c r="BB411" s="23"/>
      <c r="BC411" s="23"/>
    </row>
    <row r="412">
      <c r="AO412" s="23"/>
      <c r="AP412" s="23"/>
      <c r="AQ412" s="23"/>
      <c r="AR412" s="23"/>
      <c r="AS412" s="23"/>
      <c r="AT412" s="23"/>
      <c r="AU412" s="23"/>
      <c r="AV412" s="23"/>
      <c r="AW412" s="23"/>
      <c r="AX412" s="23"/>
      <c r="AY412" s="23"/>
      <c r="AZ412" s="23"/>
      <c r="BA412" s="23"/>
      <c r="BB412" s="23"/>
      <c r="BC412" s="23"/>
    </row>
    <row r="413">
      <c r="AO413" s="23"/>
      <c r="AP413" s="23"/>
      <c r="AQ413" s="23"/>
      <c r="AR413" s="23"/>
      <c r="AS413" s="23"/>
      <c r="AT413" s="23"/>
      <c r="AU413" s="23"/>
      <c r="AV413" s="23"/>
      <c r="AW413" s="23"/>
      <c r="AX413" s="23"/>
      <c r="AY413" s="23"/>
      <c r="AZ413" s="23"/>
      <c r="BA413" s="23"/>
      <c r="BB413" s="23"/>
      <c r="BC413" s="23"/>
    </row>
    <row r="414">
      <c r="AO414" s="23"/>
      <c r="AP414" s="23"/>
      <c r="AQ414" s="23"/>
      <c r="AR414" s="23"/>
      <c r="AS414" s="23"/>
      <c r="AT414" s="23"/>
      <c r="AU414" s="23"/>
      <c r="AV414" s="23"/>
      <c r="AW414" s="23"/>
      <c r="AX414" s="23"/>
      <c r="AY414" s="23"/>
      <c r="AZ414" s="23"/>
      <c r="BA414" s="23"/>
      <c r="BB414" s="23"/>
      <c r="BC414" s="23"/>
    </row>
    <row r="415">
      <c r="AO415" s="23"/>
      <c r="AP415" s="23"/>
      <c r="AQ415" s="23"/>
      <c r="AR415" s="23"/>
      <c r="AS415" s="23"/>
      <c r="AT415" s="23"/>
      <c r="AU415" s="23"/>
      <c r="AV415" s="23"/>
      <c r="AW415" s="23"/>
      <c r="AX415" s="23"/>
      <c r="AY415" s="23"/>
      <c r="AZ415" s="23"/>
      <c r="BA415" s="23"/>
      <c r="BB415" s="23"/>
      <c r="BC415" s="23"/>
    </row>
    <row r="416">
      <c r="AO416" s="23"/>
      <c r="AP416" s="23"/>
      <c r="AQ416" s="23"/>
      <c r="AR416" s="23"/>
      <c r="AS416" s="23"/>
      <c r="AT416" s="23"/>
      <c r="AU416" s="23"/>
      <c r="AV416" s="23"/>
      <c r="AW416" s="23"/>
      <c r="AX416" s="23"/>
      <c r="AY416" s="23"/>
      <c r="AZ416" s="23"/>
      <c r="BA416" s="23"/>
      <c r="BB416" s="23"/>
      <c r="BC416" s="23"/>
    </row>
    <row r="417">
      <c r="AO417" s="23"/>
      <c r="AP417" s="23"/>
      <c r="AQ417" s="23"/>
      <c r="AR417" s="23"/>
      <c r="AS417" s="23"/>
      <c r="AT417" s="23"/>
      <c r="AU417" s="23"/>
      <c r="AV417" s="23"/>
      <c r="AW417" s="23"/>
      <c r="AX417" s="23"/>
      <c r="AY417" s="23"/>
      <c r="AZ417" s="23"/>
      <c r="BA417" s="23"/>
      <c r="BB417" s="23"/>
      <c r="BC417" s="23"/>
    </row>
    <row r="418">
      <c r="AO418" s="23"/>
      <c r="AP418" s="23"/>
      <c r="AQ418" s="23"/>
      <c r="AR418" s="23"/>
      <c r="AS418" s="23"/>
      <c r="AT418" s="23"/>
      <c r="AU418" s="23"/>
      <c r="AV418" s="23"/>
      <c r="AW418" s="23"/>
      <c r="AX418" s="23"/>
      <c r="AY418" s="23"/>
      <c r="AZ418" s="23"/>
      <c r="BA418" s="23"/>
      <c r="BB418" s="23"/>
      <c r="BC418" s="23"/>
    </row>
    <row r="419">
      <c r="AO419" s="23"/>
      <c r="AP419" s="23"/>
      <c r="AQ419" s="23"/>
      <c r="AR419" s="23"/>
      <c r="AS419" s="23"/>
      <c r="AT419" s="23"/>
      <c r="AU419" s="23"/>
      <c r="AV419" s="23"/>
      <c r="AW419" s="23"/>
      <c r="AX419" s="23"/>
      <c r="AY419" s="23"/>
      <c r="AZ419" s="23"/>
      <c r="BA419" s="23"/>
      <c r="BB419" s="23"/>
      <c r="BC419" s="23"/>
    </row>
    <row r="420">
      <c r="AO420" s="23"/>
      <c r="AP420" s="23"/>
      <c r="AQ420" s="23"/>
      <c r="AR420" s="23"/>
      <c r="AS420" s="23"/>
      <c r="AT420" s="23"/>
      <c r="AU420" s="23"/>
      <c r="AV420" s="23"/>
      <c r="AW420" s="23"/>
      <c r="AX420" s="23"/>
      <c r="AY420" s="23"/>
      <c r="AZ420" s="23"/>
      <c r="BA420" s="23"/>
      <c r="BB420" s="23"/>
      <c r="BC420" s="23"/>
    </row>
    <row r="421">
      <c r="AO421" s="23"/>
      <c r="AP421" s="23"/>
      <c r="AQ421" s="23"/>
      <c r="AR421" s="23"/>
      <c r="AS421" s="23"/>
      <c r="AT421" s="23"/>
      <c r="AU421" s="23"/>
      <c r="AV421" s="23"/>
      <c r="AW421" s="23"/>
      <c r="AX421" s="23"/>
      <c r="AY421" s="23"/>
      <c r="AZ421" s="23"/>
      <c r="BA421" s="23"/>
      <c r="BB421" s="23"/>
      <c r="BC421" s="23"/>
    </row>
    <row r="422">
      <c r="AO422" s="23"/>
      <c r="AP422" s="23"/>
      <c r="AQ422" s="23"/>
      <c r="AR422" s="23"/>
      <c r="AS422" s="23"/>
      <c r="AT422" s="23"/>
      <c r="AU422" s="23"/>
      <c r="AV422" s="23"/>
      <c r="AW422" s="23"/>
      <c r="AX422" s="23"/>
      <c r="AY422" s="23"/>
      <c r="AZ422" s="23"/>
      <c r="BA422" s="23"/>
      <c r="BB422" s="23"/>
      <c r="BC422" s="23"/>
    </row>
    <row r="423">
      <c r="AO423" s="23"/>
      <c r="AP423" s="23"/>
      <c r="AQ423" s="23"/>
      <c r="AR423" s="23"/>
      <c r="AS423" s="23"/>
      <c r="AT423" s="23"/>
      <c r="AU423" s="23"/>
      <c r="AV423" s="23"/>
      <c r="AW423" s="23"/>
      <c r="AX423" s="23"/>
      <c r="AY423" s="23"/>
      <c r="AZ423" s="23"/>
      <c r="BA423" s="23"/>
      <c r="BB423" s="23"/>
      <c r="BC423" s="23"/>
    </row>
    <row r="424">
      <c r="AO424" s="23"/>
      <c r="AP424" s="23"/>
      <c r="AQ424" s="23"/>
      <c r="AR424" s="23"/>
      <c r="AS424" s="23"/>
      <c r="AT424" s="23"/>
      <c r="AU424" s="23"/>
      <c r="AV424" s="23"/>
      <c r="AW424" s="23"/>
      <c r="AX424" s="23"/>
      <c r="AY424" s="23"/>
      <c r="AZ424" s="23"/>
      <c r="BA424" s="23"/>
      <c r="BB424" s="23"/>
      <c r="BC424" s="23"/>
    </row>
    <row r="425">
      <c r="AO425" s="23"/>
      <c r="AP425" s="23"/>
      <c r="AQ425" s="23"/>
      <c r="AR425" s="23"/>
      <c r="AS425" s="23"/>
      <c r="AT425" s="23"/>
      <c r="AU425" s="23"/>
      <c r="AV425" s="23"/>
      <c r="AW425" s="23"/>
      <c r="AX425" s="23"/>
      <c r="AY425" s="23"/>
      <c r="AZ425" s="23"/>
      <c r="BA425" s="23"/>
      <c r="BB425" s="23"/>
      <c r="BC425" s="23"/>
    </row>
    <row r="426">
      <c r="AO426" s="23"/>
      <c r="AP426" s="23"/>
      <c r="AQ426" s="23"/>
      <c r="AR426" s="23"/>
      <c r="AS426" s="23"/>
      <c r="AT426" s="23"/>
      <c r="AU426" s="23"/>
      <c r="AV426" s="23"/>
      <c r="AW426" s="23"/>
      <c r="AX426" s="23"/>
      <c r="AY426" s="23"/>
      <c r="AZ426" s="23"/>
      <c r="BA426" s="23"/>
      <c r="BB426" s="23"/>
      <c r="BC426" s="23"/>
    </row>
    <row r="427">
      <c r="AO427" s="23"/>
      <c r="AP427" s="23"/>
      <c r="AQ427" s="23"/>
      <c r="AR427" s="23"/>
      <c r="AS427" s="23"/>
      <c r="AT427" s="23"/>
      <c r="AU427" s="23"/>
      <c r="AV427" s="23"/>
      <c r="AW427" s="23"/>
      <c r="AX427" s="23"/>
      <c r="AY427" s="23"/>
      <c r="AZ427" s="23"/>
      <c r="BA427" s="23"/>
      <c r="BB427" s="23"/>
      <c r="BC427" s="23"/>
    </row>
    <row r="428">
      <c r="AO428" s="23"/>
      <c r="AP428" s="23"/>
      <c r="AQ428" s="23"/>
      <c r="AR428" s="23"/>
      <c r="AS428" s="23"/>
      <c r="AT428" s="23"/>
      <c r="AU428" s="23"/>
      <c r="AV428" s="23"/>
      <c r="AW428" s="23"/>
      <c r="AX428" s="23"/>
      <c r="AY428" s="23"/>
      <c r="AZ428" s="23"/>
      <c r="BA428" s="23"/>
      <c r="BB428" s="23"/>
      <c r="BC428" s="23"/>
    </row>
    <row r="429">
      <c r="AO429" s="23"/>
      <c r="AP429" s="23"/>
      <c r="AQ429" s="23"/>
      <c r="AR429" s="23"/>
      <c r="AS429" s="23"/>
      <c r="AT429" s="23"/>
      <c r="AU429" s="23"/>
      <c r="AV429" s="23"/>
      <c r="AW429" s="23"/>
      <c r="AX429" s="23"/>
      <c r="AY429" s="23"/>
      <c r="AZ429" s="23"/>
      <c r="BA429" s="23"/>
      <c r="BB429" s="23"/>
      <c r="BC429" s="23"/>
    </row>
    <row r="430">
      <c r="AO430" s="23"/>
      <c r="AP430" s="23"/>
      <c r="AQ430" s="23"/>
      <c r="AR430" s="23"/>
      <c r="AS430" s="23"/>
      <c r="AT430" s="23"/>
      <c r="AU430" s="23"/>
      <c r="AV430" s="23"/>
      <c r="AW430" s="23"/>
      <c r="AX430" s="23"/>
      <c r="AY430" s="23"/>
      <c r="AZ430" s="23"/>
      <c r="BA430" s="23"/>
      <c r="BB430" s="23"/>
      <c r="BC430" s="23"/>
    </row>
    <row r="431">
      <c r="AO431" s="23"/>
      <c r="AP431" s="23"/>
      <c r="AQ431" s="23"/>
      <c r="AR431" s="23"/>
      <c r="AS431" s="23"/>
      <c r="AT431" s="23"/>
      <c r="AU431" s="23"/>
      <c r="AV431" s="23"/>
      <c r="AW431" s="23"/>
      <c r="AX431" s="23"/>
      <c r="AY431" s="23"/>
      <c r="AZ431" s="23"/>
      <c r="BA431" s="23"/>
      <c r="BB431" s="23"/>
      <c r="BC431" s="23"/>
    </row>
    <row r="432">
      <c r="AO432" s="23"/>
      <c r="AP432" s="23"/>
      <c r="AQ432" s="23"/>
      <c r="AR432" s="23"/>
      <c r="AS432" s="23"/>
      <c r="AT432" s="23"/>
      <c r="AU432" s="23"/>
      <c r="AV432" s="23"/>
      <c r="AW432" s="23"/>
      <c r="AX432" s="23"/>
      <c r="AY432" s="23"/>
      <c r="AZ432" s="23"/>
      <c r="BA432" s="23"/>
      <c r="BB432" s="23"/>
      <c r="BC432" s="23"/>
    </row>
    <row r="433">
      <c r="AO433" s="23"/>
      <c r="AP433" s="23"/>
      <c r="AQ433" s="23"/>
      <c r="AR433" s="23"/>
      <c r="AS433" s="23"/>
      <c r="AT433" s="23"/>
      <c r="AU433" s="23"/>
      <c r="AV433" s="23"/>
      <c r="AW433" s="23"/>
      <c r="AX433" s="23"/>
      <c r="AY433" s="23"/>
      <c r="AZ433" s="23"/>
      <c r="BA433" s="23"/>
      <c r="BB433" s="23"/>
      <c r="BC433" s="23"/>
    </row>
    <row r="434">
      <c r="AO434" s="23"/>
      <c r="AP434" s="23"/>
      <c r="AQ434" s="23"/>
      <c r="AR434" s="23"/>
      <c r="AS434" s="23"/>
      <c r="AT434" s="23"/>
      <c r="AU434" s="23"/>
      <c r="AV434" s="23"/>
      <c r="AW434" s="23"/>
      <c r="AX434" s="23"/>
      <c r="AY434" s="23"/>
      <c r="AZ434" s="23"/>
      <c r="BA434" s="23"/>
      <c r="BB434" s="23"/>
      <c r="BC434" s="23"/>
    </row>
    <row r="435">
      <c r="AO435" s="23"/>
      <c r="AP435" s="23"/>
      <c r="AQ435" s="23"/>
      <c r="AR435" s="23"/>
      <c r="AS435" s="23"/>
      <c r="AT435" s="23"/>
      <c r="AU435" s="23"/>
      <c r="AV435" s="23"/>
      <c r="AW435" s="23"/>
      <c r="AX435" s="23"/>
      <c r="AY435" s="23"/>
      <c r="AZ435" s="23"/>
      <c r="BA435" s="23"/>
      <c r="BB435" s="23"/>
      <c r="BC435" s="23"/>
    </row>
    <row r="436">
      <c r="AO436" s="23"/>
      <c r="AP436" s="23"/>
      <c r="AQ436" s="23"/>
      <c r="AR436" s="23"/>
      <c r="AS436" s="23"/>
      <c r="AT436" s="23"/>
      <c r="AU436" s="23"/>
      <c r="AV436" s="23"/>
      <c r="AW436" s="23"/>
      <c r="AX436" s="23"/>
      <c r="AY436" s="23"/>
      <c r="AZ436" s="23"/>
      <c r="BA436" s="23"/>
      <c r="BB436" s="23"/>
      <c r="BC436" s="23"/>
    </row>
    <row r="437">
      <c r="AO437" s="23"/>
      <c r="AP437" s="23"/>
      <c r="AQ437" s="23"/>
      <c r="AR437" s="23"/>
      <c r="AS437" s="23"/>
      <c r="AT437" s="23"/>
      <c r="AU437" s="23"/>
      <c r="AV437" s="23"/>
      <c r="AW437" s="23"/>
      <c r="AX437" s="23"/>
      <c r="AY437" s="23"/>
      <c r="AZ437" s="23"/>
      <c r="BA437" s="23"/>
      <c r="BB437" s="23"/>
      <c r="BC437" s="23"/>
    </row>
    <row r="438">
      <c r="AO438" s="23"/>
      <c r="AP438" s="23"/>
      <c r="AQ438" s="23"/>
      <c r="AR438" s="23"/>
      <c r="AS438" s="23"/>
      <c r="AT438" s="23"/>
      <c r="AU438" s="23"/>
      <c r="AV438" s="23"/>
      <c r="AW438" s="23"/>
      <c r="AX438" s="23"/>
      <c r="AY438" s="23"/>
      <c r="AZ438" s="23"/>
      <c r="BA438" s="23"/>
      <c r="BB438" s="23"/>
      <c r="BC438" s="23"/>
    </row>
    <row r="439">
      <c r="AO439" s="23"/>
      <c r="AP439" s="23"/>
      <c r="AQ439" s="23"/>
      <c r="AR439" s="23"/>
      <c r="AS439" s="23"/>
      <c r="AT439" s="23"/>
      <c r="AU439" s="23"/>
      <c r="AV439" s="23"/>
      <c r="AW439" s="23"/>
      <c r="AX439" s="23"/>
      <c r="AY439" s="23"/>
      <c r="AZ439" s="23"/>
      <c r="BA439" s="23"/>
      <c r="BB439" s="23"/>
      <c r="BC439" s="23"/>
    </row>
    <row r="440">
      <c r="AO440" s="23"/>
      <c r="AP440" s="23"/>
      <c r="AQ440" s="23"/>
      <c r="AR440" s="23"/>
      <c r="AS440" s="23"/>
      <c r="AT440" s="23"/>
      <c r="AU440" s="23"/>
      <c r="AV440" s="23"/>
      <c r="AW440" s="23"/>
      <c r="AX440" s="23"/>
      <c r="AY440" s="23"/>
      <c r="AZ440" s="23"/>
      <c r="BA440" s="23"/>
      <c r="BB440" s="23"/>
      <c r="BC440" s="23"/>
    </row>
    <row r="441">
      <c r="AO441" s="23"/>
      <c r="AP441" s="23"/>
      <c r="AQ441" s="23"/>
      <c r="AR441" s="23"/>
      <c r="AS441" s="23"/>
      <c r="AT441" s="23"/>
      <c r="AU441" s="23"/>
      <c r="AV441" s="23"/>
      <c r="AW441" s="23"/>
      <c r="AX441" s="23"/>
      <c r="AY441" s="23"/>
      <c r="AZ441" s="23"/>
      <c r="BA441" s="23"/>
      <c r="BB441" s="23"/>
      <c r="BC441" s="23"/>
    </row>
    <row r="442">
      <c r="AO442" s="23"/>
      <c r="AP442" s="23"/>
      <c r="AQ442" s="23"/>
      <c r="AR442" s="23"/>
      <c r="AS442" s="23"/>
      <c r="AT442" s="23"/>
      <c r="AU442" s="23"/>
      <c r="AV442" s="23"/>
      <c r="AW442" s="23"/>
      <c r="AX442" s="23"/>
      <c r="AY442" s="23"/>
      <c r="AZ442" s="23"/>
      <c r="BA442" s="23"/>
      <c r="BB442" s="23"/>
      <c r="BC442" s="23"/>
    </row>
    <row r="443">
      <c r="AO443" s="23"/>
      <c r="AP443" s="23"/>
      <c r="AQ443" s="23"/>
      <c r="AR443" s="23"/>
      <c r="AS443" s="23"/>
      <c r="AT443" s="23"/>
      <c r="AU443" s="23"/>
      <c r="AV443" s="23"/>
      <c r="AW443" s="23"/>
      <c r="AX443" s="23"/>
      <c r="AY443" s="23"/>
      <c r="AZ443" s="23"/>
      <c r="BA443" s="23"/>
      <c r="BB443" s="23"/>
      <c r="BC443" s="23"/>
    </row>
    <row r="444">
      <c r="AO444" s="23"/>
      <c r="AP444" s="23"/>
      <c r="AQ444" s="23"/>
      <c r="AR444" s="23"/>
      <c r="AS444" s="23"/>
      <c r="AT444" s="23"/>
      <c r="AU444" s="23"/>
      <c r="AV444" s="23"/>
      <c r="AW444" s="23"/>
      <c r="AX444" s="23"/>
      <c r="AY444" s="23"/>
      <c r="AZ444" s="23"/>
      <c r="BA444" s="23"/>
      <c r="BB444" s="23"/>
      <c r="BC444" s="23"/>
    </row>
    <row r="445">
      <c r="AO445" s="23"/>
      <c r="AP445" s="23"/>
      <c r="AQ445" s="23"/>
      <c r="AR445" s="23"/>
      <c r="AS445" s="23"/>
      <c r="AT445" s="23"/>
      <c r="AU445" s="23"/>
      <c r="AV445" s="23"/>
      <c r="AW445" s="23"/>
      <c r="AX445" s="23"/>
      <c r="AY445" s="23"/>
      <c r="AZ445" s="23"/>
      <c r="BA445" s="23"/>
      <c r="BB445" s="23"/>
      <c r="BC445" s="23"/>
    </row>
    <row r="446">
      <c r="AO446" s="23"/>
      <c r="AP446" s="23"/>
      <c r="AQ446" s="23"/>
      <c r="AR446" s="23"/>
      <c r="AS446" s="23"/>
      <c r="AT446" s="23"/>
      <c r="AU446" s="23"/>
      <c r="AV446" s="23"/>
      <c r="AW446" s="23"/>
      <c r="AX446" s="23"/>
      <c r="AY446" s="23"/>
      <c r="AZ446" s="23"/>
      <c r="BA446" s="23"/>
      <c r="BB446" s="23"/>
      <c r="BC446" s="23"/>
    </row>
    <row r="447">
      <c r="AO447" s="23"/>
      <c r="AP447" s="23"/>
      <c r="AQ447" s="23"/>
      <c r="AR447" s="23"/>
      <c r="AS447" s="23"/>
      <c r="AT447" s="23"/>
      <c r="AU447" s="23"/>
      <c r="AV447" s="23"/>
      <c r="AW447" s="23"/>
      <c r="AX447" s="23"/>
      <c r="AY447" s="23"/>
      <c r="AZ447" s="23"/>
      <c r="BA447" s="23"/>
      <c r="BB447" s="23"/>
      <c r="BC447" s="23"/>
    </row>
    <row r="448">
      <c r="AO448" s="23"/>
      <c r="AP448" s="23"/>
      <c r="AQ448" s="23"/>
      <c r="AR448" s="23"/>
      <c r="AS448" s="23"/>
      <c r="AT448" s="23"/>
      <c r="AU448" s="23"/>
      <c r="AV448" s="23"/>
      <c r="AW448" s="23"/>
      <c r="AX448" s="23"/>
      <c r="AY448" s="23"/>
      <c r="AZ448" s="23"/>
      <c r="BA448" s="23"/>
      <c r="BB448" s="23"/>
      <c r="BC448" s="23"/>
    </row>
    <row r="449">
      <c r="AO449" s="23"/>
      <c r="AP449" s="23"/>
      <c r="AQ449" s="23"/>
      <c r="AR449" s="23"/>
      <c r="AS449" s="23"/>
      <c r="AT449" s="23"/>
      <c r="AU449" s="23"/>
      <c r="AV449" s="23"/>
      <c r="AW449" s="23"/>
      <c r="AX449" s="23"/>
      <c r="AY449" s="23"/>
      <c r="AZ449" s="23"/>
      <c r="BA449" s="23"/>
      <c r="BB449" s="23"/>
      <c r="BC449" s="23"/>
    </row>
    <row r="450">
      <c r="AO450" s="23"/>
      <c r="AP450" s="23"/>
      <c r="AQ450" s="23"/>
      <c r="AR450" s="23"/>
      <c r="AS450" s="23"/>
      <c r="AT450" s="23"/>
      <c r="AU450" s="23"/>
      <c r="AV450" s="23"/>
      <c r="AW450" s="23"/>
      <c r="AX450" s="23"/>
      <c r="AY450" s="23"/>
      <c r="AZ450" s="23"/>
      <c r="BA450" s="23"/>
      <c r="BB450" s="23"/>
      <c r="BC450" s="23"/>
    </row>
    <row r="451">
      <c r="AO451" s="23"/>
      <c r="AP451" s="23"/>
      <c r="AQ451" s="23"/>
      <c r="AR451" s="23"/>
      <c r="AS451" s="23"/>
      <c r="AT451" s="23"/>
      <c r="AU451" s="23"/>
      <c r="AV451" s="23"/>
      <c r="AW451" s="23"/>
      <c r="AX451" s="23"/>
      <c r="AY451" s="23"/>
      <c r="AZ451" s="23"/>
      <c r="BA451" s="23"/>
      <c r="BB451" s="23"/>
      <c r="BC451" s="23"/>
    </row>
    <row r="452">
      <c r="AO452" s="23"/>
      <c r="AP452" s="23"/>
      <c r="AQ452" s="23"/>
      <c r="AR452" s="23"/>
      <c r="AS452" s="23"/>
      <c r="AT452" s="23"/>
      <c r="AU452" s="23"/>
      <c r="AV452" s="23"/>
      <c r="AW452" s="23"/>
      <c r="AX452" s="23"/>
      <c r="AY452" s="23"/>
      <c r="AZ452" s="23"/>
      <c r="BA452" s="23"/>
      <c r="BB452" s="23"/>
      <c r="BC452" s="23"/>
    </row>
    <row r="453">
      <c r="AO453" s="23"/>
      <c r="AP453" s="23"/>
      <c r="AQ453" s="23"/>
      <c r="AR453" s="23"/>
      <c r="AS453" s="23"/>
      <c r="AT453" s="23"/>
      <c r="AU453" s="23"/>
      <c r="AV453" s="23"/>
      <c r="AW453" s="23"/>
      <c r="AX453" s="23"/>
      <c r="AY453" s="23"/>
      <c r="AZ453" s="23"/>
      <c r="BA453" s="23"/>
      <c r="BB453" s="23"/>
      <c r="BC453" s="23"/>
    </row>
    <row r="454">
      <c r="AO454" s="23"/>
      <c r="AP454" s="23"/>
      <c r="AQ454" s="23"/>
      <c r="AR454" s="23"/>
      <c r="AS454" s="23"/>
      <c r="AT454" s="23"/>
      <c r="AU454" s="23"/>
      <c r="AV454" s="23"/>
      <c r="AW454" s="23"/>
      <c r="AX454" s="23"/>
      <c r="AY454" s="23"/>
      <c r="AZ454" s="23"/>
      <c r="BA454" s="23"/>
      <c r="BB454" s="23"/>
      <c r="BC454" s="23"/>
    </row>
    <row r="455">
      <c r="AO455" s="23"/>
      <c r="AP455" s="23"/>
      <c r="AQ455" s="23"/>
      <c r="AR455" s="23"/>
      <c r="AS455" s="23"/>
      <c r="AT455" s="23"/>
      <c r="AU455" s="23"/>
      <c r="AV455" s="23"/>
      <c r="AW455" s="23"/>
      <c r="AX455" s="23"/>
      <c r="AY455" s="23"/>
      <c r="AZ455" s="23"/>
      <c r="BA455" s="23"/>
      <c r="BB455" s="23"/>
      <c r="BC455" s="23"/>
    </row>
    <row r="456">
      <c r="AO456" s="23"/>
      <c r="AP456" s="23"/>
      <c r="AQ456" s="23"/>
      <c r="AR456" s="23"/>
      <c r="AS456" s="23"/>
      <c r="AT456" s="23"/>
      <c r="AU456" s="23"/>
      <c r="AV456" s="23"/>
      <c r="AW456" s="23"/>
      <c r="AX456" s="23"/>
      <c r="AY456" s="23"/>
      <c r="AZ456" s="23"/>
      <c r="BA456" s="23"/>
      <c r="BB456" s="23"/>
      <c r="BC456" s="23"/>
    </row>
    <row r="457">
      <c r="AO457" s="23"/>
      <c r="AP457" s="23"/>
      <c r="AQ457" s="23"/>
      <c r="AR457" s="23"/>
      <c r="AS457" s="23"/>
      <c r="AT457" s="23"/>
      <c r="AU457" s="23"/>
      <c r="AV457" s="23"/>
      <c r="AW457" s="23"/>
      <c r="AX457" s="23"/>
      <c r="AY457" s="23"/>
      <c r="AZ457" s="23"/>
      <c r="BA457" s="23"/>
      <c r="BB457" s="23"/>
      <c r="BC457" s="23"/>
    </row>
    <row r="458">
      <c r="AO458" s="23"/>
      <c r="AP458" s="23"/>
      <c r="AQ458" s="23"/>
      <c r="AR458" s="23"/>
      <c r="AS458" s="23"/>
      <c r="AT458" s="23"/>
      <c r="AU458" s="23"/>
      <c r="AV458" s="23"/>
      <c r="AW458" s="23"/>
      <c r="AX458" s="23"/>
      <c r="AY458" s="23"/>
      <c r="AZ458" s="23"/>
      <c r="BA458" s="23"/>
      <c r="BB458" s="23"/>
      <c r="BC458" s="23"/>
    </row>
    <row r="459">
      <c r="AO459" s="23"/>
      <c r="AP459" s="23"/>
      <c r="AQ459" s="23"/>
      <c r="AR459" s="23"/>
      <c r="AS459" s="23"/>
      <c r="AT459" s="23"/>
      <c r="AU459" s="23"/>
      <c r="AV459" s="23"/>
      <c r="AW459" s="23"/>
      <c r="AX459" s="23"/>
      <c r="AY459" s="23"/>
      <c r="AZ459" s="23"/>
      <c r="BA459" s="23"/>
      <c r="BB459" s="23"/>
      <c r="BC459" s="23"/>
    </row>
    <row r="460">
      <c r="AO460" s="23"/>
      <c r="AP460" s="23"/>
      <c r="AQ460" s="23"/>
      <c r="AR460" s="23"/>
      <c r="AS460" s="23"/>
      <c r="AT460" s="23"/>
      <c r="AU460" s="23"/>
      <c r="AV460" s="23"/>
      <c r="AW460" s="23"/>
      <c r="AX460" s="23"/>
      <c r="AY460" s="23"/>
      <c r="AZ460" s="23"/>
      <c r="BA460" s="23"/>
      <c r="BB460" s="23"/>
      <c r="BC460" s="23"/>
    </row>
    <row r="461">
      <c r="AO461" s="23"/>
      <c r="AP461" s="23"/>
      <c r="AQ461" s="23"/>
      <c r="AR461" s="23"/>
      <c r="AS461" s="23"/>
      <c r="AT461" s="23"/>
      <c r="AU461" s="23"/>
      <c r="AV461" s="23"/>
      <c r="AW461" s="23"/>
      <c r="AX461" s="23"/>
      <c r="AY461" s="23"/>
      <c r="AZ461" s="23"/>
      <c r="BA461" s="23"/>
      <c r="BB461" s="23"/>
      <c r="BC461" s="23"/>
    </row>
    <row r="462">
      <c r="AO462" s="23"/>
      <c r="AP462" s="23"/>
      <c r="AQ462" s="23"/>
      <c r="AR462" s="23"/>
      <c r="AS462" s="23"/>
      <c r="AT462" s="23"/>
      <c r="AU462" s="23"/>
      <c r="AV462" s="23"/>
      <c r="AW462" s="23"/>
      <c r="AX462" s="23"/>
      <c r="AY462" s="23"/>
      <c r="AZ462" s="23"/>
      <c r="BA462" s="23"/>
      <c r="BB462" s="23"/>
      <c r="BC462" s="23"/>
    </row>
    <row r="463">
      <c r="AO463" s="23"/>
      <c r="AP463" s="23"/>
      <c r="AQ463" s="23"/>
      <c r="AR463" s="23"/>
      <c r="AS463" s="23"/>
      <c r="AT463" s="23"/>
      <c r="AU463" s="23"/>
      <c r="AV463" s="23"/>
      <c r="AW463" s="23"/>
      <c r="AX463" s="23"/>
      <c r="AY463" s="23"/>
      <c r="AZ463" s="23"/>
      <c r="BA463" s="23"/>
      <c r="BB463" s="23"/>
      <c r="BC463" s="23"/>
    </row>
    <row r="464">
      <c r="AO464" s="23"/>
      <c r="AP464" s="23"/>
      <c r="AQ464" s="23"/>
      <c r="AR464" s="23"/>
      <c r="AS464" s="23"/>
      <c r="AT464" s="23"/>
      <c r="AU464" s="23"/>
      <c r="AV464" s="23"/>
      <c r="AW464" s="23"/>
      <c r="AX464" s="23"/>
      <c r="AY464" s="23"/>
      <c r="AZ464" s="23"/>
      <c r="BA464" s="23"/>
      <c r="BB464" s="23"/>
      <c r="BC464" s="23"/>
    </row>
    <row r="465">
      <c r="AO465" s="23"/>
      <c r="AP465" s="23"/>
      <c r="AQ465" s="23"/>
      <c r="AR465" s="23"/>
      <c r="AS465" s="23"/>
      <c r="AT465" s="23"/>
      <c r="AU465" s="23"/>
      <c r="AV465" s="23"/>
      <c r="AW465" s="23"/>
      <c r="AX465" s="23"/>
      <c r="AY465" s="23"/>
      <c r="AZ465" s="23"/>
      <c r="BA465" s="23"/>
      <c r="BB465" s="23"/>
      <c r="BC465" s="23"/>
    </row>
    <row r="466">
      <c r="AO466" s="23"/>
      <c r="AP466" s="23"/>
      <c r="AQ466" s="23"/>
      <c r="AR466" s="23"/>
      <c r="AS466" s="23"/>
      <c r="AT466" s="23"/>
      <c r="AU466" s="23"/>
      <c r="AV466" s="23"/>
      <c r="AW466" s="23"/>
      <c r="AX466" s="23"/>
      <c r="AY466" s="23"/>
      <c r="AZ466" s="23"/>
      <c r="BA466" s="23"/>
      <c r="BB466" s="23"/>
      <c r="BC466" s="23"/>
    </row>
    <row r="467">
      <c r="AO467" s="23"/>
      <c r="AP467" s="23"/>
      <c r="AQ467" s="23"/>
      <c r="AR467" s="23"/>
      <c r="AS467" s="23"/>
      <c r="AT467" s="23"/>
      <c r="AU467" s="23"/>
      <c r="AV467" s="23"/>
      <c r="AW467" s="23"/>
      <c r="AX467" s="23"/>
      <c r="AY467" s="23"/>
      <c r="AZ467" s="23"/>
      <c r="BA467" s="23"/>
      <c r="BB467" s="23"/>
      <c r="BC467" s="23"/>
    </row>
    <row r="468">
      <c r="AO468" s="23"/>
      <c r="AP468" s="23"/>
      <c r="AQ468" s="23"/>
      <c r="AR468" s="23"/>
      <c r="AS468" s="23"/>
      <c r="AT468" s="23"/>
      <c r="AU468" s="23"/>
      <c r="AV468" s="23"/>
      <c r="AW468" s="23"/>
      <c r="AX468" s="23"/>
      <c r="AY468" s="23"/>
      <c r="AZ468" s="23"/>
      <c r="BA468" s="23"/>
      <c r="BB468" s="23"/>
      <c r="BC468" s="23"/>
    </row>
    <row r="469">
      <c r="AO469" s="23"/>
      <c r="AP469" s="23"/>
      <c r="AQ469" s="23"/>
      <c r="AR469" s="23"/>
      <c r="AS469" s="23"/>
      <c r="AT469" s="23"/>
      <c r="AU469" s="23"/>
      <c r="AV469" s="23"/>
      <c r="AW469" s="23"/>
      <c r="AX469" s="23"/>
      <c r="AY469" s="23"/>
      <c r="AZ469" s="23"/>
      <c r="BA469" s="23"/>
      <c r="BB469" s="23"/>
      <c r="BC469" s="23"/>
    </row>
    <row r="470">
      <c r="AO470" s="23"/>
      <c r="AP470" s="23"/>
      <c r="AQ470" s="23"/>
      <c r="AR470" s="23"/>
      <c r="AS470" s="23"/>
      <c r="AT470" s="23"/>
      <c r="AU470" s="23"/>
      <c r="AV470" s="23"/>
      <c r="AW470" s="23"/>
      <c r="AX470" s="23"/>
      <c r="AY470" s="23"/>
      <c r="AZ470" s="23"/>
      <c r="BA470" s="23"/>
      <c r="BB470" s="23"/>
      <c r="BC470" s="23"/>
    </row>
    <row r="471">
      <c r="AO471" s="23"/>
      <c r="AP471" s="23"/>
      <c r="AQ471" s="23"/>
      <c r="AR471" s="23"/>
      <c r="AS471" s="23"/>
      <c r="AT471" s="23"/>
      <c r="AU471" s="23"/>
      <c r="AV471" s="23"/>
      <c r="AW471" s="23"/>
      <c r="AX471" s="23"/>
      <c r="AY471" s="23"/>
      <c r="AZ471" s="23"/>
      <c r="BA471" s="23"/>
      <c r="BB471" s="23"/>
      <c r="BC471" s="23"/>
    </row>
    <row r="472">
      <c r="AO472" s="23"/>
      <c r="AP472" s="23"/>
      <c r="AQ472" s="23"/>
      <c r="AR472" s="23"/>
      <c r="AS472" s="23"/>
      <c r="AT472" s="23"/>
      <c r="AU472" s="23"/>
      <c r="AV472" s="23"/>
      <c r="AW472" s="23"/>
      <c r="AX472" s="23"/>
      <c r="AY472" s="23"/>
      <c r="AZ472" s="23"/>
      <c r="BA472" s="23"/>
      <c r="BB472" s="23"/>
      <c r="BC472" s="23"/>
    </row>
    <row r="473">
      <c r="AO473" s="23"/>
      <c r="AP473" s="23"/>
      <c r="AQ473" s="23"/>
      <c r="AR473" s="23"/>
      <c r="AS473" s="23"/>
      <c r="AT473" s="23"/>
      <c r="AU473" s="23"/>
      <c r="AV473" s="23"/>
      <c r="AW473" s="23"/>
      <c r="AX473" s="23"/>
      <c r="AY473" s="23"/>
      <c r="AZ473" s="23"/>
      <c r="BA473" s="23"/>
      <c r="BB473" s="23"/>
      <c r="BC473" s="23"/>
    </row>
    <row r="474">
      <c r="AO474" s="23"/>
      <c r="AP474" s="23"/>
      <c r="AQ474" s="23"/>
      <c r="AR474" s="23"/>
      <c r="AS474" s="23"/>
      <c r="AT474" s="23"/>
      <c r="AU474" s="23"/>
      <c r="AV474" s="23"/>
      <c r="AW474" s="23"/>
      <c r="AX474" s="23"/>
      <c r="AY474" s="23"/>
      <c r="AZ474" s="23"/>
      <c r="BA474" s="23"/>
      <c r="BB474" s="23"/>
      <c r="BC474" s="23"/>
    </row>
    <row r="475">
      <c r="AO475" s="23"/>
      <c r="AP475" s="23"/>
      <c r="AQ475" s="23"/>
      <c r="AR475" s="23"/>
      <c r="AS475" s="23"/>
      <c r="AT475" s="23"/>
      <c r="AU475" s="23"/>
      <c r="AV475" s="23"/>
      <c r="AW475" s="23"/>
      <c r="AX475" s="23"/>
      <c r="AY475" s="23"/>
      <c r="AZ475" s="23"/>
      <c r="BA475" s="23"/>
      <c r="BB475" s="23"/>
      <c r="BC475" s="23"/>
    </row>
    <row r="476">
      <c r="AO476" s="23"/>
      <c r="AP476" s="23"/>
      <c r="AQ476" s="23"/>
      <c r="AR476" s="23"/>
      <c r="AS476" s="23"/>
      <c r="AT476" s="23"/>
      <c r="AU476" s="23"/>
      <c r="AV476" s="23"/>
      <c r="AW476" s="23"/>
      <c r="AX476" s="23"/>
      <c r="AY476" s="23"/>
      <c r="AZ476" s="23"/>
      <c r="BA476" s="23"/>
      <c r="BB476" s="23"/>
      <c r="BC476" s="23"/>
    </row>
    <row r="477">
      <c r="AO477" s="23"/>
      <c r="AP477" s="23"/>
      <c r="AQ477" s="23"/>
      <c r="AR477" s="23"/>
      <c r="AS477" s="23"/>
      <c r="AT477" s="23"/>
      <c r="AU477" s="23"/>
      <c r="AV477" s="23"/>
      <c r="AW477" s="23"/>
      <c r="AX477" s="23"/>
      <c r="AY477" s="23"/>
      <c r="AZ477" s="23"/>
      <c r="BA477" s="23"/>
      <c r="BB477" s="23"/>
      <c r="BC477" s="23"/>
    </row>
    <row r="478">
      <c r="AO478" s="23"/>
      <c r="AP478" s="23"/>
      <c r="AQ478" s="23"/>
      <c r="AR478" s="23"/>
      <c r="AS478" s="23"/>
      <c r="AT478" s="23"/>
      <c r="AU478" s="23"/>
      <c r="AV478" s="23"/>
      <c r="AW478" s="23"/>
      <c r="AX478" s="23"/>
      <c r="AY478" s="23"/>
      <c r="AZ478" s="23"/>
      <c r="BA478" s="23"/>
      <c r="BB478" s="23"/>
      <c r="BC478" s="23"/>
    </row>
    <row r="479">
      <c r="AO479" s="23"/>
      <c r="AP479" s="23"/>
      <c r="AQ479" s="23"/>
      <c r="AR479" s="23"/>
      <c r="AS479" s="23"/>
      <c r="AT479" s="23"/>
      <c r="AU479" s="23"/>
      <c r="AV479" s="23"/>
      <c r="AW479" s="23"/>
      <c r="AX479" s="23"/>
      <c r="AY479" s="23"/>
      <c r="AZ479" s="23"/>
      <c r="BA479" s="23"/>
      <c r="BB479" s="23"/>
      <c r="BC479" s="23"/>
    </row>
    <row r="480">
      <c r="AO480" s="23"/>
      <c r="AP480" s="23"/>
      <c r="AQ480" s="23"/>
      <c r="AR480" s="23"/>
      <c r="AS480" s="23"/>
      <c r="AT480" s="23"/>
      <c r="AU480" s="23"/>
      <c r="AV480" s="23"/>
      <c r="AW480" s="23"/>
      <c r="AX480" s="23"/>
      <c r="AY480" s="23"/>
      <c r="AZ480" s="23"/>
      <c r="BA480" s="23"/>
      <c r="BB480" s="23"/>
      <c r="BC480" s="23"/>
    </row>
    <row r="481">
      <c r="AO481" s="23"/>
      <c r="AP481" s="23"/>
      <c r="AQ481" s="23"/>
      <c r="AR481" s="23"/>
      <c r="AS481" s="23"/>
      <c r="AT481" s="23"/>
      <c r="AU481" s="23"/>
      <c r="AV481" s="23"/>
      <c r="AW481" s="23"/>
      <c r="AX481" s="23"/>
      <c r="AY481" s="23"/>
      <c r="AZ481" s="23"/>
      <c r="BA481" s="23"/>
      <c r="BB481" s="23"/>
      <c r="BC481" s="23"/>
    </row>
    <row r="482">
      <c r="AO482" s="23"/>
      <c r="AP482" s="23"/>
      <c r="AQ482" s="23"/>
      <c r="AR482" s="23"/>
      <c r="AS482" s="23"/>
      <c r="AT482" s="23"/>
      <c r="AU482" s="23"/>
      <c r="AV482" s="23"/>
      <c r="AW482" s="23"/>
      <c r="AX482" s="23"/>
      <c r="AY482" s="23"/>
      <c r="AZ482" s="23"/>
      <c r="BA482" s="23"/>
      <c r="BB482" s="23"/>
      <c r="BC482" s="23"/>
    </row>
    <row r="483">
      <c r="AO483" s="23"/>
      <c r="AP483" s="23"/>
      <c r="AQ483" s="23"/>
      <c r="AR483" s="23"/>
      <c r="AS483" s="23"/>
      <c r="AT483" s="23"/>
      <c r="AU483" s="23"/>
      <c r="AV483" s="23"/>
      <c r="AW483" s="23"/>
      <c r="AX483" s="23"/>
      <c r="AY483" s="23"/>
      <c r="AZ483" s="23"/>
      <c r="BA483" s="23"/>
      <c r="BB483" s="23"/>
      <c r="BC483" s="23"/>
    </row>
    <row r="484">
      <c r="AO484" s="23"/>
      <c r="AP484" s="23"/>
      <c r="AQ484" s="23"/>
      <c r="AR484" s="23"/>
      <c r="AS484" s="23"/>
      <c r="AT484" s="23"/>
      <c r="AU484" s="23"/>
      <c r="AV484" s="23"/>
      <c r="AW484" s="23"/>
      <c r="AX484" s="23"/>
      <c r="AY484" s="23"/>
      <c r="AZ484" s="23"/>
      <c r="BA484" s="23"/>
      <c r="BB484" s="23"/>
      <c r="BC484" s="23"/>
    </row>
    <row r="485">
      <c r="AO485" s="23"/>
      <c r="AP485" s="23"/>
      <c r="AQ485" s="23"/>
      <c r="AR485" s="23"/>
      <c r="AS485" s="23"/>
      <c r="AT485" s="23"/>
      <c r="AU485" s="23"/>
      <c r="AV485" s="23"/>
      <c r="AW485" s="23"/>
      <c r="AX485" s="23"/>
      <c r="AY485" s="23"/>
      <c r="AZ485" s="23"/>
      <c r="BA485" s="23"/>
      <c r="BB485" s="23"/>
      <c r="BC485" s="23"/>
    </row>
    <row r="486">
      <c r="AO486" s="23"/>
      <c r="AP486" s="23"/>
      <c r="AQ486" s="23"/>
      <c r="AR486" s="23"/>
      <c r="AS486" s="23"/>
      <c r="AT486" s="23"/>
      <c r="AU486" s="23"/>
      <c r="AV486" s="23"/>
      <c r="AW486" s="23"/>
      <c r="AX486" s="23"/>
      <c r="AY486" s="23"/>
      <c r="AZ486" s="23"/>
      <c r="BA486" s="23"/>
      <c r="BB486" s="23"/>
      <c r="BC486" s="23"/>
    </row>
    <row r="487">
      <c r="AO487" s="23"/>
      <c r="AP487" s="23"/>
      <c r="AQ487" s="23"/>
      <c r="AR487" s="23"/>
      <c r="AS487" s="23"/>
      <c r="AT487" s="23"/>
      <c r="AU487" s="23"/>
      <c r="AV487" s="23"/>
      <c r="AW487" s="23"/>
      <c r="AX487" s="23"/>
      <c r="AY487" s="23"/>
      <c r="AZ487" s="23"/>
      <c r="BA487" s="23"/>
      <c r="BB487" s="23"/>
      <c r="BC487" s="23"/>
    </row>
    <row r="488">
      <c r="AO488" s="23"/>
      <c r="AP488" s="23"/>
      <c r="AQ488" s="23"/>
      <c r="AR488" s="23"/>
      <c r="AS488" s="23"/>
      <c r="AT488" s="23"/>
      <c r="AU488" s="23"/>
      <c r="AV488" s="23"/>
      <c r="AW488" s="23"/>
      <c r="AX488" s="23"/>
      <c r="AY488" s="23"/>
      <c r="AZ488" s="23"/>
      <c r="BA488" s="23"/>
      <c r="BB488" s="23"/>
      <c r="BC488" s="23"/>
    </row>
    <row r="489">
      <c r="AO489" s="23"/>
      <c r="AP489" s="23"/>
      <c r="AQ489" s="23"/>
      <c r="AR489" s="23"/>
      <c r="AS489" s="23"/>
      <c r="AT489" s="23"/>
      <c r="AU489" s="23"/>
      <c r="AV489" s="23"/>
      <c r="AW489" s="23"/>
      <c r="AX489" s="23"/>
      <c r="AY489" s="23"/>
      <c r="AZ489" s="23"/>
      <c r="BA489" s="23"/>
      <c r="BB489" s="23"/>
      <c r="BC489" s="23"/>
    </row>
    <row r="490">
      <c r="AO490" s="23"/>
      <c r="AP490" s="23"/>
      <c r="AQ490" s="23"/>
      <c r="AR490" s="23"/>
      <c r="AS490" s="23"/>
      <c r="AT490" s="23"/>
      <c r="AU490" s="23"/>
      <c r="AV490" s="23"/>
      <c r="AW490" s="23"/>
      <c r="AX490" s="23"/>
      <c r="AY490" s="23"/>
      <c r="AZ490" s="23"/>
      <c r="BA490" s="23"/>
      <c r="BB490" s="23"/>
      <c r="BC490" s="23"/>
    </row>
    <row r="491">
      <c r="AO491" s="23"/>
      <c r="AP491" s="23"/>
      <c r="AQ491" s="23"/>
      <c r="AR491" s="23"/>
      <c r="AS491" s="23"/>
      <c r="AT491" s="23"/>
      <c r="AU491" s="23"/>
      <c r="AV491" s="23"/>
      <c r="AW491" s="23"/>
      <c r="AX491" s="23"/>
      <c r="AY491" s="23"/>
      <c r="AZ491" s="23"/>
      <c r="BA491" s="23"/>
      <c r="BB491" s="23"/>
      <c r="BC491" s="23"/>
    </row>
    <row r="492">
      <c r="AO492" s="23"/>
      <c r="AP492" s="23"/>
      <c r="AQ492" s="23"/>
      <c r="AR492" s="23"/>
      <c r="AS492" s="23"/>
      <c r="AT492" s="23"/>
      <c r="AU492" s="23"/>
      <c r="AV492" s="23"/>
      <c r="AW492" s="23"/>
      <c r="AX492" s="23"/>
      <c r="AY492" s="23"/>
      <c r="AZ492" s="23"/>
      <c r="BA492" s="23"/>
      <c r="BB492" s="23"/>
      <c r="BC492" s="23"/>
    </row>
    <row r="493">
      <c r="AO493" s="23"/>
      <c r="AP493" s="23"/>
      <c r="AQ493" s="23"/>
      <c r="AR493" s="23"/>
      <c r="AS493" s="23"/>
      <c r="AT493" s="23"/>
      <c r="AU493" s="23"/>
      <c r="AV493" s="23"/>
      <c r="AW493" s="23"/>
      <c r="AX493" s="23"/>
      <c r="AY493" s="23"/>
      <c r="AZ493" s="23"/>
      <c r="BA493" s="23"/>
      <c r="BB493" s="23"/>
      <c r="BC493" s="23"/>
    </row>
    <row r="494">
      <c r="AO494" s="23"/>
      <c r="AP494" s="23"/>
      <c r="AQ494" s="23"/>
      <c r="AR494" s="23"/>
      <c r="AS494" s="23"/>
      <c r="AT494" s="23"/>
      <c r="AU494" s="23"/>
      <c r="AV494" s="23"/>
      <c r="AW494" s="23"/>
      <c r="AX494" s="23"/>
      <c r="AY494" s="23"/>
      <c r="AZ494" s="23"/>
      <c r="BA494" s="23"/>
      <c r="BB494" s="23"/>
      <c r="BC494" s="23"/>
    </row>
    <row r="495">
      <c r="AO495" s="23"/>
      <c r="AP495" s="23"/>
      <c r="AQ495" s="23"/>
      <c r="AR495" s="23"/>
      <c r="AS495" s="23"/>
      <c r="AT495" s="23"/>
      <c r="AU495" s="23"/>
      <c r="AV495" s="23"/>
      <c r="AW495" s="23"/>
      <c r="AX495" s="23"/>
      <c r="AY495" s="23"/>
      <c r="AZ495" s="23"/>
      <c r="BA495" s="23"/>
      <c r="BB495" s="23"/>
      <c r="BC495" s="23"/>
    </row>
    <row r="496">
      <c r="AO496" s="23"/>
      <c r="AP496" s="23"/>
      <c r="AQ496" s="23"/>
      <c r="AR496" s="23"/>
      <c r="AS496" s="23"/>
      <c r="AT496" s="23"/>
      <c r="AU496" s="23"/>
      <c r="AV496" s="23"/>
      <c r="AW496" s="23"/>
      <c r="AX496" s="23"/>
      <c r="AY496" s="23"/>
      <c r="AZ496" s="23"/>
      <c r="BA496" s="23"/>
      <c r="BB496" s="23"/>
      <c r="BC496" s="23"/>
    </row>
    <row r="497">
      <c r="AO497" s="23"/>
      <c r="AP497" s="23"/>
      <c r="AQ497" s="23"/>
      <c r="AR497" s="23"/>
      <c r="AS497" s="23"/>
      <c r="AT497" s="23"/>
      <c r="AU497" s="23"/>
      <c r="AV497" s="23"/>
      <c r="AW497" s="23"/>
      <c r="AX497" s="23"/>
      <c r="AY497" s="23"/>
      <c r="AZ497" s="23"/>
      <c r="BA497" s="23"/>
      <c r="BB497" s="23"/>
      <c r="BC497" s="23"/>
    </row>
    <row r="498">
      <c r="AO498" s="23"/>
      <c r="AP498" s="23"/>
      <c r="AQ498" s="23"/>
      <c r="AR498" s="23"/>
      <c r="AS498" s="23"/>
      <c r="AT498" s="23"/>
      <c r="AU498" s="23"/>
      <c r="AV498" s="23"/>
      <c r="AW498" s="23"/>
      <c r="AX498" s="23"/>
      <c r="AY498" s="23"/>
      <c r="AZ498" s="23"/>
      <c r="BA498" s="23"/>
      <c r="BB498" s="23"/>
      <c r="BC498" s="23"/>
    </row>
    <row r="499">
      <c r="AO499" s="23"/>
      <c r="AP499" s="23"/>
      <c r="AQ499" s="23"/>
      <c r="AR499" s="23"/>
      <c r="AS499" s="23"/>
      <c r="AT499" s="23"/>
      <c r="AU499" s="23"/>
      <c r="AV499" s="23"/>
      <c r="AW499" s="23"/>
      <c r="AX499" s="23"/>
      <c r="AY499" s="23"/>
      <c r="AZ499" s="23"/>
      <c r="BA499" s="23"/>
      <c r="BB499" s="23"/>
      <c r="BC499" s="23"/>
    </row>
    <row r="500">
      <c r="AO500" s="23"/>
      <c r="AP500" s="23"/>
      <c r="AQ500" s="23"/>
      <c r="AR500" s="23"/>
      <c r="AS500" s="23"/>
      <c r="AT500" s="23"/>
      <c r="AU500" s="23"/>
      <c r="AV500" s="23"/>
      <c r="AW500" s="23"/>
      <c r="AX500" s="23"/>
      <c r="AY500" s="23"/>
      <c r="AZ500" s="23"/>
      <c r="BA500" s="23"/>
      <c r="BB500" s="23"/>
      <c r="BC500" s="23"/>
    </row>
    <row r="501">
      <c r="AO501" s="23"/>
      <c r="AP501" s="23"/>
      <c r="AQ501" s="23"/>
      <c r="AR501" s="23"/>
      <c r="AS501" s="23"/>
      <c r="AT501" s="23"/>
      <c r="AU501" s="23"/>
      <c r="AV501" s="23"/>
      <c r="AW501" s="23"/>
      <c r="AX501" s="23"/>
      <c r="AY501" s="23"/>
      <c r="AZ501" s="23"/>
      <c r="BA501" s="23"/>
      <c r="BB501" s="23"/>
      <c r="BC501" s="23"/>
    </row>
    <row r="502">
      <c r="AO502" s="23"/>
      <c r="AP502" s="23"/>
      <c r="AQ502" s="23"/>
      <c r="AR502" s="23"/>
      <c r="AS502" s="23"/>
      <c r="AT502" s="23"/>
      <c r="AU502" s="23"/>
      <c r="AV502" s="23"/>
      <c r="AW502" s="23"/>
      <c r="AX502" s="23"/>
      <c r="AY502" s="23"/>
      <c r="AZ502" s="23"/>
      <c r="BA502" s="23"/>
      <c r="BB502" s="23"/>
      <c r="BC502" s="23"/>
    </row>
    <row r="503">
      <c r="AO503" s="23"/>
      <c r="AP503" s="23"/>
      <c r="AQ503" s="23"/>
      <c r="AR503" s="23"/>
      <c r="AS503" s="23"/>
      <c r="AT503" s="23"/>
      <c r="AU503" s="23"/>
      <c r="AV503" s="23"/>
      <c r="AW503" s="23"/>
      <c r="AX503" s="23"/>
      <c r="AY503" s="23"/>
      <c r="AZ503" s="23"/>
      <c r="BA503" s="23"/>
      <c r="BB503" s="23"/>
      <c r="BC503" s="23"/>
    </row>
    <row r="504">
      <c r="AO504" s="23"/>
      <c r="AP504" s="23"/>
      <c r="AQ504" s="23"/>
      <c r="AR504" s="23"/>
      <c r="AS504" s="23"/>
      <c r="AT504" s="23"/>
      <c r="AU504" s="23"/>
      <c r="AV504" s="23"/>
      <c r="AW504" s="23"/>
      <c r="AX504" s="23"/>
      <c r="AY504" s="23"/>
      <c r="AZ504" s="23"/>
      <c r="BA504" s="23"/>
      <c r="BB504" s="23"/>
      <c r="BC504" s="23"/>
    </row>
    <row r="505">
      <c r="AO505" s="23"/>
      <c r="AP505" s="23"/>
      <c r="AQ505" s="23"/>
      <c r="AR505" s="23"/>
      <c r="AS505" s="23"/>
      <c r="AT505" s="23"/>
      <c r="AU505" s="23"/>
      <c r="AV505" s="23"/>
      <c r="AW505" s="23"/>
      <c r="AX505" s="23"/>
      <c r="AY505" s="23"/>
      <c r="AZ505" s="23"/>
      <c r="BA505" s="23"/>
      <c r="BB505" s="23"/>
      <c r="BC505" s="23"/>
    </row>
    <row r="506">
      <c r="AO506" s="23"/>
      <c r="AP506" s="23"/>
      <c r="AQ506" s="23"/>
      <c r="AR506" s="23"/>
      <c r="AS506" s="23"/>
      <c r="AT506" s="23"/>
      <c r="AU506" s="23"/>
      <c r="AV506" s="23"/>
      <c r="AW506" s="23"/>
      <c r="AX506" s="23"/>
      <c r="AY506" s="23"/>
      <c r="AZ506" s="23"/>
      <c r="BA506" s="23"/>
      <c r="BB506" s="23"/>
      <c r="BC506" s="23"/>
    </row>
    <row r="507">
      <c r="AO507" s="23"/>
      <c r="AP507" s="23"/>
      <c r="AQ507" s="23"/>
      <c r="AR507" s="23"/>
      <c r="AS507" s="23"/>
      <c r="AT507" s="23"/>
      <c r="AU507" s="23"/>
      <c r="AV507" s="23"/>
      <c r="AW507" s="23"/>
      <c r="AX507" s="23"/>
      <c r="AY507" s="23"/>
      <c r="AZ507" s="23"/>
      <c r="BA507" s="23"/>
      <c r="BB507" s="23"/>
      <c r="BC507" s="23"/>
    </row>
    <row r="508">
      <c r="AO508" s="23"/>
      <c r="AP508" s="23"/>
      <c r="AQ508" s="23"/>
      <c r="AR508" s="23"/>
      <c r="AS508" s="23"/>
      <c r="AT508" s="23"/>
      <c r="AU508" s="23"/>
      <c r="AV508" s="23"/>
      <c r="AW508" s="23"/>
      <c r="AX508" s="23"/>
      <c r="AY508" s="23"/>
      <c r="AZ508" s="23"/>
      <c r="BA508" s="23"/>
      <c r="BB508" s="23"/>
      <c r="BC508" s="23"/>
    </row>
    <row r="509">
      <c r="AO509" s="23"/>
      <c r="AP509" s="23"/>
      <c r="AQ509" s="23"/>
      <c r="AR509" s="23"/>
      <c r="AS509" s="23"/>
      <c r="AT509" s="23"/>
      <c r="AU509" s="23"/>
      <c r="AV509" s="23"/>
      <c r="AW509" s="23"/>
      <c r="AX509" s="23"/>
      <c r="AY509" s="23"/>
      <c r="AZ509" s="23"/>
      <c r="BA509" s="23"/>
      <c r="BB509" s="23"/>
      <c r="BC509" s="23"/>
    </row>
    <row r="510">
      <c r="AO510" s="23"/>
      <c r="AP510" s="23"/>
      <c r="AQ510" s="23"/>
      <c r="AR510" s="23"/>
      <c r="AS510" s="23"/>
      <c r="AT510" s="23"/>
      <c r="AU510" s="23"/>
      <c r="AV510" s="23"/>
      <c r="AW510" s="23"/>
      <c r="AX510" s="23"/>
      <c r="AY510" s="23"/>
      <c r="AZ510" s="23"/>
      <c r="BA510" s="23"/>
      <c r="BB510" s="23"/>
      <c r="BC510" s="23"/>
    </row>
    <row r="511">
      <c r="AO511" s="23"/>
      <c r="AP511" s="23"/>
      <c r="AQ511" s="23"/>
      <c r="AR511" s="23"/>
      <c r="AS511" s="23"/>
      <c r="AT511" s="23"/>
      <c r="AU511" s="23"/>
      <c r="AV511" s="23"/>
      <c r="AW511" s="23"/>
      <c r="AX511" s="23"/>
      <c r="AY511" s="23"/>
      <c r="AZ511" s="23"/>
      <c r="BA511" s="23"/>
      <c r="BB511" s="23"/>
      <c r="BC511" s="23"/>
    </row>
    <row r="512">
      <c r="AO512" s="23"/>
      <c r="AP512" s="23"/>
      <c r="AQ512" s="23"/>
      <c r="AR512" s="23"/>
      <c r="AS512" s="23"/>
      <c r="AT512" s="23"/>
      <c r="AU512" s="23"/>
      <c r="AV512" s="23"/>
      <c r="AW512" s="23"/>
      <c r="AX512" s="23"/>
      <c r="AY512" s="23"/>
      <c r="AZ512" s="23"/>
      <c r="BA512" s="23"/>
      <c r="BB512" s="23"/>
      <c r="BC512" s="23"/>
    </row>
    <row r="513">
      <c r="AO513" s="23"/>
      <c r="AP513" s="23"/>
      <c r="AQ513" s="23"/>
      <c r="AR513" s="23"/>
      <c r="AS513" s="23"/>
      <c r="AT513" s="23"/>
      <c r="AU513" s="23"/>
      <c r="AV513" s="23"/>
      <c r="AW513" s="23"/>
      <c r="AX513" s="23"/>
      <c r="AY513" s="23"/>
      <c r="AZ513" s="23"/>
      <c r="BA513" s="23"/>
      <c r="BB513" s="23"/>
      <c r="BC513" s="23"/>
    </row>
    <row r="514">
      <c r="AO514" s="23"/>
      <c r="AP514" s="23"/>
      <c r="AQ514" s="23"/>
      <c r="AR514" s="23"/>
      <c r="AS514" s="23"/>
      <c r="AT514" s="23"/>
      <c r="AU514" s="23"/>
      <c r="AV514" s="23"/>
      <c r="AW514" s="23"/>
      <c r="AX514" s="23"/>
      <c r="AY514" s="23"/>
      <c r="AZ514" s="23"/>
      <c r="BA514" s="23"/>
      <c r="BB514" s="23"/>
      <c r="BC514" s="23"/>
    </row>
    <row r="515">
      <c r="AO515" s="23"/>
      <c r="AP515" s="23"/>
      <c r="AQ515" s="23"/>
      <c r="AR515" s="23"/>
      <c r="AS515" s="23"/>
      <c r="AT515" s="23"/>
      <c r="AU515" s="23"/>
      <c r="AV515" s="23"/>
      <c r="AW515" s="23"/>
      <c r="AX515" s="23"/>
      <c r="AY515" s="23"/>
      <c r="AZ515" s="23"/>
      <c r="BA515" s="23"/>
      <c r="BB515" s="23"/>
      <c r="BC515" s="23"/>
    </row>
    <row r="516">
      <c r="AO516" s="23"/>
      <c r="AP516" s="23"/>
      <c r="AQ516" s="23"/>
      <c r="AR516" s="23"/>
      <c r="AS516" s="23"/>
      <c r="AT516" s="23"/>
      <c r="AU516" s="23"/>
      <c r="AV516" s="23"/>
      <c r="AW516" s="23"/>
      <c r="AX516" s="23"/>
      <c r="AY516" s="23"/>
      <c r="AZ516" s="23"/>
      <c r="BA516" s="23"/>
      <c r="BB516" s="23"/>
      <c r="BC516" s="23"/>
    </row>
    <row r="517">
      <c r="AO517" s="23"/>
      <c r="AP517" s="23"/>
      <c r="AQ517" s="23"/>
      <c r="AR517" s="23"/>
      <c r="AS517" s="23"/>
      <c r="AT517" s="23"/>
      <c r="AU517" s="23"/>
      <c r="AV517" s="23"/>
      <c r="AW517" s="23"/>
      <c r="AX517" s="23"/>
      <c r="AY517" s="23"/>
      <c r="AZ517" s="23"/>
      <c r="BA517" s="23"/>
      <c r="BB517" s="23"/>
      <c r="BC517" s="23"/>
    </row>
    <row r="518">
      <c r="AO518" s="23"/>
      <c r="AP518" s="23"/>
      <c r="AQ518" s="23"/>
      <c r="AR518" s="23"/>
      <c r="AS518" s="23"/>
      <c r="AT518" s="23"/>
      <c r="AU518" s="23"/>
      <c r="AV518" s="23"/>
      <c r="AW518" s="23"/>
      <c r="AX518" s="23"/>
      <c r="AY518" s="23"/>
      <c r="AZ518" s="23"/>
      <c r="BA518" s="23"/>
      <c r="BB518" s="23"/>
      <c r="BC518" s="23"/>
    </row>
    <row r="519">
      <c r="AO519" s="23"/>
      <c r="AP519" s="23"/>
      <c r="AQ519" s="23"/>
      <c r="AR519" s="23"/>
      <c r="AS519" s="23"/>
      <c r="AT519" s="23"/>
      <c r="AU519" s="23"/>
      <c r="AV519" s="23"/>
      <c r="AW519" s="23"/>
      <c r="AX519" s="23"/>
      <c r="AY519" s="23"/>
      <c r="AZ519" s="23"/>
      <c r="BA519" s="23"/>
      <c r="BB519" s="23"/>
      <c r="BC519" s="23"/>
    </row>
    <row r="520">
      <c r="AO520" s="23"/>
      <c r="AP520" s="23"/>
      <c r="AQ520" s="23"/>
      <c r="AR520" s="23"/>
      <c r="AS520" s="23"/>
      <c r="AT520" s="23"/>
      <c r="AU520" s="23"/>
      <c r="AV520" s="23"/>
      <c r="AW520" s="23"/>
      <c r="AX520" s="23"/>
      <c r="AY520" s="23"/>
      <c r="AZ520" s="23"/>
      <c r="BA520" s="23"/>
      <c r="BB520" s="23"/>
      <c r="BC520" s="23"/>
    </row>
    <row r="521">
      <c r="AO521" s="23"/>
      <c r="AP521" s="23"/>
      <c r="AQ521" s="23"/>
      <c r="AR521" s="23"/>
      <c r="AS521" s="23"/>
      <c r="AT521" s="23"/>
      <c r="AU521" s="23"/>
      <c r="AV521" s="23"/>
      <c r="AW521" s="23"/>
      <c r="AX521" s="23"/>
      <c r="AY521" s="23"/>
      <c r="AZ521" s="23"/>
      <c r="BA521" s="23"/>
      <c r="BB521" s="23"/>
      <c r="BC521" s="23"/>
    </row>
    <row r="522">
      <c r="AO522" s="23"/>
      <c r="AP522" s="23"/>
      <c r="AQ522" s="23"/>
      <c r="AR522" s="23"/>
      <c r="AS522" s="23"/>
      <c r="AT522" s="23"/>
      <c r="AU522" s="23"/>
      <c r="AV522" s="23"/>
      <c r="AW522" s="23"/>
      <c r="AX522" s="23"/>
      <c r="AY522" s="23"/>
      <c r="AZ522" s="23"/>
      <c r="BA522" s="23"/>
      <c r="BB522" s="23"/>
      <c r="BC522" s="23"/>
    </row>
    <row r="523">
      <c r="AO523" s="23"/>
      <c r="AP523" s="23"/>
      <c r="AQ523" s="23"/>
      <c r="AR523" s="23"/>
      <c r="AS523" s="23"/>
      <c r="AT523" s="23"/>
      <c r="AU523" s="23"/>
      <c r="AV523" s="23"/>
      <c r="AW523" s="23"/>
      <c r="AX523" s="23"/>
      <c r="AY523" s="23"/>
      <c r="AZ523" s="23"/>
      <c r="BA523" s="23"/>
      <c r="BB523" s="23"/>
      <c r="BC523" s="23"/>
    </row>
    <row r="524">
      <c r="AO524" s="23"/>
      <c r="AP524" s="23"/>
      <c r="AQ524" s="23"/>
      <c r="AR524" s="23"/>
      <c r="AS524" s="23"/>
      <c r="AT524" s="23"/>
      <c r="AU524" s="23"/>
      <c r="AV524" s="23"/>
      <c r="AW524" s="23"/>
      <c r="AX524" s="23"/>
      <c r="AY524" s="23"/>
      <c r="AZ524" s="23"/>
      <c r="BA524" s="23"/>
      <c r="BB524" s="23"/>
      <c r="BC524" s="23"/>
    </row>
    <row r="525">
      <c r="AO525" s="23"/>
      <c r="AP525" s="23"/>
      <c r="AQ525" s="23"/>
      <c r="AR525" s="23"/>
      <c r="AS525" s="23"/>
      <c r="AT525" s="23"/>
      <c r="AU525" s="23"/>
      <c r="AV525" s="23"/>
      <c r="AW525" s="23"/>
      <c r="AX525" s="23"/>
      <c r="AY525" s="23"/>
      <c r="AZ525" s="23"/>
      <c r="BA525" s="23"/>
      <c r="BB525" s="23"/>
      <c r="BC525" s="23"/>
    </row>
    <row r="526">
      <c r="AO526" s="23"/>
      <c r="AP526" s="23"/>
      <c r="AQ526" s="23"/>
      <c r="AR526" s="23"/>
      <c r="AS526" s="23"/>
      <c r="AT526" s="23"/>
      <c r="AU526" s="23"/>
      <c r="AV526" s="23"/>
      <c r="AW526" s="23"/>
      <c r="AX526" s="23"/>
      <c r="AY526" s="23"/>
      <c r="AZ526" s="23"/>
      <c r="BA526" s="23"/>
      <c r="BB526" s="23"/>
      <c r="BC526" s="23"/>
    </row>
    <row r="527">
      <c r="AO527" s="23"/>
      <c r="AP527" s="23"/>
      <c r="AQ527" s="23"/>
      <c r="AR527" s="23"/>
      <c r="AS527" s="23"/>
      <c r="AT527" s="23"/>
      <c r="AU527" s="23"/>
      <c r="AV527" s="23"/>
      <c r="AW527" s="23"/>
      <c r="AX527" s="23"/>
      <c r="AY527" s="23"/>
      <c r="AZ527" s="23"/>
      <c r="BA527" s="23"/>
      <c r="BB527" s="23"/>
      <c r="BC527" s="23"/>
    </row>
    <row r="528">
      <c r="AO528" s="23"/>
      <c r="AP528" s="23"/>
      <c r="AQ528" s="23"/>
      <c r="AR528" s="23"/>
      <c r="AS528" s="23"/>
      <c r="AT528" s="23"/>
      <c r="AU528" s="23"/>
      <c r="AV528" s="23"/>
      <c r="AW528" s="23"/>
      <c r="AX528" s="23"/>
      <c r="AY528" s="23"/>
      <c r="AZ528" s="23"/>
      <c r="BA528" s="23"/>
      <c r="BB528" s="23"/>
      <c r="BC528" s="23"/>
    </row>
    <row r="529">
      <c r="AO529" s="23"/>
      <c r="AP529" s="23"/>
      <c r="AQ529" s="23"/>
      <c r="AR529" s="23"/>
      <c r="AS529" s="23"/>
      <c r="AT529" s="23"/>
      <c r="AU529" s="23"/>
      <c r="AV529" s="23"/>
      <c r="AW529" s="23"/>
      <c r="AX529" s="23"/>
      <c r="AY529" s="23"/>
      <c r="AZ529" s="23"/>
      <c r="BA529" s="23"/>
      <c r="BB529" s="23"/>
      <c r="BC529" s="23"/>
    </row>
    <row r="530">
      <c r="AO530" s="23"/>
      <c r="AP530" s="23"/>
      <c r="AQ530" s="23"/>
      <c r="AR530" s="23"/>
      <c r="AS530" s="23"/>
      <c r="AT530" s="23"/>
      <c r="AU530" s="23"/>
      <c r="AV530" s="23"/>
      <c r="AW530" s="23"/>
      <c r="AX530" s="23"/>
      <c r="AY530" s="23"/>
      <c r="AZ530" s="23"/>
      <c r="BA530" s="23"/>
      <c r="BB530" s="23"/>
      <c r="BC530" s="23"/>
    </row>
    <row r="531">
      <c r="AO531" s="23"/>
      <c r="AP531" s="23"/>
      <c r="AQ531" s="23"/>
      <c r="AR531" s="23"/>
      <c r="AS531" s="23"/>
      <c r="AT531" s="23"/>
      <c r="AU531" s="23"/>
      <c r="AV531" s="23"/>
      <c r="AW531" s="23"/>
      <c r="AX531" s="23"/>
      <c r="AY531" s="23"/>
      <c r="AZ531" s="23"/>
      <c r="BA531" s="23"/>
      <c r="BB531" s="23"/>
      <c r="BC531" s="23"/>
    </row>
    <row r="532">
      <c r="AO532" s="23"/>
      <c r="AP532" s="23"/>
      <c r="AQ532" s="23"/>
      <c r="AR532" s="23"/>
      <c r="AS532" s="23"/>
      <c r="AT532" s="23"/>
      <c r="AU532" s="23"/>
      <c r="AV532" s="23"/>
      <c r="AW532" s="23"/>
      <c r="AX532" s="23"/>
      <c r="AY532" s="23"/>
      <c r="AZ532" s="23"/>
      <c r="BA532" s="23"/>
      <c r="BB532" s="23"/>
      <c r="BC532" s="23"/>
    </row>
    <row r="533">
      <c r="AO533" s="23"/>
      <c r="AP533" s="23"/>
      <c r="AQ533" s="23"/>
      <c r="AR533" s="23"/>
      <c r="AS533" s="23"/>
      <c r="AT533" s="23"/>
      <c r="AU533" s="23"/>
      <c r="AV533" s="23"/>
      <c r="AW533" s="23"/>
      <c r="AX533" s="23"/>
      <c r="AY533" s="23"/>
      <c r="AZ533" s="23"/>
      <c r="BA533" s="23"/>
      <c r="BB533" s="23"/>
      <c r="BC533" s="23"/>
    </row>
    <row r="534">
      <c r="AO534" s="23"/>
      <c r="AP534" s="23"/>
      <c r="AQ534" s="23"/>
      <c r="AR534" s="23"/>
      <c r="AS534" s="23"/>
      <c r="AT534" s="23"/>
      <c r="AU534" s="23"/>
      <c r="AV534" s="23"/>
      <c r="AW534" s="23"/>
      <c r="AX534" s="23"/>
      <c r="AY534" s="23"/>
      <c r="AZ534" s="23"/>
      <c r="BA534" s="23"/>
      <c r="BB534" s="23"/>
      <c r="BC534" s="23"/>
    </row>
    <row r="535">
      <c r="AO535" s="23"/>
      <c r="AP535" s="23"/>
      <c r="AQ535" s="23"/>
      <c r="AR535" s="23"/>
      <c r="AS535" s="23"/>
      <c r="AT535" s="23"/>
      <c r="AU535" s="23"/>
      <c r="AV535" s="23"/>
      <c r="AW535" s="23"/>
      <c r="AX535" s="23"/>
      <c r="AY535" s="23"/>
      <c r="AZ535" s="23"/>
      <c r="BA535" s="23"/>
      <c r="BB535" s="23"/>
      <c r="BC535" s="23"/>
    </row>
    <row r="536">
      <c r="AO536" s="23"/>
      <c r="AP536" s="23"/>
      <c r="AQ536" s="23"/>
      <c r="AR536" s="23"/>
      <c r="AS536" s="23"/>
      <c r="AT536" s="23"/>
      <c r="AU536" s="23"/>
      <c r="AV536" s="23"/>
      <c r="AW536" s="23"/>
      <c r="AX536" s="23"/>
      <c r="AY536" s="23"/>
      <c r="AZ536" s="23"/>
      <c r="BA536" s="23"/>
      <c r="BB536" s="23"/>
      <c r="BC536" s="23"/>
    </row>
    <row r="537">
      <c r="AO537" s="23"/>
      <c r="AP537" s="23"/>
      <c r="AQ537" s="23"/>
      <c r="AR537" s="23"/>
      <c r="AS537" s="23"/>
      <c r="AT537" s="23"/>
      <c r="AU537" s="23"/>
      <c r="AV537" s="23"/>
      <c r="AW537" s="23"/>
      <c r="AX537" s="23"/>
      <c r="AY537" s="23"/>
      <c r="AZ537" s="23"/>
      <c r="BA537" s="23"/>
      <c r="BB537" s="23"/>
      <c r="BC537" s="23"/>
    </row>
    <row r="538">
      <c r="AO538" s="23"/>
      <c r="AP538" s="23"/>
      <c r="AQ538" s="23"/>
      <c r="AR538" s="23"/>
      <c r="AS538" s="23"/>
      <c r="AT538" s="23"/>
      <c r="AU538" s="23"/>
      <c r="AV538" s="23"/>
      <c r="AW538" s="23"/>
      <c r="AX538" s="23"/>
      <c r="AY538" s="23"/>
      <c r="AZ538" s="23"/>
      <c r="BA538" s="23"/>
      <c r="BB538" s="23"/>
      <c r="BC538" s="23"/>
    </row>
    <row r="539">
      <c r="AO539" s="23"/>
      <c r="AP539" s="23"/>
      <c r="AQ539" s="23"/>
      <c r="AR539" s="23"/>
      <c r="AS539" s="23"/>
      <c r="AT539" s="23"/>
      <c r="AU539" s="23"/>
      <c r="AV539" s="23"/>
      <c r="AW539" s="23"/>
      <c r="AX539" s="23"/>
      <c r="AY539" s="23"/>
      <c r="AZ539" s="23"/>
      <c r="BA539" s="23"/>
      <c r="BB539" s="23"/>
      <c r="BC539" s="23"/>
    </row>
    <row r="540">
      <c r="AO540" s="23"/>
      <c r="AP540" s="23"/>
      <c r="AQ540" s="23"/>
      <c r="AR540" s="23"/>
      <c r="AS540" s="23"/>
      <c r="AT540" s="23"/>
      <c r="AU540" s="23"/>
      <c r="AV540" s="23"/>
      <c r="AW540" s="23"/>
      <c r="AX540" s="23"/>
      <c r="AY540" s="23"/>
      <c r="AZ540" s="23"/>
      <c r="BA540" s="23"/>
      <c r="BB540" s="23"/>
      <c r="BC540" s="23"/>
    </row>
    <row r="541">
      <c r="AO541" s="23"/>
      <c r="AP541" s="23"/>
      <c r="AQ541" s="23"/>
      <c r="AR541" s="23"/>
      <c r="AS541" s="23"/>
      <c r="AT541" s="23"/>
      <c r="AU541" s="23"/>
      <c r="AV541" s="23"/>
      <c r="AW541" s="23"/>
      <c r="AX541" s="23"/>
      <c r="AY541" s="23"/>
      <c r="AZ541" s="23"/>
      <c r="BA541" s="23"/>
      <c r="BB541" s="23"/>
      <c r="BC541" s="23"/>
    </row>
    <row r="542">
      <c r="AO542" s="23"/>
      <c r="AP542" s="23"/>
      <c r="AQ542" s="23"/>
      <c r="AR542" s="23"/>
      <c r="AS542" s="23"/>
      <c r="AT542" s="23"/>
      <c r="AU542" s="23"/>
      <c r="AV542" s="23"/>
      <c r="AW542" s="23"/>
      <c r="AX542" s="23"/>
      <c r="AY542" s="23"/>
      <c r="AZ542" s="23"/>
      <c r="BA542" s="23"/>
      <c r="BB542" s="23"/>
      <c r="BC542" s="23"/>
    </row>
    <row r="543">
      <c r="AO543" s="23"/>
      <c r="AP543" s="23"/>
      <c r="AQ543" s="23"/>
      <c r="AR543" s="23"/>
      <c r="AS543" s="23"/>
      <c r="AT543" s="23"/>
      <c r="AU543" s="23"/>
      <c r="AV543" s="23"/>
      <c r="AW543" s="23"/>
      <c r="AX543" s="23"/>
      <c r="AY543" s="23"/>
      <c r="AZ543" s="23"/>
      <c r="BA543" s="23"/>
      <c r="BB543" s="23"/>
      <c r="BC543" s="23"/>
    </row>
    <row r="544">
      <c r="AO544" s="23"/>
      <c r="AP544" s="23"/>
      <c r="AQ544" s="23"/>
      <c r="AR544" s="23"/>
      <c r="AS544" s="23"/>
      <c r="AT544" s="23"/>
      <c r="AU544" s="23"/>
      <c r="AV544" s="23"/>
      <c r="AW544" s="23"/>
      <c r="AX544" s="23"/>
      <c r="AY544" s="23"/>
      <c r="AZ544" s="23"/>
      <c r="BA544" s="23"/>
      <c r="BB544" s="23"/>
      <c r="BC544" s="23"/>
    </row>
    <row r="545">
      <c r="AO545" s="23"/>
      <c r="AP545" s="23"/>
      <c r="AQ545" s="23"/>
      <c r="AR545" s="23"/>
      <c r="AS545" s="23"/>
      <c r="AT545" s="23"/>
      <c r="AU545" s="23"/>
      <c r="AV545" s="23"/>
      <c r="AW545" s="23"/>
      <c r="AX545" s="23"/>
      <c r="AY545" s="23"/>
      <c r="AZ545" s="23"/>
      <c r="BA545" s="23"/>
      <c r="BB545" s="23"/>
      <c r="BC545" s="23"/>
    </row>
    <row r="546">
      <c r="AO546" s="23"/>
      <c r="AP546" s="23"/>
      <c r="AQ546" s="23"/>
      <c r="AR546" s="23"/>
      <c r="AS546" s="23"/>
      <c r="AT546" s="23"/>
      <c r="AU546" s="23"/>
      <c r="AV546" s="23"/>
      <c r="AW546" s="23"/>
      <c r="AX546" s="23"/>
      <c r="AY546" s="23"/>
      <c r="AZ546" s="23"/>
      <c r="BA546" s="23"/>
      <c r="BB546" s="23"/>
      <c r="BC546" s="23"/>
    </row>
    <row r="547">
      <c r="AO547" s="23"/>
      <c r="AP547" s="23"/>
      <c r="AQ547" s="23"/>
      <c r="AR547" s="23"/>
      <c r="AS547" s="23"/>
      <c r="AT547" s="23"/>
      <c r="AU547" s="23"/>
      <c r="AV547" s="23"/>
      <c r="AW547" s="23"/>
      <c r="AX547" s="23"/>
      <c r="AY547" s="23"/>
      <c r="AZ547" s="23"/>
      <c r="BA547" s="23"/>
      <c r="BB547" s="23"/>
      <c r="BC547" s="23"/>
    </row>
    <row r="548">
      <c r="AO548" s="23"/>
      <c r="AP548" s="23"/>
      <c r="AQ548" s="23"/>
      <c r="AR548" s="23"/>
      <c r="AS548" s="23"/>
      <c r="AT548" s="23"/>
      <c r="AU548" s="23"/>
      <c r="AV548" s="23"/>
      <c r="AW548" s="23"/>
      <c r="AX548" s="23"/>
      <c r="AY548" s="23"/>
      <c r="AZ548" s="23"/>
      <c r="BA548" s="23"/>
      <c r="BB548" s="23"/>
      <c r="BC548" s="23"/>
    </row>
    <row r="549">
      <c r="AO549" s="23"/>
      <c r="AP549" s="23"/>
      <c r="AQ549" s="23"/>
      <c r="AR549" s="23"/>
      <c r="AS549" s="23"/>
      <c r="AT549" s="23"/>
      <c r="AU549" s="23"/>
      <c r="AV549" s="23"/>
      <c r="AW549" s="23"/>
      <c r="AX549" s="23"/>
      <c r="AY549" s="23"/>
      <c r="AZ549" s="23"/>
      <c r="BA549" s="23"/>
      <c r="BB549" s="23"/>
      <c r="BC549" s="23"/>
    </row>
    <row r="550">
      <c r="AO550" s="23"/>
      <c r="AP550" s="23"/>
      <c r="AQ550" s="23"/>
      <c r="AR550" s="23"/>
      <c r="AS550" s="23"/>
      <c r="AT550" s="23"/>
      <c r="AU550" s="23"/>
      <c r="AV550" s="23"/>
      <c r="AW550" s="23"/>
      <c r="AX550" s="23"/>
      <c r="AY550" s="23"/>
      <c r="AZ550" s="23"/>
      <c r="BA550" s="23"/>
      <c r="BB550" s="23"/>
      <c r="BC550" s="23"/>
    </row>
    <row r="551">
      <c r="AO551" s="23"/>
      <c r="AP551" s="23"/>
      <c r="AQ551" s="23"/>
      <c r="AR551" s="23"/>
      <c r="AS551" s="23"/>
      <c r="AT551" s="23"/>
      <c r="AU551" s="23"/>
      <c r="AV551" s="23"/>
      <c r="AW551" s="23"/>
      <c r="AX551" s="23"/>
      <c r="AY551" s="23"/>
      <c r="AZ551" s="23"/>
      <c r="BA551" s="23"/>
      <c r="BB551" s="23"/>
      <c r="BC551" s="23"/>
    </row>
    <row r="552">
      <c r="AO552" s="23"/>
      <c r="AP552" s="23"/>
      <c r="AQ552" s="23"/>
      <c r="AR552" s="23"/>
      <c r="AS552" s="23"/>
      <c r="AT552" s="23"/>
      <c r="AU552" s="23"/>
      <c r="AV552" s="23"/>
      <c r="AW552" s="23"/>
      <c r="AX552" s="23"/>
      <c r="AY552" s="23"/>
      <c r="AZ552" s="23"/>
      <c r="BA552" s="23"/>
      <c r="BB552" s="23"/>
      <c r="BC552" s="23"/>
    </row>
    <row r="553">
      <c r="AO553" s="23"/>
      <c r="AP553" s="23"/>
      <c r="AQ553" s="23"/>
      <c r="AR553" s="23"/>
      <c r="AS553" s="23"/>
      <c r="AT553" s="23"/>
      <c r="AU553" s="23"/>
      <c r="AV553" s="23"/>
      <c r="AW553" s="23"/>
      <c r="AX553" s="23"/>
      <c r="AY553" s="23"/>
      <c r="AZ553" s="23"/>
      <c r="BA553" s="23"/>
      <c r="BB553" s="23"/>
      <c r="BC553" s="23"/>
    </row>
    <row r="554">
      <c r="AO554" s="23"/>
      <c r="AP554" s="23"/>
      <c r="AQ554" s="23"/>
      <c r="AR554" s="23"/>
      <c r="AS554" s="23"/>
      <c r="AT554" s="23"/>
      <c r="AU554" s="23"/>
      <c r="AV554" s="23"/>
      <c r="AW554" s="23"/>
      <c r="AX554" s="23"/>
      <c r="AY554" s="23"/>
      <c r="AZ554" s="23"/>
      <c r="BA554" s="23"/>
      <c r="BB554" s="23"/>
      <c r="BC554" s="23"/>
    </row>
    <row r="555">
      <c r="AO555" s="23"/>
      <c r="AP555" s="23"/>
      <c r="AQ555" s="23"/>
      <c r="AR555" s="23"/>
      <c r="AS555" s="23"/>
      <c r="AT555" s="23"/>
      <c r="AU555" s="23"/>
      <c r="AV555" s="23"/>
      <c r="AW555" s="23"/>
      <c r="AX555" s="23"/>
      <c r="AY555" s="23"/>
      <c r="AZ555" s="23"/>
      <c r="BA555" s="23"/>
      <c r="BB555" s="23"/>
      <c r="BC555" s="23"/>
    </row>
    <row r="556">
      <c r="AO556" s="23"/>
      <c r="AP556" s="23"/>
      <c r="AQ556" s="23"/>
      <c r="AR556" s="23"/>
      <c r="AS556" s="23"/>
      <c r="AT556" s="23"/>
      <c r="AU556" s="23"/>
      <c r="AV556" s="23"/>
      <c r="AW556" s="23"/>
      <c r="AX556" s="23"/>
      <c r="AY556" s="23"/>
      <c r="AZ556" s="23"/>
      <c r="BA556" s="23"/>
      <c r="BB556" s="23"/>
      <c r="BC556" s="23"/>
    </row>
    <row r="557">
      <c r="AO557" s="23"/>
      <c r="AP557" s="23"/>
      <c r="AQ557" s="23"/>
      <c r="AR557" s="23"/>
      <c r="AS557" s="23"/>
      <c r="AT557" s="23"/>
      <c r="AU557" s="23"/>
      <c r="AV557" s="23"/>
      <c r="AW557" s="23"/>
      <c r="AX557" s="23"/>
      <c r="AY557" s="23"/>
      <c r="AZ557" s="23"/>
      <c r="BA557" s="23"/>
      <c r="BB557" s="23"/>
      <c r="BC557" s="23"/>
    </row>
    <row r="558">
      <c r="AO558" s="23"/>
      <c r="AP558" s="23"/>
      <c r="AQ558" s="23"/>
      <c r="AR558" s="23"/>
      <c r="AS558" s="23"/>
      <c r="AT558" s="23"/>
      <c r="AU558" s="23"/>
      <c r="AV558" s="23"/>
      <c r="AW558" s="23"/>
      <c r="AX558" s="23"/>
      <c r="AY558" s="23"/>
      <c r="AZ558" s="23"/>
      <c r="BA558" s="23"/>
      <c r="BB558" s="23"/>
      <c r="BC558" s="23"/>
    </row>
    <row r="559">
      <c r="AO559" s="23"/>
      <c r="AP559" s="23"/>
      <c r="AQ559" s="23"/>
      <c r="AR559" s="23"/>
      <c r="AS559" s="23"/>
      <c r="AT559" s="23"/>
      <c r="AU559" s="23"/>
      <c r="AV559" s="23"/>
      <c r="AW559" s="23"/>
      <c r="AX559" s="23"/>
      <c r="AY559" s="23"/>
      <c r="AZ559" s="23"/>
      <c r="BA559" s="23"/>
      <c r="BB559" s="23"/>
      <c r="BC559" s="23"/>
    </row>
    <row r="560">
      <c r="AO560" s="23"/>
      <c r="AP560" s="23"/>
      <c r="AQ560" s="23"/>
      <c r="AR560" s="23"/>
      <c r="AS560" s="23"/>
      <c r="AT560" s="23"/>
      <c r="AU560" s="23"/>
      <c r="AV560" s="23"/>
      <c r="AW560" s="23"/>
      <c r="AX560" s="23"/>
      <c r="AY560" s="23"/>
      <c r="AZ560" s="23"/>
      <c r="BA560" s="23"/>
      <c r="BB560" s="23"/>
      <c r="BC560" s="23"/>
    </row>
    <row r="561">
      <c r="AO561" s="23"/>
      <c r="AP561" s="23"/>
      <c r="AQ561" s="23"/>
      <c r="AR561" s="23"/>
      <c r="AS561" s="23"/>
      <c r="AT561" s="23"/>
      <c r="AU561" s="23"/>
      <c r="AV561" s="23"/>
      <c r="AW561" s="23"/>
      <c r="AX561" s="23"/>
      <c r="AY561" s="23"/>
      <c r="AZ561" s="23"/>
      <c r="BA561" s="23"/>
      <c r="BB561" s="23"/>
      <c r="BC561" s="23"/>
    </row>
    <row r="562">
      <c r="AO562" s="23"/>
      <c r="AP562" s="23"/>
      <c r="AQ562" s="23"/>
      <c r="AR562" s="23"/>
      <c r="AS562" s="23"/>
      <c r="AT562" s="23"/>
      <c r="AU562" s="23"/>
      <c r="AV562" s="23"/>
      <c r="AW562" s="23"/>
      <c r="AX562" s="23"/>
      <c r="AY562" s="23"/>
      <c r="AZ562" s="23"/>
      <c r="BA562" s="23"/>
      <c r="BB562" s="23"/>
      <c r="BC562" s="23"/>
    </row>
    <row r="563">
      <c r="AO563" s="23"/>
      <c r="AP563" s="23"/>
      <c r="AQ563" s="23"/>
      <c r="AR563" s="23"/>
      <c r="AS563" s="23"/>
      <c r="AT563" s="23"/>
      <c r="AU563" s="23"/>
      <c r="AV563" s="23"/>
      <c r="AW563" s="23"/>
      <c r="AX563" s="23"/>
      <c r="AY563" s="23"/>
      <c r="AZ563" s="23"/>
      <c r="BA563" s="23"/>
      <c r="BB563" s="23"/>
      <c r="BC563" s="23"/>
    </row>
    <row r="564">
      <c r="AO564" s="23"/>
      <c r="AP564" s="23"/>
      <c r="AQ564" s="23"/>
      <c r="AR564" s="23"/>
      <c r="AS564" s="23"/>
      <c r="AT564" s="23"/>
      <c r="AU564" s="23"/>
      <c r="AV564" s="23"/>
      <c r="AW564" s="23"/>
      <c r="AX564" s="23"/>
      <c r="AY564" s="23"/>
      <c r="AZ564" s="23"/>
      <c r="BA564" s="23"/>
      <c r="BB564" s="23"/>
      <c r="BC564" s="23"/>
    </row>
    <row r="565">
      <c r="AO565" s="23"/>
      <c r="AP565" s="23"/>
      <c r="AQ565" s="23"/>
      <c r="AR565" s="23"/>
      <c r="AS565" s="23"/>
      <c r="AT565" s="23"/>
      <c r="AU565" s="23"/>
      <c r="AV565" s="23"/>
      <c r="AW565" s="23"/>
      <c r="AX565" s="23"/>
      <c r="AY565" s="23"/>
      <c r="AZ565" s="23"/>
      <c r="BA565" s="23"/>
      <c r="BB565" s="23"/>
      <c r="BC565" s="23"/>
    </row>
    <row r="566">
      <c r="AO566" s="23"/>
      <c r="AP566" s="23"/>
      <c r="AQ566" s="23"/>
      <c r="AR566" s="23"/>
      <c r="AS566" s="23"/>
      <c r="AT566" s="23"/>
      <c r="AU566" s="23"/>
      <c r="AV566" s="23"/>
      <c r="AW566" s="23"/>
      <c r="AX566" s="23"/>
      <c r="AY566" s="23"/>
      <c r="AZ566" s="23"/>
      <c r="BA566" s="23"/>
      <c r="BB566" s="23"/>
      <c r="BC566" s="23"/>
    </row>
    <row r="567">
      <c r="AO567" s="23"/>
      <c r="AP567" s="23"/>
      <c r="AQ567" s="23"/>
      <c r="AR567" s="23"/>
      <c r="AS567" s="23"/>
      <c r="AT567" s="23"/>
      <c r="AU567" s="23"/>
      <c r="AV567" s="23"/>
      <c r="AW567" s="23"/>
      <c r="AX567" s="23"/>
      <c r="AY567" s="23"/>
      <c r="AZ567" s="23"/>
      <c r="BA567" s="23"/>
      <c r="BB567" s="23"/>
      <c r="BC567" s="23"/>
    </row>
    <row r="568">
      <c r="AO568" s="23"/>
      <c r="AP568" s="23"/>
      <c r="AQ568" s="23"/>
      <c r="AR568" s="23"/>
      <c r="AS568" s="23"/>
      <c r="AT568" s="23"/>
      <c r="AU568" s="23"/>
      <c r="AV568" s="23"/>
      <c r="AW568" s="23"/>
      <c r="AX568" s="23"/>
      <c r="AY568" s="23"/>
      <c r="AZ568" s="23"/>
      <c r="BA568" s="23"/>
      <c r="BB568" s="23"/>
      <c r="BC568" s="23"/>
    </row>
    <row r="569">
      <c r="AO569" s="23"/>
      <c r="AP569" s="23"/>
      <c r="AQ569" s="23"/>
      <c r="AR569" s="23"/>
      <c r="AS569" s="23"/>
      <c r="AT569" s="23"/>
      <c r="AU569" s="23"/>
      <c r="AV569" s="23"/>
      <c r="AW569" s="23"/>
      <c r="AX569" s="23"/>
      <c r="AY569" s="23"/>
      <c r="AZ569" s="23"/>
      <c r="BA569" s="23"/>
      <c r="BB569" s="23"/>
      <c r="BC569" s="23"/>
    </row>
    <row r="570">
      <c r="AO570" s="23"/>
      <c r="AP570" s="23"/>
      <c r="AQ570" s="23"/>
      <c r="AR570" s="23"/>
      <c r="AS570" s="23"/>
      <c r="AT570" s="23"/>
      <c r="AU570" s="23"/>
      <c r="AV570" s="23"/>
      <c r="AW570" s="23"/>
      <c r="AX570" s="23"/>
      <c r="AY570" s="23"/>
      <c r="AZ570" s="23"/>
      <c r="BA570" s="23"/>
      <c r="BB570" s="23"/>
      <c r="BC570" s="23"/>
    </row>
    <row r="571">
      <c r="AO571" s="23"/>
      <c r="AP571" s="23"/>
      <c r="AQ571" s="23"/>
      <c r="AR571" s="23"/>
      <c r="AS571" s="23"/>
      <c r="AT571" s="23"/>
      <c r="AU571" s="23"/>
      <c r="AV571" s="23"/>
      <c r="AW571" s="23"/>
      <c r="AX571" s="23"/>
      <c r="AY571" s="23"/>
      <c r="AZ571" s="23"/>
      <c r="BA571" s="23"/>
      <c r="BB571" s="23"/>
      <c r="BC571" s="23"/>
    </row>
    <row r="572">
      <c r="AO572" s="23"/>
      <c r="AP572" s="23"/>
      <c r="AQ572" s="23"/>
      <c r="AR572" s="23"/>
      <c r="AS572" s="23"/>
      <c r="AT572" s="23"/>
      <c r="AU572" s="23"/>
      <c r="AV572" s="23"/>
      <c r="AW572" s="23"/>
      <c r="AX572" s="23"/>
      <c r="AY572" s="23"/>
      <c r="AZ572" s="23"/>
      <c r="BA572" s="23"/>
      <c r="BB572" s="23"/>
      <c r="BC572" s="23"/>
    </row>
    <row r="573">
      <c r="AO573" s="23"/>
      <c r="AP573" s="23"/>
      <c r="AQ573" s="23"/>
      <c r="AR573" s="23"/>
      <c r="AS573" s="23"/>
      <c r="AT573" s="23"/>
      <c r="AU573" s="23"/>
      <c r="AV573" s="23"/>
      <c r="AW573" s="23"/>
      <c r="AX573" s="23"/>
      <c r="AY573" s="23"/>
      <c r="AZ573" s="23"/>
      <c r="BA573" s="23"/>
      <c r="BB573" s="23"/>
      <c r="BC573" s="23"/>
    </row>
    <row r="574">
      <c r="AO574" s="23"/>
      <c r="AP574" s="23"/>
      <c r="AQ574" s="23"/>
      <c r="AR574" s="23"/>
      <c r="AS574" s="23"/>
      <c r="AT574" s="23"/>
      <c r="AU574" s="23"/>
      <c r="AV574" s="23"/>
      <c r="AW574" s="23"/>
      <c r="AX574" s="23"/>
      <c r="AY574" s="23"/>
      <c r="AZ574" s="23"/>
      <c r="BA574" s="23"/>
      <c r="BB574" s="23"/>
      <c r="BC574" s="23"/>
    </row>
    <row r="575">
      <c r="AO575" s="23"/>
      <c r="AP575" s="23"/>
      <c r="AQ575" s="23"/>
      <c r="AR575" s="23"/>
      <c r="AS575" s="23"/>
      <c r="AT575" s="23"/>
      <c r="AU575" s="23"/>
      <c r="AV575" s="23"/>
      <c r="AW575" s="23"/>
      <c r="AX575" s="23"/>
      <c r="AY575" s="23"/>
      <c r="AZ575" s="23"/>
      <c r="BA575" s="23"/>
      <c r="BB575" s="23"/>
      <c r="BC575" s="23"/>
    </row>
    <row r="576">
      <c r="AO576" s="23"/>
      <c r="AP576" s="23"/>
      <c r="AQ576" s="23"/>
      <c r="AR576" s="23"/>
      <c r="AS576" s="23"/>
      <c r="AT576" s="23"/>
      <c r="AU576" s="23"/>
      <c r="AV576" s="23"/>
      <c r="AW576" s="23"/>
      <c r="AX576" s="23"/>
      <c r="AY576" s="23"/>
      <c r="AZ576" s="23"/>
      <c r="BA576" s="23"/>
      <c r="BB576" s="23"/>
      <c r="BC576" s="23"/>
    </row>
    <row r="577">
      <c r="AO577" s="23"/>
      <c r="AP577" s="23"/>
      <c r="AQ577" s="23"/>
      <c r="AR577" s="23"/>
      <c r="AS577" s="23"/>
      <c r="AT577" s="23"/>
      <c r="AU577" s="23"/>
      <c r="AV577" s="23"/>
      <c r="AW577" s="23"/>
      <c r="AX577" s="23"/>
      <c r="AY577" s="23"/>
      <c r="AZ577" s="23"/>
      <c r="BA577" s="23"/>
      <c r="BB577" s="23"/>
      <c r="BC577" s="23"/>
    </row>
    <row r="578">
      <c r="AO578" s="23"/>
      <c r="AP578" s="23"/>
      <c r="AQ578" s="23"/>
      <c r="AR578" s="23"/>
      <c r="AS578" s="23"/>
      <c r="AT578" s="23"/>
      <c r="AU578" s="23"/>
      <c r="AV578" s="23"/>
      <c r="AW578" s="23"/>
      <c r="AX578" s="23"/>
      <c r="AY578" s="23"/>
      <c r="AZ578" s="23"/>
      <c r="BA578" s="23"/>
      <c r="BB578" s="23"/>
      <c r="BC578" s="23"/>
    </row>
    <row r="579">
      <c r="AO579" s="23"/>
      <c r="AP579" s="23"/>
      <c r="AQ579" s="23"/>
      <c r="AR579" s="23"/>
      <c r="AS579" s="23"/>
      <c r="AT579" s="23"/>
      <c r="AU579" s="23"/>
      <c r="AV579" s="23"/>
      <c r="AW579" s="23"/>
      <c r="AX579" s="23"/>
      <c r="AY579" s="23"/>
      <c r="AZ579" s="23"/>
      <c r="BA579" s="23"/>
      <c r="BB579" s="23"/>
      <c r="BC579" s="23"/>
    </row>
    <row r="580">
      <c r="AO580" s="23"/>
      <c r="AP580" s="23"/>
      <c r="AQ580" s="23"/>
      <c r="AR580" s="23"/>
      <c r="AS580" s="23"/>
      <c r="AT580" s="23"/>
      <c r="AU580" s="23"/>
      <c r="AV580" s="23"/>
      <c r="AW580" s="23"/>
      <c r="AX580" s="23"/>
      <c r="AY580" s="23"/>
      <c r="AZ580" s="23"/>
      <c r="BA580" s="23"/>
      <c r="BB580" s="23"/>
      <c r="BC580" s="23"/>
    </row>
    <row r="581">
      <c r="AO581" s="23"/>
      <c r="AP581" s="23"/>
      <c r="AQ581" s="23"/>
      <c r="AR581" s="23"/>
      <c r="AS581" s="23"/>
      <c r="AT581" s="23"/>
      <c r="AU581" s="23"/>
      <c r="AV581" s="23"/>
      <c r="AW581" s="23"/>
      <c r="AX581" s="23"/>
      <c r="AY581" s="23"/>
      <c r="AZ581" s="23"/>
      <c r="BA581" s="23"/>
      <c r="BB581" s="23"/>
      <c r="BC581" s="23"/>
    </row>
    <row r="582">
      <c r="AO582" s="23"/>
      <c r="AP582" s="23"/>
      <c r="AQ582" s="23"/>
      <c r="AR582" s="23"/>
      <c r="AS582" s="23"/>
      <c r="AT582" s="23"/>
      <c r="AU582" s="23"/>
      <c r="AV582" s="23"/>
      <c r="AW582" s="23"/>
      <c r="AX582" s="23"/>
      <c r="AY582" s="23"/>
      <c r="AZ582" s="23"/>
      <c r="BA582" s="23"/>
      <c r="BB582" s="23"/>
      <c r="BC582" s="23"/>
    </row>
    <row r="583">
      <c r="AO583" s="23"/>
      <c r="AP583" s="23"/>
      <c r="AQ583" s="23"/>
      <c r="AR583" s="23"/>
      <c r="AS583" s="23"/>
      <c r="AT583" s="23"/>
      <c r="AU583" s="23"/>
      <c r="AV583" s="23"/>
      <c r="AW583" s="23"/>
      <c r="AX583" s="23"/>
      <c r="AY583" s="23"/>
      <c r="AZ583" s="23"/>
      <c r="BA583" s="23"/>
      <c r="BB583" s="23"/>
      <c r="BC583" s="23"/>
    </row>
    <row r="584">
      <c r="AO584" s="23"/>
      <c r="AP584" s="23"/>
      <c r="AQ584" s="23"/>
      <c r="AR584" s="23"/>
      <c r="AS584" s="23"/>
      <c r="AT584" s="23"/>
      <c r="AU584" s="23"/>
      <c r="AV584" s="23"/>
      <c r="AW584" s="23"/>
      <c r="AX584" s="23"/>
      <c r="AY584" s="23"/>
      <c r="AZ584" s="23"/>
      <c r="BA584" s="23"/>
      <c r="BB584" s="23"/>
      <c r="BC584" s="23"/>
    </row>
    <row r="585">
      <c r="AO585" s="23"/>
      <c r="AP585" s="23"/>
      <c r="AQ585" s="23"/>
      <c r="AR585" s="23"/>
      <c r="AS585" s="23"/>
      <c r="AT585" s="23"/>
      <c r="AU585" s="23"/>
      <c r="AV585" s="23"/>
      <c r="AW585" s="23"/>
      <c r="AX585" s="23"/>
      <c r="AY585" s="23"/>
      <c r="AZ585" s="23"/>
      <c r="BA585" s="23"/>
      <c r="BB585" s="23"/>
      <c r="BC585" s="23"/>
    </row>
    <row r="586">
      <c r="AO586" s="23"/>
      <c r="AP586" s="23"/>
      <c r="AQ586" s="23"/>
      <c r="AR586" s="23"/>
      <c r="AS586" s="23"/>
      <c r="AT586" s="23"/>
      <c r="AU586" s="23"/>
      <c r="AV586" s="23"/>
      <c r="AW586" s="23"/>
      <c r="AX586" s="23"/>
      <c r="AY586" s="23"/>
      <c r="AZ586" s="23"/>
      <c r="BA586" s="23"/>
      <c r="BB586" s="23"/>
      <c r="BC586" s="23"/>
    </row>
    <row r="587">
      <c r="AO587" s="23"/>
      <c r="AP587" s="23"/>
      <c r="AQ587" s="23"/>
      <c r="AR587" s="23"/>
      <c r="AS587" s="23"/>
      <c r="AT587" s="23"/>
      <c r="AU587" s="23"/>
      <c r="AV587" s="23"/>
      <c r="AW587" s="23"/>
      <c r="AX587" s="23"/>
      <c r="AY587" s="23"/>
      <c r="AZ587" s="23"/>
      <c r="BA587" s="23"/>
      <c r="BB587" s="23"/>
      <c r="BC587" s="23"/>
    </row>
    <row r="588">
      <c r="AO588" s="23"/>
      <c r="AP588" s="23"/>
      <c r="AQ588" s="23"/>
      <c r="AR588" s="23"/>
      <c r="AS588" s="23"/>
      <c r="AT588" s="23"/>
      <c r="AU588" s="23"/>
      <c r="AV588" s="23"/>
      <c r="AW588" s="23"/>
      <c r="AX588" s="23"/>
      <c r="AY588" s="23"/>
      <c r="AZ588" s="23"/>
      <c r="BA588" s="23"/>
      <c r="BB588" s="23"/>
      <c r="BC588" s="23"/>
    </row>
    <row r="589">
      <c r="AO589" s="23"/>
      <c r="AP589" s="23"/>
      <c r="AQ589" s="23"/>
      <c r="AR589" s="23"/>
      <c r="AS589" s="23"/>
      <c r="AT589" s="23"/>
      <c r="AU589" s="23"/>
      <c r="AV589" s="23"/>
      <c r="AW589" s="23"/>
      <c r="AX589" s="23"/>
      <c r="AY589" s="23"/>
      <c r="AZ589" s="23"/>
      <c r="BA589" s="23"/>
      <c r="BB589" s="23"/>
      <c r="BC589" s="23"/>
    </row>
    <row r="590">
      <c r="AO590" s="23"/>
      <c r="AP590" s="23"/>
      <c r="AQ590" s="23"/>
      <c r="AR590" s="23"/>
      <c r="AS590" s="23"/>
      <c r="AT590" s="23"/>
      <c r="AU590" s="23"/>
      <c r="AV590" s="23"/>
      <c r="AW590" s="23"/>
      <c r="AX590" s="23"/>
      <c r="AY590" s="23"/>
      <c r="AZ590" s="23"/>
      <c r="BA590" s="23"/>
      <c r="BB590" s="23"/>
      <c r="BC590" s="23"/>
    </row>
    <row r="591">
      <c r="AO591" s="23"/>
      <c r="AP591" s="23"/>
      <c r="AQ591" s="23"/>
      <c r="AR591" s="23"/>
      <c r="AS591" s="23"/>
      <c r="AT591" s="23"/>
      <c r="AU591" s="23"/>
      <c r="AV591" s="23"/>
      <c r="AW591" s="23"/>
      <c r="AX591" s="23"/>
      <c r="AY591" s="23"/>
      <c r="AZ591" s="23"/>
      <c r="BA591" s="23"/>
      <c r="BB591" s="23"/>
      <c r="BC591" s="23"/>
    </row>
    <row r="592">
      <c r="AO592" s="23"/>
      <c r="AP592" s="23"/>
      <c r="AQ592" s="23"/>
      <c r="AR592" s="23"/>
      <c r="AS592" s="23"/>
      <c r="AT592" s="23"/>
      <c r="AU592" s="23"/>
      <c r="AV592" s="23"/>
      <c r="AW592" s="23"/>
      <c r="AX592" s="23"/>
      <c r="AY592" s="23"/>
      <c r="AZ592" s="23"/>
      <c r="BA592" s="23"/>
      <c r="BB592" s="23"/>
      <c r="BC592" s="23"/>
    </row>
    <row r="593">
      <c r="AO593" s="23"/>
      <c r="AP593" s="23"/>
      <c r="AQ593" s="23"/>
      <c r="AR593" s="23"/>
      <c r="AS593" s="23"/>
      <c r="AT593" s="23"/>
      <c r="AU593" s="23"/>
      <c r="AV593" s="23"/>
      <c r="AW593" s="23"/>
      <c r="AX593" s="23"/>
      <c r="AY593" s="23"/>
      <c r="AZ593" s="23"/>
      <c r="BA593" s="23"/>
      <c r="BB593" s="23"/>
      <c r="BC593" s="23"/>
    </row>
    <row r="594">
      <c r="AO594" s="23"/>
      <c r="AP594" s="23"/>
      <c r="AQ594" s="23"/>
      <c r="AR594" s="23"/>
      <c r="AS594" s="23"/>
      <c r="AT594" s="23"/>
      <c r="AU594" s="23"/>
      <c r="AV594" s="23"/>
      <c r="AW594" s="23"/>
      <c r="AX594" s="23"/>
      <c r="AY594" s="23"/>
      <c r="AZ594" s="23"/>
      <c r="BA594" s="23"/>
      <c r="BB594" s="23"/>
      <c r="BC594" s="23"/>
    </row>
    <row r="595">
      <c r="AO595" s="23"/>
      <c r="AP595" s="23"/>
      <c r="AQ595" s="23"/>
      <c r="AR595" s="23"/>
      <c r="AS595" s="23"/>
      <c r="AT595" s="23"/>
      <c r="AU595" s="23"/>
      <c r="AV595" s="23"/>
      <c r="AW595" s="23"/>
      <c r="AX595" s="23"/>
      <c r="AY595" s="23"/>
      <c r="AZ595" s="23"/>
      <c r="BA595" s="23"/>
      <c r="BB595" s="23"/>
      <c r="BC595" s="23"/>
    </row>
    <row r="596">
      <c r="AO596" s="23"/>
      <c r="AP596" s="23"/>
      <c r="AQ596" s="23"/>
      <c r="AR596" s="23"/>
      <c r="AS596" s="23"/>
      <c r="AT596" s="23"/>
      <c r="AU596" s="23"/>
      <c r="AV596" s="23"/>
      <c r="AW596" s="23"/>
      <c r="AX596" s="23"/>
      <c r="AY596" s="23"/>
      <c r="AZ596" s="23"/>
      <c r="BA596" s="23"/>
      <c r="BB596" s="23"/>
      <c r="BC596" s="23"/>
    </row>
    <row r="597">
      <c r="AO597" s="23"/>
      <c r="AP597" s="23"/>
      <c r="AQ597" s="23"/>
      <c r="AR597" s="23"/>
      <c r="AS597" s="23"/>
      <c r="AT597" s="23"/>
      <c r="AU597" s="23"/>
      <c r="AV597" s="23"/>
      <c r="AW597" s="23"/>
      <c r="AX597" s="23"/>
      <c r="AY597" s="23"/>
      <c r="AZ597" s="23"/>
      <c r="BA597" s="23"/>
      <c r="BB597" s="23"/>
      <c r="BC597" s="23"/>
    </row>
    <row r="598">
      <c r="AO598" s="23"/>
      <c r="AP598" s="23"/>
      <c r="AQ598" s="23"/>
      <c r="AR598" s="23"/>
      <c r="AS598" s="23"/>
      <c r="AT598" s="23"/>
      <c r="AU598" s="23"/>
      <c r="AV598" s="23"/>
      <c r="AW598" s="23"/>
      <c r="AX598" s="23"/>
      <c r="AY598" s="23"/>
      <c r="AZ598" s="23"/>
      <c r="BA598" s="23"/>
      <c r="BB598" s="23"/>
      <c r="BC598" s="23"/>
    </row>
    <row r="599">
      <c r="AO599" s="23"/>
      <c r="AP599" s="23"/>
      <c r="AQ599" s="23"/>
      <c r="AR599" s="23"/>
      <c r="AS599" s="23"/>
      <c r="AT599" s="23"/>
      <c r="AU599" s="23"/>
      <c r="AV599" s="23"/>
      <c r="AW599" s="23"/>
      <c r="AX599" s="23"/>
      <c r="AY599" s="23"/>
      <c r="AZ599" s="23"/>
      <c r="BA599" s="23"/>
      <c r="BB599" s="23"/>
      <c r="BC599" s="23"/>
    </row>
    <row r="600">
      <c r="AO600" s="23"/>
      <c r="AP600" s="23"/>
      <c r="AQ600" s="23"/>
      <c r="AR600" s="23"/>
      <c r="AS600" s="23"/>
      <c r="AT600" s="23"/>
      <c r="AU600" s="23"/>
      <c r="AV600" s="23"/>
      <c r="AW600" s="23"/>
      <c r="AX600" s="23"/>
      <c r="AY600" s="23"/>
      <c r="AZ600" s="23"/>
      <c r="BA600" s="23"/>
      <c r="BB600" s="23"/>
      <c r="BC600" s="23"/>
    </row>
    <row r="601">
      <c r="AO601" s="23"/>
      <c r="AP601" s="23"/>
      <c r="AQ601" s="23"/>
      <c r="AR601" s="23"/>
      <c r="AS601" s="23"/>
      <c r="AT601" s="23"/>
      <c r="AU601" s="23"/>
      <c r="AV601" s="23"/>
      <c r="AW601" s="23"/>
      <c r="AX601" s="23"/>
      <c r="AY601" s="23"/>
      <c r="AZ601" s="23"/>
      <c r="BA601" s="23"/>
      <c r="BB601" s="23"/>
      <c r="BC601" s="23"/>
    </row>
    <row r="602">
      <c r="AO602" s="23"/>
      <c r="AP602" s="23"/>
      <c r="AQ602" s="23"/>
      <c r="AR602" s="23"/>
      <c r="AS602" s="23"/>
      <c r="AT602" s="23"/>
      <c r="AU602" s="23"/>
      <c r="AV602" s="23"/>
      <c r="AW602" s="23"/>
      <c r="AX602" s="23"/>
      <c r="AY602" s="23"/>
      <c r="AZ602" s="23"/>
      <c r="BA602" s="23"/>
      <c r="BB602" s="23"/>
      <c r="BC602" s="23"/>
    </row>
    <row r="603">
      <c r="AO603" s="23"/>
      <c r="AP603" s="23"/>
      <c r="AQ603" s="23"/>
      <c r="AR603" s="23"/>
      <c r="AS603" s="23"/>
      <c r="AT603" s="23"/>
      <c r="AU603" s="23"/>
      <c r="AV603" s="23"/>
      <c r="AW603" s="23"/>
      <c r="AX603" s="23"/>
      <c r="AY603" s="23"/>
      <c r="AZ603" s="23"/>
      <c r="BA603" s="23"/>
      <c r="BB603" s="23"/>
      <c r="BC603" s="23"/>
    </row>
    <row r="604">
      <c r="AO604" s="23"/>
      <c r="AP604" s="23"/>
      <c r="AQ604" s="23"/>
      <c r="AR604" s="23"/>
      <c r="AS604" s="23"/>
      <c r="AT604" s="23"/>
      <c r="AU604" s="23"/>
      <c r="AV604" s="23"/>
      <c r="AW604" s="23"/>
      <c r="AX604" s="23"/>
      <c r="AY604" s="23"/>
      <c r="AZ604" s="23"/>
      <c r="BA604" s="23"/>
      <c r="BB604" s="23"/>
      <c r="BC604" s="23"/>
    </row>
    <row r="605">
      <c r="AO605" s="23"/>
      <c r="AP605" s="23"/>
      <c r="AQ605" s="23"/>
      <c r="AR605" s="23"/>
      <c r="AS605" s="23"/>
      <c r="AT605" s="23"/>
      <c r="AU605" s="23"/>
      <c r="AV605" s="23"/>
      <c r="AW605" s="23"/>
      <c r="AX605" s="23"/>
      <c r="AY605" s="23"/>
      <c r="AZ605" s="23"/>
      <c r="BA605" s="23"/>
      <c r="BB605" s="23"/>
      <c r="BC605" s="23"/>
    </row>
    <row r="606">
      <c r="AO606" s="23"/>
      <c r="AP606" s="23"/>
      <c r="AQ606" s="23"/>
      <c r="AR606" s="23"/>
      <c r="AS606" s="23"/>
      <c r="AT606" s="23"/>
      <c r="AU606" s="23"/>
      <c r="AV606" s="23"/>
      <c r="AW606" s="23"/>
      <c r="AX606" s="23"/>
      <c r="AY606" s="23"/>
      <c r="AZ606" s="23"/>
      <c r="BA606" s="23"/>
      <c r="BB606" s="23"/>
      <c r="BC606" s="23"/>
    </row>
    <row r="607">
      <c r="AO607" s="23"/>
      <c r="AP607" s="23"/>
      <c r="AQ607" s="23"/>
      <c r="AR607" s="23"/>
      <c r="AS607" s="23"/>
      <c r="AT607" s="23"/>
      <c r="AU607" s="23"/>
      <c r="AV607" s="23"/>
      <c r="AW607" s="23"/>
      <c r="AX607" s="23"/>
      <c r="AY607" s="23"/>
      <c r="AZ607" s="23"/>
      <c r="BA607" s="23"/>
      <c r="BB607" s="23"/>
      <c r="BC607" s="23"/>
    </row>
    <row r="608">
      <c r="AO608" s="23"/>
      <c r="AP608" s="23"/>
      <c r="AQ608" s="23"/>
      <c r="AR608" s="23"/>
      <c r="AS608" s="23"/>
      <c r="AT608" s="23"/>
      <c r="AU608" s="23"/>
      <c r="AV608" s="23"/>
      <c r="AW608" s="23"/>
      <c r="AX608" s="23"/>
      <c r="AY608" s="23"/>
      <c r="AZ608" s="23"/>
      <c r="BA608" s="23"/>
      <c r="BB608" s="23"/>
      <c r="BC608" s="23"/>
    </row>
    <row r="609">
      <c r="AO609" s="23"/>
      <c r="AP609" s="23"/>
      <c r="AQ609" s="23"/>
      <c r="AR609" s="23"/>
      <c r="AS609" s="23"/>
      <c r="AT609" s="23"/>
      <c r="AU609" s="23"/>
      <c r="AV609" s="23"/>
      <c r="AW609" s="23"/>
      <c r="AX609" s="23"/>
      <c r="AY609" s="23"/>
      <c r="AZ609" s="23"/>
      <c r="BA609" s="23"/>
      <c r="BB609" s="23"/>
      <c r="BC609" s="23"/>
    </row>
    <row r="610">
      <c r="AO610" s="23"/>
      <c r="AP610" s="23"/>
      <c r="AQ610" s="23"/>
      <c r="AR610" s="23"/>
      <c r="AS610" s="23"/>
      <c r="AT610" s="23"/>
      <c r="AU610" s="23"/>
      <c r="AV610" s="23"/>
      <c r="AW610" s="23"/>
      <c r="AX610" s="23"/>
      <c r="AY610" s="23"/>
      <c r="AZ610" s="23"/>
      <c r="BA610" s="23"/>
      <c r="BB610" s="23"/>
      <c r="BC610" s="23"/>
    </row>
    <row r="611">
      <c r="AO611" s="23"/>
      <c r="AP611" s="23"/>
      <c r="AQ611" s="23"/>
      <c r="AR611" s="23"/>
      <c r="AS611" s="23"/>
      <c r="AT611" s="23"/>
      <c r="AU611" s="23"/>
      <c r="AV611" s="23"/>
      <c r="AW611" s="23"/>
      <c r="AX611" s="23"/>
      <c r="AY611" s="23"/>
      <c r="AZ611" s="23"/>
      <c r="BA611" s="23"/>
      <c r="BB611" s="23"/>
      <c r="BC611" s="23"/>
    </row>
    <row r="612">
      <c r="AO612" s="23"/>
      <c r="AP612" s="23"/>
      <c r="AQ612" s="23"/>
      <c r="AR612" s="23"/>
      <c r="AS612" s="23"/>
      <c r="AT612" s="23"/>
      <c r="AU612" s="23"/>
      <c r="AV612" s="23"/>
      <c r="AW612" s="23"/>
      <c r="AX612" s="23"/>
      <c r="AY612" s="23"/>
      <c r="AZ612" s="23"/>
      <c r="BA612" s="23"/>
      <c r="BB612" s="23"/>
      <c r="BC612" s="23"/>
    </row>
    <row r="613">
      <c r="AO613" s="23"/>
      <c r="AP613" s="23"/>
      <c r="AQ613" s="23"/>
      <c r="AR613" s="23"/>
      <c r="AS613" s="23"/>
      <c r="AT613" s="23"/>
      <c r="AU613" s="23"/>
      <c r="AV613" s="23"/>
      <c r="AW613" s="23"/>
      <c r="AX613" s="23"/>
      <c r="AY613" s="23"/>
      <c r="AZ613" s="23"/>
      <c r="BA613" s="23"/>
      <c r="BB613" s="23"/>
      <c r="BC613" s="23"/>
    </row>
    <row r="614">
      <c r="AO614" s="23"/>
      <c r="AP614" s="23"/>
      <c r="AQ614" s="23"/>
      <c r="AR614" s="23"/>
      <c r="AS614" s="23"/>
      <c r="AT614" s="23"/>
      <c r="AU614" s="23"/>
      <c r="AV614" s="23"/>
      <c r="AW614" s="23"/>
      <c r="AX614" s="23"/>
      <c r="AY614" s="23"/>
      <c r="AZ614" s="23"/>
      <c r="BA614" s="23"/>
      <c r="BB614" s="23"/>
      <c r="BC614" s="23"/>
    </row>
    <row r="615">
      <c r="AO615" s="23"/>
      <c r="AP615" s="23"/>
      <c r="AQ615" s="23"/>
      <c r="AR615" s="23"/>
      <c r="AS615" s="23"/>
      <c r="AT615" s="23"/>
      <c r="AU615" s="23"/>
      <c r="AV615" s="23"/>
      <c r="AW615" s="23"/>
      <c r="AX615" s="23"/>
      <c r="AY615" s="23"/>
      <c r="AZ615" s="23"/>
      <c r="BA615" s="23"/>
      <c r="BB615" s="23"/>
      <c r="BC615" s="23"/>
    </row>
    <row r="616">
      <c r="AO616" s="23"/>
      <c r="AP616" s="23"/>
      <c r="AQ616" s="23"/>
      <c r="AR616" s="23"/>
      <c r="AS616" s="23"/>
      <c r="AT616" s="23"/>
      <c r="AU616" s="23"/>
      <c r="AV616" s="23"/>
      <c r="AW616" s="23"/>
      <c r="AX616" s="23"/>
      <c r="AY616" s="23"/>
      <c r="AZ616" s="23"/>
      <c r="BA616" s="23"/>
      <c r="BB616" s="23"/>
      <c r="BC616" s="23"/>
    </row>
    <row r="617">
      <c r="AO617" s="23"/>
      <c r="AP617" s="23"/>
      <c r="AQ617" s="23"/>
      <c r="AR617" s="23"/>
      <c r="AS617" s="23"/>
      <c r="AT617" s="23"/>
      <c r="AU617" s="23"/>
      <c r="AV617" s="23"/>
      <c r="AW617" s="23"/>
      <c r="AX617" s="23"/>
      <c r="AY617" s="23"/>
      <c r="AZ617" s="23"/>
      <c r="BA617" s="23"/>
      <c r="BB617" s="23"/>
      <c r="BC617" s="23"/>
    </row>
    <row r="618">
      <c r="AO618" s="23"/>
      <c r="AP618" s="23"/>
      <c r="AQ618" s="23"/>
      <c r="AR618" s="23"/>
      <c r="AS618" s="23"/>
      <c r="AT618" s="23"/>
      <c r="AU618" s="23"/>
      <c r="AV618" s="23"/>
      <c r="AW618" s="23"/>
      <c r="AX618" s="23"/>
      <c r="AY618" s="23"/>
      <c r="AZ618" s="23"/>
      <c r="BA618" s="23"/>
      <c r="BB618" s="23"/>
      <c r="BC618" s="23"/>
    </row>
    <row r="619">
      <c r="AO619" s="23"/>
      <c r="AP619" s="23"/>
      <c r="AQ619" s="23"/>
      <c r="AR619" s="23"/>
      <c r="AS619" s="23"/>
      <c r="AT619" s="23"/>
      <c r="AU619" s="23"/>
      <c r="AV619" s="23"/>
      <c r="AW619" s="23"/>
      <c r="AX619" s="23"/>
      <c r="AY619" s="23"/>
      <c r="AZ619" s="23"/>
      <c r="BA619" s="23"/>
      <c r="BB619" s="23"/>
      <c r="BC619" s="23"/>
    </row>
    <row r="620">
      <c r="AO620" s="23"/>
      <c r="AP620" s="23"/>
      <c r="AQ620" s="23"/>
      <c r="AR620" s="23"/>
      <c r="AS620" s="23"/>
      <c r="AT620" s="23"/>
      <c r="AU620" s="23"/>
      <c r="AV620" s="23"/>
      <c r="AW620" s="23"/>
      <c r="AX620" s="23"/>
      <c r="AY620" s="23"/>
      <c r="AZ620" s="23"/>
      <c r="BA620" s="23"/>
      <c r="BB620" s="23"/>
      <c r="BC620" s="23"/>
    </row>
    <row r="621">
      <c r="AO621" s="23"/>
      <c r="AP621" s="23"/>
      <c r="AQ621" s="23"/>
      <c r="AR621" s="23"/>
      <c r="AS621" s="23"/>
      <c r="AT621" s="23"/>
      <c r="AU621" s="23"/>
      <c r="AV621" s="23"/>
      <c r="AW621" s="23"/>
      <c r="AX621" s="23"/>
      <c r="AY621" s="23"/>
      <c r="AZ621" s="23"/>
      <c r="BA621" s="23"/>
      <c r="BB621" s="23"/>
      <c r="BC621" s="23"/>
    </row>
    <row r="622">
      <c r="AO622" s="23"/>
      <c r="AP622" s="23"/>
      <c r="AQ622" s="23"/>
      <c r="AR622" s="23"/>
      <c r="AS622" s="23"/>
      <c r="AT622" s="23"/>
      <c r="AU622" s="23"/>
      <c r="AV622" s="23"/>
      <c r="AW622" s="23"/>
      <c r="AX622" s="23"/>
      <c r="AY622" s="23"/>
      <c r="AZ622" s="23"/>
      <c r="BA622" s="23"/>
      <c r="BB622" s="23"/>
      <c r="BC622" s="23"/>
    </row>
    <row r="623">
      <c r="AO623" s="23"/>
      <c r="AP623" s="23"/>
      <c r="AQ623" s="23"/>
      <c r="AR623" s="23"/>
      <c r="AS623" s="23"/>
      <c r="AT623" s="23"/>
      <c r="AU623" s="23"/>
      <c r="AV623" s="23"/>
      <c r="AW623" s="23"/>
      <c r="AX623" s="23"/>
      <c r="AY623" s="23"/>
      <c r="AZ623" s="23"/>
      <c r="BA623" s="23"/>
      <c r="BB623" s="23"/>
      <c r="BC623" s="23"/>
    </row>
    <row r="624">
      <c r="AO624" s="23"/>
      <c r="AP624" s="23"/>
      <c r="AQ624" s="23"/>
      <c r="AR624" s="23"/>
      <c r="AS624" s="23"/>
      <c r="AT624" s="23"/>
      <c r="AU624" s="23"/>
      <c r="AV624" s="23"/>
      <c r="AW624" s="23"/>
      <c r="AX624" s="23"/>
      <c r="AY624" s="23"/>
      <c r="AZ624" s="23"/>
      <c r="BA624" s="23"/>
      <c r="BB624" s="23"/>
      <c r="BC624" s="23"/>
    </row>
    <row r="625">
      <c r="AO625" s="23"/>
      <c r="AP625" s="23"/>
      <c r="AQ625" s="23"/>
      <c r="AR625" s="23"/>
      <c r="AS625" s="23"/>
      <c r="AT625" s="23"/>
      <c r="AU625" s="23"/>
      <c r="AV625" s="23"/>
      <c r="AW625" s="23"/>
      <c r="AX625" s="23"/>
      <c r="AY625" s="23"/>
      <c r="AZ625" s="23"/>
      <c r="BA625" s="23"/>
      <c r="BB625" s="23"/>
      <c r="BC625" s="23"/>
    </row>
    <row r="626">
      <c r="AO626" s="23"/>
      <c r="AP626" s="23"/>
      <c r="AQ626" s="23"/>
      <c r="AR626" s="23"/>
      <c r="AS626" s="23"/>
      <c r="AT626" s="23"/>
      <c r="AU626" s="23"/>
      <c r="AV626" s="23"/>
      <c r="AW626" s="23"/>
      <c r="AX626" s="23"/>
      <c r="AY626" s="23"/>
      <c r="AZ626" s="23"/>
      <c r="BA626" s="23"/>
      <c r="BB626" s="23"/>
      <c r="BC626" s="23"/>
    </row>
    <row r="627">
      <c r="AO627" s="23"/>
      <c r="AP627" s="23"/>
      <c r="AQ627" s="23"/>
      <c r="AR627" s="23"/>
      <c r="AS627" s="23"/>
      <c r="AT627" s="23"/>
      <c r="AU627" s="23"/>
      <c r="AV627" s="23"/>
      <c r="AW627" s="23"/>
      <c r="AX627" s="23"/>
      <c r="AY627" s="23"/>
      <c r="AZ627" s="23"/>
      <c r="BA627" s="23"/>
      <c r="BB627" s="23"/>
      <c r="BC627" s="23"/>
    </row>
    <row r="628">
      <c r="AO628" s="23"/>
      <c r="AP628" s="23"/>
      <c r="AQ628" s="23"/>
      <c r="AR628" s="23"/>
      <c r="AS628" s="23"/>
      <c r="AT628" s="23"/>
      <c r="AU628" s="23"/>
      <c r="AV628" s="23"/>
      <c r="AW628" s="23"/>
      <c r="AX628" s="23"/>
      <c r="AY628" s="23"/>
      <c r="AZ628" s="23"/>
      <c r="BA628" s="23"/>
      <c r="BB628" s="23"/>
      <c r="BC628" s="23"/>
    </row>
    <row r="629">
      <c r="AO629" s="23"/>
      <c r="AP629" s="23"/>
      <c r="AQ629" s="23"/>
      <c r="AR629" s="23"/>
      <c r="AS629" s="23"/>
      <c r="AT629" s="23"/>
      <c r="AU629" s="23"/>
      <c r="AV629" s="23"/>
      <c r="AW629" s="23"/>
      <c r="AX629" s="23"/>
      <c r="AY629" s="23"/>
      <c r="AZ629" s="23"/>
      <c r="BA629" s="23"/>
      <c r="BB629" s="23"/>
      <c r="BC629" s="23"/>
    </row>
    <row r="630">
      <c r="AO630" s="23"/>
      <c r="AP630" s="23"/>
      <c r="AQ630" s="23"/>
      <c r="AR630" s="23"/>
      <c r="AS630" s="23"/>
      <c r="AT630" s="23"/>
      <c r="AU630" s="23"/>
      <c r="AV630" s="23"/>
      <c r="AW630" s="23"/>
      <c r="AX630" s="23"/>
      <c r="AY630" s="23"/>
      <c r="AZ630" s="23"/>
      <c r="BA630" s="23"/>
      <c r="BB630" s="23"/>
      <c r="BC630" s="23"/>
    </row>
    <row r="631">
      <c r="AO631" s="23"/>
      <c r="AP631" s="23"/>
      <c r="AQ631" s="23"/>
      <c r="AR631" s="23"/>
      <c r="AS631" s="23"/>
      <c r="AT631" s="23"/>
      <c r="AU631" s="23"/>
      <c r="AV631" s="23"/>
      <c r="AW631" s="23"/>
      <c r="AX631" s="23"/>
      <c r="AY631" s="23"/>
      <c r="AZ631" s="23"/>
      <c r="BA631" s="23"/>
      <c r="BB631" s="23"/>
      <c r="BC631" s="23"/>
    </row>
    <row r="632">
      <c r="AO632" s="23"/>
      <c r="AP632" s="23"/>
      <c r="AQ632" s="23"/>
      <c r="AR632" s="23"/>
      <c r="AS632" s="23"/>
      <c r="AT632" s="23"/>
      <c r="AU632" s="23"/>
      <c r="AV632" s="23"/>
      <c r="AW632" s="23"/>
      <c r="AX632" s="23"/>
      <c r="AY632" s="23"/>
      <c r="AZ632" s="23"/>
      <c r="BA632" s="23"/>
      <c r="BB632" s="23"/>
      <c r="BC632" s="23"/>
    </row>
    <row r="633">
      <c r="AO633" s="23"/>
      <c r="AP633" s="23"/>
      <c r="AQ633" s="23"/>
      <c r="AR633" s="23"/>
      <c r="AS633" s="23"/>
      <c r="AT633" s="23"/>
      <c r="AU633" s="23"/>
      <c r="AV633" s="23"/>
      <c r="AW633" s="23"/>
      <c r="AX633" s="23"/>
      <c r="AY633" s="23"/>
      <c r="AZ633" s="23"/>
      <c r="BA633" s="23"/>
      <c r="BB633" s="23"/>
      <c r="BC633" s="23"/>
    </row>
    <row r="634">
      <c r="AO634" s="23"/>
      <c r="AP634" s="23"/>
      <c r="AQ634" s="23"/>
      <c r="AR634" s="23"/>
      <c r="AS634" s="23"/>
      <c r="AT634" s="23"/>
      <c r="AU634" s="23"/>
      <c r="AV634" s="23"/>
      <c r="AW634" s="23"/>
      <c r="AX634" s="23"/>
      <c r="AY634" s="23"/>
      <c r="AZ634" s="23"/>
      <c r="BA634" s="23"/>
      <c r="BB634" s="23"/>
      <c r="BC634" s="23"/>
    </row>
    <row r="635">
      <c r="AO635" s="23"/>
      <c r="AP635" s="23"/>
      <c r="AQ635" s="23"/>
      <c r="AR635" s="23"/>
      <c r="AS635" s="23"/>
      <c r="AT635" s="23"/>
      <c r="AU635" s="23"/>
      <c r="AV635" s="23"/>
      <c r="AW635" s="23"/>
      <c r="AX635" s="23"/>
      <c r="AY635" s="23"/>
      <c r="AZ635" s="23"/>
      <c r="BA635" s="23"/>
      <c r="BB635" s="23"/>
      <c r="BC635" s="23"/>
    </row>
    <row r="636">
      <c r="AO636" s="23"/>
      <c r="AP636" s="23"/>
      <c r="AQ636" s="23"/>
      <c r="AR636" s="23"/>
      <c r="AS636" s="23"/>
      <c r="AT636" s="23"/>
      <c r="AU636" s="23"/>
      <c r="AV636" s="23"/>
      <c r="AW636" s="23"/>
      <c r="AX636" s="23"/>
      <c r="AY636" s="23"/>
      <c r="AZ636" s="23"/>
      <c r="BA636" s="23"/>
      <c r="BB636" s="23"/>
      <c r="BC636" s="23"/>
    </row>
    <row r="637">
      <c r="AO637" s="23"/>
      <c r="AP637" s="23"/>
      <c r="AQ637" s="23"/>
      <c r="AR637" s="23"/>
      <c r="AS637" s="23"/>
      <c r="AT637" s="23"/>
      <c r="AU637" s="23"/>
      <c r="AV637" s="23"/>
      <c r="AW637" s="23"/>
      <c r="AX637" s="23"/>
      <c r="AY637" s="23"/>
      <c r="AZ637" s="23"/>
      <c r="BA637" s="23"/>
      <c r="BB637" s="23"/>
      <c r="BC637" s="23"/>
    </row>
    <row r="638">
      <c r="AO638" s="23"/>
      <c r="AP638" s="23"/>
      <c r="AQ638" s="23"/>
      <c r="AR638" s="23"/>
      <c r="AS638" s="23"/>
      <c r="AT638" s="23"/>
      <c r="AU638" s="23"/>
      <c r="AV638" s="23"/>
      <c r="AW638" s="23"/>
      <c r="AX638" s="23"/>
      <c r="AY638" s="23"/>
      <c r="AZ638" s="23"/>
      <c r="BA638" s="23"/>
      <c r="BB638" s="23"/>
      <c r="BC638" s="23"/>
    </row>
    <row r="639">
      <c r="AO639" s="23"/>
      <c r="AP639" s="23"/>
      <c r="AQ639" s="23"/>
      <c r="AR639" s="23"/>
      <c r="AS639" s="23"/>
      <c r="AT639" s="23"/>
      <c r="AU639" s="23"/>
      <c r="AV639" s="23"/>
      <c r="AW639" s="23"/>
      <c r="AX639" s="23"/>
      <c r="AY639" s="23"/>
      <c r="AZ639" s="23"/>
      <c r="BA639" s="23"/>
      <c r="BB639" s="23"/>
      <c r="BC639" s="23"/>
    </row>
    <row r="640">
      <c r="AO640" s="23"/>
      <c r="AP640" s="23"/>
      <c r="AQ640" s="23"/>
      <c r="AR640" s="23"/>
      <c r="AS640" s="23"/>
      <c r="AT640" s="23"/>
      <c r="AU640" s="23"/>
      <c r="AV640" s="23"/>
      <c r="AW640" s="23"/>
      <c r="AX640" s="23"/>
      <c r="AY640" s="23"/>
      <c r="AZ640" s="23"/>
      <c r="BA640" s="23"/>
      <c r="BB640" s="23"/>
      <c r="BC640" s="23"/>
    </row>
    <row r="641">
      <c r="AO641" s="23"/>
      <c r="AP641" s="23"/>
      <c r="AQ641" s="23"/>
      <c r="AR641" s="23"/>
      <c r="AS641" s="23"/>
      <c r="AT641" s="23"/>
      <c r="AU641" s="23"/>
      <c r="AV641" s="23"/>
      <c r="AW641" s="23"/>
      <c r="AX641" s="23"/>
      <c r="AY641" s="23"/>
      <c r="AZ641" s="23"/>
      <c r="BA641" s="23"/>
      <c r="BB641" s="23"/>
      <c r="BC641" s="23"/>
    </row>
    <row r="642">
      <c r="AO642" s="23"/>
      <c r="AP642" s="23"/>
      <c r="AQ642" s="23"/>
      <c r="AR642" s="23"/>
      <c r="AS642" s="23"/>
      <c r="AT642" s="23"/>
      <c r="AU642" s="23"/>
      <c r="AV642" s="23"/>
      <c r="AW642" s="23"/>
      <c r="AX642" s="23"/>
      <c r="AY642" s="23"/>
      <c r="AZ642" s="23"/>
      <c r="BA642" s="23"/>
      <c r="BB642" s="23"/>
      <c r="BC642" s="23"/>
    </row>
    <row r="643">
      <c r="AO643" s="23"/>
      <c r="AP643" s="23"/>
      <c r="AQ643" s="23"/>
      <c r="AR643" s="23"/>
      <c r="AS643" s="23"/>
      <c r="AT643" s="23"/>
      <c r="AU643" s="23"/>
      <c r="AV643" s="23"/>
      <c r="AW643" s="23"/>
      <c r="AX643" s="23"/>
      <c r="AY643" s="23"/>
      <c r="AZ643" s="23"/>
      <c r="BA643" s="23"/>
      <c r="BB643" s="23"/>
      <c r="BC643" s="23"/>
    </row>
    <row r="644">
      <c r="AO644" s="23"/>
      <c r="AP644" s="23"/>
      <c r="AQ644" s="23"/>
      <c r="AR644" s="23"/>
      <c r="AS644" s="23"/>
      <c r="AT644" s="23"/>
      <c r="AU644" s="23"/>
      <c r="AV644" s="23"/>
      <c r="AW644" s="23"/>
      <c r="AX644" s="23"/>
      <c r="AY644" s="23"/>
      <c r="AZ644" s="23"/>
      <c r="BA644" s="23"/>
      <c r="BB644" s="23"/>
      <c r="BC644" s="23"/>
    </row>
    <row r="645">
      <c r="AO645" s="23"/>
      <c r="AP645" s="23"/>
      <c r="AQ645" s="23"/>
      <c r="AR645" s="23"/>
      <c r="AS645" s="23"/>
      <c r="AT645" s="23"/>
      <c r="AU645" s="23"/>
      <c r="AV645" s="23"/>
      <c r="AW645" s="23"/>
      <c r="AX645" s="23"/>
      <c r="AY645" s="23"/>
      <c r="AZ645" s="23"/>
      <c r="BA645" s="23"/>
      <c r="BB645" s="23"/>
      <c r="BC645" s="23"/>
    </row>
    <row r="646">
      <c r="AO646" s="23"/>
      <c r="AP646" s="23"/>
      <c r="AQ646" s="23"/>
      <c r="AR646" s="23"/>
      <c r="AS646" s="23"/>
      <c r="AT646" s="23"/>
      <c r="AU646" s="23"/>
      <c r="AV646" s="23"/>
      <c r="AW646" s="23"/>
      <c r="AX646" s="23"/>
      <c r="AY646" s="23"/>
      <c r="AZ646" s="23"/>
      <c r="BA646" s="23"/>
      <c r="BB646" s="23"/>
      <c r="BC646" s="23"/>
    </row>
    <row r="647">
      <c r="AO647" s="23"/>
      <c r="AP647" s="23"/>
      <c r="AQ647" s="23"/>
      <c r="AR647" s="23"/>
      <c r="AS647" s="23"/>
      <c r="AT647" s="23"/>
      <c r="AU647" s="23"/>
      <c r="AV647" s="23"/>
      <c r="AW647" s="23"/>
      <c r="AX647" s="23"/>
      <c r="AY647" s="23"/>
      <c r="AZ647" s="23"/>
      <c r="BA647" s="23"/>
      <c r="BB647" s="23"/>
      <c r="BC647" s="23"/>
    </row>
    <row r="648">
      <c r="AO648" s="23"/>
      <c r="AP648" s="23"/>
      <c r="AQ648" s="23"/>
      <c r="AR648" s="23"/>
      <c r="AS648" s="23"/>
      <c r="AT648" s="23"/>
      <c r="AU648" s="23"/>
      <c r="AV648" s="23"/>
      <c r="AW648" s="23"/>
      <c r="AX648" s="23"/>
      <c r="AY648" s="23"/>
      <c r="AZ648" s="23"/>
      <c r="BA648" s="23"/>
      <c r="BB648" s="23"/>
      <c r="BC648" s="23"/>
    </row>
    <row r="649">
      <c r="AO649" s="23"/>
      <c r="AP649" s="23"/>
      <c r="AQ649" s="23"/>
      <c r="AR649" s="23"/>
      <c r="AS649" s="23"/>
      <c r="AT649" s="23"/>
      <c r="AU649" s="23"/>
      <c r="AV649" s="23"/>
      <c r="AW649" s="23"/>
      <c r="AX649" s="23"/>
      <c r="AY649" s="23"/>
      <c r="AZ649" s="23"/>
      <c r="BA649" s="23"/>
      <c r="BB649" s="23"/>
      <c r="BC649" s="23"/>
    </row>
    <row r="650">
      <c r="AO650" s="23"/>
      <c r="AP650" s="23"/>
      <c r="AQ650" s="23"/>
      <c r="AR650" s="23"/>
      <c r="AS650" s="23"/>
      <c r="AT650" s="23"/>
      <c r="AU650" s="23"/>
      <c r="AV650" s="23"/>
      <c r="AW650" s="23"/>
      <c r="AX650" s="23"/>
      <c r="AY650" s="23"/>
      <c r="AZ650" s="23"/>
      <c r="BA650" s="23"/>
      <c r="BB650" s="23"/>
      <c r="BC650" s="23"/>
    </row>
    <row r="651">
      <c r="AO651" s="23"/>
      <c r="AP651" s="23"/>
      <c r="AQ651" s="23"/>
      <c r="AR651" s="23"/>
      <c r="AS651" s="23"/>
      <c r="AT651" s="23"/>
      <c r="AU651" s="23"/>
      <c r="AV651" s="23"/>
      <c r="AW651" s="23"/>
      <c r="AX651" s="23"/>
      <c r="AY651" s="23"/>
      <c r="AZ651" s="23"/>
      <c r="BA651" s="23"/>
      <c r="BB651" s="23"/>
      <c r="BC651" s="23"/>
    </row>
    <row r="652">
      <c r="AO652" s="23"/>
      <c r="AP652" s="23"/>
      <c r="AQ652" s="23"/>
      <c r="AR652" s="23"/>
      <c r="AS652" s="23"/>
      <c r="AT652" s="23"/>
      <c r="AU652" s="23"/>
      <c r="AV652" s="23"/>
      <c r="AW652" s="23"/>
      <c r="AX652" s="23"/>
      <c r="AY652" s="23"/>
      <c r="AZ652" s="23"/>
      <c r="BA652" s="23"/>
      <c r="BB652" s="23"/>
      <c r="BC652" s="23"/>
    </row>
    <row r="653">
      <c r="AO653" s="23"/>
      <c r="AP653" s="23"/>
      <c r="AQ653" s="23"/>
      <c r="AR653" s="23"/>
      <c r="AS653" s="23"/>
      <c r="AT653" s="23"/>
      <c r="AU653" s="23"/>
      <c r="AV653" s="23"/>
      <c r="AW653" s="23"/>
      <c r="AX653" s="23"/>
      <c r="AY653" s="23"/>
      <c r="AZ653" s="23"/>
      <c r="BA653" s="23"/>
      <c r="BB653" s="23"/>
      <c r="BC653" s="23"/>
    </row>
    <row r="654">
      <c r="AO654" s="23"/>
      <c r="AP654" s="23"/>
      <c r="AQ654" s="23"/>
      <c r="AR654" s="23"/>
      <c r="AS654" s="23"/>
      <c r="AT654" s="23"/>
      <c r="AU654" s="23"/>
      <c r="AV654" s="23"/>
      <c r="AW654" s="23"/>
      <c r="AX654" s="23"/>
      <c r="AY654" s="23"/>
      <c r="AZ654" s="23"/>
      <c r="BA654" s="23"/>
      <c r="BB654" s="23"/>
      <c r="BC654" s="23"/>
    </row>
    <row r="655">
      <c r="AO655" s="23"/>
      <c r="AP655" s="23"/>
      <c r="AQ655" s="23"/>
      <c r="AR655" s="23"/>
      <c r="AS655" s="23"/>
      <c r="AT655" s="23"/>
      <c r="AU655" s="23"/>
      <c r="AV655" s="23"/>
      <c r="AW655" s="23"/>
      <c r="AX655" s="23"/>
      <c r="AY655" s="23"/>
      <c r="AZ655" s="23"/>
      <c r="BA655" s="23"/>
      <c r="BB655" s="23"/>
      <c r="BC655" s="23"/>
    </row>
    <row r="656">
      <c r="AO656" s="23"/>
      <c r="AP656" s="23"/>
      <c r="AQ656" s="23"/>
      <c r="AR656" s="23"/>
      <c r="AS656" s="23"/>
      <c r="AT656" s="23"/>
      <c r="AU656" s="23"/>
      <c r="AV656" s="23"/>
      <c r="AW656" s="23"/>
      <c r="AX656" s="23"/>
      <c r="AY656" s="23"/>
      <c r="AZ656" s="23"/>
      <c r="BA656" s="23"/>
      <c r="BB656" s="23"/>
      <c r="BC656" s="23"/>
    </row>
    <row r="657">
      <c r="AO657" s="23"/>
      <c r="AP657" s="23"/>
      <c r="AQ657" s="23"/>
      <c r="AR657" s="23"/>
      <c r="AS657" s="23"/>
      <c r="AT657" s="23"/>
      <c r="AU657" s="23"/>
      <c r="AV657" s="23"/>
      <c r="AW657" s="23"/>
      <c r="AX657" s="23"/>
      <c r="AY657" s="23"/>
      <c r="AZ657" s="23"/>
      <c r="BA657" s="23"/>
      <c r="BB657" s="23"/>
      <c r="BC657" s="23"/>
    </row>
    <row r="658">
      <c r="AO658" s="23"/>
      <c r="AP658" s="23"/>
      <c r="AQ658" s="23"/>
      <c r="AR658" s="23"/>
      <c r="AS658" s="23"/>
      <c r="AT658" s="23"/>
      <c r="AU658" s="23"/>
      <c r="AV658" s="23"/>
      <c r="AW658" s="23"/>
      <c r="AX658" s="23"/>
      <c r="AY658" s="23"/>
      <c r="AZ658" s="23"/>
      <c r="BA658" s="23"/>
      <c r="BB658" s="23"/>
      <c r="BC658" s="23"/>
    </row>
    <row r="659">
      <c r="AO659" s="23"/>
      <c r="AP659" s="23"/>
      <c r="AQ659" s="23"/>
      <c r="AR659" s="23"/>
      <c r="AS659" s="23"/>
      <c r="AT659" s="23"/>
      <c r="AU659" s="23"/>
      <c r="AV659" s="23"/>
      <c r="AW659" s="23"/>
      <c r="AX659" s="23"/>
      <c r="AY659" s="23"/>
      <c r="AZ659" s="23"/>
      <c r="BA659" s="23"/>
      <c r="BB659" s="23"/>
      <c r="BC659" s="23"/>
    </row>
    <row r="660">
      <c r="AO660" s="23"/>
      <c r="AP660" s="23"/>
      <c r="AQ660" s="23"/>
      <c r="AR660" s="23"/>
      <c r="AS660" s="23"/>
      <c r="AT660" s="23"/>
      <c r="AU660" s="23"/>
      <c r="AV660" s="23"/>
      <c r="AW660" s="23"/>
      <c r="AX660" s="23"/>
      <c r="AY660" s="23"/>
      <c r="AZ660" s="23"/>
      <c r="BA660" s="23"/>
      <c r="BB660" s="23"/>
      <c r="BC660" s="23"/>
    </row>
    <row r="661">
      <c r="AO661" s="23"/>
      <c r="AP661" s="23"/>
      <c r="AQ661" s="23"/>
      <c r="AR661" s="23"/>
      <c r="AS661" s="23"/>
      <c r="AT661" s="23"/>
      <c r="AU661" s="23"/>
      <c r="AV661" s="23"/>
      <c r="AW661" s="23"/>
      <c r="AX661" s="23"/>
      <c r="AY661" s="23"/>
      <c r="AZ661" s="23"/>
      <c r="BA661" s="23"/>
      <c r="BB661" s="23"/>
      <c r="BC661" s="23"/>
    </row>
    <row r="662">
      <c r="AO662" s="23"/>
      <c r="AP662" s="23"/>
      <c r="AQ662" s="23"/>
      <c r="AR662" s="23"/>
      <c r="AS662" s="23"/>
      <c r="AT662" s="23"/>
      <c r="AU662" s="23"/>
      <c r="AV662" s="23"/>
      <c r="AW662" s="23"/>
      <c r="AX662" s="23"/>
      <c r="AY662" s="23"/>
      <c r="AZ662" s="23"/>
      <c r="BA662" s="23"/>
      <c r="BB662" s="23"/>
      <c r="BC662" s="23"/>
    </row>
    <row r="663">
      <c r="AO663" s="23"/>
      <c r="AP663" s="23"/>
      <c r="AQ663" s="23"/>
      <c r="AR663" s="23"/>
      <c r="AS663" s="23"/>
      <c r="AT663" s="23"/>
      <c r="AU663" s="23"/>
      <c r="AV663" s="23"/>
      <c r="AW663" s="23"/>
      <c r="AX663" s="23"/>
      <c r="AY663" s="23"/>
      <c r="AZ663" s="23"/>
      <c r="BA663" s="23"/>
      <c r="BB663" s="23"/>
      <c r="BC663" s="23"/>
    </row>
    <row r="664">
      <c r="AO664" s="23"/>
      <c r="AP664" s="23"/>
      <c r="AQ664" s="23"/>
      <c r="AR664" s="23"/>
      <c r="AS664" s="23"/>
      <c r="AT664" s="23"/>
      <c r="AU664" s="23"/>
      <c r="AV664" s="23"/>
      <c r="AW664" s="23"/>
      <c r="AX664" s="23"/>
      <c r="AY664" s="23"/>
      <c r="AZ664" s="23"/>
      <c r="BA664" s="23"/>
      <c r="BB664" s="23"/>
      <c r="BC664" s="23"/>
    </row>
    <row r="665">
      <c r="AO665" s="23"/>
      <c r="AP665" s="23"/>
      <c r="AQ665" s="23"/>
      <c r="AR665" s="23"/>
      <c r="AS665" s="23"/>
      <c r="AT665" s="23"/>
      <c r="AU665" s="23"/>
      <c r="AV665" s="23"/>
      <c r="AW665" s="23"/>
      <c r="AX665" s="23"/>
      <c r="AY665" s="23"/>
      <c r="AZ665" s="23"/>
      <c r="BA665" s="23"/>
      <c r="BB665" s="23"/>
      <c r="BC665" s="23"/>
    </row>
    <row r="666">
      <c r="AO666" s="23"/>
      <c r="AP666" s="23"/>
      <c r="AQ666" s="23"/>
      <c r="AR666" s="23"/>
      <c r="AS666" s="23"/>
      <c r="AT666" s="23"/>
      <c r="AU666" s="23"/>
      <c r="AV666" s="23"/>
      <c r="AW666" s="23"/>
      <c r="AX666" s="23"/>
      <c r="AY666" s="23"/>
      <c r="AZ666" s="23"/>
      <c r="BA666" s="23"/>
      <c r="BB666" s="23"/>
      <c r="BC666" s="23"/>
    </row>
    <row r="667">
      <c r="AO667" s="23"/>
      <c r="AP667" s="23"/>
      <c r="AQ667" s="23"/>
      <c r="AR667" s="23"/>
      <c r="AS667" s="23"/>
      <c r="AT667" s="23"/>
      <c r="AU667" s="23"/>
      <c r="AV667" s="23"/>
      <c r="AW667" s="23"/>
      <c r="AX667" s="23"/>
      <c r="AY667" s="23"/>
      <c r="AZ667" s="23"/>
      <c r="BA667" s="23"/>
      <c r="BB667" s="23"/>
      <c r="BC667" s="23"/>
    </row>
    <row r="668">
      <c r="AO668" s="23"/>
      <c r="AP668" s="23"/>
      <c r="AQ668" s="23"/>
      <c r="AR668" s="23"/>
      <c r="AS668" s="23"/>
      <c r="AT668" s="23"/>
      <c r="AU668" s="23"/>
      <c r="AV668" s="23"/>
      <c r="AW668" s="23"/>
      <c r="AX668" s="23"/>
      <c r="AY668" s="23"/>
      <c r="AZ668" s="23"/>
      <c r="BA668" s="23"/>
      <c r="BB668" s="23"/>
      <c r="BC668" s="23"/>
    </row>
    <row r="669">
      <c r="AO669" s="23"/>
      <c r="AP669" s="23"/>
      <c r="AQ669" s="23"/>
      <c r="AR669" s="23"/>
      <c r="AS669" s="23"/>
      <c r="AT669" s="23"/>
      <c r="AU669" s="23"/>
      <c r="AV669" s="23"/>
      <c r="AW669" s="23"/>
      <c r="AX669" s="23"/>
      <c r="AY669" s="23"/>
      <c r="AZ669" s="23"/>
      <c r="BA669" s="23"/>
      <c r="BB669" s="23"/>
      <c r="BC669" s="23"/>
    </row>
    <row r="670">
      <c r="AO670" s="23"/>
      <c r="AP670" s="23"/>
      <c r="AQ670" s="23"/>
      <c r="AR670" s="23"/>
      <c r="AS670" s="23"/>
      <c r="AT670" s="23"/>
      <c r="AU670" s="23"/>
      <c r="AV670" s="23"/>
      <c r="AW670" s="23"/>
      <c r="AX670" s="23"/>
      <c r="AY670" s="23"/>
      <c r="AZ670" s="23"/>
      <c r="BA670" s="23"/>
      <c r="BB670" s="23"/>
      <c r="BC670" s="23"/>
    </row>
    <row r="671">
      <c r="AO671" s="23"/>
      <c r="AP671" s="23"/>
      <c r="AQ671" s="23"/>
      <c r="AR671" s="23"/>
      <c r="AS671" s="23"/>
      <c r="AT671" s="23"/>
      <c r="AU671" s="23"/>
      <c r="AV671" s="23"/>
      <c r="AW671" s="23"/>
      <c r="AX671" s="23"/>
      <c r="AY671" s="23"/>
      <c r="AZ671" s="23"/>
      <c r="BA671" s="23"/>
      <c r="BB671" s="23"/>
      <c r="BC671" s="23"/>
    </row>
    <row r="672">
      <c r="AO672" s="23"/>
      <c r="AP672" s="23"/>
      <c r="AQ672" s="23"/>
      <c r="AR672" s="23"/>
      <c r="AS672" s="23"/>
      <c r="AT672" s="23"/>
      <c r="AU672" s="23"/>
      <c r="AV672" s="23"/>
      <c r="AW672" s="23"/>
      <c r="AX672" s="23"/>
      <c r="AY672" s="23"/>
      <c r="AZ672" s="23"/>
      <c r="BA672" s="23"/>
      <c r="BB672" s="23"/>
      <c r="BC672" s="23"/>
    </row>
    <row r="673">
      <c r="AO673" s="23"/>
      <c r="AP673" s="23"/>
      <c r="AQ673" s="23"/>
      <c r="AR673" s="23"/>
      <c r="AS673" s="23"/>
      <c r="AT673" s="23"/>
      <c r="AU673" s="23"/>
      <c r="AV673" s="23"/>
      <c r="AW673" s="23"/>
      <c r="AX673" s="23"/>
      <c r="AY673" s="23"/>
      <c r="AZ673" s="23"/>
      <c r="BA673" s="23"/>
      <c r="BB673" s="23"/>
      <c r="BC673" s="23"/>
    </row>
    <row r="674">
      <c r="AO674" s="23"/>
      <c r="AP674" s="23"/>
      <c r="AQ674" s="23"/>
      <c r="AR674" s="23"/>
      <c r="AS674" s="23"/>
      <c r="AT674" s="23"/>
      <c r="AU674" s="23"/>
      <c r="AV674" s="23"/>
      <c r="AW674" s="23"/>
      <c r="AX674" s="23"/>
      <c r="AY674" s="23"/>
      <c r="AZ674" s="23"/>
      <c r="BA674" s="23"/>
      <c r="BB674" s="23"/>
      <c r="BC674" s="23"/>
    </row>
    <row r="675">
      <c r="AO675" s="23"/>
      <c r="AP675" s="23"/>
      <c r="AQ675" s="23"/>
      <c r="AR675" s="23"/>
      <c r="AS675" s="23"/>
      <c r="AT675" s="23"/>
      <c r="AU675" s="23"/>
      <c r="AV675" s="23"/>
      <c r="AW675" s="23"/>
      <c r="AX675" s="23"/>
      <c r="AY675" s="23"/>
      <c r="AZ675" s="23"/>
      <c r="BA675" s="23"/>
      <c r="BB675" s="23"/>
      <c r="BC675" s="23"/>
    </row>
    <row r="676">
      <c r="AO676" s="23"/>
      <c r="AP676" s="23"/>
      <c r="AQ676" s="23"/>
      <c r="AR676" s="23"/>
      <c r="AS676" s="23"/>
      <c r="AT676" s="23"/>
      <c r="AU676" s="23"/>
      <c r="AV676" s="23"/>
      <c r="AW676" s="23"/>
      <c r="AX676" s="23"/>
      <c r="AY676" s="23"/>
      <c r="AZ676" s="23"/>
      <c r="BA676" s="23"/>
      <c r="BB676" s="23"/>
      <c r="BC676" s="23"/>
    </row>
    <row r="677">
      <c r="AO677" s="23"/>
      <c r="AP677" s="23"/>
      <c r="AQ677" s="23"/>
      <c r="AR677" s="23"/>
      <c r="AS677" s="23"/>
      <c r="AT677" s="23"/>
      <c r="AU677" s="23"/>
      <c r="AV677" s="23"/>
      <c r="AW677" s="23"/>
      <c r="AX677" s="23"/>
      <c r="AY677" s="23"/>
      <c r="AZ677" s="23"/>
      <c r="BA677" s="23"/>
      <c r="BB677" s="23"/>
      <c r="BC677" s="23"/>
    </row>
    <row r="678">
      <c r="AO678" s="23"/>
      <c r="AP678" s="23"/>
      <c r="AQ678" s="23"/>
      <c r="AR678" s="23"/>
      <c r="AS678" s="23"/>
      <c r="AT678" s="23"/>
      <c r="AU678" s="23"/>
      <c r="AV678" s="23"/>
      <c r="AW678" s="23"/>
      <c r="AX678" s="23"/>
      <c r="AY678" s="23"/>
      <c r="AZ678" s="23"/>
      <c r="BA678" s="23"/>
      <c r="BB678" s="23"/>
      <c r="BC678" s="23"/>
    </row>
    <row r="679">
      <c r="AO679" s="23"/>
      <c r="AP679" s="23"/>
      <c r="AQ679" s="23"/>
      <c r="AR679" s="23"/>
      <c r="AS679" s="23"/>
      <c r="AT679" s="23"/>
      <c r="AU679" s="23"/>
      <c r="AV679" s="23"/>
      <c r="AW679" s="23"/>
      <c r="AX679" s="23"/>
      <c r="AY679" s="23"/>
      <c r="AZ679" s="23"/>
      <c r="BA679" s="23"/>
      <c r="BB679" s="23"/>
      <c r="BC679" s="23"/>
    </row>
    <row r="680">
      <c r="AO680" s="23"/>
      <c r="AP680" s="23"/>
      <c r="AQ680" s="23"/>
      <c r="AR680" s="23"/>
      <c r="AS680" s="23"/>
      <c r="AT680" s="23"/>
      <c r="AU680" s="23"/>
      <c r="AV680" s="23"/>
      <c r="AW680" s="23"/>
      <c r="AX680" s="23"/>
      <c r="AY680" s="23"/>
      <c r="AZ680" s="23"/>
      <c r="BA680" s="23"/>
      <c r="BB680" s="23"/>
      <c r="BC680" s="23"/>
    </row>
    <row r="681">
      <c r="AO681" s="23"/>
      <c r="AP681" s="23"/>
      <c r="AQ681" s="23"/>
      <c r="AR681" s="23"/>
      <c r="AS681" s="23"/>
      <c r="AT681" s="23"/>
      <c r="AU681" s="23"/>
      <c r="AV681" s="23"/>
      <c r="AW681" s="23"/>
      <c r="AX681" s="23"/>
      <c r="AY681" s="23"/>
      <c r="AZ681" s="23"/>
      <c r="BA681" s="23"/>
      <c r="BB681" s="23"/>
      <c r="BC681" s="23"/>
    </row>
    <row r="682">
      <c r="AO682" s="23"/>
      <c r="AP682" s="23"/>
      <c r="AQ682" s="23"/>
      <c r="AR682" s="23"/>
      <c r="AS682" s="23"/>
      <c r="AT682" s="23"/>
      <c r="AU682" s="23"/>
      <c r="AV682" s="23"/>
      <c r="AW682" s="23"/>
      <c r="AX682" s="23"/>
      <c r="AY682" s="23"/>
      <c r="AZ682" s="23"/>
      <c r="BA682" s="23"/>
      <c r="BB682" s="23"/>
      <c r="BC682" s="23"/>
    </row>
    <row r="683">
      <c r="AO683" s="23"/>
      <c r="AP683" s="23"/>
      <c r="AQ683" s="23"/>
      <c r="AR683" s="23"/>
      <c r="AS683" s="23"/>
      <c r="AT683" s="23"/>
      <c r="AU683" s="23"/>
      <c r="AV683" s="23"/>
      <c r="AW683" s="23"/>
      <c r="AX683" s="23"/>
      <c r="AY683" s="23"/>
      <c r="AZ683" s="23"/>
      <c r="BA683" s="23"/>
      <c r="BB683" s="23"/>
      <c r="BC683" s="23"/>
    </row>
    <row r="684">
      <c r="AO684" s="23"/>
      <c r="AP684" s="23"/>
      <c r="AQ684" s="23"/>
      <c r="AR684" s="23"/>
      <c r="AS684" s="23"/>
      <c r="AT684" s="23"/>
      <c r="AU684" s="23"/>
      <c r="AV684" s="23"/>
      <c r="AW684" s="23"/>
      <c r="AX684" s="23"/>
      <c r="AY684" s="23"/>
      <c r="AZ684" s="23"/>
      <c r="BA684" s="23"/>
      <c r="BB684" s="23"/>
      <c r="BC684" s="23"/>
    </row>
    <row r="685">
      <c r="AO685" s="23"/>
      <c r="AP685" s="23"/>
      <c r="AQ685" s="23"/>
      <c r="AR685" s="23"/>
      <c r="AS685" s="23"/>
      <c r="AT685" s="23"/>
      <c r="AU685" s="23"/>
      <c r="AV685" s="23"/>
      <c r="AW685" s="23"/>
      <c r="AX685" s="23"/>
      <c r="AY685" s="23"/>
      <c r="AZ685" s="23"/>
      <c r="BA685" s="23"/>
      <c r="BB685" s="23"/>
      <c r="BC685" s="23"/>
    </row>
    <row r="686">
      <c r="AO686" s="23"/>
      <c r="AP686" s="23"/>
      <c r="AQ686" s="23"/>
      <c r="AR686" s="23"/>
      <c r="AS686" s="23"/>
      <c r="AT686" s="23"/>
      <c r="AU686" s="23"/>
      <c r="AV686" s="23"/>
      <c r="AW686" s="23"/>
      <c r="AX686" s="23"/>
      <c r="AY686" s="23"/>
      <c r="AZ686" s="23"/>
      <c r="BA686" s="23"/>
      <c r="BB686" s="23"/>
      <c r="BC686" s="23"/>
    </row>
    <row r="687">
      <c r="AO687" s="23"/>
      <c r="AP687" s="23"/>
      <c r="AQ687" s="23"/>
      <c r="AR687" s="23"/>
      <c r="AS687" s="23"/>
      <c r="AT687" s="23"/>
      <c r="AU687" s="23"/>
      <c r="AV687" s="23"/>
      <c r="AW687" s="23"/>
      <c r="AX687" s="23"/>
      <c r="AY687" s="23"/>
      <c r="AZ687" s="23"/>
      <c r="BA687" s="23"/>
      <c r="BB687" s="23"/>
      <c r="BC687" s="23"/>
    </row>
    <row r="688">
      <c r="AO688" s="23"/>
      <c r="AP688" s="23"/>
      <c r="AQ688" s="23"/>
      <c r="AR688" s="23"/>
      <c r="AS688" s="23"/>
      <c r="AT688" s="23"/>
      <c r="AU688" s="23"/>
      <c r="AV688" s="23"/>
      <c r="AW688" s="23"/>
      <c r="AX688" s="23"/>
      <c r="AY688" s="23"/>
      <c r="AZ688" s="23"/>
      <c r="BA688" s="23"/>
      <c r="BB688" s="23"/>
      <c r="BC688" s="23"/>
    </row>
    <row r="689">
      <c r="AO689" s="23"/>
      <c r="AP689" s="23"/>
      <c r="AQ689" s="23"/>
      <c r="AR689" s="23"/>
      <c r="AS689" s="23"/>
      <c r="AT689" s="23"/>
      <c r="AU689" s="23"/>
      <c r="AV689" s="23"/>
      <c r="AW689" s="23"/>
      <c r="AX689" s="23"/>
      <c r="AY689" s="23"/>
      <c r="AZ689" s="23"/>
      <c r="BA689" s="23"/>
      <c r="BB689" s="23"/>
      <c r="BC689" s="23"/>
    </row>
    <row r="690">
      <c r="AO690" s="23"/>
      <c r="AP690" s="23"/>
      <c r="AQ690" s="23"/>
      <c r="AR690" s="23"/>
      <c r="AS690" s="23"/>
      <c r="AT690" s="23"/>
      <c r="AU690" s="23"/>
      <c r="AV690" s="23"/>
      <c r="AW690" s="23"/>
      <c r="AX690" s="23"/>
      <c r="AY690" s="23"/>
      <c r="AZ690" s="23"/>
      <c r="BA690" s="23"/>
      <c r="BB690" s="23"/>
      <c r="BC690" s="23"/>
    </row>
    <row r="691">
      <c r="AO691" s="23"/>
      <c r="AP691" s="23"/>
      <c r="AQ691" s="23"/>
      <c r="AR691" s="23"/>
      <c r="AS691" s="23"/>
      <c r="AT691" s="23"/>
      <c r="AU691" s="23"/>
      <c r="AV691" s="23"/>
      <c r="AW691" s="23"/>
      <c r="AX691" s="23"/>
      <c r="AY691" s="23"/>
      <c r="AZ691" s="23"/>
      <c r="BA691" s="23"/>
      <c r="BB691" s="23"/>
      <c r="BC691" s="23"/>
    </row>
    <row r="692">
      <c r="AO692" s="23"/>
      <c r="AP692" s="23"/>
      <c r="AQ692" s="23"/>
      <c r="AR692" s="23"/>
      <c r="AS692" s="23"/>
      <c r="AT692" s="23"/>
      <c r="AU692" s="23"/>
      <c r="AV692" s="23"/>
      <c r="AW692" s="23"/>
      <c r="AX692" s="23"/>
      <c r="AY692" s="23"/>
      <c r="AZ692" s="23"/>
      <c r="BA692" s="23"/>
      <c r="BB692" s="23"/>
      <c r="BC692" s="23"/>
    </row>
    <row r="693">
      <c r="AO693" s="23"/>
      <c r="AP693" s="23"/>
      <c r="AQ693" s="23"/>
      <c r="AR693" s="23"/>
      <c r="AS693" s="23"/>
      <c r="AT693" s="23"/>
      <c r="AU693" s="23"/>
      <c r="AV693" s="23"/>
      <c r="AW693" s="23"/>
      <c r="AX693" s="23"/>
      <c r="AY693" s="23"/>
      <c r="AZ693" s="23"/>
      <c r="BA693" s="23"/>
      <c r="BB693" s="23"/>
      <c r="BC693" s="23"/>
    </row>
    <row r="694">
      <c r="AO694" s="23"/>
      <c r="AP694" s="23"/>
      <c r="AQ694" s="23"/>
      <c r="AR694" s="23"/>
      <c r="AS694" s="23"/>
      <c r="AT694" s="23"/>
      <c r="AU694" s="23"/>
      <c r="AV694" s="23"/>
      <c r="AW694" s="23"/>
      <c r="AX694" s="23"/>
      <c r="AY694" s="23"/>
      <c r="AZ694" s="23"/>
      <c r="BA694" s="23"/>
      <c r="BB694" s="23"/>
      <c r="BC694" s="23"/>
    </row>
    <row r="695">
      <c r="AO695" s="23"/>
      <c r="AP695" s="23"/>
      <c r="AQ695" s="23"/>
      <c r="AR695" s="23"/>
      <c r="AS695" s="23"/>
      <c r="AT695" s="23"/>
      <c r="AU695" s="23"/>
      <c r="AV695" s="23"/>
      <c r="AW695" s="23"/>
      <c r="AX695" s="23"/>
      <c r="AY695" s="23"/>
      <c r="AZ695" s="23"/>
      <c r="BA695" s="23"/>
      <c r="BB695" s="23"/>
      <c r="BC695" s="23"/>
    </row>
    <row r="696">
      <c r="AO696" s="23"/>
      <c r="AP696" s="23"/>
      <c r="AQ696" s="23"/>
      <c r="AR696" s="23"/>
      <c r="AS696" s="23"/>
      <c r="AT696" s="23"/>
      <c r="AU696" s="23"/>
      <c r="AV696" s="23"/>
      <c r="AW696" s="23"/>
      <c r="AX696" s="23"/>
      <c r="AY696" s="23"/>
      <c r="AZ696" s="23"/>
      <c r="BA696" s="23"/>
      <c r="BB696" s="23"/>
      <c r="BC696" s="23"/>
    </row>
    <row r="697">
      <c r="AO697" s="23"/>
      <c r="AP697" s="23"/>
      <c r="AQ697" s="23"/>
      <c r="AR697" s="23"/>
      <c r="AS697" s="23"/>
      <c r="AT697" s="23"/>
      <c r="AU697" s="23"/>
      <c r="AV697" s="23"/>
      <c r="AW697" s="23"/>
      <c r="AX697" s="23"/>
      <c r="AY697" s="23"/>
      <c r="AZ697" s="23"/>
      <c r="BA697" s="23"/>
      <c r="BB697" s="23"/>
      <c r="BC697" s="23"/>
    </row>
    <row r="698">
      <c r="AO698" s="23"/>
      <c r="AP698" s="23"/>
      <c r="AQ698" s="23"/>
      <c r="AR698" s="23"/>
      <c r="AS698" s="23"/>
      <c r="AT698" s="23"/>
      <c r="AU698" s="23"/>
      <c r="AV698" s="23"/>
      <c r="AW698" s="23"/>
      <c r="AX698" s="23"/>
      <c r="AY698" s="23"/>
      <c r="AZ698" s="23"/>
      <c r="BA698" s="23"/>
      <c r="BB698" s="23"/>
      <c r="BC698" s="23"/>
    </row>
    <row r="699">
      <c r="AO699" s="23"/>
      <c r="AP699" s="23"/>
      <c r="AQ699" s="23"/>
      <c r="AR699" s="23"/>
      <c r="AS699" s="23"/>
      <c r="AT699" s="23"/>
      <c r="AU699" s="23"/>
      <c r="AV699" s="23"/>
      <c r="AW699" s="23"/>
      <c r="AX699" s="23"/>
      <c r="AY699" s="23"/>
      <c r="AZ699" s="23"/>
      <c r="BA699" s="23"/>
      <c r="BB699" s="23"/>
      <c r="BC699" s="23"/>
    </row>
    <row r="700">
      <c r="AO700" s="23"/>
      <c r="AP700" s="23"/>
      <c r="AQ700" s="23"/>
      <c r="AR700" s="23"/>
      <c r="AS700" s="23"/>
      <c r="AT700" s="23"/>
      <c r="AU700" s="23"/>
      <c r="AV700" s="23"/>
      <c r="AW700" s="23"/>
      <c r="AX700" s="23"/>
      <c r="AY700" s="23"/>
      <c r="AZ700" s="23"/>
      <c r="BA700" s="23"/>
      <c r="BB700" s="23"/>
      <c r="BC700" s="23"/>
    </row>
    <row r="701">
      <c r="AO701" s="23"/>
      <c r="AP701" s="23"/>
      <c r="AQ701" s="23"/>
      <c r="AR701" s="23"/>
      <c r="AS701" s="23"/>
      <c r="AT701" s="23"/>
      <c r="AU701" s="23"/>
      <c r="AV701" s="23"/>
      <c r="AW701" s="23"/>
      <c r="AX701" s="23"/>
      <c r="AY701" s="23"/>
      <c r="AZ701" s="23"/>
      <c r="BA701" s="23"/>
      <c r="BB701" s="23"/>
      <c r="BC701" s="23"/>
    </row>
    <row r="702">
      <c r="AO702" s="23"/>
      <c r="AP702" s="23"/>
      <c r="AQ702" s="23"/>
      <c r="AR702" s="23"/>
      <c r="AS702" s="23"/>
      <c r="AT702" s="23"/>
      <c r="AU702" s="23"/>
      <c r="AV702" s="23"/>
      <c r="AW702" s="23"/>
      <c r="AX702" s="23"/>
      <c r="AY702" s="23"/>
      <c r="AZ702" s="23"/>
      <c r="BA702" s="23"/>
      <c r="BB702" s="23"/>
      <c r="BC702" s="23"/>
    </row>
    <row r="703">
      <c r="AO703" s="23"/>
      <c r="AP703" s="23"/>
      <c r="AQ703" s="23"/>
      <c r="AR703" s="23"/>
      <c r="AS703" s="23"/>
      <c r="AT703" s="23"/>
      <c r="AU703" s="23"/>
      <c r="AV703" s="23"/>
      <c r="AW703" s="23"/>
      <c r="AX703" s="23"/>
      <c r="AY703" s="23"/>
      <c r="AZ703" s="23"/>
      <c r="BA703" s="23"/>
      <c r="BB703" s="23"/>
      <c r="BC703" s="23"/>
    </row>
    <row r="704">
      <c r="AO704" s="23"/>
      <c r="AP704" s="23"/>
      <c r="AQ704" s="23"/>
      <c r="AR704" s="23"/>
      <c r="AS704" s="23"/>
      <c r="AT704" s="23"/>
      <c r="AU704" s="23"/>
      <c r="AV704" s="23"/>
      <c r="AW704" s="23"/>
      <c r="AX704" s="23"/>
      <c r="AY704" s="23"/>
      <c r="AZ704" s="23"/>
      <c r="BA704" s="23"/>
      <c r="BB704" s="23"/>
      <c r="BC704" s="23"/>
    </row>
    <row r="705">
      <c r="AO705" s="23"/>
      <c r="AP705" s="23"/>
      <c r="AQ705" s="23"/>
      <c r="AR705" s="23"/>
      <c r="AS705" s="23"/>
      <c r="AT705" s="23"/>
      <c r="AU705" s="23"/>
      <c r="AV705" s="23"/>
      <c r="AW705" s="23"/>
      <c r="AX705" s="23"/>
      <c r="AY705" s="23"/>
      <c r="AZ705" s="23"/>
      <c r="BA705" s="23"/>
      <c r="BB705" s="23"/>
      <c r="BC705" s="23"/>
    </row>
    <row r="706">
      <c r="AO706" s="23"/>
      <c r="AP706" s="23"/>
      <c r="AQ706" s="23"/>
      <c r="AR706" s="23"/>
      <c r="AS706" s="23"/>
      <c r="AT706" s="23"/>
      <c r="AU706" s="23"/>
      <c r="AV706" s="23"/>
      <c r="AW706" s="23"/>
      <c r="AX706" s="23"/>
      <c r="AY706" s="23"/>
      <c r="AZ706" s="23"/>
      <c r="BA706" s="23"/>
      <c r="BB706" s="23"/>
      <c r="BC706" s="23"/>
    </row>
    <row r="707">
      <c r="AO707" s="23"/>
      <c r="AP707" s="23"/>
      <c r="AQ707" s="23"/>
      <c r="AR707" s="23"/>
      <c r="AS707" s="23"/>
      <c r="AT707" s="23"/>
      <c r="AU707" s="23"/>
      <c r="AV707" s="23"/>
      <c r="AW707" s="23"/>
      <c r="AX707" s="23"/>
      <c r="AY707" s="23"/>
      <c r="AZ707" s="23"/>
      <c r="BA707" s="23"/>
      <c r="BB707" s="23"/>
      <c r="BC707" s="23"/>
    </row>
    <row r="708">
      <c r="AO708" s="23"/>
      <c r="AP708" s="23"/>
      <c r="AQ708" s="23"/>
      <c r="AR708" s="23"/>
      <c r="AS708" s="23"/>
      <c r="AT708" s="23"/>
      <c r="AU708" s="23"/>
      <c r="AV708" s="23"/>
      <c r="AW708" s="23"/>
      <c r="AX708" s="23"/>
      <c r="AY708" s="23"/>
      <c r="AZ708" s="23"/>
      <c r="BA708" s="23"/>
      <c r="BB708" s="23"/>
      <c r="BC708" s="23"/>
    </row>
    <row r="709">
      <c r="AO709" s="23"/>
      <c r="AP709" s="23"/>
      <c r="AQ709" s="23"/>
      <c r="AR709" s="23"/>
      <c r="AS709" s="23"/>
      <c r="AT709" s="23"/>
      <c r="AU709" s="23"/>
      <c r="AV709" s="23"/>
      <c r="AW709" s="23"/>
      <c r="AX709" s="23"/>
      <c r="AY709" s="23"/>
      <c r="AZ709" s="23"/>
      <c r="BA709" s="23"/>
      <c r="BB709" s="23"/>
      <c r="BC709" s="23"/>
    </row>
    <row r="710">
      <c r="AO710" s="23"/>
      <c r="AP710" s="23"/>
      <c r="AQ710" s="23"/>
      <c r="AR710" s="23"/>
      <c r="AS710" s="23"/>
      <c r="AT710" s="23"/>
      <c r="AU710" s="23"/>
      <c r="AV710" s="23"/>
      <c r="AW710" s="23"/>
      <c r="AX710" s="23"/>
      <c r="AY710" s="23"/>
      <c r="AZ710" s="23"/>
      <c r="BA710" s="23"/>
      <c r="BB710" s="23"/>
      <c r="BC710" s="23"/>
    </row>
    <row r="711">
      <c r="AO711" s="23"/>
      <c r="AP711" s="23"/>
      <c r="AQ711" s="23"/>
      <c r="AR711" s="23"/>
      <c r="AS711" s="23"/>
      <c r="AT711" s="23"/>
      <c r="AU711" s="23"/>
      <c r="AV711" s="23"/>
      <c r="AW711" s="23"/>
      <c r="AX711" s="23"/>
      <c r="AY711" s="23"/>
      <c r="AZ711" s="23"/>
      <c r="BA711" s="23"/>
      <c r="BB711" s="23"/>
      <c r="BC711" s="23"/>
    </row>
    <row r="712">
      <c r="AO712" s="23"/>
      <c r="AP712" s="23"/>
      <c r="AQ712" s="23"/>
      <c r="AR712" s="23"/>
      <c r="AS712" s="23"/>
      <c r="AT712" s="23"/>
      <c r="AU712" s="23"/>
      <c r="AV712" s="23"/>
      <c r="AW712" s="23"/>
      <c r="AX712" s="23"/>
      <c r="AY712" s="23"/>
      <c r="AZ712" s="23"/>
      <c r="BA712" s="23"/>
      <c r="BB712" s="23"/>
      <c r="BC712" s="23"/>
    </row>
    <row r="713">
      <c r="AO713" s="23"/>
      <c r="AP713" s="23"/>
      <c r="AQ713" s="23"/>
      <c r="AR713" s="23"/>
      <c r="AS713" s="23"/>
      <c r="AT713" s="23"/>
      <c r="AU713" s="23"/>
      <c r="AV713" s="23"/>
      <c r="AW713" s="23"/>
      <c r="AX713" s="23"/>
      <c r="AY713" s="23"/>
      <c r="AZ713" s="23"/>
      <c r="BA713" s="23"/>
      <c r="BB713" s="23"/>
      <c r="BC713" s="23"/>
    </row>
    <row r="714">
      <c r="AO714" s="23"/>
      <c r="AP714" s="23"/>
      <c r="AQ714" s="23"/>
      <c r="AR714" s="23"/>
      <c r="AS714" s="23"/>
      <c r="AT714" s="23"/>
      <c r="AU714" s="23"/>
      <c r="AV714" s="23"/>
      <c r="AW714" s="23"/>
      <c r="AX714" s="23"/>
      <c r="AY714" s="23"/>
      <c r="AZ714" s="23"/>
      <c r="BA714" s="23"/>
      <c r="BB714" s="23"/>
      <c r="BC714" s="23"/>
    </row>
    <row r="715">
      <c r="AO715" s="23"/>
      <c r="AP715" s="23"/>
      <c r="AQ715" s="23"/>
      <c r="AR715" s="23"/>
      <c r="AS715" s="23"/>
      <c r="AT715" s="23"/>
      <c r="AU715" s="23"/>
      <c r="AV715" s="23"/>
      <c r="AW715" s="23"/>
      <c r="AX715" s="23"/>
      <c r="AY715" s="23"/>
      <c r="AZ715" s="23"/>
      <c r="BA715" s="23"/>
      <c r="BB715" s="23"/>
      <c r="BC715" s="23"/>
    </row>
    <row r="716">
      <c r="AO716" s="23"/>
      <c r="AP716" s="23"/>
      <c r="AQ716" s="23"/>
      <c r="AR716" s="23"/>
      <c r="AS716" s="23"/>
      <c r="AT716" s="23"/>
      <c r="AU716" s="23"/>
      <c r="AV716" s="23"/>
      <c r="AW716" s="23"/>
      <c r="AX716" s="23"/>
      <c r="AY716" s="23"/>
      <c r="AZ716" s="23"/>
      <c r="BA716" s="23"/>
      <c r="BB716" s="23"/>
      <c r="BC716" s="23"/>
    </row>
    <row r="717">
      <c r="AO717" s="23"/>
      <c r="AP717" s="23"/>
      <c r="AQ717" s="23"/>
      <c r="AR717" s="23"/>
      <c r="AS717" s="23"/>
      <c r="AT717" s="23"/>
      <c r="AU717" s="23"/>
      <c r="AV717" s="23"/>
      <c r="AW717" s="23"/>
      <c r="AX717" s="23"/>
      <c r="AY717" s="23"/>
      <c r="AZ717" s="23"/>
      <c r="BA717" s="23"/>
      <c r="BB717" s="23"/>
      <c r="BC717" s="23"/>
    </row>
    <row r="718">
      <c r="AO718" s="23"/>
      <c r="AP718" s="23"/>
      <c r="AQ718" s="23"/>
      <c r="AR718" s="23"/>
      <c r="AS718" s="23"/>
      <c r="AT718" s="23"/>
      <c r="AU718" s="23"/>
      <c r="AV718" s="23"/>
      <c r="AW718" s="23"/>
      <c r="AX718" s="23"/>
      <c r="AY718" s="23"/>
      <c r="AZ718" s="23"/>
      <c r="BA718" s="23"/>
      <c r="BB718" s="23"/>
      <c r="BC718" s="23"/>
    </row>
    <row r="719">
      <c r="AO719" s="23"/>
      <c r="AP719" s="23"/>
      <c r="AQ719" s="23"/>
      <c r="AR719" s="23"/>
      <c r="AS719" s="23"/>
      <c r="AT719" s="23"/>
      <c r="AU719" s="23"/>
      <c r="AV719" s="23"/>
      <c r="AW719" s="23"/>
      <c r="AX719" s="23"/>
      <c r="AY719" s="23"/>
      <c r="AZ719" s="23"/>
      <c r="BA719" s="23"/>
      <c r="BB719" s="23"/>
      <c r="BC719" s="23"/>
    </row>
    <row r="720">
      <c r="AO720" s="23"/>
      <c r="AP720" s="23"/>
      <c r="AQ720" s="23"/>
      <c r="AR720" s="23"/>
      <c r="AS720" s="23"/>
      <c r="AT720" s="23"/>
      <c r="AU720" s="23"/>
      <c r="AV720" s="23"/>
      <c r="AW720" s="23"/>
      <c r="AX720" s="23"/>
      <c r="AY720" s="23"/>
      <c r="AZ720" s="23"/>
      <c r="BA720" s="23"/>
      <c r="BB720" s="23"/>
      <c r="BC720" s="23"/>
    </row>
    <row r="721">
      <c r="AO721" s="23"/>
      <c r="AP721" s="23"/>
      <c r="AQ721" s="23"/>
      <c r="AR721" s="23"/>
      <c r="AS721" s="23"/>
      <c r="AT721" s="23"/>
      <c r="AU721" s="23"/>
      <c r="AV721" s="23"/>
      <c r="AW721" s="23"/>
      <c r="AX721" s="23"/>
      <c r="AY721" s="23"/>
      <c r="AZ721" s="23"/>
      <c r="BA721" s="23"/>
      <c r="BB721" s="23"/>
      <c r="BC721" s="23"/>
    </row>
    <row r="722">
      <c r="AO722" s="23"/>
      <c r="AP722" s="23"/>
      <c r="AQ722" s="23"/>
      <c r="AR722" s="23"/>
      <c r="AS722" s="23"/>
      <c r="AT722" s="23"/>
      <c r="AU722" s="23"/>
      <c r="AV722" s="23"/>
      <c r="AW722" s="23"/>
      <c r="AX722" s="23"/>
      <c r="AY722" s="23"/>
      <c r="AZ722" s="23"/>
      <c r="BA722" s="23"/>
      <c r="BB722" s="23"/>
      <c r="BC722" s="23"/>
    </row>
    <row r="723">
      <c r="AO723" s="23"/>
      <c r="AP723" s="23"/>
      <c r="AQ723" s="23"/>
      <c r="AR723" s="23"/>
      <c r="AS723" s="23"/>
      <c r="AT723" s="23"/>
      <c r="AU723" s="23"/>
      <c r="AV723" s="23"/>
      <c r="AW723" s="23"/>
      <c r="AX723" s="23"/>
      <c r="AY723" s="23"/>
      <c r="AZ723" s="23"/>
      <c r="BA723" s="23"/>
      <c r="BB723" s="23"/>
      <c r="BC723" s="23"/>
    </row>
    <row r="724">
      <c r="AO724" s="23"/>
      <c r="AP724" s="23"/>
      <c r="AQ724" s="23"/>
      <c r="AR724" s="23"/>
      <c r="AS724" s="23"/>
      <c r="AT724" s="23"/>
      <c r="AU724" s="23"/>
      <c r="AV724" s="23"/>
      <c r="AW724" s="23"/>
      <c r="AX724" s="23"/>
      <c r="AY724" s="23"/>
      <c r="AZ724" s="23"/>
      <c r="BA724" s="23"/>
      <c r="BB724" s="23"/>
      <c r="BC724" s="23"/>
    </row>
    <row r="725">
      <c r="AO725" s="23"/>
      <c r="AP725" s="23"/>
      <c r="AQ725" s="23"/>
      <c r="AR725" s="23"/>
      <c r="AS725" s="23"/>
      <c r="AT725" s="23"/>
      <c r="AU725" s="23"/>
      <c r="AV725" s="23"/>
      <c r="AW725" s="23"/>
      <c r="AX725" s="23"/>
      <c r="AY725" s="23"/>
      <c r="AZ725" s="23"/>
      <c r="BA725" s="23"/>
      <c r="BB725" s="23"/>
      <c r="BC725" s="23"/>
    </row>
    <row r="726">
      <c r="AO726" s="23"/>
      <c r="AP726" s="23"/>
      <c r="AQ726" s="23"/>
      <c r="AR726" s="23"/>
      <c r="AS726" s="23"/>
      <c r="AT726" s="23"/>
      <c r="AU726" s="23"/>
      <c r="AV726" s="23"/>
      <c r="AW726" s="23"/>
      <c r="AX726" s="23"/>
      <c r="AY726" s="23"/>
      <c r="AZ726" s="23"/>
      <c r="BA726" s="23"/>
      <c r="BB726" s="23"/>
      <c r="BC726" s="23"/>
    </row>
    <row r="727">
      <c r="AO727" s="23"/>
      <c r="AP727" s="23"/>
      <c r="AQ727" s="23"/>
      <c r="AR727" s="23"/>
      <c r="AS727" s="23"/>
      <c r="AT727" s="23"/>
      <c r="AU727" s="23"/>
      <c r="AV727" s="23"/>
      <c r="AW727" s="23"/>
      <c r="AX727" s="23"/>
      <c r="AY727" s="23"/>
      <c r="AZ727" s="23"/>
      <c r="BA727" s="23"/>
      <c r="BB727" s="23"/>
      <c r="BC727" s="23"/>
    </row>
    <row r="728">
      <c r="AO728" s="23"/>
      <c r="AP728" s="23"/>
      <c r="AQ728" s="23"/>
      <c r="AR728" s="23"/>
      <c r="AS728" s="23"/>
      <c r="AT728" s="23"/>
      <c r="AU728" s="23"/>
      <c r="AV728" s="23"/>
      <c r="AW728" s="23"/>
      <c r="AX728" s="23"/>
      <c r="AY728" s="23"/>
      <c r="AZ728" s="23"/>
      <c r="BA728" s="23"/>
      <c r="BB728" s="23"/>
      <c r="BC728" s="23"/>
    </row>
    <row r="729">
      <c r="AO729" s="23"/>
      <c r="AP729" s="23"/>
      <c r="AQ729" s="23"/>
      <c r="AR729" s="23"/>
      <c r="AS729" s="23"/>
      <c r="AT729" s="23"/>
      <c r="AU729" s="23"/>
      <c r="AV729" s="23"/>
      <c r="AW729" s="23"/>
      <c r="AX729" s="23"/>
      <c r="AY729" s="23"/>
      <c r="AZ729" s="23"/>
      <c r="BA729" s="23"/>
      <c r="BB729" s="23"/>
      <c r="BC729" s="23"/>
    </row>
    <row r="730">
      <c r="AO730" s="23"/>
      <c r="AP730" s="23"/>
      <c r="AQ730" s="23"/>
      <c r="AR730" s="23"/>
      <c r="AS730" s="23"/>
      <c r="AT730" s="23"/>
      <c r="AU730" s="23"/>
      <c r="AV730" s="23"/>
      <c r="AW730" s="23"/>
      <c r="AX730" s="23"/>
      <c r="AY730" s="23"/>
      <c r="AZ730" s="23"/>
      <c r="BA730" s="23"/>
      <c r="BB730" s="23"/>
      <c r="BC730" s="23"/>
    </row>
    <row r="731">
      <c r="AO731" s="23"/>
      <c r="AP731" s="23"/>
      <c r="AQ731" s="23"/>
      <c r="AR731" s="23"/>
      <c r="AS731" s="23"/>
      <c r="AT731" s="23"/>
      <c r="AU731" s="23"/>
      <c r="AV731" s="23"/>
      <c r="AW731" s="23"/>
      <c r="AX731" s="23"/>
      <c r="AY731" s="23"/>
      <c r="AZ731" s="23"/>
      <c r="BA731" s="23"/>
      <c r="BB731" s="23"/>
      <c r="BC731" s="23"/>
    </row>
    <row r="732">
      <c r="AO732" s="23"/>
      <c r="AP732" s="23"/>
      <c r="AQ732" s="23"/>
      <c r="AR732" s="23"/>
      <c r="AS732" s="23"/>
      <c r="AT732" s="23"/>
      <c r="AU732" s="23"/>
      <c r="AV732" s="23"/>
      <c r="AW732" s="23"/>
      <c r="AX732" s="23"/>
      <c r="AY732" s="23"/>
      <c r="AZ732" s="23"/>
      <c r="BA732" s="23"/>
      <c r="BB732" s="23"/>
      <c r="BC732" s="23"/>
    </row>
    <row r="733">
      <c r="AO733" s="23"/>
      <c r="AP733" s="23"/>
      <c r="AQ733" s="23"/>
      <c r="AR733" s="23"/>
      <c r="AS733" s="23"/>
      <c r="AT733" s="23"/>
      <c r="AU733" s="23"/>
      <c r="AV733" s="23"/>
      <c r="AW733" s="23"/>
      <c r="AX733" s="23"/>
      <c r="AY733" s="23"/>
      <c r="AZ733" s="23"/>
      <c r="BA733" s="23"/>
      <c r="BB733" s="23"/>
      <c r="BC733" s="23"/>
    </row>
    <row r="734">
      <c r="AO734" s="23"/>
      <c r="AP734" s="23"/>
      <c r="AQ734" s="23"/>
      <c r="AR734" s="23"/>
      <c r="AS734" s="23"/>
      <c r="AT734" s="23"/>
      <c r="AU734" s="23"/>
      <c r="AV734" s="23"/>
      <c r="AW734" s="23"/>
      <c r="AX734" s="23"/>
      <c r="AY734" s="23"/>
      <c r="AZ734" s="23"/>
      <c r="BA734" s="23"/>
      <c r="BB734" s="23"/>
      <c r="BC734" s="23"/>
    </row>
    <row r="735">
      <c r="AO735" s="23"/>
      <c r="AP735" s="23"/>
      <c r="AQ735" s="23"/>
      <c r="AR735" s="23"/>
      <c r="AS735" s="23"/>
      <c r="AT735" s="23"/>
      <c r="AU735" s="23"/>
      <c r="AV735" s="23"/>
      <c r="AW735" s="23"/>
      <c r="AX735" s="23"/>
      <c r="AY735" s="23"/>
      <c r="AZ735" s="23"/>
      <c r="BA735" s="23"/>
      <c r="BB735" s="23"/>
      <c r="BC735" s="23"/>
    </row>
    <row r="736">
      <c r="AO736" s="23"/>
      <c r="AP736" s="23"/>
      <c r="AQ736" s="23"/>
      <c r="AR736" s="23"/>
      <c r="AS736" s="23"/>
      <c r="AT736" s="23"/>
      <c r="AU736" s="23"/>
      <c r="AV736" s="23"/>
      <c r="AW736" s="23"/>
      <c r="AX736" s="23"/>
      <c r="AY736" s="23"/>
      <c r="AZ736" s="23"/>
      <c r="BA736" s="23"/>
      <c r="BB736" s="23"/>
      <c r="BC736" s="23"/>
    </row>
    <row r="737">
      <c r="AO737" s="23"/>
      <c r="AP737" s="23"/>
      <c r="AQ737" s="23"/>
      <c r="AR737" s="23"/>
      <c r="AS737" s="23"/>
      <c r="AT737" s="23"/>
      <c r="AU737" s="23"/>
      <c r="AV737" s="23"/>
      <c r="AW737" s="23"/>
      <c r="AX737" s="23"/>
      <c r="AY737" s="23"/>
      <c r="AZ737" s="23"/>
      <c r="BA737" s="23"/>
      <c r="BB737" s="23"/>
      <c r="BC737" s="23"/>
    </row>
    <row r="738">
      <c r="AO738" s="23"/>
      <c r="AP738" s="23"/>
      <c r="AQ738" s="23"/>
      <c r="AR738" s="23"/>
      <c r="AS738" s="23"/>
      <c r="AT738" s="23"/>
      <c r="AU738" s="23"/>
      <c r="AV738" s="23"/>
      <c r="AW738" s="23"/>
      <c r="AX738" s="23"/>
      <c r="AY738" s="23"/>
      <c r="AZ738" s="23"/>
      <c r="BA738" s="23"/>
      <c r="BB738" s="23"/>
      <c r="BC738" s="23"/>
    </row>
    <row r="739">
      <c r="AO739" s="23"/>
      <c r="AP739" s="23"/>
      <c r="AQ739" s="23"/>
      <c r="AR739" s="23"/>
      <c r="AS739" s="23"/>
      <c r="AT739" s="23"/>
      <c r="AU739" s="23"/>
      <c r="AV739" s="23"/>
      <c r="AW739" s="23"/>
      <c r="AX739" s="23"/>
      <c r="AY739" s="23"/>
      <c r="AZ739" s="23"/>
      <c r="BA739" s="23"/>
      <c r="BB739" s="23"/>
      <c r="BC739" s="23"/>
    </row>
    <row r="740">
      <c r="AO740" s="23"/>
      <c r="AP740" s="23"/>
      <c r="AQ740" s="23"/>
      <c r="AR740" s="23"/>
      <c r="AS740" s="23"/>
      <c r="AT740" s="23"/>
      <c r="AU740" s="23"/>
      <c r="AV740" s="23"/>
      <c r="AW740" s="23"/>
      <c r="AX740" s="23"/>
      <c r="AY740" s="23"/>
      <c r="AZ740" s="23"/>
      <c r="BA740" s="23"/>
      <c r="BB740" s="23"/>
      <c r="BC740" s="23"/>
    </row>
    <row r="741">
      <c r="AO741" s="23"/>
      <c r="AP741" s="23"/>
      <c r="AQ741" s="23"/>
      <c r="AR741" s="23"/>
      <c r="AS741" s="23"/>
      <c r="AT741" s="23"/>
      <c r="AU741" s="23"/>
      <c r="AV741" s="23"/>
      <c r="AW741" s="23"/>
      <c r="AX741" s="23"/>
      <c r="AY741" s="23"/>
      <c r="AZ741" s="23"/>
      <c r="BA741" s="23"/>
      <c r="BB741" s="23"/>
      <c r="BC741" s="23"/>
    </row>
    <row r="742">
      <c r="AO742" s="23"/>
      <c r="AP742" s="23"/>
      <c r="AQ742" s="23"/>
      <c r="AR742" s="23"/>
      <c r="AS742" s="23"/>
      <c r="AT742" s="23"/>
      <c r="AU742" s="23"/>
      <c r="AV742" s="23"/>
      <c r="AW742" s="23"/>
      <c r="AX742" s="23"/>
      <c r="AY742" s="23"/>
      <c r="AZ742" s="23"/>
      <c r="BA742" s="23"/>
      <c r="BB742" s="23"/>
      <c r="BC742" s="23"/>
    </row>
    <row r="743">
      <c r="AO743" s="23"/>
      <c r="AP743" s="23"/>
      <c r="AQ743" s="23"/>
      <c r="AR743" s="23"/>
      <c r="AS743" s="23"/>
      <c r="AT743" s="23"/>
      <c r="AU743" s="23"/>
      <c r="AV743" s="23"/>
      <c r="AW743" s="23"/>
      <c r="AX743" s="23"/>
      <c r="AY743" s="23"/>
      <c r="AZ743" s="23"/>
      <c r="BA743" s="23"/>
      <c r="BB743" s="23"/>
      <c r="BC743" s="23"/>
    </row>
    <row r="744">
      <c r="AO744" s="23"/>
      <c r="AP744" s="23"/>
      <c r="AQ744" s="23"/>
      <c r="AR744" s="23"/>
      <c r="AS744" s="23"/>
      <c r="AT744" s="23"/>
      <c r="AU744" s="23"/>
      <c r="AV744" s="23"/>
      <c r="AW744" s="23"/>
      <c r="AX744" s="23"/>
      <c r="AY744" s="23"/>
      <c r="AZ744" s="23"/>
      <c r="BA744" s="23"/>
      <c r="BB744" s="23"/>
      <c r="BC744" s="23"/>
    </row>
    <row r="745">
      <c r="AO745" s="23"/>
      <c r="AP745" s="23"/>
      <c r="AQ745" s="23"/>
      <c r="AR745" s="23"/>
      <c r="AS745" s="23"/>
      <c r="AT745" s="23"/>
      <c r="AU745" s="23"/>
      <c r="AV745" s="23"/>
      <c r="AW745" s="23"/>
      <c r="AX745" s="23"/>
      <c r="AY745" s="23"/>
      <c r="AZ745" s="23"/>
      <c r="BA745" s="23"/>
      <c r="BB745" s="23"/>
      <c r="BC745" s="23"/>
    </row>
    <row r="746">
      <c r="AO746" s="23"/>
      <c r="AP746" s="23"/>
      <c r="AQ746" s="23"/>
      <c r="AR746" s="23"/>
      <c r="AS746" s="23"/>
      <c r="AT746" s="23"/>
      <c r="AU746" s="23"/>
      <c r="AV746" s="23"/>
      <c r="AW746" s="23"/>
      <c r="AX746" s="23"/>
      <c r="AY746" s="23"/>
      <c r="AZ746" s="23"/>
      <c r="BA746" s="23"/>
      <c r="BB746" s="23"/>
      <c r="BC746" s="23"/>
    </row>
    <row r="747">
      <c r="AO747" s="23"/>
      <c r="AP747" s="23"/>
      <c r="AQ747" s="23"/>
      <c r="AR747" s="23"/>
      <c r="AS747" s="23"/>
      <c r="AT747" s="23"/>
      <c r="AU747" s="23"/>
      <c r="AV747" s="23"/>
      <c r="AW747" s="23"/>
      <c r="AX747" s="23"/>
      <c r="AY747" s="23"/>
      <c r="AZ747" s="23"/>
      <c r="BA747" s="23"/>
      <c r="BB747" s="23"/>
      <c r="BC747" s="23"/>
    </row>
    <row r="748">
      <c r="AO748" s="23"/>
      <c r="AP748" s="23"/>
      <c r="AQ748" s="23"/>
      <c r="AR748" s="23"/>
      <c r="AS748" s="23"/>
      <c r="AT748" s="23"/>
      <c r="AU748" s="23"/>
      <c r="AV748" s="23"/>
      <c r="AW748" s="23"/>
      <c r="AX748" s="23"/>
      <c r="AY748" s="23"/>
      <c r="AZ748" s="23"/>
      <c r="BA748" s="23"/>
      <c r="BB748" s="23"/>
      <c r="BC748" s="23"/>
    </row>
    <row r="749">
      <c r="AO749" s="23"/>
      <c r="AP749" s="23"/>
      <c r="AQ749" s="23"/>
      <c r="AR749" s="23"/>
      <c r="AS749" s="23"/>
      <c r="AT749" s="23"/>
      <c r="AU749" s="23"/>
      <c r="AV749" s="23"/>
      <c r="AW749" s="23"/>
      <c r="AX749" s="23"/>
      <c r="AY749" s="23"/>
      <c r="AZ749" s="23"/>
      <c r="BA749" s="23"/>
      <c r="BB749" s="23"/>
      <c r="BC749" s="23"/>
    </row>
    <row r="750">
      <c r="AO750" s="23"/>
      <c r="AP750" s="23"/>
      <c r="AQ750" s="23"/>
      <c r="AR750" s="23"/>
      <c r="AS750" s="23"/>
      <c r="AT750" s="23"/>
      <c r="AU750" s="23"/>
      <c r="AV750" s="23"/>
      <c r="AW750" s="23"/>
      <c r="AX750" s="23"/>
      <c r="AY750" s="23"/>
      <c r="AZ750" s="23"/>
      <c r="BA750" s="23"/>
      <c r="BB750" s="23"/>
      <c r="BC750" s="23"/>
    </row>
    <row r="751">
      <c r="AO751" s="23"/>
      <c r="AP751" s="23"/>
      <c r="AQ751" s="23"/>
      <c r="AR751" s="23"/>
      <c r="AS751" s="23"/>
      <c r="AT751" s="23"/>
      <c r="AU751" s="23"/>
      <c r="AV751" s="23"/>
      <c r="AW751" s="23"/>
      <c r="AX751" s="23"/>
      <c r="AY751" s="23"/>
      <c r="AZ751" s="23"/>
      <c r="BA751" s="23"/>
      <c r="BB751" s="23"/>
      <c r="BC751" s="23"/>
    </row>
    <row r="752">
      <c r="AO752" s="23"/>
      <c r="AP752" s="23"/>
      <c r="AQ752" s="23"/>
      <c r="AR752" s="23"/>
      <c r="AS752" s="23"/>
      <c r="AT752" s="23"/>
      <c r="AU752" s="23"/>
      <c r="AV752" s="23"/>
      <c r="AW752" s="23"/>
      <c r="AX752" s="23"/>
      <c r="AY752" s="23"/>
      <c r="AZ752" s="23"/>
      <c r="BA752" s="23"/>
      <c r="BB752" s="23"/>
      <c r="BC752" s="23"/>
    </row>
    <row r="753">
      <c r="AO753" s="23"/>
      <c r="AP753" s="23"/>
      <c r="AQ753" s="23"/>
      <c r="AR753" s="23"/>
      <c r="AS753" s="23"/>
      <c r="AT753" s="23"/>
      <c r="AU753" s="23"/>
      <c r="AV753" s="23"/>
      <c r="AW753" s="23"/>
      <c r="AX753" s="23"/>
      <c r="AY753" s="23"/>
      <c r="AZ753" s="23"/>
      <c r="BA753" s="23"/>
      <c r="BB753" s="23"/>
      <c r="BC753" s="23"/>
    </row>
    <row r="754">
      <c r="AO754" s="23"/>
      <c r="AP754" s="23"/>
      <c r="AQ754" s="23"/>
      <c r="AR754" s="23"/>
      <c r="AS754" s="23"/>
      <c r="AT754" s="23"/>
      <c r="AU754" s="23"/>
      <c r="AV754" s="23"/>
      <c r="AW754" s="23"/>
      <c r="AX754" s="23"/>
      <c r="AY754" s="23"/>
      <c r="AZ754" s="23"/>
      <c r="BA754" s="23"/>
      <c r="BB754" s="23"/>
      <c r="BC754" s="23"/>
    </row>
    <row r="755">
      <c r="AO755" s="23"/>
      <c r="AP755" s="23"/>
      <c r="AQ755" s="23"/>
      <c r="AR755" s="23"/>
      <c r="AS755" s="23"/>
      <c r="AT755" s="23"/>
      <c r="AU755" s="23"/>
      <c r="AV755" s="23"/>
      <c r="AW755" s="23"/>
      <c r="AX755" s="23"/>
      <c r="AY755" s="23"/>
      <c r="AZ755" s="23"/>
      <c r="BA755" s="23"/>
      <c r="BB755" s="23"/>
      <c r="BC755" s="23"/>
    </row>
    <row r="756">
      <c r="AO756" s="23"/>
      <c r="AP756" s="23"/>
      <c r="AQ756" s="23"/>
      <c r="AR756" s="23"/>
      <c r="AS756" s="23"/>
      <c r="AT756" s="23"/>
      <c r="AU756" s="23"/>
      <c r="AV756" s="23"/>
      <c r="AW756" s="23"/>
      <c r="AX756" s="23"/>
      <c r="AY756" s="23"/>
      <c r="AZ756" s="23"/>
      <c r="BA756" s="23"/>
      <c r="BB756" s="23"/>
      <c r="BC756" s="23"/>
    </row>
    <row r="757">
      <c r="AO757" s="23"/>
      <c r="AP757" s="23"/>
      <c r="AQ757" s="23"/>
      <c r="AR757" s="23"/>
      <c r="AS757" s="23"/>
      <c r="AT757" s="23"/>
      <c r="AU757" s="23"/>
      <c r="AV757" s="23"/>
      <c r="AW757" s="23"/>
      <c r="AX757" s="23"/>
      <c r="AY757" s="23"/>
      <c r="AZ757" s="23"/>
      <c r="BA757" s="23"/>
      <c r="BB757" s="23"/>
      <c r="BC757" s="23"/>
    </row>
    <row r="758">
      <c r="AO758" s="23"/>
      <c r="AP758" s="23"/>
      <c r="AQ758" s="23"/>
      <c r="AR758" s="23"/>
      <c r="AS758" s="23"/>
      <c r="AT758" s="23"/>
      <c r="AU758" s="23"/>
      <c r="AV758" s="23"/>
      <c r="AW758" s="23"/>
      <c r="AX758" s="23"/>
      <c r="AY758" s="23"/>
      <c r="AZ758" s="23"/>
      <c r="BA758" s="23"/>
      <c r="BB758" s="23"/>
      <c r="BC758" s="23"/>
    </row>
    <row r="759">
      <c r="AO759" s="23"/>
      <c r="AP759" s="23"/>
      <c r="AQ759" s="23"/>
      <c r="AR759" s="23"/>
      <c r="AS759" s="23"/>
      <c r="AT759" s="23"/>
      <c r="AU759" s="23"/>
      <c r="AV759" s="23"/>
      <c r="AW759" s="23"/>
      <c r="AX759" s="23"/>
      <c r="AY759" s="23"/>
      <c r="AZ759" s="23"/>
      <c r="BA759" s="23"/>
      <c r="BB759" s="23"/>
      <c r="BC759" s="23"/>
    </row>
    <row r="760">
      <c r="AO760" s="23"/>
      <c r="AP760" s="23"/>
      <c r="AQ760" s="23"/>
      <c r="AR760" s="23"/>
      <c r="AS760" s="23"/>
      <c r="AT760" s="23"/>
      <c r="AU760" s="23"/>
      <c r="AV760" s="23"/>
      <c r="AW760" s="23"/>
      <c r="AX760" s="23"/>
      <c r="AY760" s="23"/>
      <c r="AZ760" s="23"/>
      <c r="BA760" s="23"/>
      <c r="BB760" s="23"/>
      <c r="BC760" s="23"/>
    </row>
    <row r="761">
      <c r="AO761" s="23"/>
      <c r="AP761" s="23"/>
      <c r="AQ761" s="23"/>
      <c r="AR761" s="23"/>
      <c r="AS761" s="23"/>
      <c r="AT761" s="23"/>
      <c r="AU761" s="23"/>
      <c r="AV761" s="23"/>
      <c r="AW761" s="23"/>
      <c r="AX761" s="23"/>
      <c r="AY761" s="23"/>
      <c r="AZ761" s="23"/>
      <c r="BA761" s="23"/>
      <c r="BB761" s="23"/>
      <c r="BC761" s="23"/>
    </row>
    <row r="762">
      <c r="AO762" s="23"/>
      <c r="AP762" s="23"/>
      <c r="AQ762" s="23"/>
      <c r="AR762" s="23"/>
      <c r="AS762" s="23"/>
      <c r="AT762" s="23"/>
      <c r="AU762" s="23"/>
      <c r="AV762" s="23"/>
      <c r="AW762" s="23"/>
      <c r="AX762" s="23"/>
      <c r="AY762" s="23"/>
      <c r="AZ762" s="23"/>
      <c r="BA762" s="23"/>
      <c r="BB762" s="23"/>
      <c r="BC762" s="23"/>
    </row>
    <row r="763">
      <c r="AO763" s="23"/>
      <c r="AP763" s="23"/>
      <c r="AQ763" s="23"/>
      <c r="AR763" s="23"/>
      <c r="AS763" s="23"/>
      <c r="AT763" s="23"/>
      <c r="AU763" s="23"/>
      <c r="AV763" s="23"/>
      <c r="AW763" s="23"/>
      <c r="AX763" s="23"/>
      <c r="AY763" s="23"/>
      <c r="AZ763" s="23"/>
      <c r="BA763" s="23"/>
      <c r="BB763" s="23"/>
      <c r="BC763" s="23"/>
    </row>
    <row r="764">
      <c r="AO764" s="23"/>
      <c r="AP764" s="23"/>
      <c r="AQ764" s="23"/>
      <c r="AR764" s="23"/>
      <c r="AS764" s="23"/>
      <c r="AT764" s="23"/>
      <c r="AU764" s="23"/>
      <c r="AV764" s="23"/>
      <c r="AW764" s="23"/>
      <c r="AX764" s="23"/>
      <c r="AY764" s="23"/>
      <c r="AZ764" s="23"/>
      <c r="BA764" s="23"/>
      <c r="BB764" s="23"/>
      <c r="BC764" s="23"/>
    </row>
    <row r="765">
      <c r="AO765" s="23"/>
      <c r="AP765" s="23"/>
      <c r="AQ765" s="23"/>
      <c r="AR765" s="23"/>
      <c r="AS765" s="23"/>
      <c r="AT765" s="23"/>
      <c r="AU765" s="23"/>
      <c r="AV765" s="23"/>
      <c r="AW765" s="23"/>
      <c r="AX765" s="23"/>
      <c r="AY765" s="23"/>
      <c r="AZ765" s="23"/>
      <c r="BA765" s="23"/>
      <c r="BB765" s="23"/>
      <c r="BC765" s="23"/>
    </row>
    <row r="766">
      <c r="AO766" s="23"/>
      <c r="AP766" s="23"/>
      <c r="AQ766" s="23"/>
      <c r="AR766" s="23"/>
      <c r="AS766" s="23"/>
      <c r="AT766" s="23"/>
      <c r="AU766" s="23"/>
      <c r="AV766" s="23"/>
      <c r="AW766" s="23"/>
      <c r="AX766" s="23"/>
      <c r="AY766" s="23"/>
      <c r="AZ766" s="23"/>
      <c r="BA766" s="23"/>
      <c r="BB766" s="23"/>
      <c r="BC766" s="23"/>
    </row>
    <row r="767">
      <c r="AO767" s="23"/>
      <c r="AP767" s="23"/>
      <c r="AQ767" s="23"/>
      <c r="AR767" s="23"/>
      <c r="AS767" s="23"/>
      <c r="AT767" s="23"/>
      <c r="AU767" s="23"/>
      <c r="AV767" s="23"/>
      <c r="AW767" s="23"/>
      <c r="AX767" s="23"/>
      <c r="AY767" s="23"/>
      <c r="AZ767" s="23"/>
      <c r="BA767" s="23"/>
      <c r="BB767" s="23"/>
      <c r="BC767" s="23"/>
    </row>
    <row r="768">
      <c r="AO768" s="23"/>
      <c r="AP768" s="23"/>
      <c r="AQ768" s="23"/>
      <c r="AR768" s="23"/>
      <c r="AS768" s="23"/>
      <c r="AT768" s="23"/>
      <c r="AU768" s="23"/>
      <c r="AV768" s="23"/>
      <c r="AW768" s="23"/>
      <c r="AX768" s="23"/>
      <c r="AY768" s="23"/>
      <c r="AZ768" s="23"/>
      <c r="BA768" s="23"/>
      <c r="BB768" s="23"/>
      <c r="BC768" s="23"/>
    </row>
    <row r="769">
      <c r="AO769" s="23"/>
      <c r="AP769" s="23"/>
      <c r="AQ769" s="23"/>
      <c r="AR769" s="23"/>
      <c r="AS769" s="23"/>
      <c r="AT769" s="23"/>
      <c r="AU769" s="23"/>
      <c r="AV769" s="23"/>
      <c r="AW769" s="23"/>
      <c r="AX769" s="23"/>
      <c r="AY769" s="23"/>
      <c r="AZ769" s="23"/>
      <c r="BA769" s="23"/>
      <c r="BB769" s="23"/>
      <c r="BC769" s="23"/>
    </row>
    <row r="770">
      <c r="AO770" s="23"/>
      <c r="AP770" s="23"/>
      <c r="AQ770" s="23"/>
      <c r="AR770" s="23"/>
      <c r="AS770" s="23"/>
      <c r="AT770" s="23"/>
      <c r="AU770" s="23"/>
      <c r="AV770" s="23"/>
      <c r="AW770" s="23"/>
      <c r="AX770" s="23"/>
      <c r="AY770" s="23"/>
      <c r="AZ770" s="23"/>
      <c r="BA770" s="23"/>
      <c r="BB770" s="23"/>
      <c r="BC770" s="23"/>
    </row>
    <row r="771">
      <c r="AO771" s="23"/>
      <c r="AP771" s="23"/>
      <c r="AQ771" s="23"/>
      <c r="AR771" s="23"/>
      <c r="AS771" s="23"/>
      <c r="AT771" s="23"/>
      <c r="AU771" s="23"/>
      <c r="AV771" s="23"/>
      <c r="AW771" s="23"/>
      <c r="AX771" s="23"/>
      <c r="AY771" s="23"/>
      <c r="AZ771" s="23"/>
      <c r="BA771" s="23"/>
      <c r="BB771" s="23"/>
      <c r="BC771" s="23"/>
    </row>
    <row r="772">
      <c r="AO772" s="23"/>
      <c r="AP772" s="23"/>
      <c r="AQ772" s="23"/>
      <c r="AR772" s="23"/>
      <c r="AS772" s="23"/>
      <c r="AT772" s="23"/>
      <c r="AU772" s="23"/>
      <c r="AV772" s="23"/>
      <c r="AW772" s="23"/>
      <c r="AX772" s="23"/>
      <c r="AY772" s="23"/>
      <c r="AZ772" s="23"/>
      <c r="BA772" s="23"/>
      <c r="BB772" s="23"/>
      <c r="BC772" s="23"/>
    </row>
    <row r="773">
      <c r="AO773" s="23"/>
      <c r="AP773" s="23"/>
      <c r="AQ773" s="23"/>
      <c r="AR773" s="23"/>
      <c r="AS773" s="23"/>
      <c r="AT773" s="23"/>
      <c r="AU773" s="23"/>
      <c r="AV773" s="23"/>
      <c r="AW773" s="23"/>
      <c r="AX773" s="23"/>
      <c r="AY773" s="23"/>
      <c r="AZ773" s="23"/>
      <c r="BA773" s="23"/>
      <c r="BB773" s="23"/>
      <c r="BC773" s="23"/>
    </row>
    <row r="774">
      <c r="AO774" s="23"/>
      <c r="AP774" s="23"/>
      <c r="AQ774" s="23"/>
      <c r="AR774" s="23"/>
      <c r="AS774" s="23"/>
      <c r="AT774" s="23"/>
      <c r="AU774" s="23"/>
      <c r="AV774" s="23"/>
      <c r="AW774" s="23"/>
      <c r="AX774" s="23"/>
      <c r="AY774" s="23"/>
      <c r="AZ774" s="23"/>
      <c r="BA774" s="23"/>
      <c r="BB774" s="23"/>
      <c r="BC774" s="23"/>
    </row>
    <row r="775">
      <c r="AO775" s="23"/>
      <c r="AP775" s="23"/>
      <c r="AQ775" s="23"/>
      <c r="AR775" s="23"/>
      <c r="AS775" s="23"/>
      <c r="AT775" s="23"/>
      <c r="AU775" s="23"/>
      <c r="AV775" s="23"/>
      <c r="AW775" s="23"/>
      <c r="AX775" s="23"/>
      <c r="AY775" s="23"/>
      <c r="AZ775" s="23"/>
      <c r="BA775" s="23"/>
      <c r="BB775" s="23"/>
      <c r="BC775" s="23"/>
    </row>
    <row r="776">
      <c r="AO776" s="23"/>
      <c r="AP776" s="23"/>
      <c r="AQ776" s="23"/>
      <c r="AR776" s="23"/>
      <c r="AS776" s="23"/>
      <c r="AT776" s="23"/>
      <c r="AU776" s="23"/>
      <c r="AV776" s="23"/>
      <c r="AW776" s="23"/>
      <c r="AX776" s="23"/>
      <c r="AY776" s="23"/>
      <c r="AZ776" s="23"/>
      <c r="BA776" s="23"/>
      <c r="BB776" s="23"/>
      <c r="BC776" s="23"/>
    </row>
    <row r="777">
      <c r="AO777" s="23"/>
      <c r="AP777" s="23"/>
      <c r="AQ777" s="23"/>
      <c r="AR777" s="23"/>
      <c r="AS777" s="23"/>
      <c r="AT777" s="23"/>
      <c r="AU777" s="23"/>
      <c r="AV777" s="23"/>
      <c r="AW777" s="23"/>
      <c r="AX777" s="23"/>
      <c r="AY777" s="23"/>
      <c r="AZ777" s="23"/>
      <c r="BA777" s="23"/>
      <c r="BB777" s="23"/>
      <c r="BC777" s="23"/>
    </row>
    <row r="778">
      <c r="AO778" s="23"/>
      <c r="AP778" s="23"/>
      <c r="AQ778" s="23"/>
      <c r="AR778" s="23"/>
      <c r="AS778" s="23"/>
      <c r="AT778" s="23"/>
      <c r="AU778" s="23"/>
      <c r="AV778" s="23"/>
      <c r="AW778" s="23"/>
      <c r="AX778" s="23"/>
      <c r="AY778" s="23"/>
      <c r="AZ778" s="23"/>
      <c r="BA778" s="23"/>
      <c r="BB778" s="23"/>
      <c r="BC778" s="23"/>
    </row>
    <row r="779">
      <c r="AO779" s="23"/>
      <c r="AP779" s="23"/>
      <c r="AQ779" s="23"/>
      <c r="AR779" s="23"/>
      <c r="AS779" s="23"/>
      <c r="AT779" s="23"/>
      <c r="AU779" s="23"/>
      <c r="AV779" s="23"/>
      <c r="AW779" s="23"/>
      <c r="AX779" s="23"/>
      <c r="AY779" s="23"/>
      <c r="AZ779" s="23"/>
      <c r="BA779" s="23"/>
      <c r="BB779" s="23"/>
      <c r="BC779" s="23"/>
    </row>
    <row r="780">
      <c r="AO780" s="23"/>
      <c r="AP780" s="23"/>
      <c r="AQ780" s="23"/>
      <c r="AR780" s="23"/>
      <c r="AS780" s="23"/>
      <c r="AT780" s="23"/>
      <c r="AU780" s="23"/>
      <c r="AV780" s="23"/>
      <c r="AW780" s="23"/>
      <c r="AX780" s="23"/>
      <c r="AY780" s="23"/>
      <c r="AZ780" s="23"/>
      <c r="BA780" s="23"/>
      <c r="BB780" s="23"/>
      <c r="BC780" s="23"/>
    </row>
    <row r="781">
      <c r="AO781" s="23"/>
      <c r="AP781" s="23"/>
      <c r="AQ781" s="23"/>
      <c r="AR781" s="23"/>
      <c r="AS781" s="23"/>
      <c r="AT781" s="23"/>
      <c r="AU781" s="23"/>
      <c r="AV781" s="23"/>
      <c r="AW781" s="23"/>
      <c r="AX781" s="23"/>
      <c r="AY781" s="23"/>
      <c r="AZ781" s="23"/>
      <c r="BA781" s="23"/>
      <c r="BB781" s="23"/>
      <c r="BC781" s="23"/>
    </row>
    <row r="782">
      <c r="AO782" s="23"/>
      <c r="AP782" s="23"/>
      <c r="AQ782" s="23"/>
      <c r="AR782" s="23"/>
      <c r="AS782" s="23"/>
      <c r="AT782" s="23"/>
      <c r="AU782" s="23"/>
      <c r="AV782" s="23"/>
      <c r="AW782" s="23"/>
      <c r="AX782" s="23"/>
      <c r="AY782" s="23"/>
      <c r="AZ782" s="23"/>
      <c r="BA782" s="23"/>
      <c r="BB782" s="23"/>
      <c r="BC782" s="23"/>
    </row>
    <row r="783">
      <c r="AO783" s="23"/>
      <c r="AP783" s="23"/>
      <c r="AQ783" s="23"/>
      <c r="AR783" s="23"/>
      <c r="AS783" s="23"/>
      <c r="AT783" s="23"/>
      <c r="AU783" s="23"/>
      <c r="AV783" s="23"/>
      <c r="AW783" s="23"/>
      <c r="AX783" s="23"/>
      <c r="AY783" s="23"/>
      <c r="AZ783" s="23"/>
      <c r="BA783" s="23"/>
      <c r="BB783" s="23"/>
      <c r="BC783" s="23"/>
    </row>
    <row r="784">
      <c r="AO784" s="23"/>
      <c r="AP784" s="23"/>
      <c r="AQ784" s="23"/>
      <c r="AR784" s="23"/>
      <c r="AS784" s="23"/>
      <c r="AT784" s="23"/>
      <c r="AU784" s="23"/>
      <c r="AV784" s="23"/>
      <c r="AW784" s="23"/>
      <c r="AX784" s="23"/>
      <c r="AY784" s="23"/>
      <c r="AZ784" s="23"/>
      <c r="BA784" s="23"/>
      <c r="BB784" s="23"/>
      <c r="BC784" s="23"/>
    </row>
    <row r="785">
      <c r="AO785" s="23"/>
      <c r="AP785" s="23"/>
      <c r="AQ785" s="23"/>
      <c r="AR785" s="23"/>
      <c r="AS785" s="23"/>
      <c r="AT785" s="23"/>
      <c r="AU785" s="23"/>
      <c r="AV785" s="23"/>
      <c r="AW785" s="23"/>
      <c r="AX785" s="23"/>
      <c r="AY785" s="23"/>
      <c r="AZ785" s="23"/>
      <c r="BA785" s="23"/>
      <c r="BB785" s="23"/>
      <c r="BC785" s="23"/>
    </row>
    <row r="786">
      <c r="AO786" s="23"/>
      <c r="AP786" s="23"/>
      <c r="AQ786" s="23"/>
      <c r="AR786" s="23"/>
      <c r="AS786" s="23"/>
      <c r="AT786" s="23"/>
      <c r="AU786" s="23"/>
      <c r="AV786" s="23"/>
      <c r="AW786" s="23"/>
      <c r="AX786" s="23"/>
      <c r="AY786" s="23"/>
      <c r="AZ786" s="23"/>
      <c r="BA786" s="23"/>
      <c r="BB786" s="23"/>
      <c r="BC786" s="23"/>
    </row>
    <row r="787">
      <c r="AO787" s="23"/>
      <c r="AP787" s="23"/>
      <c r="AQ787" s="23"/>
      <c r="AR787" s="23"/>
      <c r="AS787" s="23"/>
      <c r="AT787" s="23"/>
      <c r="AU787" s="23"/>
      <c r="AV787" s="23"/>
      <c r="AW787" s="23"/>
      <c r="AX787" s="23"/>
      <c r="AY787" s="23"/>
      <c r="AZ787" s="23"/>
      <c r="BA787" s="23"/>
      <c r="BB787" s="23"/>
      <c r="BC787" s="23"/>
    </row>
    <row r="788">
      <c r="AO788" s="23"/>
      <c r="AP788" s="23"/>
      <c r="AQ788" s="23"/>
      <c r="AR788" s="23"/>
      <c r="AS788" s="23"/>
      <c r="AT788" s="23"/>
      <c r="AU788" s="23"/>
      <c r="AV788" s="23"/>
      <c r="AW788" s="23"/>
      <c r="AX788" s="23"/>
      <c r="AY788" s="23"/>
      <c r="AZ788" s="23"/>
      <c r="BA788" s="23"/>
      <c r="BB788" s="23"/>
      <c r="BC788" s="23"/>
    </row>
    <row r="789">
      <c r="AO789" s="23"/>
      <c r="AP789" s="23"/>
      <c r="AQ789" s="23"/>
      <c r="AR789" s="23"/>
      <c r="AS789" s="23"/>
      <c r="AT789" s="23"/>
      <c r="AU789" s="23"/>
      <c r="AV789" s="23"/>
      <c r="AW789" s="23"/>
      <c r="AX789" s="23"/>
      <c r="AY789" s="23"/>
      <c r="AZ789" s="23"/>
      <c r="BA789" s="23"/>
      <c r="BB789" s="23"/>
      <c r="BC789" s="23"/>
    </row>
    <row r="790">
      <c r="AO790" s="23"/>
      <c r="AP790" s="23"/>
      <c r="AQ790" s="23"/>
      <c r="AR790" s="23"/>
      <c r="AS790" s="23"/>
      <c r="AT790" s="23"/>
      <c r="AU790" s="23"/>
      <c r="AV790" s="23"/>
      <c r="AW790" s="23"/>
      <c r="AX790" s="23"/>
      <c r="AY790" s="23"/>
      <c r="AZ790" s="23"/>
      <c r="BA790" s="23"/>
      <c r="BB790" s="23"/>
      <c r="BC790" s="23"/>
    </row>
    <row r="791">
      <c r="AO791" s="23"/>
      <c r="AP791" s="23"/>
      <c r="AQ791" s="23"/>
      <c r="AR791" s="23"/>
      <c r="AS791" s="23"/>
      <c r="AT791" s="23"/>
      <c r="AU791" s="23"/>
      <c r="AV791" s="23"/>
      <c r="AW791" s="23"/>
      <c r="AX791" s="23"/>
      <c r="AY791" s="23"/>
      <c r="AZ791" s="23"/>
      <c r="BA791" s="23"/>
      <c r="BB791" s="23"/>
      <c r="BC791" s="23"/>
    </row>
    <row r="792">
      <c r="AO792" s="23"/>
      <c r="AP792" s="23"/>
      <c r="AQ792" s="23"/>
      <c r="AR792" s="23"/>
      <c r="AS792" s="23"/>
      <c r="AT792" s="23"/>
      <c r="AU792" s="23"/>
      <c r="AV792" s="23"/>
      <c r="AW792" s="23"/>
      <c r="AX792" s="23"/>
      <c r="AY792" s="23"/>
      <c r="AZ792" s="23"/>
      <c r="BA792" s="23"/>
      <c r="BB792" s="23"/>
      <c r="BC792" s="23"/>
    </row>
    <row r="793">
      <c r="AO793" s="23"/>
      <c r="AP793" s="23"/>
      <c r="AQ793" s="23"/>
      <c r="AR793" s="23"/>
      <c r="AS793" s="23"/>
      <c r="AT793" s="23"/>
      <c r="AU793" s="23"/>
      <c r="AV793" s="23"/>
      <c r="AW793" s="23"/>
      <c r="AX793" s="23"/>
      <c r="AY793" s="23"/>
      <c r="AZ793" s="23"/>
      <c r="BA793" s="23"/>
      <c r="BB793" s="23"/>
      <c r="BC793" s="23"/>
    </row>
    <row r="794">
      <c r="AO794" s="23"/>
      <c r="AP794" s="23"/>
      <c r="AQ794" s="23"/>
      <c r="AR794" s="23"/>
      <c r="AS794" s="23"/>
      <c r="AT794" s="23"/>
      <c r="AU794" s="23"/>
      <c r="AV794" s="23"/>
      <c r="AW794" s="23"/>
      <c r="AX794" s="23"/>
      <c r="AY794" s="23"/>
      <c r="AZ794" s="23"/>
      <c r="BA794" s="23"/>
      <c r="BB794" s="23"/>
      <c r="BC794" s="23"/>
    </row>
    <row r="795">
      <c r="AO795" s="23"/>
      <c r="AP795" s="23"/>
      <c r="AQ795" s="23"/>
      <c r="AR795" s="23"/>
      <c r="AS795" s="23"/>
      <c r="AT795" s="23"/>
      <c r="AU795" s="23"/>
      <c r="AV795" s="23"/>
      <c r="AW795" s="23"/>
      <c r="AX795" s="23"/>
      <c r="AY795" s="23"/>
      <c r="AZ795" s="23"/>
      <c r="BA795" s="23"/>
      <c r="BB795" s="23"/>
      <c r="BC795" s="23"/>
    </row>
    <row r="796">
      <c r="AO796" s="23"/>
      <c r="AP796" s="23"/>
      <c r="AQ796" s="23"/>
      <c r="AR796" s="23"/>
      <c r="AS796" s="23"/>
      <c r="AT796" s="23"/>
      <c r="AU796" s="23"/>
      <c r="AV796" s="23"/>
      <c r="AW796" s="23"/>
      <c r="AX796" s="23"/>
      <c r="AY796" s="23"/>
      <c r="AZ796" s="23"/>
      <c r="BA796" s="23"/>
      <c r="BB796" s="23"/>
      <c r="BC796" s="23"/>
    </row>
    <row r="797">
      <c r="AO797" s="23"/>
      <c r="AP797" s="23"/>
      <c r="AQ797" s="23"/>
      <c r="AR797" s="23"/>
      <c r="AS797" s="23"/>
      <c r="AT797" s="23"/>
      <c r="AU797" s="23"/>
      <c r="AV797" s="23"/>
      <c r="AW797" s="23"/>
      <c r="AX797" s="23"/>
      <c r="AY797" s="23"/>
      <c r="AZ797" s="23"/>
      <c r="BA797" s="23"/>
      <c r="BB797" s="23"/>
      <c r="BC797" s="23"/>
    </row>
    <row r="798">
      <c r="AO798" s="23"/>
      <c r="AP798" s="23"/>
      <c r="AQ798" s="23"/>
      <c r="AR798" s="23"/>
      <c r="AS798" s="23"/>
      <c r="AT798" s="23"/>
      <c r="AU798" s="23"/>
      <c r="AV798" s="23"/>
      <c r="AW798" s="23"/>
      <c r="AX798" s="23"/>
      <c r="AY798" s="23"/>
      <c r="AZ798" s="23"/>
      <c r="BA798" s="23"/>
      <c r="BB798" s="23"/>
      <c r="BC798" s="23"/>
    </row>
    <row r="799">
      <c r="AO799" s="23"/>
      <c r="AP799" s="23"/>
      <c r="AQ799" s="23"/>
      <c r="AR799" s="23"/>
      <c r="AS799" s="23"/>
      <c r="AT799" s="23"/>
      <c r="AU799" s="23"/>
      <c r="AV799" s="23"/>
      <c r="AW799" s="23"/>
      <c r="AX799" s="23"/>
      <c r="AY799" s="23"/>
      <c r="AZ799" s="23"/>
      <c r="BA799" s="23"/>
      <c r="BB799" s="23"/>
      <c r="BC799" s="23"/>
    </row>
    <row r="800">
      <c r="AO800" s="23"/>
      <c r="AP800" s="23"/>
      <c r="AQ800" s="23"/>
      <c r="AR800" s="23"/>
      <c r="AS800" s="23"/>
      <c r="AT800" s="23"/>
      <c r="AU800" s="23"/>
      <c r="AV800" s="23"/>
      <c r="AW800" s="23"/>
      <c r="AX800" s="23"/>
      <c r="AY800" s="23"/>
      <c r="AZ800" s="23"/>
      <c r="BA800" s="23"/>
      <c r="BB800" s="23"/>
      <c r="BC800" s="23"/>
    </row>
    <row r="801">
      <c r="AO801" s="23"/>
      <c r="AP801" s="23"/>
      <c r="AQ801" s="23"/>
      <c r="AR801" s="23"/>
      <c r="AS801" s="23"/>
      <c r="AT801" s="23"/>
      <c r="AU801" s="23"/>
      <c r="AV801" s="23"/>
      <c r="AW801" s="23"/>
      <c r="AX801" s="23"/>
      <c r="AY801" s="23"/>
      <c r="AZ801" s="23"/>
      <c r="BA801" s="23"/>
      <c r="BB801" s="23"/>
      <c r="BC801" s="23"/>
    </row>
    <row r="802">
      <c r="AO802" s="23"/>
      <c r="AP802" s="23"/>
      <c r="AQ802" s="23"/>
      <c r="AR802" s="23"/>
      <c r="AS802" s="23"/>
      <c r="AT802" s="23"/>
      <c r="AU802" s="23"/>
      <c r="AV802" s="23"/>
      <c r="AW802" s="23"/>
      <c r="AX802" s="23"/>
      <c r="AY802" s="23"/>
      <c r="AZ802" s="23"/>
      <c r="BA802" s="23"/>
      <c r="BB802" s="23"/>
      <c r="BC802" s="23"/>
    </row>
    <row r="803">
      <c r="AO803" s="23"/>
      <c r="AP803" s="23"/>
      <c r="AQ803" s="23"/>
      <c r="AR803" s="23"/>
      <c r="AS803" s="23"/>
      <c r="AT803" s="23"/>
      <c r="AU803" s="23"/>
      <c r="AV803" s="23"/>
      <c r="AW803" s="23"/>
      <c r="AX803" s="23"/>
      <c r="AY803" s="23"/>
      <c r="AZ803" s="23"/>
      <c r="BA803" s="23"/>
      <c r="BB803" s="23"/>
      <c r="BC803" s="23"/>
    </row>
    <row r="804">
      <c r="AO804" s="23"/>
      <c r="AP804" s="23"/>
      <c r="AQ804" s="23"/>
      <c r="AR804" s="23"/>
      <c r="AS804" s="23"/>
      <c r="AT804" s="23"/>
      <c r="AU804" s="23"/>
      <c r="AV804" s="23"/>
      <c r="AW804" s="23"/>
      <c r="AX804" s="23"/>
      <c r="AY804" s="23"/>
      <c r="AZ804" s="23"/>
      <c r="BA804" s="23"/>
      <c r="BB804" s="23"/>
      <c r="BC804" s="23"/>
    </row>
    <row r="805">
      <c r="AO805" s="23"/>
      <c r="AP805" s="23"/>
      <c r="AQ805" s="23"/>
      <c r="AR805" s="23"/>
      <c r="AS805" s="23"/>
      <c r="AT805" s="23"/>
      <c r="AU805" s="23"/>
      <c r="AV805" s="23"/>
      <c r="AW805" s="23"/>
      <c r="AX805" s="23"/>
      <c r="AY805" s="23"/>
      <c r="AZ805" s="23"/>
      <c r="BA805" s="23"/>
      <c r="BB805" s="23"/>
      <c r="BC805" s="23"/>
    </row>
    <row r="806">
      <c r="AO806" s="23"/>
      <c r="AP806" s="23"/>
      <c r="AQ806" s="23"/>
      <c r="AR806" s="23"/>
      <c r="AS806" s="23"/>
      <c r="AT806" s="23"/>
      <c r="AU806" s="23"/>
      <c r="AV806" s="23"/>
      <c r="AW806" s="23"/>
      <c r="AX806" s="23"/>
      <c r="AY806" s="23"/>
      <c r="AZ806" s="23"/>
      <c r="BA806" s="23"/>
      <c r="BB806" s="23"/>
      <c r="BC806" s="23"/>
    </row>
    <row r="807">
      <c r="AO807" s="23"/>
      <c r="AP807" s="23"/>
      <c r="AQ807" s="23"/>
      <c r="AR807" s="23"/>
      <c r="AS807" s="23"/>
      <c r="AT807" s="23"/>
      <c r="AU807" s="23"/>
      <c r="AV807" s="23"/>
      <c r="AW807" s="23"/>
      <c r="AX807" s="23"/>
      <c r="AY807" s="23"/>
      <c r="AZ807" s="23"/>
      <c r="BA807" s="23"/>
      <c r="BB807" s="23"/>
      <c r="BC807" s="23"/>
    </row>
    <row r="808">
      <c r="AO808" s="23"/>
      <c r="AP808" s="23"/>
      <c r="AQ808" s="23"/>
      <c r="AR808" s="23"/>
      <c r="AS808" s="23"/>
      <c r="AT808" s="23"/>
      <c r="AU808" s="23"/>
      <c r="AV808" s="23"/>
      <c r="AW808" s="23"/>
      <c r="AX808" s="23"/>
      <c r="AY808" s="23"/>
      <c r="AZ808" s="23"/>
      <c r="BA808" s="23"/>
      <c r="BB808" s="23"/>
      <c r="BC808" s="23"/>
    </row>
    <row r="809">
      <c r="AO809" s="23"/>
      <c r="AP809" s="23"/>
      <c r="AQ809" s="23"/>
      <c r="AR809" s="23"/>
      <c r="AS809" s="23"/>
      <c r="AT809" s="23"/>
      <c r="AU809" s="23"/>
      <c r="AV809" s="23"/>
      <c r="AW809" s="23"/>
      <c r="AX809" s="23"/>
      <c r="AY809" s="23"/>
      <c r="AZ809" s="23"/>
      <c r="BA809" s="23"/>
      <c r="BB809" s="23"/>
      <c r="BC809" s="23"/>
    </row>
    <row r="810">
      <c r="AO810" s="23"/>
      <c r="AP810" s="23"/>
      <c r="AQ810" s="23"/>
      <c r="AR810" s="23"/>
      <c r="AS810" s="23"/>
      <c r="AT810" s="23"/>
      <c r="AU810" s="23"/>
      <c r="AV810" s="23"/>
      <c r="AW810" s="23"/>
      <c r="AX810" s="23"/>
      <c r="AY810" s="23"/>
      <c r="AZ810" s="23"/>
      <c r="BA810" s="23"/>
      <c r="BB810" s="23"/>
      <c r="BC810" s="23"/>
    </row>
    <row r="811">
      <c r="AO811" s="23"/>
      <c r="AP811" s="23"/>
      <c r="AQ811" s="23"/>
      <c r="AR811" s="23"/>
      <c r="AS811" s="23"/>
      <c r="AT811" s="23"/>
      <c r="AU811" s="23"/>
      <c r="AV811" s="23"/>
      <c r="AW811" s="23"/>
      <c r="AX811" s="23"/>
      <c r="AY811" s="23"/>
      <c r="AZ811" s="23"/>
      <c r="BA811" s="23"/>
      <c r="BB811" s="23"/>
      <c r="BC811" s="23"/>
    </row>
    <row r="812">
      <c r="AO812" s="23"/>
      <c r="AP812" s="23"/>
      <c r="AQ812" s="23"/>
      <c r="AR812" s="23"/>
      <c r="AS812" s="23"/>
      <c r="AT812" s="23"/>
      <c r="AU812" s="23"/>
      <c r="AV812" s="23"/>
      <c r="AW812" s="23"/>
      <c r="AX812" s="23"/>
      <c r="AY812" s="23"/>
      <c r="AZ812" s="23"/>
      <c r="BA812" s="23"/>
      <c r="BB812" s="23"/>
      <c r="BC812" s="23"/>
    </row>
    <row r="813">
      <c r="AO813" s="23"/>
      <c r="AP813" s="23"/>
      <c r="AQ813" s="23"/>
      <c r="AR813" s="23"/>
      <c r="AS813" s="23"/>
      <c r="AT813" s="23"/>
      <c r="AU813" s="23"/>
      <c r="AV813" s="23"/>
      <c r="AW813" s="23"/>
      <c r="AX813" s="23"/>
      <c r="AY813" s="23"/>
      <c r="AZ813" s="23"/>
      <c r="BA813" s="23"/>
      <c r="BB813" s="23"/>
      <c r="BC813" s="23"/>
    </row>
    <row r="814">
      <c r="AO814" s="23"/>
      <c r="AP814" s="23"/>
      <c r="AQ814" s="23"/>
      <c r="AR814" s="23"/>
      <c r="AS814" s="23"/>
      <c r="AT814" s="23"/>
      <c r="AU814" s="23"/>
      <c r="AV814" s="23"/>
      <c r="AW814" s="23"/>
      <c r="AX814" s="23"/>
      <c r="AY814" s="23"/>
      <c r="AZ814" s="23"/>
      <c r="BA814" s="23"/>
      <c r="BB814" s="23"/>
      <c r="BC814" s="23"/>
    </row>
    <row r="815">
      <c r="AO815" s="23"/>
      <c r="AP815" s="23"/>
      <c r="AQ815" s="23"/>
      <c r="AR815" s="23"/>
      <c r="AS815" s="23"/>
      <c r="AT815" s="23"/>
      <c r="AU815" s="23"/>
      <c r="AV815" s="23"/>
      <c r="AW815" s="23"/>
      <c r="AX815" s="23"/>
      <c r="AY815" s="23"/>
      <c r="AZ815" s="23"/>
      <c r="BA815" s="23"/>
      <c r="BB815" s="23"/>
      <c r="BC815" s="23"/>
    </row>
    <row r="816">
      <c r="AO816" s="23"/>
      <c r="AP816" s="23"/>
      <c r="AQ816" s="23"/>
      <c r="AR816" s="23"/>
      <c r="AS816" s="23"/>
      <c r="AT816" s="23"/>
      <c r="AU816" s="23"/>
      <c r="AV816" s="23"/>
      <c r="AW816" s="23"/>
      <c r="AX816" s="23"/>
      <c r="AY816" s="23"/>
      <c r="AZ816" s="23"/>
      <c r="BA816" s="23"/>
      <c r="BB816" s="23"/>
      <c r="BC816" s="23"/>
    </row>
    <row r="817">
      <c r="AO817" s="23"/>
      <c r="AP817" s="23"/>
      <c r="AQ817" s="23"/>
      <c r="AR817" s="23"/>
      <c r="AS817" s="23"/>
      <c r="AT817" s="23"/>
      <c r="AU817" s="23"/>
      <c r="AV817" s="23"/>
      <c r="AW817" s="23"/>
      <c r="AX817" s="23"/>
      <c r="AY817" s="23"/>
      <c r="AZ817" s="23"/>
      <c r="BA817" s="23"/>
      <c r="BB817" s="23"/>
      <c r="BC817" s="23"/>
    </row>
    <row r="818">
      <c r="AO818" s="23"/>
      <c r="AP818" s="23"/>
      <c r="AQ818" s="23"/>
      <c r="AR818" s="23"/>
      <c r="AS818" s="23"/>
      <c r="AT818" s="23"/>
      <c r="AU818" s="23"/>
      <c r="AV818" s="23"/>
      <c r="AW818" s="23"/>
      <c r="AX818" s="23"/>
      <c r="AY818" s="23"/>
      <c r="AZ818" s="23"/>
      <c r="BA818" s="23"/>
      <c r="BB818" s="23"/>
      <c r="BC818" s="23"/>
    </row>
    <row r="819">
      <c r="AO819" s="23"/>
      <c r="AP819" s="23"/>
      <c r="AQ819" s="23"/>
      <c r="AR819" s="23"/>
      <c r="AS819" s="23"/>
      <c r="AT819" s="23"/>
      <c r="AU819" s="23"/>
      <c r="AV819" s="23"/>
      <c r="AW819" s="23"/>
      <c r="AX819" s="23"/>
      <c r="AY819" s="23"/>
      <c r="AZ819" s="23"/>
      <c r="BA819" s="23"/>
      <c r="BB819" s="23"/>
      <c r="BC819" s="23"/>
    </row>
    <row r="820">
      <c r="AO820" s="23"/>
      <c r="AP820" s="23"/>
      <c r="AQ820" s="23"/>
      <c r="AR820" s="23"/>
      <c r="AS820" s="23"/>
      <c r="AT820" s="23"/>
      <c r="AU820" s="23"/>
      <c r="AV820" s="23"/>
      <c r="AW820" s="23"/>
      <c r="AX820" s="23"/>
      <c r="AY820" s="23"/>
      <c r="AZ820" s="23"/>
      <c r="BA820" s="23"/>
      <c r="BB820" s="23"/>
      <c r="BC820" s="23"/>
    </row>
    <row r="821">
      <c r="AO821" s="23"/>
      <c r="AP821" s="23"/>
      <c r="AQ821" s="23"/>
      <c r="AR821" s="23"/>
      <c r="AS821" s="23"/>
      <c r="AT821" s="23"/>
      <c r="AU821" s="23"/>
      <c r="AV821" s="23"/>
      <c r="AW821" s="23"/>
      <c r="AX821" s="23"/>
      <c r="AY821" s="23"/>
      <c r="AZ821" s="23"/>
      <c r="BA821" s="23"/>
      <c r="BB821" s="23"/>
      <c r="BC821" s="23"/>
    </row>
    <row r="822">
      <c r="AO822" s="23"/>
      <c r="AP822" s="23"/>
      <c r="AQ822" s="23"/>
      <c r="AR822" s="23"/>
      <c r="AS822" s="23"/>
      <c r="AT822" s="23"/>
      <c r="AU822" s="23"/>
      <c r="AV822" s="23"/>
      <c r="AW822" s="23"/>
      <c r="AX822" s="23"/>
      <c r="AY822" s="23"/>
      <c r="AZ822" s="23"/>
      <c r="BA822" s="23"/>
      <c r="BB822" s="23"/>
      <c r="BC822" s="23"/>
    </row>
    <row r="823">
      <c r="AO823" s="23"/>
      <c r="AP823" s="23"/>
      <c r="AQ823" s="23"/>
      <c r="AR823" s="23"/>
      <c r="AS823" s="23"/>
      <c r="AT823" s="23"/>
      <c r="AU823" s="23"/>
      <c r="AV823" s="23"/>
      <c r="AW823" s="23"/>
      <c r="AX823" s="23"/>
      <c r="AY823" s="23"/>
      <c r="AZ823" s="23"/>
      <c r="BA823" s="23"/>
      <c r="BB823" s="23"/>
      <c r="BC823" s="23"/>
    </row>
    <row r="824">
      <c r="AO824" s="23"/>
      <c r="AP824" s="23"/>
      <c r="AQ824" s="23"/>
      <c r="AR824" s="23"/>
      <c r="AS824" s="23"/>
      <c r="AT824" s="23"/>
      <c r="AU824" s="23"/>
      <c r="AV824" s="23"/>
      <c r="AW824" s="23"/>
      <c r="AX824" s="23"/>
      <c r="AY824" s="23"/>
      <c r="AZ824" s="23"/>
      <c r="BA824" s="23"/>
      <c r="BB824" s="23"/>
      <c r="BC824" s="23"/>
    </row>
    <row r="825">
      <c r="AO825" s="23"/>
      <c r="AP825" s="23"/>
      <c r="AQ825" s="23"/>
      <c r="AR825" s="23"/>
      <c r="AS825" s="23"/>
      <c r="AT825" s="23"/>
      <c r="AU825" s="23"/>
      <c r="AV825" s="23"/>
      <c r="AW825" s="23"/>
      <c r="AX825" s="23"/>
      <c r="AY825" s="23"/>
      <c r="AZ825" s="23"/>
      <c r="BA825" s="23"/>
      <c r="BB825" s="23"/>
      <c r="BC825" s="23"/>
    </row>
    <row r="826">
      <c r="AO826" s="23"/>
      <c r="AP826" s="23"/>
      <c r="AQ826" s="23"/>
      <c r="AR826" s="23"/>
      <c r="AS826" s="23"/>
      <c r="AT826" s="23"/>
      <c r="AU826" s="23"/>
      <c r="AV826" s="23"/>
      <c r="AW826" s="23"/>
      <c r="AX826" s="23"/>
      <c r="AY826" s="23"/>
      <c r="AZ826" s="23"/>
      <c r="BA826" s="23"/>
      <c r="BB826" s="23"/>
      <c r="BC826" s="23"/>
    </row>
    <row r="827">
      <c r="AO827" s="23"/>
      <c r="AP827" s="23"/>
      <c r="AQ827" s="23"/>
      <c r="AR827" s="23"/>
      <c r="AS827" s="23"/>
      <c r="AT827" s="23"/>
      <c r="AU827" s="23"/>
      <c r="AV827" s="23"/>
      <c r="AW827" s="23"/>
      <c r="AX827" s="23"/>
      <c r="AY827" s="23"/>
      <c r="AZ827" s="23"/>
      <c r="BA827" s="23"/>
      <c r="BB827" s="23"/>
      <c r="BC827" s="23"/>
    </row>
    <row r="828">
      <c r="AO828" s="23"/>
      <c r="AP828" s="23"/>
      <c r="AQ828" s="23"/>
      <c r="AR828" s="23"/>
      <c r="AS828" s="23"/>
      <c r="AT828" s="23"/>
      <c r="AU828" s="23"/>
      <c r="AV828" s="23"/>
      <c r="AW828" s="23"/>
      <c r="AX828" s="23"/>
      <c r="AY828" s="23"/>
      <c r="AZ828" s="23"/>
      <c r="BA828" s="23"/>
      <c r="BB828" s="23"/>
      <c r="BC828" s="23"/>
    </row>
    <row r="829">
      <c r="AO829" s="23"/>
      <c r="AP829" s="23"/>
      <c r="AQ829" s="23"/>
      <c r="AR829" s="23"/>
      <c r="AS829" s="23"/>
      <c r="AT829" s="23"/>
      <c r="AU829" s="23"/>
      <c r="AV829" s="23"/>
      <c r="AW829" s="23"/>
      <c r="AX829" s="23"/>
      <c r="AY829" s="23"/>
      <c r="AZ829" s="23"/>
      <c r="BA829" s="23"/>
      <c r="BB829" s="23"/>
      <c r="BC829" s="23"/>
    </row>
    <row r="830">
      <c r="AO830" s="23"/>
      <c r="AP830" s="23"/>
      <c r="AQ830" s="23"/>
      <c r="AR830" s="23"/>
      <c r="AS830" s="23"/>
      <c r="AT830" s="23"/>
      <c r="AU830" s="23"/>
      <c r="AV830" s="23"/>
      <c r="AW830" s="23"/>
      <c r="AX830" s="23"/>
      <c r="AY830" s="23"/>
      <c r="AZ830" s="23"/>
      <c r="BA830" s="23"/>
      <c r="BB830" s="23"/>
      <c r="BC830" s="23"/>
    </row>
    <row r="831">
      <c r="AO831" s="23"/>
      <c r="AP831" s="23"/>
      <c r="AQ831" s="23"/>
      <c r="AR831" s="23"/>
      <c r="AS831" s="23"/>
      <c r="AT831" s="23"/>
      <c r="AU831" s="23"/>
      <c r="AV831" s="23"/>
      <c r="AW831" s="23"/>
      <c r="AX831" s="23"/>
      <c r="AY831" s="23"/>
      <c r="AZ831" s="23"/>
      <c r="BA831" s="23"/>
      <c r="BB831" s="23"/>
      <c r="BC831" s="23"/>
    </row>
    <row r="832">
      <c r="AO832" s="23"/>
      <c r="AP832" s="23"/>
      <c r="AQ832" s="23"/>
      <c r="AR832" s="23"/>
      <c r="AS832" s="23"/>
      <c r="AT832" s="23"/>
      <c r="AU832" s="23"/>
      <c r="AV832" s="23"/>
      <c r="AW832" s="23"/>
      <c r="AX832" s="23"/>
      <c r="AY832" s="23"/>
      <c r="AZ832" s="23"/>
      <c r="BA832" s="23"/>
      <c r="BB832" s="23"/>
      <c r="BC832" s="23"/>
    </row>
    <row r="833">
      <c r="AO833" s="23"/>
      <c r="AP833" s="23"/>
      <c r="AQ833" s="23"/>
      <c r="AR833" s="23"/>
      <c r="AS833" s="23"/>
      <c r="AT833" s="23"/>
      <c r="AU833" s="23"/>
      <c r="AV833" s="23"/>
      <c r="AW833" s="23"/>
      <c r="AX833" s="23"/>
      <c r="AY833" s="23"/>
      <c r="AZ833" s="23"/>
      <c r="BA833" s="23"/>
      <c r="BB833" s="23"/>
      <c r="BC833" s="23"/>
    </row>
    <row r="834">
      <c r="AO834" s="23"/>
      <c r="AP834" s="23"/>
      <c r="AQ834" s="23"/>
      <c r="AR834" s="23"/>
      <c r="AS834" s="23"/>
      <c r="AT834" s="23"/>
      <c r="AU834" s="23"/>
      <c r="AV834" s="23"/>
      <c r="AW834" s="23"/>
      <c r="AX834" s="23"/>
      <c r="AY834" s="23"/>
      <c r="AZ834" s="23"/>
      <c r="BA834" s="23"/>
      <c r="BB834" s="23"/>
      <c r="BC834" s="23"/>
    </row>
    <row r="835">
      <c r="AO835" s="23"/>
      <c r="AP835" s="23"/>
      <c r="AQ835" s="23"/>
      <c r="AR835" s="23"/>
      <c r="AS835" s="23"/>
      <c r="AT835" s="23"/>
      <c r="AU835" s="23"/>
      <c r="AV835" s="23"/>
      <c r="AW835" s="23"/>
      <c r="AX835" s="23"/>
      <c r="AY835" s="23"/>
      <c r="AZ835" s="23"/>
      <c r="BA835" s="23"/>
      <c r="BB835" s="23"/>
      <c r="BC835" s="23"/>
    </row>
    <row r="836">
      <c r="AO836" s="23"/>
      <c r="AP836" s="23"/>
      <c r="AQ836" s="23"/>
      <c r="AR836" s="23"/>
      <c r="AS836" s="23"/>
      <c r="AT836" s="23"/>
      <c r="AU836" s="23"/>
      <c r="AV836" s="23"/>
      <c r="AW836" s="23"/>
      <c r="AX836" s="23"/>
      <c r="AY836" s="23"/>
      <c r="AZ836" s="23"/>
      <c r="BA836" s="23"/>
      <c r="BB836" s="23"/>
      <c r="BC836" s="23"/>
    </row>
    <row r="837">
      <c r="AO837" s="23"/>
      <c r="AP837" s="23"/>
      <c r="AQ837" s="23"/>
      <c r="AR837" s="23"/>
      <c r="AS837" s="23"/>
      <c r="AT837" s="23"/>
      <c r="AU837" s="23"/>
      <c r="AV837" s="23"/>
      <c r="AW837" s="23"/>
      <c r="AX837" s="23"/>
      <c r="AY837" s="23"/>
      <c r="AZ837" s="23"/>
      <c r="BA837" s="23"/>
      <c r="BB837" s="23"/>
      <c r="BC837" s="23"/>
    </row>
    <row r="838">
      <c r="AO838" s="23"/>
      <c r="AP838" s="23"/>
      <c r="AQ838" s="23"/>
      <c r="AR838" s="23"/>
      <c r="AS838" s="23"/>
      <c r="AT838" s="23"/>
      <c r="AU838" s="23"/>
      <c r="AV838" s="23"/>
      <c r="AW838" s="23"/>
      <c r="AX838" s="23"/>
      <c r="AY838" s="23"/>
      <c r="AZ838" s="23"/>
      <c r="BA838" s="23"/>
      <c r="BB838" s="23"/>
      <c r="BC838" s="23"/>
    </row>
    <row r="839">
      <c r="AO839" s="23"/>
      <c r="AP839" s="23"/>
      <c r="AQ839" s="23"/>
      <c r="AR839" s="23"/>
      <c r="AS839" s="23"/>
      <c r="AT839" s="23"/>
      <c r="AU839" s="23"/>
      <c r="AV839" s="23"/>
      <c r="AW839" s="23"/>
      <c r="AX839" s="23"/>
      <c r="AY839" s="23"/>
      <c r="AZ839" s="23"/>
      <c r="BA839" s="23"/>
      <c r="BB839" s="23"/>
      <c r="BC839" s="23"/>
    </row>
    <row r="840">
      <c r="AO840" s="23"/>
      <c r="AP840" s="23"/>
      <c r="AQ840" s="23"/>
      <c r="AR840" s="23"/>
      <c r="AS840" s="23"/>
      <c r="AT840" s="23"/>
      <c r="AU840" s="23"/>
      <c r="AV840" s="23"/>
      <c r="AW840" s="23"/>
      <c r="AX840" s="23"/>
      <c r="AY840" s="23"/>
      <c r="AZ840" s="23"/>
      <c r="BA840" s="23"/>
      <c r="BB840" s="23"/>
      <c r="BC840" s="23"/>
    </row>
    <row r="841">
      <c r="AO841" s="23"/>
      <c r="AP841" s="23"/>
      <c r="AQ841" s="23"/>
      <c r="AR841" s="23"/>
      <c r="AS841" s="23"/>
      <c r="AT841" s="23"/>
      <c r="AU841" s="23"/>
      <c r="AV841" s="23"/>
      <c r="AW841" s="23"/>
      <c r="AX841" s="23"/>
      <c r="AY841" s="23"/>
      <c r="AZ841" s="23"/>
      <c r="BA841" s="23"/>
      <c r="BB841" s="23"/>
      <c r="BC841" s="23"/>
    </row>
    <row r="842">
      <c r="AO842" s="23"/>
      <c r="AP842" s="23"/>
      <c r="AQ842" s="23"/>
      <c r="AR842" s="23"/>
      <c r="AS842" s="23"/>
      <c r="AT842" s="23"/>
      <c r="AU842" s="23"/>
      <c r="AV842" s="23"/>
      <c r="AW842" s="23"/>
      <c r="AX842" s="23"/>
      <c r="AY842" s="23"/>
      <c r="AZ842" s="23"/>
      <c r="BA842" s="23"/>
      <c r="BB842" s="23"/>
      <c r="BC842" s="23"/>
    </row>
    <row r="843">
      <c r="AO843" s="23"/>
      <c r="AP843" s="23"/>
      <c r="AQ843" s="23"/>
      <c r="AR843" s="23"/>
      <c r="AS843" s="23"/>
      <c r="AT843" s="23"/>
      <c r="AU843" s="23"/>
      <c r="AV843" s="23"/>
      <c r="AW843" s="23"/>
      <c r="AX843" s="23"/>
      <c r="AY843" s="23"/>
      <c r="AZ843" s="23"/>
      <c r="BA843" s="23"/>
      <c r="BB843" s="23"/>
      <c r="BC843" s="23"/>
    </row>
    <row r="844">
      <c r="AO844" s="23"/>
      <c r="AP844" s="23"/>
      <c r="AQ844" s="23"/>
      <c r="AR844" s="23"/>
      <c r="AS844" s="23"/>
      <c r="AT844" s="23"/>
      <c r="AU844" s="23"/>
      <c r="AV844" s="23"/>
      <c r="AW844" s="23"/>
      <c r="AX844" s="23"/>
      <c r="AY844" s="23"/>
      <c r="AZ844" s="23"/>
      <c r="BA844" s="23"/>
      <c r="BB844" s="23"/>
      <c r="BC844" s="23"/>
    </row>
    <row r="845">
      <c r="AO845" s="23"/>
      <c r="AP845" s="23"/>
      <c r="AQ845" s="23"/>
      <c r="AR845" s="23"/>
      <c r="AS845" s="23"/>
      <c r="AT845" s="23"/>
      <c r="AU845" s="23"/>
      <c r="AV845" s="23"/>
      <c r="AW845" s="23"/>
      <c r="AX845" s="23"/>
      <c r="AY845" s="23"/>
      <c r="AZ845" s="23"/>
      <c r="BA845" s="23"/>
      <c r="BB845" s="23"/>
      <c r="BC845" s="23"/>
    </row>
    <row r="846">
      <c r="AO846" s="23"/>
      <c r="AP846" s="23"/>
      <c r="AQ846" s="23"/>
      <c r="AR846" s="23"/>
      <c r="AS846" s="23"/>
      <c r="AT846" s="23"/>
      <c r="AU846" s="23"/>
      <c r="AV846" s="23"/>
      <c r="AW846" s="23"/>
      <c r="AX846" s="23"/>
      <c r="AY846" s="23"/>
      <c r="AZ846" s="23"/>
      <c r="BA846" s="23"/>
      <c r="BB846" s="23"/>
      <c r="BC846" s="23"/>
    </row>
    <row r="847">
      <c r="AO847" s="23"/>
      <c r="AP847" s="23"/>
      <c r="AQ847" s="23"/>
      <c r="AR847" s="23"/>
      <c r="AS847" s="23"/>
      <c r="AT847" s="23"/>
      <c r="AU847" s="23"/>
      <c r="AV847" s="23"/>
      <c r="AW847" s="23"/>
      <c r="AX847" s="23"/>
      <c r="AY847" s="23"/>
      <c r="AZ847" s="23"/>
      <c r="BA847" s="23"/>
      <c r="BB847" s="23"/>
      <c r="BC847" s="23"/>
    </row>
    <row r="848">
      <c r="AO848" s="23"/>
      <c r="AP848" s="23"/>
      <c r="AQ848" s="23"/>
      <c r="AR848" s="23"/>
      <c r="AS848" s="23"/>
      <c r="AT848" s="23"/>
      <c r="AU848" s="23"/>
      <c r="AV848" s="23"/>
      <c r="AW848" s="23"/>
      <c r="AX848" s="23"/>
      <c r="AY848" s="23"/>
      <c r="AZ848" s="23"/>
      <c r="BA848" s="23"/>
      <c r="BB848" s="23"/>
      <c r="BC848" s="23"/>
    </row>
    <row r="849">
      <c r="AO849" s="23"/>
      <c r="AP849" s="23"/>
      <c r="AQ849" s="23"/>
      <c r="AR849" s="23"/>
      <c r="AS849" s="23"/>
      <c r="AT849" s="23"/>
      <c r="AU849" s="23"/>
      <c r="AV849" s="23"/>
      <c r="AW849" s="23"/>
      <c r="AX849" s="23"/>
      <c r="AY849" s="23"/>
      <c r="AZ849" s="23"/>
      <c r="BA849" s="23"/>
      <c r="BB849" s="23"/>
      <c r="BC849" s="23"/>
    </row>
    <row r="850">
      <c r="AO850" s="23"/>
      <c r="AP850" s="23"/>
      <c r="AQ850" s="23"/>
      <c r="AR850" s="23"/>
      <c r="AS850" s="23"/>
      <c r="AT850" s="23"/>
      <c r="AU850" s="23"/>
      <c r="AV850" s="23"/>
      <c r="AW850" s="23"/>
      <c r="AX850" s="23"/>
      <c r="AY850" s="23"/>
      <c r="AZ850" s="23"/>
      <c r="BA850" s="23"/>
      <c r="BB850" s="23"/>
      <c r="BC850" s="23"/>
    </row>
    <row r="851">
      <c r="AO851" s="23"/>
      <c r="AP851" s="23"/>
      <c r="AQ851" s="23"/>
      <c r="AR851" s="23"/>
      <c r="AS851" s="23"/>
      <c r="AT851" s="23"/>
      <c r="AU851" s="23"/>
      <c r="AV851" s="23"/>
      <c r="AW851" s="23"/>
      <c r="AX851" s="23"/>
      <c r="AY851" s="23"/>
      <c r="AZ851" s="23"/>
      <c r="BA851" s="23"/>
      <c r="BB851" s="23"/>
      <c r="BC851" s="23"/>
    </row>
    <row r="852">
      <c r="AO852" s="23"/>
      <c r="AP852" s="23"/>
      <c r="AQ852" s="23"/>
      <c r="AR852" s="23"/>
      <c r="AS852" s="23"/>
      <c r="AT852" s="23"/>
      <c r="AU852" s="23"/>
      <c r="AV852" s="23"/>
      <c r="AW852" s="23"/>
      <c r="AX852" s="23"/>
      <c r="AY852" s="23"/>
      <c r="AZ852" s="23"/>
      <c r="BA852" s="23"/>
      <c r="BB852" s="23"/>
      <c r="BC852" s="23"/>
    </row>
    <row r="853">
      <c r="AO853" s="23"/>
      <c r="AP853" s="23"/>
      <c r="AQ853" s="23"/>
      <c r="AR853" s="23"/>
      <c r="AS853" s="23"/>
      <c r="AT853" s="23"/>
      <c r="AU853" s="23"/>
      <c r="AV853" s="23"/>
      <c r="AW853" s="23"/>
      <c r="AX853" s="23"/>
      <c r="AY853" s="23"/>
      <c r="AZ853" s="23"/>
      <c r="BA853" s="23"/>
      <c r="BB853" s="23"/>
      <c r="BC853" s="23"/>
    </row>
    <row r="854">
      <c r="AO854" s="23"/>
      <c r="AP854" s="23"/>
      <c r="AQ854" s="23"/>
      <c r="AR854" s="23"/>
      <c r="AS854" s="23"/>
      <c r="AT854" s="23"/>
      <c r="AU854" s="23"/>
      <c r="AV854" s="23"/>
      <c r="AW854" s="23"/>
      <c r="AX854" s="23"/>
      <c r="AY854" s="23"/>
      <c r="AZ854" s="23"/>
      <c r="BA854" s="23"/>
      <c r="BB854" s="23"/>
      <c r="BC854" s="23"/>
    </row>
    <row r="855">
      <c r="AO855" s="23"/>
      <c r="AP855" s="23"/>
      <c r="AQ855" s="23"/>
      <c r="AR855" s="23"/>
      <c r="AS855" s="23"/>
      <c r="AT855" s="23"/>
      <c r="AU855" s="23"/>
      <c r="AV855" s="23"/>
      <c r="AW855" s="23"/>
      <c r="AX855" s="23"/>
      <c r="AY855" s="23"/>
      <c r="AZ855" s="23"/>
      <c r="BA855" s="23"/>
      <c r="BB855" s="23"/>
      <c r="BC855" s="23"/>
    </row>
    <row r="856">
      <c r="AO856" s="23"/>
      <c r="AP856" s="23"/>
      <c r="AQ856" s="23"/>
      <c r="AR856" s="23"/>
      <c r="AS856" s="23"/>
      <c r="AT856" s="23"/>
      <c r="AU856" s="23"/>
      <c r="AV856" s="23"/>
      <c r="AW856" s="23"/>
      <c r="AX856" s="23"/>
      <c r="AY856" s="23"/>
      <c r="AZ856" s="23"/>
      <c r="BA856" s="23"/>
      <c r="BB856" s="23"/>
      <c r="BC856" s="23"/>
    </row>
    <row r="857">
      <c r="AO857" s="23"/>
      <c r="AP857" s="23"/>
      <c r="AQ857" s="23"/>
      <c r="AR857" s="23"/>
      <c r="AS857" s="23"/>
      <c r="AT857" s="23"/>
      <c r="AU857" s="23"/>
      <c r="AV857" s="23"/>
      <c r="AW857" s="23"/>
      <c r="AX857" s="23"/>
      <c r="AY857" s="23"/>
      <c r="AZ857" s="23"/>
      <c r="BA857" s="23"/>
      <c r="BB857" s="23"/>
      <c r="BC857" s="23"/>
    </row>
    <row r="858">
      <c r="AO858" s="23"/>
      <c r="AP858" s="23"/>
      <c r="AQ858" s="23"/>
      <c r="AR858" s="23"/>
      <c r="AS858" s="23"/>
      <c r="AT858" s="23"/>
      <c r="AU858" s="23"/>
      <c r="AV858" s="23"/>
      <c r="AW858" s="23"/>
      <c r="AX858" s="23"/>
      <c r="AY858" s="23"/>
      <c r="AZ858" s="23"/>
      <c r="BA858" s="23"/>
      <c r="BB858" s="23"/>
      <c r="BC858" s="23"/>
    </row>
    <row r="859">
      <c r="AO859" s="23"/>
      <c r="AP859" s="23"/>
      <c r="AQ859" s="23"/>
      <c r="AR859" s="23"/>
      <c r="AS859" s="23"/>
      <c r="AT859" s="23"/>
      <c r="AU859" s="23"/>
      <c r="AV859" s="23"/>
      <c r="AW859" s="23"/>
      <c r="AX859" s="23"/>
      <c r="AY859" s="23"/>
      <c r="AZ859" s="23"/>
      <c r="BA859" s="23"/>
      <c r="BB859" s="23"/>
      <c r="BC859" s="23"/>
    </row>
    <row r="860">
      <c r="AO860" s="23"/>
      <c r="AP860" s="23"/>
      <c r="AQ860" s="23"/>
      <c r="AR860" s="23"/>
      <c r="AS860" s="23"/>
      <c r="AT860" s="23"/>
      <c r="AU860" s="23"/>
      <c r="AV860" s="23"/>
      <c r="AW860" s="23"/>
      <c r="AX860" s="23"/>
      <c r="AY860" s="23"/>
      <c r="AZ860" s="23"/>
      <c r="BA860" s="23"/>
      <c r="BB860" s="23"/>
      <c r="BC860" s="23"/>
    </row>
    <row r="861">
      <c r="AO861" s="23"/>
      <c r="AP861" s="23"/>
      <c r="AQ861" s="23"/>
      <c r="AR861" s="23"/>
      <c r="AS861" s="23"/>
      <c r="AT861" s="23"/>
      <c r="AU861" s="23"/>
      <c r="AV861" s="23"/>
      <c r="AW861" s="23"/>
      <c r="AX861" s="23"/>
      <c r="AY861" s="23"/>
      <c r="AZ861" s="23"/>
      <c r="BA861" s="23"/>
      <c r="BB861" s="23"/>
      <c r="BC861" s="23"/>
    </row>
    <row r="862">
      <c r="AO862" s="23"/>
      <c r="AP862" s="23"/>
      <c r="AQ862" s="23"/>
      <c r="AR862" s="23"/>
      <c r="AS862" s="23"/>
      <c r="AT862" s="23"/>
      <c r="AU862" s="23"/>
      <c r="AV862" s="23"/>
      <c r="AW862" s="23"/>
      <c r="AX862" s="23"/>
      <c r="AY862" s="23"/>
      <c r="AZ862" s="23"/>
      <c r="BA862" s="23"/>
      <c r="BB862" s="23"/>
      <c r="BC862" s="23"/>
    </row>
    <row r="863">
      <c r="AO863" s="23"/>
      <c r="AP863" s="23"/>
      <c r="AQ863" s="23"/>
      <c r="AR863" s="23"/>
      <c r="AS863" s="23"/>
      <c r="AT863" s="23"/>
      <c r="AU863" s="23"/>
      <c r="AV863" s="23"/>
      <c r="AW863" s="23"/>
      <c r="AX863" s="23"/>
      <c r="AY863" s="23"/>
      <c r="AZ863" s="23"/>
      <c r="BA863" s="23"/>
      <c r="BB863" s="23"/>
      <c r="BC863" s="23"/>
    </row>
    <row r="864">
      <c r="AO864" s="23"/>
      <c r="AP864" s="23"/>
      <c r="AQ864" s="23"/>
      <c r="AR864" s="23"/>
      <c r="AS864" s="23"/>
      <c r="AT864" s="23"/>
      <c r="AU864" s="23"/>
      <c r="AV864" s="23"/>
      <c r="AW864" s="23"/>
      <c r="AX864" s="23"/>
      <c r="AY864" s="23"/>
      <c r="AZ864" s="23"/>
      <c r="BA864" s="23"/>
      <c r="BB864" s="23"/>
      <c r="BC864" s="23"/>
    </row>
    <row r="865">
      <c r="AO865" s="23"/>
      <c r="AP865" s="23"/>
      <c r="AQ865" s="23"/>
      <c r="AR865" s="23"/>
      <c r="AS865" s="23"/>
      <c r="AT865" s="23"/>
      <c r="AU865" s="23"/>
      <c r="AV865" s="23"/>
      <c r="AW865" s="23"/>
      <c r="AX865" s="23"/>
      <c r="AY865" s="23"/>
      <c r="AZ865" s="23"/>
      <c r="BA865" s="23"/>
      <c r="BB865" s="23"/>
      <c r="BC865" s="23"/>
    </row>
    <row r="866">
      <c r="AO866" s="23"/>
      <c r="AP866" s="23"/>
      <c r="AQ866" s="23"/>
      <c r="AR866" s="23"/>
      <c r="AS866" s="23"/>
      <c r="AT866" s="23"/>
      <c r="AU866" s="23"/>
      <c r="AV866" s="23"/>
      <c r="AW866" s="23"/>
      <c r="AX866" s="23"/>
      <c r="AY866" s="23"/>
      <c r="AZ866" s="23"/>
      <c r="BA866" s="23"/>
      <c r="BB866" s="23"/>
      <c r="BC866" s="23"/>
    </row>
    <row r="867">
      <c r="AO867" s="23"/>
      <c r="AP867" s="23"/>
      <c r="AQ867" s="23"/>
      <c r="AR867" s="23"/>
      <c r="AS867" s="23"/>
      <c r="AT867" s="23"/>
      <c r="AU867" s="23"/>
      <c r="AV867" s="23"/>
      <c r="AW867" s="23"/>
      <c r="AX867" s="23"/>
      <c r="AY867" s="23"/>
      <c r="AZ867" s="23"/>
      <c r="BA867" s="23"/>
      <c r="BB867" s="23"/>
      <c r="BC867" s="23"/>
    </row>
    <row r="868">
      <c r="AO868" s="23"/>
      <c r="AP868" s="23"/>
      <c r="AQ868" s="23"/>
      <c r="AR868" s="23"/>
      <c r="AS868" s="23"/>
      <c r="AT868" s="23"/>
      <c r="AU868" s="23"/>
      <c r="AV868" s="23"/>
      <c r="AW868" s="23"/>
      <c r="AX868" s="23"/>
      <c r="AY868" s="23"/>
      <c r="AZ868" s="23"/>
      <c r="BA868" s="23"/>
      <c r="BB868" s="23"/>
      <c r="BC868" s="23"/>
    </row>
    <row r="869">
      <c r="AO869" s="23"/>
      <c r="AP869" s="23"/>
      <c r="AQ869" s="23"/>
      <c r="AR869" s="23"/>
      <c r="AS869" s="23"/>
      <c r="AT869" s="23"/>
      <c r="AU869" s="23"/>
      <c r="AV869" s="23"/>
      <c r="AW869" s="23"/>
      <c r="AX869" s="23"/>
      <c r="AY869" s="23"/>
      <c r="AZ869" s="23"/>
      <c r="BA869" s="23"/>
      <c r="BB869" s="23"/>
      <c r="BC869" s="23"/>
    </row>
    <row r="870">
      <c r="AO870" s="23"/>
      <c r="AP870" s="23"/>
      <c r="AQ870" s="23"/>
      <c r="AR870" s="23"/>
      <c r="AS870" s="23"/>
      <c r="AT870" s="23"/>
      <c r="AU870" s="23"/>
      <c r="AV870" s="23"/>
      <c r="AW870" s="23"/>
      <c r="AX870" s="23"/>
      <c r="AY870" s="23"/>
      <c r="AZ870" s="23"/>
      <c r="BA870" s="23"/>
      <c r="BB870" s="23"/>
      <c r="BC870" s="23"/>
    </row>
    <row r="871">
      <c r="AO871" s="23"/>
      <c r="AP871" s="23"/>
      <c r="AQ871" s="23"/>
      <c r="AR871" s="23"/>
      <c r="AS871" s="23"/>
      <c r="AT871" s="23"/>
      <c r="AU871" s="23"/>
      <c r="AV871" s="23"/>
      <c r="AW871" s="23"/>
      <c r="AX871" s="23"/>
      <c r="AY871" s="23"/>
      <c r="AZ871" s="23"/>
      <c r="BA871" s="23"/>
      <c r="BB871" s="23"/>
      <c r="BC871" s="23"/>
    </row>
    <row r="872">
      <c r="AO872" s="23"/>
      <c r="AP872" s="23"/>
      <c r="AQ872" s="23"/>
      <c r="AR872" s="23"/>
      <c r="AS872" s="23"/>
      <c r="AT872" s="23"/>
      <c r="AU872" s="23"/>
      <c r="AV872" s="23"/>
      <c r="AW872" s="23"/>
      <c r="AX872" s="23"/>
      <c r="AY872" s="23"/>
      <c r="AZ872" s="23"/>
      <c r="BA872" s="23"/>
      <c r="BB872" s="23"/>
      <c r="BC872" s="23"/>
    </row>
    <row r="873">
      <c r="AO873" s="23"/>
      <c r="AP873" s="23"/>
      <c r="AQ873" s="23"/>
      <c r="AR873" s="23"/>
      <c r="AS873" s="23"/>
      <c r="AT873" s="23"/>
      <c r="AU873" s="23"/>
      <c r="AV873" s="23"/>
      <c r="AW873" s="23"/>
      <c r="AX873" s="23"/>
      <c r="AY873" s="23"/>
      <c r="AZ873" s="23"/>
      <c r="BA873" s="23"/>
      <c r="BB873" s="23"/>
      <c r="BC873" s="23"/>
    </row>
    <row r="874">
      <c r="AO874" s="23"/>
      <c r="AP874" s="23"/>
      <c r="AQ874" s="23"/>
      <c r="AR874" s="23"/>
      <c r="AS874" s="23"/>
      <c r="AT874" s="23"/>
      <c r="AU874" s="23"/>
      <c r="AV874" s="23"/>
      <c r="AW874" s="23"/>
      <c r="AX874" s="23"/>
      <c r="AY874" s="23"/>
      <c r="AZ874" s="23"/>
      <c r="BA874" s="23"/>
      <c r="BB874" s="23"/>
      <c r="BC874" s="23"/>
    </row>
    <row r="875">
      <c r="AO875" s="23"/>
      <c r="AP875" s="23"/>
      <c r="AQ875" s="23"/>
      <c r="AR875" s="23"/>
      <c r="AS875" s="23"/>
      <c r="AT875" s="23"/>
      <c r="AU875" s="23"/>
      <c r="AV875" s="23"/>
      <c r="AW875" s="23"/>
      <c r="AX875" s="23"/>
      <c r="AY875" s="23"/>
      <c r="AZ875" s="23"/>
      <c r="BA875" s="23"/>
      <c r="BB875" s="23"/>
      <c r="BC875" s="23"/>
    </row>
    <row r="876">
      <c r="AO876" s="23"/>
      <c r="AP876" s="23"/>
      <c r="AQ876" s="23"/>
      <c r="AR876" s="23"/>
      <c r="AS876" s="23"/>
      <c r="AT876" s="23"/>
      <c r="AU876" s="23"/>
      <c r="AV876" s="23"/>
      <c r="AW876" s="23"/>
      <c r="AX876" s="23"/>
      <c r="AY876" s="23"/>
      <c r="AZ876" s="23"/>
      <c r="BA876" s="23"/>
      <c r="BB876" s="23"/>
      <c r="BC876" s="23"/>
    </row>
    <row r="877">
      <c r="AO877" s="23"/>
      <c r="AP877" s="23"/>
      <c r="AQ877" s="23"/>
      <c r="AR877" s="23"/>
      <c r="AS877" s="23"/>
      <c r="AT877" s="23"/>
      <c r="AU877" s="23"/>
      <c r="AV877" s="23"/>
      <c r="AW877" s="23"/>
      <c r="AX877" s="23"/>
      <c r="AY877" s="23"/>
      <c r="AZ877" s="23"/>
      <c r="BA877" s="23"/>
      <c r="BB877" s="23"/>
      <c r="BC877" s="23"/>
    </row>
    <row r="878">
      <c r="AO878" s="23"/>
      <c r="AP878" s="23"/>
      <c r="AQ878" s="23"/>
      <c r="AR878" s="23"/>
      <c r="AS878" s="23"/>
      <c r="AT878" s="23"/>
      <c r="AU878" s="23"/>
      <c r="AV878" s="23"/>
      <c r="AW878" s="23"/>
      <c r="AX878" s="23"/>
      <c r="AY878" s="23"/>
      <c r="AZ878" s="23"/>
      <c r="BA878" s="23"/>
      <c r="BB878" s="23"/>
      <c r="BC878" s="23"/>
    </row>
    <row r="879">
      <c r="AO879" s="23"/>
      <c r="AP879" s="23"/>
      <c r="AQ879" s="23"/>
      <c r="AR879" s="23"/>
      <c r="AS879" s="23"/>
      <c r="AT879" s="23"/>
      <c r="AU879" s="23"/>
      <c r="AV879" s="23"/>
      <c r="AW879" s="23"/>
      <c r="AX879" s="23"/>
      <c r="AY879" s="23"/>
      <c r="AZ879" s="23"/>
      <c r="BA879" s="23"/>
      <c r="BB879" s="23"/>
      <c r="BC879" s="23"/>
    </row>
    <row r="880">
      <c r="AO880" s="23"/>
      <c r="AP880" s="23"/>
      <c r="AQ880" s="23"/>
      <c r="AR880" s="23"/>
      <c r="AS880" s="23"/>
      <c r="AT880" s="23"/>
      <c r="AU880" s="23"/>
      <c r="AV880" s="23"/>
      <c r="AW880" s="23"/>
      <c r="AX880" s="23"/>
      <c r="AY880" s="23"/>
      <c r="AZ880" s="23"/>
      <c r="BA880" s="23"/>
      <c r="BB880" s="23"/>
      <c r="BC880" s="23"/>
    </row>
    <row r="881">
      <c r="AO881" s="23"/>
      <c r="AP881" s="23"/>
      <c r="AQ881" s="23"/>
      <c r="AR881" s="23"/>
      <c r="AS881" s="23"/>
      <c r="AT881" s="23"/>
      <c r="AU881" s="23"/>
      <c r="AV881" s="23"/>
      <c r="AW881" s="23"/>
      <c r="AX881" s="23"/>
      <c r="AY881" s="23"/>
      <c r="AZ881" s="23"/>
      <c r="BA881" s="23"/>
      <c r="BB881" s="23"/>
      <c r="BC881" s="23"/>
    </row>
    <row r="882">
      <c r="AO882" s="23"/>
      <c r="AP882" s="23"/>
      <c r="AQ882" s="23"/>
      <c r="AR882" s="23"/>
      <c r="AS882" s="23"/>
      <c r="AT882" s="23"/>
      <c r="AU882" s="23"/>
      <c r="AV882" s="23"/>
      <c r="AW882" s="23"/>
      <c r="AX882" s="23"/>
      <c r="AY882" s="23"/>
      <c r="AZ882" s="23"/>
      <c r="BA882" s="23"/>
      <c r="BB882" s="23"/>
      <c r="BC882" s="23"/>
    </row>
    <row r="883">
      <c r="AO883" s="23"/>
      <c r="AP883" s="23"/>
      <c r="AQ883" s="23"/>
      <c r="AR883" s="23"/>
      <c r="AS883" s="23"/>
      <c r="AT883" s="23"/>
      <c r="AU883" s="23"/>
      <c r="AV883" s="23"/>
      <c r="AW883" s="23"/>
      <c r="AX883" s="23"/>
      <c r="AY883" s="23"/>
      <c r="AZ883" s="23"/>
      <c r="BA883" s="23"/>
      <c r="BB883" s="23"/>
      <c r="BC883" s="23"/>
    </row>
    <row r="884">
      <c r="AO884" s="23"/>
      <c r="AP884" s="23"/>
      <c r="AQ884" s="23"/>
      <c r="AR884" s="23"/>
      <c r="AS884" s="23"/>
      <c r="AT884" s="23"/>
      <c r="AU884" s="23"/>
      <c r="AV884" s="23"/>
      <c r="AW884" s="23"/>
      <c r="AX884" s="23"/>
      <c r="AY884" s="23"/>
      <c r="AZ884" s="23"/>
      <c r="BA884" s="23"/>
      <c r="BB884" s="23"/>
      <c r="BC884" s="23"/>
    </row>
    <row r="885">
      <c r="AO885" s="23"/>
      <c r="AP885" s="23"/>
      <c r="AQ885" s="23"/>
      <c r="AR885" s="23"/>
      <c r="AS885" s="23"/>
      <c r="AT885" s="23"/>
      <c r="AU885" s="23"/>
      <c r="AV885" s="23"/>
      <c r="AW885" s="23"/>
      <c r="AX885" s="23"/>
      <c r="AY885" s="23"/>
      <c r="AZ885" s="23"/>
      <c r="BA885" s="23"/>
      <c r="BB885" s="23"/>
      <c r="BC885" s="23"/>
    </row>
    <row r="886">
      <c r="AO886" s="23"/>
      <c r="AP886" s="23"/>
      <c r="AQ886" s="23"/>
      <c r="AR886" s="23"/>
      <c r="AS886" s="23"/>
      <c r="AT886" s="23"/>
      <c r="AU886" s="23"/>
      <c r="AV886" s="23"/>
      <c r="AW886" s="23"/>
      <c r="AX886" s="23"/>
      <c r="AY886" s="23"/>
      <c r="AZ886" s="23"/>
      <c r="BA886" s="23"/>
      <c r="BB886" s="23"/>
      <c r="BC886" s="23"/>
    </row>
    <row r="887">
      <c r="AO887" s="23"/>
      <c r="AP887" s="23"/>
      <c r="AQ887" s="23"/>
      <c r="AR887" s="23"/>
      <c r="AS887" s="23"/>
      <c r="AT887" s="23"/>
      <c r="AU887" s="23"/>
      <c r="AV887" s="23"/>
      <c r="AW887" s="23"/>
      <c r="AX887" s="23"/>
      <c r="AY887" s="23"/>
      <c r="AZ887" s="23"/>
      <c r="BA887" s="23"/>
      <c r="BB887" s="23"/>
      <c r="BC887" s="23"/>
    </row>
    <row r="888">
      <c r="AO888" s="23"/>
      <c r="AP888" s="23"/>
      <c r="AQ888" s="23"/>
      <c r="AR888" s="23"/>
      <c r="AS888" s="23"/>
      <c r="AT888" s="23"/>
      <c r="AU888" s="23"/>
      <c r="AV888" s="23"/>
      <c r="AW888" s="23"/>
      <c r="AX888" s="23"/>
      <c r="AY888" s="23"/>
      <c r="AZ888" s="23"/>
      <c r="BA888" s="23"/>
      <c r="BB888" s="23"/>
      <c r="BC888" s="23"/>
    </row>
    <row r="889">
      <c r="AO889" s="23"/>
      <c r="AP889" s="23"/>
      <c r="AQ889" s="23"/>
      <c r="AR889" s="23"/>
      <c r="AS889" s="23"/>
      <c r="AT889" s="23"/>
      <c r="AU889" s="23"/>
      <c r="AV889" s="23"/>
      <c r="AW889" s="23"/>
      <c r="AX889" s="23"/>
      <c r="AY889" s="23"/>
      <c r="AZ889" s="23"/>
      <c r="BA889" s="23"/>
      <c r="BB889" s="23"/>
      <c r="BC889" s="23"/>
    </row>
    <row r="890">
      <c r="AO890" s="23"/>
      <c r="AP890" s="23"/>
      <c r="AQ890" s="23"/>
      <c r="AR890" s="23"/>
      <c r="AS890" s="23"/>
      <c r="AT890" s="23"/>
      <c r="AU890" s="23"/>
      <c r="AV890" s="23"/>
      <c r="AW890" s="23"/>
      <c r="AX890" s="23"/>
      <c r="AY890" s="23"/>
      <c r="AZ890" s="23"/>
      <c r="BA890" s="23"/>
      <c r="BB890" s="23"/>
      <c r="BC890" s="23"/>
    </row>
    <row r="891">
      <c r="AO891" s="23"/>
      <c r="AP891" s="23"/>
      <c r="AQ891" s="23"/>
      <c r="AR891" s="23"/>
      <c r="AS891" s="23"/>
      <c r="AT891" s="23"/>
      <c r="AU891" s="23"/>
      <c r="AV891" s="23"/>
      <c r="AW891" s="23"/>
      <c r="AX891" s="23"/>
      <c r="AY891" s="23"/>
      <c r="AZ891" s="23"/>
      <c r="BA891" s="23"/>
      <c r="BB891" s="23"/>
      <c r="BC891" s="23"/>
    </row>
    <row r="892">
      <c r="AO892" s="23"/>
      <c r="AP892" s="23"/>
      <c r="AQ892" s="23"/>
      <c r="AR892" s="23"/>
      <c r="AS892" s="23"/>
      <c r="AT892" s="23"/>
      <c r="AU892" s="23"/>
      <c r="AV892" s="23"/>
      <c r="AW892" s="23"/>
      <c r="AX892" s="23"/>
      <c r="AY892" s="23"/>
      <c r="AZ892" s="23"/>
      <c r="BA892" s="23"/>
      <c r="BB892" s="23"/>
      <c r="BC892" s="23"/>
    </row>
    <row r="893">
      <c r="AO893" s="23"/>
      <c r="AP893" s="23"/>
      <c r="AQ893" s="23"/>
      <c r="AR893" s="23"/>
      <c r="AS893" s="23"/>
      <c r="AT893" s="23"/>
      <c r="AU893" s="23"/>
      <c r="AV893" s="23"/>
      <c r="AW893" s="23"/>
      <c r="AX893" s="23"/>
      <c r="AY893" s="23"/>
      <c r="AZ893" s="23"/>
      <c r="BA893" s="23"/>
      <c r="BB893" s="23"/>
      <c r="BC893" s="23"/>
    </row>
    <row r="894">
      <c r="AO894" s="23"/>
      <c r="AP894" s="23"/>
      <c r="AQ894" s="23"/>
      <c r="AR894" s="23"/>
      <c r="AS894" s="23"/>
      <c r="AT894" s="23"/>
      <c r="AU894" s="23"/>
      <c r="AV894" s="23"/>
      <c r="AW894" s="23"/>
      <c r="AX894" s="23"/>
      <c r="AY894" s="23"/>
      <c r="AZ894" s="23"/>
      <c r="BA894" s="23"/>
      <c r="BB894" s="23"/>
      <c r="BC894" s="23"/>
    </row>
    <row r="895">
      <c r="AO895" s="23"/>
      <c r="AP895" s="23"/>
      <c r="AQ895" s="23"/>
      <c r="AR895" s="23"/>
      <c r="AS895" s="23"/>
      <c r="AT895" s="23"/>
      <c r="AU895" s="23"/>
      <c r="AV895" s="23"/>
      <c r="AW895" s="23"/>
      <c r="AX895" s="23"/>
      <c r="AY895" s="23"/>
      <c r="AZ895" s="23"/>
      <c r="BA895" s="23"/>
      <c r="BB895" s="23"/>
      <c r="BC895" s="23"/>
    </row>
    <row r="896">
      <c r="AO896" s="23"/>
      <c r="AP896" s="23"/>
      <c r="AQ896" s="23"/>
      <c r="AR896" s="23"/>
      <c r="AS896" s="23"/>
      <c r="AT896" s="23"/>
      <c r="AU896" s="23"/>
      <c r="AV896" s="23"/>
      <c r="AW896" s="23"/>
      <c r="AX896" s="23"/>
      <c r="AY896" s="23"/>
      <c r="AZ896" s="23"/>
      <c r="BA896" s="23"/>
      <c r="BB896" s="23"/>
      <c r="BC896" s="23"/>
    </row>
    <row r="897">
      <c r="AO897" s="23"/>
      <c r="AP897" s="23"/>
      <c r="AQ897" s="23"/>
      <c r="AR897" s="23"/>
      <c r="AS897" s="23"/>
      <c r="AT897" s="23"/>
      <c r="AU897" s="23"/>
      <c r="AV897" s="23"/>
      <c r="AW897" s="23"/>
      <c r="AX897" s="23"/>
      <c r="AY897" s="23"/>
      <c r="AZ897" s="23"/>
      <c r="BA897" s="23"/>
      <c r="BB897" s="23"/>
      <c r="BC897" s="23"/>
    </row>
    <row r="898">
      <c r="AO898" s="23"/>
      <c r="AP898" s="23"/>
      <c r="AQ898" s="23"/>
      <c r="AR898" s="23"/>
      <c r="AS898" s="23"/>
      <c r="AT898" s="23"/>
      <c r="AU898" s="23"/>
      <c r="AV898" s="23"/>
      <c r="AW898" s="23"/>
      <c r="AX898" s="23"/>
      <c r="AY898" s="23"/>
      <c r="AZ898" s="23"/>
      <c r="BA898" s="23"/>
      <c r="BB898" s="23"/>
      <c r="BC898" s="23"/>
    </row>
    <row r="899">
      <c r="AO899" s="23"/>
      <c r="AP899" s="23"/>
      <c r="AQ899" s="23"/>
      <c r="AR899" s="23"/>
      <c r="AS899" s="23"/>
      <c r="AT899" s="23"/>
      <c r="AU899" s="23"/>
      <c r="AV899" s="23"/>
      <c r="AW899" s="23"/>
      <c r="AX899" s="23"/>
      <c r="AY899" s="23"/>
      <c r="AZ899" s="23"/>
      <c r="BA899" s="23"/>
      <c r="BB899" s="23"/>
      <c r="BC899" s="23"/>
    </row>
    <row r="900">
      <c r="AO900" s="23"/>
      <c r="AP900" s="23"/>
      <c r="AQ900" s="23"/>
      <c r="AR900" s="23"/>
      <c r="AS900" s="23"/>
      <c r="AT900" s="23"/>
      <c r="AU900" s="23"/>
      <c r="AV900" s="23"/>
      <c r="AW900" s="23"/>
      <c r="AX900" s="23"/>
      <c r="AY900" s="23"/>
      <c r="AZ900" s="23"/>
      <c r="BA900" s="23"/>
      <c r="BB900" s="23"/>
      <c r="BC900" s="23"/>
    </row>
    <row r="901">
      <c r="AO901" s="23"/>
      <c r="AP901" s="23"/>
      <c r="AQ901" s="23"/>
      <c r="AR901" s="23"/>
      <c r="AS901" s="23"/>
      <c r="AT901" s="23"/>
      <c r="AU901" s="23"/>
      <c r="AV901" s="23"/>
      <c r="AW901" s="23"/>
      <c r="AX901" s="23"/>
      <c r="AY901" s="23"/>
      <c r="AZ901" s="23"/>
      <c r="BA901" s="23"/>
      <c r="BB901" s="23"/>
      <c r="BC901" s="23"/>
    </row>
    <row r="902">
      <c r="AO902" s="23"/>
      <c r="AP902" s="23"/>
      <c r="AQ902" s="23"/>
      <c r="AR902" s="23"/>
      <c r="AS902" s="23"/>
      <c r="AT902" s="23"/>
      <c r="AU902" s="23"/>
      <c r="AV902" s="23"/>
      <c r="AW902" s="23"/>
      <c r="AX902" s="23"/>
      <c r="AY902" s="23"/>
      <c r="AZ902" s="23"/>
      <c r="BA902" s="23"/>
      <c r="BB902" s="23"/>
      <c r="BC902" s="23"/>
    </row>
    <row r="903">
      <c r="AO903" s="23"/>
      <c r="AP903" s="23"/>
      <c r="AQ903" s="23"/>
      <c r="AR903" s="23"/>
      <c r="AS903" s="23"/>
      <c r="AT903" s="23"/>
      <c r="AU903" s="23"/>
      <c r="AV903" s="23"/>
      <c r="AW903" s="23"/>
      <c r="AX903" s="23"/>
      <c r="AY903" s="23"/>
      <c r="AZ903" s="23"/>
      <c r="BA903" s="23"/>
      <c r="BB903" s="23"/>
      <c r="BC903" s="23"/>
    </row>
    <row r="904">
      <c r="AO904" s="23"/>
      <c r="AP904" s="23"/>
      <c r="AQ904" s="23"/>
      <c r="AR904" s="23"/>
      <c r="AS904" s="23"/>
      <c r="AT904" s="23"/>
      <c r="AU904" s="23"/>
      <c r="AV904" s="23"/>
      <c r="AW904" s="23"/>
      <c r="AX904" s="23"/>
      <c r="AY904" s="23"/>
      <c r="AZ904" s="23"/>
      <c r="BA904" s="23"/>
      <c r="BB904" s="23"/>
      <c r="BC904" s="23"/>
    </row>
    <row r="905">
      <c r="AO905" s="23"/>
      <c r="AP905" s="23"/>
      <c r="AQ905" s="23"/>
      <c r="AR905" s="23"/>
      <c r="AS905" s="23"/>
      <c r="AT905" s="23"/>
      <c r="AU905" s="23"/>
      <c r="AV905" s="23"/>
      <c r="AW905" s="23"/>
      <c r="AX905" s="23"/>
      <c r="AY905" s="23"/>
      <c r="AZ905" s="23"/>
      <c r="BA905" s="23"/>
      <c r="BB905" s="23"/>
      <c r="BC905" s="23"/>
    </row>
    <row r="906">
      <c r="AO906" s="23"/>
      <c r="AP906" s="23"/>
      <c r="AQ906" s="23"/>
      <c r="AR906" s="23"/>
      <c r="AS906" s="23"/>
      <c r="AT906" s="23"/>
      <c r="AU906" s="23"/>
      <c r="AV906" s="23"/>
      <c r="AW906" s="23"/>
      <c r="AX906" s="23"/>
      <c r="AY906" s="23"/>
      <c r="AZ906" s="23"/>
      <c r="BA906" s="23"/>
      <c r="BB906" s="23"/>
      <c r="BC906" s="23"/>
    </row>
    <row r="907">
      <c r="AO907" s="23"/>
      <c r="AP907" s="23"/>
      <c r="AQ907" s="23"/>
      <c r="AR907" s="23"/>
      <c r="AS907" s="23"/>
      <c r="AT907" s="23"/>
      <c r="AU907" s="23"/>
      <c r="AV907" s="23"/>
      <c r="AW907" s="23"/>
      <c r="AX907" s="23"/>
      <c r="AY907" s="23"/>
      <c r="AZ907" s="23"/>
      <c r="BA907" s="23"/>
      <c r="BB907" s="23"/>
      <c r="BC907" s="23"/>
    </row>
    <row r="908">
      <c r="AO908" s="23"/>
      <c r="AP908" s="23"/>
      <c r="AQ908" s="23"/>
      <c r="AR908" s="23"/>
      <c r="AS908" s="23"/>
      <c r="AT908" s="23"/>
      <c r="AU908" s="23"/>
      <c r="AV908" s="23"/>
      <c r="AW908" s="23"/>
      <c r="AX908" s="23"/>
      <c r="AY908" s="23"/>
      <c r="AZ908" s="23"/>
      <c r="BA908" s="23"/>
      <c r="BB908" s="23"/>
      <c r="BC908" s="23"/>
    </row>
    <row r="909">
      <c r="AO909" s="23"/>
      <c r="AP909" s="23"/>
      <c r="AQ909" s="23"/>
      <c r="AR909" s="23"/>
      <c r="AS909" s="23"/>
      <c r="AT909" s="23"/>
      <c r="AU909" s="23"/>
      <c r="AV909" s="23"/>
      <c r="AW909" s="23"/>
      <c r="AX909" s="23"/>
      <c r="AY909" s="23"/>
      <c r="AZ909" s="23"/>
      <c r="BA909" s="23"/>
      <c r="BB909" s="23"/>
      <c r="BC909" s="23"/>
    </row>
    <row r="910">
      <c r="AO910" s="23"/>
      <c r="AP910" s="23"/>
      <c r="AQ910" s="23"/>
      <c r="AR910" s="23"/>
      <c r="AS910" s="23"/>
      <c r="AT910" s="23"/>
      <c r="AU910" s="23"/>
      <c r="AV910" s="23"/>
      <c r="AW910" s="23"/>
      <c r="AX910" s="23"/>
      <c r="AY910" s="23"/>
      <c r="AZ910" s="23"/>
      <c r="BA910" s="23"/>
      <c r="BB910" s="23"/>
      <c r="BC910" s="23"/>
    </row>
    <row r="911">
      <c r="AO911" s="23"/>
      <c r="AP911" s="23"/>
      <c r="AQ911" s="23"/>
      <c r="AR911" s="23"/>
      <c r="AS911" s="23"/>
      <c r="AT911" s="23"/>
      <c r="AU911" s="23"/>
      <c r="AV911" s="23"/>
      <c r="AW911" s="23"/>
      <c r="AX911" s="23"/>
      <c r="AY911" s="23"/>
      <c r="AZ911" s="23"/>
      <c r="BA911" s="23"/>
      <c r="BB911" s="23"/>
      <c r="BC911" s="23"/>
    </row>
    <row r="912">
      <c r="AO912" s="23"/>
      <c r="AP912" s="23"/>
      <c r="AQ912" s="23"/>
      <c r="AR912" s="23"/>
      <c r="AS912" s="23"/>
      <c r="AT912" s="23"/>
      <c r="AU912" s="23"/>
      <c r="AV912" s="23"/>
      <c r="AW912" s="23"/>
      <c r="AX912" s="23"/>
      <c r="AY912" s="23"/>
      <c r="AZ912" s="23"/>
      <c r="BA912" s="23"/>
      <c r="BB912" s="23"/>
      <c r="BC912" s="23"/>
    </row>
    <row r="913">
      <c r="AO913" s="23"/>
      <c r="AP913" s="23"/>
      <c r="AQ913" s="23"/>
      <c r="AR913" s="23"/>
      <c r="AS913" s="23"/>
      <c r="AT913" s="23"/>
      <c r="AU913" s="23"/>
      <c r="AV913" s="23"/>
      <c r="AW913" s="23"/>
      <c r="AX913" s="23"/>
      <c r="AY913" s="23"/>
      <c r="AZ913" s="23"/>
      <c r="BA913" s="23"/>
      <c r="BB913" s="23"/>
      <c r="BC913" s="23"/>
    </row>
    <row r="914">
      <c r="AO914" s="23"/>
      <c r="AP914" s="23"/>
      <c r="AQ914" s="23"/>
      <c r="AR914" s="23"/>
      <c r="AS914" s="23"/>
      <c r="AT914" s="23"/>
      <c r="AU914" s="23"/>
      <c r="AV914" s="23"/>
      <c r="AW914" s="23"/>
      <c r="AX914" s="23"/>
      <c r="AY914" s="23"/>
      <c r="AZ914" s="23"/>
      <c r="BA914" s="23"/>
      <c r="BB914" s="23"/>
      <c r="BC914" s="23"/>
    </row>
    <row r="915">
      <c r="AO915" s="23"/>
      <c r="AP915" s="23"/>
      <c r="AQ915" s="23"/>
      <c r="AR915" s="23"/>
      <c r="AS915" s="23"/>
      <c r="AT915" s="23"/>
      <c r="AU915" s="23"/>
      <c r="AV915" s="23"/>
      <c r="AW915" s="23"/>
      <c r="AX915" s="23"/>
      <c r="AY915" s="23"/>
      <c r="AZ915" s="23"/>
      <c r="BA915" s="23"/>
      <c r="BB915" s="23"/>
      <c r="BC915" s="23"/>
    </row>
    <row r="916">
      <c r="AO916" s="23"/>
      <c r="AP916" s="23"/>
      <c r="AQ916" s="23"/>
      <c r="AR916" s="23"/>
      <c r="AS916" s="23"/>
      <c r="AT916" s="23"/>
      <c r="AU916" s="23"/>
      <c r="AV916" s="23"/>
      <c r="AW916" s="23"/>
      <c r="AX916" s="23"/>
      <c r="AY916" s="23"/>
      <c r="AZ916" s="23"/>
      <c r="BA916" s="23"/>
      <c r="BB916" s="23"/>
      <c r="BC916" s="23"/>
    </row>
    <row r="917">
      <c r="AO917" s="23"/>
      <c r="AP917" s="23"/>
      <c r="AQ917" s="23"/>
      <c r="AR917" s="23"/>
      <c r="AS917" s="23"/>
      <c r="AT917" s="23"/>
      <c r="AU917" s="23"/>
      <c r="AV917" s="23"/>
      <c r="AW917" s="23"/>
      <c r="AX917" s="23"/>
      <c r="AY917" s="23"/>
      <c r="AZ917" s="23"/>
      <c r="BA917" s="23"/>
      <c r="BB917" s="23"/>
      <c r="BC917" s="23"/>
    </row>
    <row r="918">
      <c r="AO918" s="23"/>
      <c r="AP918" s="23"/>
      <c r="AQ918" s="23"/>
      <c r="AR918" s="23"/>
      <c r="AS918" s="23"/>
      <c r="AT918" s="23"/>
      <c r="AU918" s="23"/>
      <c r="AV918" s="23"/>
      <c r="AW918" s="23"/>
      <c r="AX918" s="23"/>
      <c r="AY918" s="23"/>
      <c r="AZ918" s="23"/>
      <c r="BA918" s="23"/>
      <c r="BB918" s="23"/>
      <c r="BC918" s="23"/>
    </row>
    <row r="919">
      <c r="AO919" s="23"/>
      <c r="AP919" s="23"/>
      <c r="AQ919" s="23"/>
      <c r="AR919" s="23"/>
      <c r="AS919" s="23"/>
      <c r="AT919" s="23"/>
      <c r="AU919" s="23"/>
      <c r="AV919" s="23"/>
      <c r="AW919" s="23"/>
      <c r="AX919" s="23"/>
      <c r="AY919" s="23"/>
      <c r="AZ919" s="23"/>
      <c r="BA919" s="23"/>
      <c r="BB919" s="23"/>
      <c r="BC919" s="23"/>
    </row>
    <row r="920">
      <c r="AO920" s="23"/>
      <c r="AP920" s="23"/>
      <c r="AQ920" s="23"/>
      <c r="AR920" s="23"/>
      <c r="AS920" s="23"/>
      <c r="AT920" s="23"/>
      <c r="AU920" s="23"/>
      <c r="AV920" s="23"/>
      <c r="AW920" s="23"/>
      <c r="AX920" s="23"/>
      <c r="AY920" s="23"/>
      <c r="AZ920" s="23"/>
      <c r="BA920" s="23"/>
      <c r="BB920" s="23"/>
      <c r="BC920" s="23"/>
    </row>
    <row r="921">
      <c r="AO921" s="23"/>
      <c r="AP921" s="23"/>
      <c r="AQ921" s="23"/>
      <c r="AR921" s="23"/>
      <c r="AS921" s="23"/>
      <c r="AT921" s="23"/>
      <c r="AU921" s="23"/>
      <c r="AV921" s="23"/>
      <c r="AW921" s="23"/>
      <c r="AX921" s="23"/>
      <c r="AY921" s="23"/>
      <c r="AZ921" s="23"/>
      <c r="BA921" s="23"/>
      <c r="BB921" s="23"/>
      <c r="BC921" s="23"/>
    </row>
    <row r="922">
      <c r="AO922" s="23"/>
      <c r="AP922" s="23"/>
      <c r="AQ922" s="23"/>
      <c r="AR922" s="23"/>
      <c r="AS922" s="23"/>
      <c r="AT922" s="23"/>
      <c r="AU922" s="23"/>
      <c r="AV922" s="23"/>
      <c r="AW922" s="23"/>
      <c r="AX922" s="23"/>
      <c r="AY922" s="23"/>
      <c r="AZ922" s="23"/>
      <c r="BA922" s="23"/>
      <c r="BB922" s="23"/>
      <c r="BC922" s="23"/>
    </row>
    <row r="923">
      <c r="AO923" s="23"/>
      <c r="AP923" s="23"/>
      <c r="AQ923" s="23"/>
      <c r="AR923" s="23"/>
      <c r="AS923" s="23"/>
      <c r="AT923" s="23"/>
      <c r="AU923" s="23"/>
      <c r="AV923" s="23"/>
      <c r="AW923" s="23"/>
      <c r="AX923" s="23"/>
      <c r="AY923" s="23"/>
      <c r="AZ923" s="23"/>
      <c r="BA923" s="23"/>
      <c r="BB923" s="23"/>
      <c r="BC923" s="23"/>
    </row>
    <row r="924">
      <c r="AO924" s="23"/>
      <c r="AP924" s="23"/>
      <c r="AQ924" s="23"/>
      <c r="AR924" s="23"/>
      <c r="AS924" s="23"/>
      <c r="AT924" s="23"/>
      <c r="AU924" s="23"/>
      <c r="AV924" s="23"/>
      <c r="AW924" s="23"/>
      <c r="AX924" s="23"/>
      <c r="AY924" s="23"/>
      <c r="AZ924" s="23"/>
      <c r="BA924" s="23"/>
      <c r="BB924" s="23"/>
      <c r="BC924" s="23"/>
    </row>
    <row r="925">
      <c r="AO925" s="23"/>
      <c r="AP925" s="23"/>
      <c r="AQ925" s="23"/>
      <c r="AR925" s="23"/>
      <c r="AS925" s="23"/>
      <c r="AT925" s="23"/>
      <c r="AU925" s="23"/>
      <c r="AV925" s="23"/>
      <c r="AW925" s="23"/>
      <c r="AX925" s="23"/>
      <c r="AY925" s="23"/>
      <c r="AZ925" s="23"/>
      <c r="BA925" s="23"/>
      <c r="BB925" s="23"/>
      <c r="BC925" s="23"/>
    </row>
    <row r="926">
      <c r="AO926" s="23"/>
      <c r="AP926" s="23"/>
      <c r="AQ926" s="23"/>
      <c r="AR926" s="23"/>
      <c r="AS926" s="23"/>
      <c r="AT926" s="23"/>
      <c r="AU926" s="23"/>
      <c r="AV926" s="23"/>
      <c r="AW926" s="23"/>
      <c r="AX926" s="23"/>
      <c r="AY926" s="23"/>
      <c r="AZ926" s="23"/>
      <c r="BA926" s="23"/>
      <c r="BB926" s="23"/>
      <c r="BC926" s="23"/>
    </row>
    <row r="927">
      <c r="AO927" s="23"/>
      <c r="AP927" s="23"/>
      <c r="AQ927" s="23"/>
      <c r="AR927" s="23"/>
      <c r="AS927" s="23"/>
      <c r="AT927" s="23"/>
      <c r="AU927" s="23"/>
      <c r="AV927" s="23"/>
      <c r="AW927" s="23"/>
      <c r="AX927" s="23"/>
      <c r="AY927" s="23"/>
      <c r="AZ927" s="23"/>
      <c r="BA927" s="23"/>
      <c r="BB927" s="23"/>
      <c r="BC927" s="23"/>
    </row>
    <row r="928">
      <c r="AO928" s="23"/>
      <c r="AP928" s="23"/>
      <c r="AQ928" s="23"/>
      <c r="AR928" s="23"/>
      <c r="AS928" s="23"/>
      <c r="AT928" s="23"/>
      <c r="AU928" s="23"/>
      <c r="AV928" s="23"/>
      <c r="AW928" s="23"/>
      <c r="AX928" s="23"/>
      <c r="AY928" s="23"/>
      <c r="AZ928" s="23"/>
      <c r="BA928" s="23"/>
      <c r="BB928" s="23"/>
      <c r="BC928" s="23"/>
    </row>
    <row r="929">
      <c r="AO929" s="23"/>
      <c r="AP929" s="23"/>
      <c r="AQ929" s="23"/>
      <c r="AR929" s="23"/>
      <c r="AS929" s="23"/>
      <c r="AT929" s="23"/>
      <c r="AU929" s="23"/>
      <c r="AV929" s="23"/>
      <c r="AW929" s="23"/>
      <c r="AX929" s="23"/>
      <c r="AY929" s="23"/>
      <c r="AZ929" s="23"/>
      <c r="BA929" s="23"/>
      <c r="BB929" s="23"/>
      <c r="BC929" s="23"/>
    </row>
    <row r="930">
      <c r="AO930" s="23"/>
      <c r="AP930" s="23"/>
      <c r="AQ930" s="23"/>
      <c r="AR930" s="23"/>
      <c r="AS930" s="23"/>
      <c r="AT930" s="23"/>
      <c r="AU930" s="23"/>
      <c r="AV930" s="23"/>
      <c r="AW930" s="23"/>
      <c r="AX930" s="23"/>
      <c r="AY930" s="23"/>
      <c r="AZ930" s="23"/>
      <c r="BA930" s="23"/>
      <c r="BB930" s="23"/>
      <c r="BC930" s="23"/>
    </row>
    <row r="931">
      <c r="AO931" s="23"/>
      <c r="AP931" s="23"/>
      <c r="AQ931" s="23"/>
      <c r="AR931" s="23"/>
      <c r="AS931" s="23"/>
      <c r="AT931" s="23"/>
      <c r="AU931" s="23"/>
      <c r="AV931" s="23"/>
      <c r="AW931" s="23"/>
      <c r="AX931" s="23"/>
      <c r="AY931" s="23"/>
      <c r="AZ931" s="23"/>
      <c r="BA931" s="23"/>
      <c r="BB931" s="23"/>
      <c r="BC931" s="23"/>
    </row>
    <row r="932">
      <c r="AO932" s="23"/>
      <c r="AP932" s="23"/>
      <c r="AQ932" s="23"/>
      <c r="AR932" s="23"/>
      <c r="AS932" s="23"/>
      <c r="AT932" s="23"/>
      <c r="AU932" s="23"/>
      <c r="AV932" s="23"/>
      <c r="AW932" s="23"/>
      <c r="AX932" s="23"/>
      <c r="AY932" s="23"/>
      <c r="AZ932" s="23"/>
      <c r="BA932" s="23"/>
      <c r="BB932" s="23"/>
      <c r="BC932" s="23"/>
    </row>
    <row r="933">
      <c r="AO933" s="23"/>
      <c r="AP933" s="23"/>
      <c r="AQ933" s="23"/>
      <c r="AR933" s="23"/>
      <c r="AS933" s="23"/>
      <c r="AT933" s="23"/>
      <c r="AU933" s="23"/>
      <c r="AV933" s="23"/>
      <c r="AW933" s="23"/>
      <c r="AX933" s="23"/>
      <c r="AY933" s="23"/>
      <c r="AZ933" s="23"/>
      <c r="BA933" s="23"/>
      <c r="BB933" s="23"/>
      <c r="BC933" s="23"/>
    </row>
    <row r="934">
      <c r="AO934" s="23"/>
      <c r="AP934" s="23"/>
      <c r="AQ934" s="23"/>
      <c r="AR934" s="23"/>
      <c r="AS934" s="23"/>
      <c r="AT934" s="23"/>
      <c r="AU934" s="23"/>
      <c r="AV934" s="23"/>
      <c r="AW934" s="23"/>
      <c r="AX934" s="23"/>
      <c r="AY934" s="23"/>
      <c r="AZ934" s="23"/>
      <c r="BA934" s="23"/>
      <c r="BB934" s="23"/>
      <c r="BC934" s="23"/>
    </row>
    <row r="935">
      <c r="AO935" s="23"/>
      <c r="AP935" s="23"/>
      <c r="AQ935" s="23"/>
      <c r="AR935" s="23"/>
      <c r="AS935" s="23"/>
      <c r="AT935" s="23"/>
      <c r="AU935" s="23"/>
      <c r="AV935" s="23"/>
      <c r="AW935" s="23"/>
      <c r="AX935" s="23"/>
      <c r="AY935" s="23"/>
      <c r="AZ935" s="23"/>
      <c r="BA935" s="23"/>
      <c r="BB935" s="23"/>
      <c r="BC935" s="23"/>
    </row>
    <row r="936">
      <c r="AO936" s="23"/>
      <c r="AP936" s="23"/>
      <c r="AQ936" s="23"/>
      <c r="AR936" s="23"/>
      <c r="AS936" s="23"/>
      <c r="AT936" s="23"/>
      <c r="AU936" s="23"/>
      <c r="AV936" s="23"/>
      <c r="AW936" s="23"/>
      <c r="AX936" s="23"/>
      <c r="AY936" s="23"/>
      <c r="AZ936" s="23"/>
      <c r="BA936" s="23"/>
      <c r="BB936" s="23"/>
      <c r="BC936" s="23"/>
    </row>
    <row r="937">
      <c r="AO937" s="23"/>
      <c r="AP937" s="23"/>
      <c r="AQ937" s="23"/>
      <c r="AR937" s="23"/>
      <c r="AS937" s="23"/>
      <c r="AT937" s="23"/>
      <c r="AU937" s="23"/>
      <c r="AV937" s="23"/>
      <c r="AW937" s="23"/>
      <c r="AX937" s="23"/>
      <c r="AY937" s="23"/>
      <c r="AZ937" s="23"/>
      <c r="BA937" s="23"/>
      <c r="BB937" s="23"/>
      <c r="BC937" s="23"/>
    </row>
    <row r="938">
      <c r="AO938" s="23"/>
      <c r="AP938" s="23"/>
      <c r="AQ938" s="23"/>
      <c r="AR938" s="23"/>
      <c r="AS938" s="23"/>
      <c r="AT938" s="23"/>
      <c r="AU938" s="23"/>
      <c r="AV938" s="23"/>
      <c r="AW938" s="23"/>
      <c r="AX938" s="23"/>
      <c r="AY938" s="23"/>
      <c r="AZ938" s="23"/>
      <c r="BA938" s="23"/>
      <c r="BB938" s="23"/>
      <c r="BC938" s="23"/>
    </row>
    <row r="939">
      <c r="AO939" s="23"/>
      <c r="AP939" s="23"/>
      <c r="AQ939" s="23"/>
      <c r="AR939" s="23"/>
      <c r="AS939" s="23"/>
      <c r="AT939" s="23"/>
      <c r="AU939" s="23"/>
      <c r="AV939" s="23"/>
      <c r="AW939" s="23"/>
      <c r="AX939" s="23"/>
      <c r="AY939" s="23"/>
      <c r="AZ939" s="23"/>
      <c r="BA939" s="23"/>
      <c r="BB939" s="23"/>
      <c r="BC939" s="23"/>
    </row>
    <row r="940">
      <c r="AO940" s="23"/>
      <c r="AP940" s="23"/>
      <c r="AQ940" s="23"/>
      <c r="AR940" s="23"/>
      <c r="AS940" s="23"/>
      <c r="AT940" s="23"/>
      <c r="AU940" s="23"/>
      <c r="AV940" s="23"/>
      <c r="AW940" s="23"/>
      <c r="AX940" s="23"/>
      <c r="AY940" s="23"/>
      <c r="AZ940" s="23"/>
      <c r="BA940" s="23"/>
      <c r="BB940" s="23"/>
      <c r="BC940" s="23"/>
    </row>
    <row r="941">
      <c r="AO941" s="23"/>
      <c r="AP941" s="23"/>
      <c r="AQ941" s="23"/>
      <c r="AR941" s="23"/>
      <c r="AS941" s="23"/>
      <c r="AT941" s="23"/>
      <c r="AU941" s="23"/>
      <c r="AV941" s="23"/>
      <c r="AW941" s="23"/>
      <c r="AX941" s="23"/>
      <c r="AY941" s="23"/>
      <c r="AZ941" s="23"/>
      <c r="BA941" s="23"/>
      <c r="BB941" s="23"/>
      <c r="BC941" s="23"/>
    </row>
    <row r="942">
      <c r="AO942" s="23"/>
      <c r="AP942" s="23"/>
      <c r="AQ942" s="23"/>
      <c r="AR942" s="23"/>
      <c r="AS942" s="23"/>
      <c r="AT942" s="23"/>
      <c r="AU942" s="23"/>
      <c r="AV942" s="23"/>
      <c r="AW942" s="23"/>
      <c r="AX942" s="23"/>
      <c r="AY942" s="23"/>
      <c r="AZ942" s="23"/>
      <c r="BA942" s="23"/>
      <c r="BB942" s="23"/>
      <c r="BC942" s="23"/>
    </row>
    <row r="943">
      <c r="AO943" s="23"/>
      <c r="AP943" s="23"/>
      <c r="AQ943" s="23"/>
      <c r="AR943" s="23"/>
      <c r="AS943" s="23"/>
      <c r="AT943" s="23"/>
      <c r="AU943" s="23"/>
      <c r="AV943" s="23"/>
      <c r="AW943" s="23"/>
      <c r="AX943" s="23"/>
      <c r="AY943" s="23"/>
      <c r="AZ943" s="23"/>
      <c r="BA943" s="23"/>
      <c r="BB943" s="23"/>
      <c r="BC943" s="23"/>
    </row>
    <row r="944">
      <c r="AO944" s="23"/>
      <c r="AP944" s="23"/>
      <c r="AQ944" s="23"/>
      <c r="AR944" s="23"/>
      <c r="AS944" s="23"/>
      <c r="AT944" s="23"/>
      <c r="AU944" s="23"/>
      <c r="AV944" s="23"/>
      <c r="AW944" s="23"/>
      <c r="AX944" s="23"/>
      <c r="AY944" s="23"/>
      <c r="AZ944" s="23"/>
      <c r="BA944" s="23"/>
      <c r="BB944" s="23"/>
      <c r="BC944" s="23"/>
    </row>
    <row r="945">
      <c r="AO945" s="23"/>
      <c r="AP945" s="23"/>
      <c r="AQ945" s="23"/>
      <c r="AR945" s="23"/>
      <c r="AS945" s="23"/>
      <c r="AT945" s="23"/>
      <c r="AU945" s="23"/>
      <c r="AV945" s="23"/>
      <c r="AW945" s="23"/>
      <c r="AX945" s="23"/>
      <c r="AY945" s="23"/>
      <c r="AZ945" s="23"/>
      <c r="BA945" s="23"/>
      <c r="BB945" s="23"/>
      <c r="BC945" s="23"/>
    </row>
    <row r="946">
      <c r="AO946" s="23"/>
      <c r="AP946" s="23"/>
      <c r="AQ946" s="23"/>
      <c r="AR946" s="23"/>
      <c r="AS946" s="23"/>
      <c r="AT946" s="23"/>
      <c r="AU946" s="23"/>
      <c r="AV946" s="23"/>
      <c r="AW946" s="23"/>
      <c r="AX946" s="23"/>
      <c r="AY946" s="23"/>
      <c r="AZ946" s="23"/>
      <c r="BA946" s="23"/>
      <c r="BB946" s="23"/>
      <c r="BC946" s="23"/>
    </row>
    <row r="947">
      <c r="AO947" s="23"/>
      <c r="AP947" s="23"/>
      <c r="AQ947" s="23"/>
      <c r="AR947" s="23"/>
      <c r="AS947" s="23"/>
      <c r="AT947" s="23"/>
      <c r="AU947" s="23"/>
      <c r="AV947" s="23"/>
      <c r="AW947" s="23"/>
      <c r="AX947" s="23"/>
      <c r="AY947" s="23"/>
      <c r="AZ947" s="23"/>
      <c r="BA947" s="23"/>
      <c r="BB947" s="23"/>
      <c r="BC947" s="23"/>
    </row>
    <row r="948">
      <c r="AO948" s="23"/>
      <c r="AP948" s="23"/>
      <c r="AQ948" s="23"/>
      <c r="AR948" s="23"/>
      <c r="AS948" s="23"/>
      <c r="AT948" s="23"/>
      <c r="AU948" s="23"/>
      <c r="AV948" s="23"/>
      <c r="AW948" s="23"/>
      <c r="AX948" s="23"/>
      <c r="AY948" s="23"/>
      <c r="AZ948" s="23"/>
      <c r="BA948" s="23"/>
      <c r="BB948" s="23"/>
      <c r="BC948" s="23"/>
    </row>
    <row r="949">
      <c r="AO949" s="23"/>
      <c r="AP949" s="23"/>
      <c r="AQ949" s="23"/>
      <c r="AR949" s="23"/>
      <c r="AS949" s="23"/>
      <c r="AT949" s="23"/>
      <c r="AU949" s="23"/>
      <c r="AV949" s="23"/>
      <c r="AW949" s="23"/>
      <c r="AX949" s="23"/>
      <c r="AY949" s="23"/>
      <c r="AZ949" s="23"/>
      <c r="BA949" s="23"/>
      <c r="BB949" s="23"/>
      <c r="BC949" s="23"/>
    </row>
    <row r="950">
      <c r="AO950" s="23"/>
      <c r="AP950" s="23"/>
      <c r="AQ950" s="23"/>
      <c r="AR950" s="23"/>
      <c r="AS950" s="23"/>
      <c r="AT950" s="23"/>
      <c r="AU950" s="23"/>
      <c r="AV950" s="23"/>
      <c r="AW950" s="23"/>
      <c r="AX950" s="23"/>
      <c r="AY950" s="23"/>
      <c r="AZ950" s="23"/>
      <c r="BA950" s="23"/>
      <c r="BB950" s="23"/>
      <c r="BC950" s="23"/>
    </row>
    <row r="951">
      <c r="AO951" s="23"/>
      <c r="AP951" s="23"/>
      <c r="AQ951" s="23"/>
      <c r="AR951" s="23"/>
      <c r="AS951" s="23"/>
      <c r="AT951" s="23"/>
      <c r="AU951" s="23"/>
      <c r="AV951" s="23"/>
      <c r="AW951" s="23"/>
      <c r="AX951" s="23"/>
      <c r="AY951" s="23"/>
      <c r="AZ951" s="23"/>
      <c r="BA951" s="23"/>
      <c r="BB951" s="23"/>
      <c r="BC951" s="23"/>
    </row>
    <row r="952">
      <c r="AO952" s="23"/>
      <c r="AP952" s="23"/>
      <c r="AQ952" s="23"/>
      <c r="AR952" s="23"/>
      <c r="AS952" s="23"/>
      <c r="AT952" s="23"/>
      <c r="AU952" s="23"/>
      <c r="AV952" s="23"/>
      <c r="AW952" s="23"/>
      <c r="AX952" s="23"/>
      <c r="AY952" s="23"/>
      <c r="AZ952" s="23"/>
      <c r="BA952" s="23"/>
      <c r="BB952" s="23"/>
      <c r="BC952" s="23"/>
    </row>
    <row r="953">
      <c r="AO953" s="23"/>
      <c r="AP953" s="23"/>
      <c r="AQ953" s="23"/>
      <c r="AR953" s="23"/>
      <c r="AS953" s="23"/>
      <c r="AT953" s="23"/>
      <c r="AU953" s="23"/>
      <c r="AV953" s="23"/>
      <c r="AW953" s="23"/>
      <c r="AX953" s="23"/>
      <c r="AY953" s="23"/>
      <c r="AZ953" s="23"/>
      <c r="BA953" s="23"/>
      <c r="BB953" s="23"/>
      <c r="BC953" s="23"/>
    </row>
    <row r="954">
      <c r="AO954" s="23"/>
      <c r="AP954" s="23"/>
      <c r="AQ954" s="23"/>
      <c r="AR954" s="23"/>
      <c r="AS954" s="23"/>
      <c r="AT954" s="23"/>
      <c r="AU954" s="23"/>
      <c r="AV954" s="23"/>
      <c r="AW954" s="23"/>
      <c r="AX954" s="23"/>
      <c r="AY954" s="23"/>
      <c r="AZ954" s="23"/>
      <c r="BA954" s="23"/>
      <c r="BB954" s="23"/>
      <c r="BC954" s="23"/>
    </row>
    <row r="955">
      <c r="AO955" s="23"/>
      <c r="AP955" s="23"/>
      <c r="AQ955" s="23"/>
      <c r="AR955" s="23"/>
      <c r="AS955" s="23"/>
      <c r="AT955" s="23"/>
      <c r="AU955" s="23"/>
      <c r="AV955" s="23"/>
      <c r="AW955" s="23"/>
      <c r="AX955" s="23"/>
      <c r="AY955" s="23"/>
      <c r="AZ955" s="23"/>
      <c r="BA955" s="23"/>
      <c r="BB955" s="23"/>
      <c r="BC955" s="23"/>
    </row>
    <row r="956">
      <c r="AO956" s="23"/>
      <c r="AP956" s="23"/>
      <c r="AQ956" s="23"/>
      <c r="AR956" s="23"/>
      <c r="AS956" s="23"/>
      <c r="AT956" s="23"/>
      <c r="AU956" s="23"/>
      <c r="AV956" s="23"/>
      <c r="AW956" s="23"/>
      <c r="AX956" s="23"/>
      <c r="AY956" s="23"/>
      <c r="AZ956" s="23"/>
      <c r="BA956" s="23"/>
      <c r="BB956" s="23"/>
      <c r="BC956" s="23"/>
    </row>
    <row r="957">
      <c r="AO957" s="23"/>
      <c r="AP957" s="23"/>
      <c r="AQ957" s="23"/>
      <c r="AR957" s="23"/>
      <c r="AS957" s="23"/>
      <c r="AT957" s="23"/>
      <c r="AU957" s="23"/>
      <c r="AV957" s="23"/>
      <c r="AW957" s="23"/>
      <c r="AX957" s="23"/>
      <c r="AY957" s="23"/>
      <c r="AZ957" s="23"/>
      <c r="BA957" s="23"/>
      <c r="BB957" s="23"/>
      <c r="BC957" s="23"/>
    </row>
    <row r="958">
      <c r="AO958" s="23"/>
      <c r="AP958" s="23"/>
      <c r="AQ958" s="23"/>
      <c r="AR958" s="23"/>
      <c r="AS958" s="23"/>
      <c r="AT958" s="23"/>
      <c r="AU958" s="23"/>
      <c r="AV958" s="23"/>
      <c r="AW958" s="23"/>
      <c r="AX958" s="23"/>
      <c r="AY958" s="23"/>
      <c r="AZ958" s="23"/>
      <c r="BA958" s="23"/>
      <c r="BB958" s="23"/>
      <c r="BC958" s="23"/>
    </row>
    <row r="959">
      <c r="AO959" s="23"/>
      <c r="AP959" s="23"/>
      <c r="AQ959" s="23"/>
      <c r="AR959" s="23"/>
      <c r="AS959" s="23"/>
      <c r="AT959" s="23"/>
      <c r="AU959" s="23"/>
      <c r="AV959" s="23"/>
      <c r="AW959" s="23"/>
      <c r="AX959" s="23"/>
      <c r="AY959" s="23"/>
      <c r="AZ959" s="23"/>
      <c r="BA959" s="23"/>
      <c r="BB959" s="23"/>
      <c r="BC959" s="23"/>
    </row>
    <row r="960">
      <c r="AO960" s="23"/>
      <c r="AP960" s="23"/>
      <c r="AQ960" s="23"/>
      <c r="AR960" s="23"/>
      <c r="AS960" s="23"/>
      <c r="AT960" s="23"/>
      <c r="AU960" s="23"/>
      <c r="AV960" s="23"/>
      <c r="AW960" s="23"/>
      <c r="AX960" s="23"/>
      <c r="AY960" s="23"/>
      <c r="AZ960" s="23"/>
      <c r="BA960" s="23"/>
      <c r="BB960" s="23"/>
      <c r="BC960" s="23"/>
    </row>
    <row r="961">
      <c r="AO961" s="23"/>
      <c r="AP961" s="23"/>
      <c r="AQ961" s="23"/>
      <c r="AR961" s="23"/>
      <c r="AS961" s="23"/>
      <c r="AT961" s="23"/>
      <c r="AU961" s="23"/>
      <c r="AV961" s="23"/>
      <c r="AW961" s="23"/>
      <c r="AX961" s="23"/>
      <c r="AY961" s="23"/>
      <c r="AZ961" s="23"/>
      <c r="BA961" s="23"/>
      <c r="BB961" s="23"/>
      <c r="BC961" s="23"/>
    </row>
    <row r="962">
      <c r="AO962" s="23"/>
      <c r="AP962" s="23"/>
      <c r="AQ962" s="23"/>
      <c r="AR962" s="23"/>
      <c r="AS962" s="23"/>
      <c r="AT962" s="23"/>
      <c r="AU962" s="23"/>
      <c r="AV962" s="23"/>
      <c r="AW962" s="23"/>
      <c r="AX962" s="23"/>
      <c r="AY962" s="23"/>
      <c r="AZ962" s="23"/>
      <c r="BA962" s="23"/>
      <c r="BB962" s="23"/>
      <c r="BC962" s="23"/>
    </row>
    <row r="963">
      <c r="AO963" s="23"/>
      <c r="AP963" s="23"/>
      <c r="AQ963" s="23"/>
      <c r="AR963" s="23"/>
      <c r="AS963" s="23"/>
      <c r="AT963" s="23"/>
      <c r="AU963" s="23"/>
      <c r="AV963" s="23"/>
      <c r="AW963" s="23"/>
      <c r="AX963" s="23"/>
      <c r="AY963" s="23"/>
      <c r="AZ963" s="23"/>
      <c r="BA963" s="23"/>
      <c r="BB963" s="23"/>
      <c r="BC963" s="23"/>
    </row>
    <row r="964">
      <c r="AO964" s="23"/>
      <c r="AP964" s="23"/>
      <c r="AQ964" s="23"/>
      <c r="AR964" s="23"/>
      <c r="AS964" s="23"/>
      <c r="AT964" s="23"/>
      <c r="AU964" s="23"/>
      <c r="AV964" s="23"/>
      <c r="AW964" s="23"/>
      <c r="AX964" s="23"/>
      <c r="AY964" s="23"/>
      <c r="AZ964" s="23"/>
      <c r="BA964" s="23"/>
      <c r="BB964" s="23"/>
      <c r="BC964" s="23"/>
    </row>
    <row r="965">
      <c r="AO965" s="23"/>
      <c r="AP965" s="23"/>
      <c r="AQ965" s="23"/>
      <c r="AR965" s="23"/>
      <c r="AS965" s="23"/>
      <c r="AT965" s="23"/>
      <c r="AU965" s="23"/>
      <c r="AV965" s="23"/>
      <c r="AW965" s="23"/>
      <c r="AX965" s="23"/>
      <c r="AY965" s="23"/>
      <c r="AZ965" s="23"/>
      <c r="BA965" s="23"/>
      <c r="BB965" s="23"/>
      <c r="BC965" s="23"/>
    </row>
    <row r="966">
      <c r="AO966" s="23"/>
      <c r="AP966" s="23"/>
      <c r="AQ966" s="23"/>
      <c r="AR966" s="23"/>
      <c r="AS966" s="23"/>
      <c r="AT966" s="23"/>
      <c r="AU966" s="23"/>
      <c r="AV966" s="23"/>
      <c r="AW966" s="23"/>
      <c r="AX966" s="23"/>
      <c r="AY966" s="23"/>
      <c r="AZ966" s="23"/>
      <c r="BA966" s="23"/>
      <c r="BB966" s="23"/>
      <c r="BC966" s="23"/>
    </row>
    <row r="967">
      <c r="AO967" s="23"/>
      <c r="AP967" s="23"/>
      <c r="AQ967" s="23"/>
      <c r="AR967" s="23"/>
      <c r="AS967" s="23"/>
      <c r="AT967" s="23"/>
      <c r="AU967" s="23"/>
      <c r="AV967" s="23"/>
      <c r="AW967" s="23"/>
      <c r="AX967" s="23"/>
      <c r="AY967" s="23"/>
      <c r="AZ967" s="23"/>
      <c r="BA967" s="23"/>
      <c r="BB967" s="23"/>
      <c r="BC967" s="23"/>
    </row>
    <row r="968">
      <c r="AO968" s="23"/>
      <c r="AP968" s="23"/>
      <c r="AQ968" s="23"/>
      <c r="AR968" s="23"/>
      <c r="AS968" s="23"/>
      <c r="AT968" s="23"/>
      <c r="AU968" s="23"/>
      <c r="AV968" s="23"/>
      <c r="AW968" s="23"/>
      <c r="AX968" s="23"/>
      <c r="AY968" s="23"/>
      <c r="AZ968" s="23"/>
      <c r="BA968" s="23"/>
      <c r="BB968" s="23"/>
      <c r="BC968" s="23"/>
    </row>
    <row r="969">
      <c r="AO969" s="23"/>
      <c r="AP969" s="23"/>
      <c r="AQ969" s="23"/>
      <c r="AR969" s="23"/>
      <c r="AS969" s="23"/>
      <c r="AT969" s="23"/>
      <c r="AU969" s="23"/>
      <c r="AV969" s="23"/>
      <c r="AW969" s="23"/>
      <c r="AX969" s="23"/>
      <c r="AY969" s="23"/>
      <c r="AZ969" s="23"/>
      <c r="BA969" s="23"/>
      <c r="BB969" s="23"/>
      <c r="BC969" s="23"/>
    </row>
    <row r="970">
      <c r="AO970" s="23"/>
      <c r="AP970" s="23"/>
      <c r="AQ970" s="23"/>
      <c r="AR970" s="23"/>
      <c r="AS970" s="23"/>
      <c r="AT970" s="23"/>
      <c r="AU970" s="23"/>
      <c r="AV970" s="23"/>
      <c r="AW970" s="23"/>
      <c r="AX970" s="23"/>
      <c r="AY970" s="23"/>
      <c r="AZ970" s="23"/>
      <c r="BA970" s="23"/>
      <c r="BB970" s="23"/>
      <c r="BC970" s="23"/>
    </row>
    <row r="971">
      <c r="AO971" s="23"/>
      <c r="AP971" s="23"/>
      <c r="AQ971" s="23"/>
      <c r="AR971" s="23"/>
      <c r="AS971" s="23"/>
      <c r="AT971" s="23"/>
      <c r="AU971" s="23"/>
      <c r="AV971" s="23"/>
      <c r="AW971" s="23"/>
      <c r="AX971" s="23"/>
      <c r="AY971" s="23"/>
      <c r="AZ971" s="23"/>
      <c r="BA971" s="23"/>
      <c r="BB971" s="23"/>
      <c r="BC971" s="23"/>
    </row>
    <row r="972">
      <c r="AO972" s="23"/>
      <c r="AP972" s="23"/>
      <c r="AQ972" s="23"/>
      <c r="AR972" s="23"/>
      <c r="AS972" s="23"/>
      <c r="AT972" s="23"/>
      <c r="AU972" s="23"/>
      <c r="AV972" s="23"/>
      <c r="AW972" s="23"/>
      <c r="AX972" s="23"/>
      <c r="AY972" s="23"/>
      <c r="AZ972" s="23"/>
      <c r="BA972" s="23"/>
      <c r="BB972" s="23"/>
      <c r="BC972" s="23"/>
    </row>
    <row r="973">
      <c r="AO973" s="23"/>
      <c r="AP973" s="23"/>
      <c r="AQ973" s="23"/>
      <c r="AR973" s="23"/>
      <c r="AS973" s="23"/>
      <c r="AT973" s="23"/>
      <c r="AU973" s="23"/>
      <c r="AV973" s="23"/>
      <c r="AW973" s="23"/>
      <c r="AX973" s="23"/>
      <c r="AY973" s="23"/>
      <c r="AZ973" s="23"/>
      <c r="BA973" s="23"/>
      <c r="BB973" s="23"/>
      <c r="BC973" s="23"/>
    </row>
    <row r="974">
      <c r="AO974" s="23"/>
      <c r="AP974" s="23"/>
      <c r="AQ974" s="23"/>
      <c r="AR974" s="23"/>
      <c r="AS974" s="23"/>
      <c r="AT974" s="23"/>
      <c r="AU974" s="23"/>
      <c r="AV974" s="23"/>
      <c r="AW974" s="23"/>
      <c r="AX974" s="23"/>
      <c r="AY974" s="23"/>
      <c r="AZ974" s="23"/>
      <c r="BA974" s="23"/>
      <c r="BB974" s="23"/>
      <c r="BC974" s="23"/>
    </row>
    <row r="975">
      <c r="AO975" s="23"/>
      <c r="AP975" s="23"/>
      <c r="AQ975" s="23"/>
      <c r="AR975" s="23"/>
      <c r="AS975" s="23"/>
      <c r="AT975" s="23"/>
      <c r="AU975" s="23"/>
      <c r="AV975" s="23"/>
      <c r="AW975" s="23"/>
      <c r="AX975" s="23"/>
      <c r="AY975" s="23"/>
      <c r="AZ975" s="23"/>
      <c r="BA975" s="23"/>
      <c r="BB975" s="23"/>
      <c r="BC975" s="23"/>
    </row>
    <row r="976">
      <c r="AO976" s="23"/>
      <c r="AP976" s="23"/>
      <c r="AQ976" s="23"/>
      <c r="AR976" s="23"/>
      <c r="AS976" s="23"/>
      <c r="AT976" s="23"/>
      <c r="AU976" s="23"/>
      <c r="AV976" s="23"/>
      <c r="AW976" s="23"/>
      <c r="AX976" s="23"/>
      <c r="AY976" s="23"/>
      <c r="AZ976" s="23"/>
      <c r="BA976" s="23"/>
      <c r="BB976" s="23"/>
      <c r="BC976" s="23"/>
    </row>
    <row r="977">
      <c r="AO977" s="23"/>
      <c r="AP977" s="23"/>
      <c r="AQ977" s="23"/>
      <c r="AR977" s="23"/>
      <c r="AS977" s="23"/>
      <c r="AT977" s="23"/>
      <c r="AU977" s="23"/>
      <c r="AV977" s="23"/>
      <c r="AW977" s="23"/>
      <c r="AX977" s="23"/>
      <c r="AY977" s="23"/>
      <c r="AZ977" s="23"/>
      <c r="BA977" s="23"/>
      <c r="BB977" s="23"/>
      <c r="BC977" s="23"/>
    </row>
    <row r="978">
      <c r="AO978" s="23"/>
      <c r="AP978" s="23"/>
      <c r="AQ978" s="23"/>
      <c r="AR978" s="23"/>
      <c r="AS978" s="23"/>
      <c r="AT978" s="23"/>
      <c r="AU978" s="23"/>
      <c r="AV978" s="23"/>
      <c r="AW978" s="23"/>
      <c r="AX978" s="23"/>
      <c r="AY978" s="23"/>
      <c r="AZ978" s="23"/>
      <c r="BA978" s="23"/>
      <c r="BB978" s="23"/>
      <c r="BC978" s="23"/>
    </row>
    <row r="979">
      <c r="AO979" s="23"/>
      <c r="AP979" s="23"/>
      <c r="AQ979" s="23"/>
      <c r="AR979" s="23"/>
      <c r="AS979" s="23"/>
      <c r="AT979" s="23"/>
      <c r="AU979" s="23"/>
      <c r="AV979" s="23"/>
      <c r="AW979" s="23"/>
      <c r="AX979" s="23"/>
      <c r="AY979" s="23"/>
      <c r="AZ979" s="23"/>
      <c r="BA979" s="23"/>
      <c r="BB979" s="23"/>
      <c r="BC979" s="23"/>
    </row>
    <row r="980">
      <c r="AO980" s="23"/>
      <c r="AP980" s="23"/>
      <c r="AQ980" s="23"/>
      <c r="AR980" s="23"/>
      <c r="AS980" s="23"/>
      <c r="AT980" s="23"/>
      <c r="AU980" s="23"/>
      <c r="AV980" s="23"/>
      <c r="AW980" s="23"/>
      <c r="AX980" s="23"/>
      <c r="AY980" s="23"/>
      <c r="AZ980" s="23"/>
      <c r="BA980" s="23"/>
      <c r="BB980" s="23"/>
      <c r="BC980" s="23"/>
    </row>
    <row r="981">
      <c r="AO981" s="23"/>
      <c r="AP981" s="23"/>
      <c r="AQ981" s="23"/>
      <c r="AR981" s="23"/>
      <c r="AS981" s="23"/>
      <c r="AT981" s="23"/>
      <c r="AU981" s="23"/>
      <c r="AV981" s="23"/>
      <c r="AW981" s="23"/>
      <c r="AX981" s="23"/>
      <c r="AY981" s="23"/>
      <c r="AZ981" s="23"/>
      <c r="BA981" s="23"/>
      <c r="BB981" s="23"/>
      <c r="BC981" s="23"/>
    </row>
    <row r="982">
      <c r="AO982" s="23"/>
      <c r="AP982" s="23"/>
      <c r="AQ982" s="23"/>
      <c r="AR982" s="23"/>
      <c r="AS982" s="23"/>
      <c r="AT982" s="23"/>
      <c r="AU982" s="23"/>
      <c r="AV982" s="23"/>
      <c r="AW982" s="23"/>
      <c r="AX982" s="23"/>
      <c r="AY982" s="23"/>
      <c r="AZ982" s="23"/>
      <c r="BA982" s="23"/>
      <c r="BB982" s="23"/>
      <c r="BC982" s="23"/>
    </row>
    <row r="983">
      <c r="AO983" s="23"/>
      <c r="AP983" s="23"/>
      <c r="AQ983" s="23"/>
      <c r="AR983" s="23"/>
      <c r="AS983" s="23"/>
      <c r="AT983" s="23"/>
      <c r="AU983" s="23"/>
      <c r="AV983" s="23"/>
      <c r="AW983" s="23"/>
      <c r="AX983" s="23"/>
      <c r="AY983" s="23"/>
      <c r="AZ983" s="23"/>
      <c r="BA983" s="23"/>
      <c r="BB983" s="23"/>
      <c r="BC983" s="23"/>
    </row>
    <row r="984">
      <c r="AO984" s="23"/>
      <c r="AP984" s="23"/>
      <c r="AQ984" s="23"/>
      <c r="AR984" s="23"/>
      <c r="AS984" s="23"/>
      <c r="AT984" s="23"/>
      <c r="AU984" s="23"/>
      <c r="AV984" s="23"/>
      <c r="AW984" s="23"/>
      <c r="AX984" s="23"/>
      <c r="AY984" s="23"/>
      <c r="AZ984" s="23"/>
      <c r="BA984" s="23"/>
      <c r="BB984" s="23"/>
      <c r="BC984" s="23"/>
    </row>
    <row r="985">
      <c r="AO985" s="23"/>
      <c r="AP985" s="23"/>
      <c r="AQ985" s="23"/>
      <c r="AR985" s="23"/>
      <c r="AS985" s="23"/>
      <c r="AT985" s="23"/>
      <c r="AU985" s="23"/>
      <c r="AV985" s="23"/>
      <c r="AW985" s="23"/>
      <c r="AX985" s="23"/>
      <c r="AY985" s="23"/>
      <c r="AZ985" s="23"/>
      <c r="BA985" s="23"/>
      <c r="BB985" s="23"/>
      <c r="BC985" s="23"/>
    </row>
    <row r="986">
      <c r="AO986" s="23"/>
      <c r="AP986" s="23"/>
      <c r="AQ986" s="23"/>
      <c r="AR986" s="23"/>
      <c r="AS986" s="23"/>
      <c r="AT986" s="23"/>
      <c r="AU986" s="23"/>
      <c r="AV986" s="23"/>
      <c r="AW986" s="23"/>
      <c r="AX986" s="23"/>
      <c r="AY986" s="23"/>
      <c r="AZ986" s="23"/>
      <c r="BA986" s="23"/>
      <c r="BB986" s="23"/>
      <c r="BC986" s="23"/>
    </row>
    <row r="987">
      <c r="AO987" s="23"/>
      <c r="AP987" s="23"/>
      <c r="AQ987" s="23"/>
      <c r="AR987" s="23"/>
      <c r="AS987" s="23"/>
      <c r="AT987" s="23"/>
      <c r="AU987" s="23"/>
      <c r="AV987" s="23"/>
      <c r="AW987" s="23"/>
      <c r="AX987" s="23"/>
      <c r="AY987" s="23"/>
      <c r="AZ987" s="23"/>
      <c r="BA987" s="23"/>
      <c r="BB987" s="23"/>
      <c r="BC987" s="23"/>
    </row>
    <row r="988">
      <c r="AO988" s="23"/>
      <c r="AP988" s="23"/>
      <c r="AQ988" s="23"/>
      <c r="AR988" s="23"/>
      <c r="AS988" s="23"/>
      <c r="AT988" s="23"/>
      <c r="AU988" s="23"/>
      <c r="AV988" s="23"/>
      <c r="AW988" s="23"/>
      <c r="AX988" s="23"/>
      <c r="AY988" s="23"/>
      <c r="AZ988" s="23"/>
      <c r="BA988" s="23"/>
      <c r="BB988" s="23"/>
      <c r="BC988" s="23"/>
    </row>
    <row r="989">
      <c r="AO989" s="23"/>
      <c r="AP989" s="23"/>
      <c r="AQ989" s="23"/>
      <c r="AR989" s="23"/>
      <c r="AS989" s="23"/>
      <c r="AT989" s="23"/>
      <c r="AU989" s="23"/>
      <c r="AV989" s="23"/>
      <c r="AW989" s="23"/>
      <c r="AX989" s="23"/>
      <c r="AY989" s="23"/>
      <c r="AZ989" s="23"/>
      <c r="BA989" s="23"/>
      <c r="BB989" s="23"/>
      <c r="BC989" s="23"/>
    </row>
    <row r="990">
      <c r="AO990" s="23"/>
      <c r="AP990" s="23"/>
      <c r="AQ990" s="23"/>
      <c r="AR990" s="23"/>
      <c r="AS990" s="23"/>
      <c r="AT990" s="23"/>
      <c r="AU990" s="23"/>
      <c r="AV990" s="23"/>
      <c r="AW990" s="23"/>
      <c r="AX990" s="23"/>
      <c r="AY990" s="23"/>
      <c r="AZ990" s="23"/>
      <c r="BA990" s="23"/>
      <c r="BB990" s="23"/>
      <c r="BC990" s="23"/>
    </row>
    <row r="991">
      <c r="AO991" s="23"/>
      <c r="AP991" s="23"/>
      <c r="AQ991" s="23"/>
      <c r="AR991" s="23"/>
      <c r="AS991" s="23"/>
      <c r="AT991" s="23"/>
      <c r="AU991" s="23"/>
      <c r="AV991" s="23"/>
      <c r="AW991" s="23"/>
      <c r="AX991" s="23"/>
      <c r="AY991" s="23"/>
      <c r="AZ991" s="23"/>
      <c r="BA991" s="23"/>
      <c r="BB991" s="23"/>
      <c r="BC991" s="23"/>
    </row>
    <row r="992">
      <c r="AO992" s="23"/>
      <c r="AP992" s="23"/>
      <c r="AQ992" s="23"/>
      <c r="AR992" s="23"/>
      <c r="AS992" s="23"/>
      <c r="AT992" s="23"/>
      <c r="AU992" s="23"/>
      <c r="AV992" s="23"/>
      <c r="AW992" s="23"/>
      <c r="AX992" s="23"/>
      <c r="AY992" s="23"/>
      <c r="AZ992" s="23"/>
      <c r="BA992" s="23"/>
      <c r="BB992" s="23"/>
      <c r="BC992" s="23"/>
    </row>
    <row r="993">
      <c r="AO993" s="23"/>
      <c r="AP993" s="23"/>
      <c r="AQ993" s="23"/>
      <c r="AR993" s="23"/>
      <c r="AS993" s="23"/>
      <c r="AT993" s="23"/>
      <c r="AU993" s="23"/>
      <c r="AV993" s="23"/>
      <c r="AW993" s="23"/>
      <c r="AX993" s="23"/>
      <c r="AY993" s="23"/>
      <c r="AZ993" s="23"/>
      <c r="BA993" s="23"/>
      <c r="BB993" s="23"/>
      <c r="BC993" s="23"/>
    </row>
    <row r="994">
      <c r="AO994" s="23"/>
      <c r="AP994" s="23"/>
      <c r="AQ994" s="23"/>
      <c r="AR994" s="23"/>
      <c r="AS994" s="23"/>
      <c r="AT994" s="23"/>
      <c r="AU994" s="23"/>
      <c r="AV994" s="23"/>
      <c r="AW994" s="23"/>
      <c r="AX994" s="23"/>
      <c r="AY994" s="23"/>
      <c r="AZ994" s="23"/>
      <c r="BA994" s="23"/>
      <c r="BB994" s="23"/>
      <c r="BC994" s="23"/>
    </row>
    <row r="995">
      <c r="AO995" s="23"/>
      <c r="AP995" s="23"/>
      <c r="AQ995" s="23"/>
      <c r="AR995" s="23"/>
      <c r="AS995" s="23"/>
      <c r="AT995" s="23"/>
      <c r="AU995" s="23"/>
      <c r="AV995" s="23"/>
      <c r="AW995" s="23"/>
      <c r="AX995" s="23"/>
      <c r="AY995" s="23"/>
      <c r="AZ995" s="23"/>
      <c r="BA995" s="23"/>
      <c r="BB995" s="23"/>
      <c r="BC995" s="23"/>
    </row>
  </sheetData>
  <mergeCells count="19">
    <mergeCell ref="K23:S23"/>
    <mergeCell ref="AD23:AN23"/>
    <mergeCell ref="K4:K20"/>
    <mergeCell ref="K25:K41"/>
    <mergeCell ref="A25:A41"/>
    <mergeCell ref="C44:P44"/>
    <mergeCell ref="Q47:Q63"/>
    <mergeCell ref="A48:A64"/>
    <mergeCell ref="A69:A85"/>
    <mergeCell ref="N69:N85"/>
    <mergeCell ref="A91:A107"/>
    <mergeCell ref="A2:I2"/>
    <mergeCell ref="K2:S2"/>
    <mergeCell ref="AD2:AN2"/>
    <mergeCell ref="A4:A20"/>
    <mergeCell ref="Z4:Z20"/>
    <mergeCell ref="A23:I23"/>
    <mergeCell ref="Z25:Z41"/>
    <mergeCell ref="S44:AF44"/>
  </mergeCells>
  <conditionalFormatting sqref="M4:S20">
    <cfRule type="colorScale" priority="1">
      <colorScale>
        <cfvo type="min"/>
        <cfvo type="max"/>
        <color rgb="FFFFFFFF"/>
        <color rgb="FF57BB8A"/>
      </colorScale>
    </cfRule>
  </conditionalFormatting>
  <conditionalFormatting sqref="Q47:AF63 C48:P64">
    <cfRule type="colorScale" priority="2">
      <colorScale>
        <cfvo type="min"/>
        <cfvo type="formula" val="0"/>
        <cfvo type="max"/>
        <color rgb="FFE67C73"/>
        <color rgb="FFFFFFFF"/>
        <color rgb="FF57BB8A"/>
      </colorScale>
    </cfRule>
  </conditionalFormatting>
  <conditionalFormatting sqref="M1 C43:C44 S43 C63 C66">
    <cfRule type="colorScale" priority="3">
      <colorScale>
        <cfvo type="min"/>
        <cfvo type="percentile" val="50"/>
        <cfvo type="max"/>
        <color rgb="FF57BB8A"/>
        <color rgb="FFFFFFFF"/>
        <color rgb="FFE67C73"/>
      </colorScale>
    </cfRule>
  </conditionalFormatting>
  <conditionalFormatting sqref="D1:S1 D43:P43 T43:V44 W43 X43:AF44 Q44:S44 AG44:AH44">
    <cfRule type="colorScale" priority="4">
      <colorScale>
        <cfvo type="min"/>
        <cfvo type="percentile" val="50"/>
        <cfvo type="max"/>
        <color rgb="FFE67C73"/>
        <color rgb="FFFFFFFF"/>
        <color rgb="FF57BB8A"/>
      </colorScale>
    </cfRule>
  </conditionalFormatting>
  <conditionalFormatting sqref="M4:S20">
    <cfRule type="colorScale" priority="5">
      <colorScale>
        <cfvo type="min"/>
        <cfvo type="percentile" val="50"/>
        <cfvo type="max"/>
        <color rgb="FFE67C73"/>
        <color rgb="FFFFFFFF"/>
        <color rgb="FF57BB8A"/>
      </colorScale>
    </cfRule>
  </conditionalFormatting>
  <conditionalFormatting sqref="C69:L85">
    <cfRule type="colorScale" priority="6">
      <colorScale>
        <cfvo type="min"/>
        <cfvo type="percentile" val="0.5"/>
        <cfvo type="max"/>
        <color rgb="FFE67C73"/>
        <color rgb="FFFFFFFF"/>
        <color rgb="FF57BB8A"/>
      </colorScale>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5.38"/>
    <col customWidth="1" min="11" max="11" width="8.38"/>
    <col customWidth="1" min="14" max="14" width="5.75"/>
    <col customWidth="1" min="18" max="18" width="11.5"/>
    <col customWidth="1" min="19" max="19" width="12.0"/>
    <col customWidth="1" min="21" max="21" width="8.0"/>
    <col customWidth="1" min="27" max="27" width="6.13"/>
  </cols>
  <sheetData>
    <row r="1">
      <c r="A1" s="70" t="s">
        <v>103</v>
      </c>
      <c r="B1" s="71"/>
      <c r="C1" s="71"/>
      <c r="D1" s="71"/>
      <c r="E1" s="71"/>
      <c r="F1" s="71"/>
      <c r="G1" s="71"/>
      <c r="H1" s="71"/>
      <c r="I1" s="71"/>
      <c r="J1" s="71"/>
      <c r="K1" s="71"/>
      <c r="L1" s="18"/>
      <c r="M1" s="23"/>
      <c r="N1" s="70" t="s">
        <v>104</v>
      </c>
      <c r="O1" s="71"/>
      <c r="P1" s="71"/>
      <c r="Q1" s="71"/>
      <c r="R1" s="71"/>
      <c r="S1" s="71"/>
      <c r="T1" s="71"/>
      <c r="U1" s="71"/>
      <c r="V1" s="71"/>
      <c r="W1" s="71"/>
      <c r="X1" s="71"/>
      <c r="Y1" s="18"/>
      <c r="AA1" s="70" t="s">
        <v>105</v>
      </c>
      <c r="AB1" s="71"/>
      <c r="AC1" s="71"/>
      <c r="AD1" s="71"/>
      <c r="AE1" s="71"/>
      <c r="AF1" s="71"/>
      <c r="AG1" s="71"/>
      <c r="AH1" s="71"/>
      <c r="AI1" s="71"/>
      <c r="AJ1" s="71"/>
      <c r="AK1" s="71"/>
      <c r="AL1" s="18"/>
    </row>
    <row r="2">
      <c r="A2" s="380" t="s">
        <v>106</v>
      </c>
      <c r="B2" s="86"/>
      <c r="C2" s="86"/>
      <c r="D2" s="86" t="s">
        <v>73</v>
      </c>
      <c r="L2" s="78"/>
      <c r="M2" s="212"/>
      <c r="N2" s="380" t="s">
        <v>106</v>
      </c>
      <c r="O2" s="86"/>
      <c r="P2" s="86"/>
      <c r="Q2" s="86" t="s">
        <v>73</v>
      </c>
      <c r="Y2" s="78"/>
      <c r="AA2" s="380" t="s">
        <v>106</v>
      </c>
      <c r="AB2" s="86"/>
      <c r="AC2" s="86"/>
      <c r="AD2" s="86" t="s">
        <v>73</v>
      </c>
      <c r="AL2" s="78"/>
    </row>
    <row r="3">
      <c r="A3" s="381" t="s">
        <v>107</v>
      </c>
      <c r="B3" s="91">
        <f>$F$32</f>
        <v>0.08279616999</v>
      </c>
      <c r="C3" s="382">
        <f t="shared" ref="C3:E3" si="1">D3-0.05</f>
        <v>0.7</v>
      </c>
      <c r="D3" s="382">
        <f t="shared" si="1"/>
        <v>0.75</v>
      </c>
      <c r="E3" s="382">
        <f t="shared" si="1"/>
        <v>0.8</v>
      </c>
      <c r="F3" s="383">
        <v>0.85</v>
      </c>
      <c r="G3" s="384">
        <v>0.9</v>
      </c>
      <c r="H3" s="382">
        <f t="shared" ref="H3:L3" si="2">G3+0.02</f>
        <v>0.92</v>
      </c>
      <c r="I3" s="382">
        <f t="shared" si="2"/>
        <v>0.94</v>
      </c>
      <c r="J3" s="382">
        <f t="shared" si="2"/>
        <v>0.96</v>
      </c>
      <c r="K3" s="382">
        <f t="shared" si="2"/>
        <v>0.98</v>
      </c>
      <c r="L3" s="385">
        <f t="shared" si="2"/>
        <v>1</v>
      </c>
      <c r="N3" s="381" t="s">
        <v>107</v>
      </c>
      <c r="O3" s="516" t="str">
        <f>#REF!</f>
        <v>#REF!</v>
      </c>
      <c r="P3" s="386">
        <f t="shared" ref="P3:R3" si="3">Q3-0.05</f>
        <v>0.7</v>
      </c>
      <c r="Q3" s="386">
        <f t="shared" si="3"/>
        <v>0.75</v>
      </c>
      <c r="R3" s="386">
        <f t="shared" si="3"/>
        <v>0.8</v>
      </c>
      <c r="S3" s="119">
        <v>0.85</v>
      </c>
      <c r="T3" s="387">
        <v>0.9</v>
      </c>
      <c r="U3" s="386">
        <f t="shared" ref="U3:Y3" si="4">T3+0.02</f>
        <v>0.92</v>
      </c>
      <c r="V3" s="386">
        <f t="shared" si="4"/>
        <v>0.94</v>
      </c>
      <c r="W3" s="386">
        <f t="shared" si="4"/>
        <v>0.96</v>
      </c>
      <c r="X3" s="386">
        <f t="shared" si="4"/>
        <v>0.98</v>
      </c>
      <c r="Y3" s="388">
        <f t="shared" si="4"/>
        <v>1</v>
      </c>
      <c r="AA3" s="381" t="s">
        <v>107</v>
      </c>
      <c r="AB3" s="91">
        <f>$F$18</f>
        <v>0.02655424703</v>
      </c>
      <c r="AC3" s="382">
        <f t="shared" ref="AC3:AE3" si="5">AD3-0.05</f>
        <v>0.7</v>
      </c>
      <c r="AD3" s="382">
        <f t="shared" si="5"/>
        <v>0.75</v>
      </c>
      <c r="AE3" s="382">
        <f t="shared" si="5"/>
        <v>0.8</v>
      </c>
      <c r="AF3" s="383">
        <v>0.85</v>
      </c>
      <c r="AG3" s="384">
        <v>0.9</v>
      </c>
      <c r="AH3" s="382">
        <f t="shared" ref="AH3:AL3" si="6">AG3+0.02</f>
        <v>0.92</v>
      </c>
      <c r="AI3" s="382">
        <f t="shared" si="6"/>
        <v>0.94</v>
      </c>
      <c r="AJ3" s="382">
        <f t="shared" si="6"/>
        <v>0.96</v>
      </c>
      <c r="AK3" s="382">
        <f t="shared" si="6"/>
        <v>0.98</v>
      </c>
      <c r="AL3" s="385">
        <f t="shared" si="6"/>
        <v>1</v>
      </c>
    </row>
    <row r="4">
      <c r="A4" s="110"/>
      <c r="B4" s="103">
        <v>1.0E7</v>
      </c>
      <c r="C4" s="14">
        <v>0.052263257559668</v>
      </c>
      <c r="D4" s="14">
        <v>0.05449972331916406</v>
      </c>
      <c r="E4" s="14">
        <v>0.05670271636143199</v>
      </c>
      <c r="F4" s="14">
        <v>0.058878790292160685</v>
      </c>
      <c r="G4" s="288">
        <v>0.06103449871703899</v>
      </c>
      <c r="H4" s="14">
        <v>0.06189254775302652</v>
      </c>
      <c r="I4" s="14">
        <v>0.0627488063157523</v>
      </c>
      <c r="J4" s="14">
        <v>0.06360369383598041</v>
      </c>
      <c r="K4" s="14">
        <v>0.06445762974447496</v>
      </c>
      <c r="L4" s="120">
        <v>0.06531103347200001</v>
      </c>
      <c r="N4" s="110"/>
      <c r="O4" s="103">
        <v>1.0E7</v>
      </c>
      <c r="P4" s="389">
        <v>0.0013521627402381803</v>
      </c>
      <c r="Q4" s="249">
        <v>0.0018775640498490754</v>
      </c>
      <c r="R4" s="249">
        <v>0.00242122773442909</v>
      </c>
      <c r="S4" s="249">
        <v>0.0029832047825915195</v>
      </c>
      <c r="T4" s="248">
        <v>0.0035636677711813635</v>
      </c>
      <c r="U4" s="249">
        <v>0.0038010908375495744</v>
      </c>
      <c r="V4" s="249">
        <v>0.004041541632727938</v>
      </c>
      <c r="W4" s="249">
        <v>0.0042850475430928755</v>
      </c>
      <c r="X4" s="249">
        <v>0.004531639067679542</v>
      </c>
      <c r="Y4" s="250">
        <v>0.004781349818181818</v>
      </c>
      <c r="AA4" s="110"/>
      <c r="AB4" s="103">
        <v>1.0E7</v>
      </c>
      <c r="AC4" s="249">
        <v>0.0010201263766018167</v>
      </c>
      <c r="AD4" s="249">
        <v>0.0015455276862127115</v>
      </c>
      <c r="AE4" s="249">
        <v>0.0020891913707927266</v>
      </c>
      <c r="AF4" s="249">
        <v>0.002651168418955156</v>
      </c>
      <c r="AG4" s="248">
        <v>0.003231631407545</v>
      </c>
      <c r="AH4" s="249">
        <v>0.003469054473913211</v>
      </c>
      <c r="AI4" s="249">
        <v>0.003709505269091574</v>
      </c>
      <c r="AJ4" s="249">
        <v>0.003953011179456512</v>
      </c>
      <c r="AK4" s="249">
        <v>0.004199602704043179</v>
      </c>
      <c r="AL4" s="250">
        <v>0.004449313454545454</v>
      </c>
    </row>
    <row r="5">
      <c r="A5" s="110"/>
      <c r="B5" s="103">
        <f t="shared" ref="B5:B19" si="7">B4+2000000</f>
        <v>12000000</v>
      </c>
      <c r="C5" s="390">
        <v>0.04654759603000846</v>
      </c>
      <c r="D5" s="390">
        <v>0.04858920060594833</v>
      </c>
      <c r="E5" s="390">
        <v>0.050600248911410135</v>
      </c>
      <c r="F5" s="390">
        <v>0.052586723542508526</v>
      </c>
      <c r="G5" s="391">
        <v>0.054554607095358164</v>
      </c>
      <c r="H5" s="390">
        <v>0.055337895116118044</v>
      </c>
      <c r="I5" s="390">
        <v>0.05611954866588782</v>
      </c>
      <c r="J5" s="390">
        <v>0.05689995063081881</v>
      </c>
      <c r="K5" s="390">
        <v>0.05767948389706234</v>
      </c>
      <c r="L5" s="392">
        <v>0.05845853135076979</v>
      </c>
      <c r="N5" s="110"/>
      <c r="O5" s="103">
        <f t="shared" ref="O5:O19" si="8">O4+2000000</f>
        <v>12000000</v>
      </c>
      <c r="P5" s="393">
        <v>0.0014812200684928992</v>
      </c>
      <c r="Q5" s="394">
        <v>0.0020567683665261853</v>
      </c>
      <c r="R5" s="394">
        <v>0.00265232209400788</v>
      </c>
      <c r="S5" s="394">
        <v>0.00326793710616534</v>
      </c>
      <c r="T5" s="395">
        <v>0.0039038024514603826</v>
      </c>
      <c r="U5" s="394">
        <v>0.0041638863897042145</v>
      </c>
      <c r="V5" s="394">
        <v>0.004427287038682702</v>
      </c>
      <c r="W5" s="394">
        <v>0.004694034398668118</v>
      </c>
      <c r="X5" s="394">
        <v>0.00496416187967953</v>
      </c>
      <c r="Y5" s="396">
        <v>0.005237706301482813</v>
      </c>
      <c r="AA5" s="110"/>
      <c r="AB5" s="103">
        <f t="shared" ref="AB5:AB19" si="9">AB4+2000000</f>
        <v>12000000</v>
      </c>
      <c r="AC5" s="394">
        <v>0.0011491837048565356</v>
      </c>
      <c r="AD5" s="394">
        <v>0.001724732002889822</v>
      </c>
      <c r="AE5" s="394">
        <v>0.0023202857303715164</v>
      </c>
      <c r="AF5" s="394">
        <v>0.0029359007425289758</v>
      </c>
      <c r="AG5" s="395">
        <v>0.003571766087824019</v>
      </c>
      <c r="AH5" s="394">
        <v>0.0038318500260678505</v>
      </c>
      <c r="AI5" s="394">
        <v>0.004095250675046338</v>
      </c>
      <c r="AJ5" s="394">
        <v>0.004361998035031754</v>
      </c>
      <c r="AK5" s="394">
        <v>0.0046321255160431665</v>
      </c>
      <c r="AL5" s="396">
        <v>0.004905669937846449</v>
      </c>
    </row>
    <row r="6">
      <c r="A6" s="110"/>
      <c r="B6" s="93">
        <f t="shared" si="7"/>
        <v>14000000</v>
      </c>
      <c r="C6" s="14">
        <v>0.04225857746407254</v>
      </c>
      <c r="D6" s="14">
        <v>0.044148736016265275</v>
      </c>
      <c r="E6" s="14">
        <v>0.04601060495907536</v>
      </c>
      <c r="F6" s="14">
        <v>0.047849723100234505</v>
      </c>
      <c r="G6" s="288">
        <v>0.04967162924747453</v>
      </c>
      <c r="H6" s="14">
        <v>0.05039681304100508</v>
      </c>
      <c r="I6" s="14">
        <v>0.0511204836084405</v>
      </c>
      <c r="J6" s="14">
        <v>0.0518429954334756</v>
      </c>
      <c r="K6" s="14">
        <v>0.05256470299980522</v>
      </c>
      <c r="L6" s="120">
        <v>0.053285960791124194</v>
      </c>
      <c r="N6" s="110"/>
      <c r="O6" s="93">
        <f t="shared" si="8"/>
        <v>14000000</v>
      </c>
      <c r="P6" s="389">
        <v>0.0015999005301967348</v>
      </c>
      <c r="Q6" s="249">
        <v>0.0022215637433573507</v>
      </c>
      <c r="R6" s="249">
        <v>0.0028648352899872053</v>
      </c>
      <c r="S6" s="249">
        <v>0.0035297755006271545</v>
      </c>
      <c r="T6" s="248">
        <v>0.004216588570953947</v>
      </c>
      <c r="U6" s="249">
        <v>0.004497511331550443</v>
      </c>
      <c r="V6" s="249">
        <v>0.0047820165491874326</v>
      </c>
      <c r="W6" s="249">
        <v>0.0050701366278624906</v>
      </c>
      <c r="X6" s="249">
        <v>0.005361907654520666</v>
      </c>
      <c r="Y6" s="250">
        <v>0.005657369399054496</v>
      </c>
      <c r="AA6" s="110"/>
      <c r="AB6" s="93">
        <f t="shared" si="9"/>
        <v>14000000</v>
      </c>
      <c r="AC6" s="249">
        <v>0.0012678641665603712</v>
      </c>
      <c r="AD6" s="249">
        <v>0.0018895273797209873</v>
      </c>
      <c r="AE6" s="249">
        <v>0.0025327989263508417</v>
      </c>
      <c r="AF6" s="249">
        <v>0.003197739136990791</v>
      </c>
      <c r="AG6" s="248">
        <v>0.0038845522073175827</v>
      </c>
      <c r="AH6" s="249">
        <v>0.00416547496791408</v>
      </c>
      <c r="AI6" s="249">
        <v>0.004449980185551069</v>
      </c>
      <c r="AJ6" s="249">
        <v>0.0047381002642261265</v>
      </c>
      <c r="AK6" s="249">
        <v>0.005029871290884303</v>
      </c>
      <c r="AL6" s="250">
        <v>0.005325333035418132</v>
      </c>
    </row>
    <row r="7">
      <c r="A7" s="110"/>
      <c r="B7" s="93">
        <f t="shared" si="7"/>
        <v>16000000</v>
      </c>
      <c r="C7" s="14">
        <v>0.03889883003114208</v>
      </c>
      <c r="D7" s="14">
        <v>0.04066691145838855</v>
      </c>
      <c r="E7" s="14">
        <v>0.04240853037915613</v>
      </c>
      <c r="F7" s="14">
        <v>0.04412886787366065</v>
      </c>
      <c r="G7" s="288">
        <v>0.045833105022118015</v>
      </c>
      <c r="H7" s="14">
        <v>0.04651145234657611</v>
      </c>
      <c r="I7" s="14">
        <v>0.047188384177635025</v>
      </c>
      <c r="J7" s="14">
        <v>0.047864232104428535</v>
      </c>
      <c r="K7" s="14">
        <v>0.048539327716090507</v>
      </c>
      <c r="L7" s="120">
        <v>0.04921400260175472</v>
      </c>
      <c r="N7" s="110"/>
      <c r="O7" s="93">
        <f t="shared" si="8"/>
        <v>16000000</v>
      </c>
      <c r="P7" s="389">
        <v>0.001710365610546903</v>
      </c>
      <c r="Q7" s="249">
        <v>0.0023749515401492003</v>
      </c>
      <c r="R7" s="249">
        <v>0.0030626377499060843</v>
      </c>
      <c r="S7" s="249">
        <v>0.003773488735878651</v>
      </c>
      <c r="T7" s="248">
        <v>0.004507722792427547</v>
      </c>
      <c r="U7" s="249">
        <v>0.004808041855941493</v>
      </c>
      <c r="V7" s="249">
        <v>0.005112190727126398</v>
      </c>
      <c r="W7" s="249">
        <v>0.005420204047312803</v>
      </c>
      <c r="X7" s="249">
        <v>0.005732120395067712</v>
      </c>
      <c r="Y7" s="250">
        <v>0.006047982286194602</v>
      </c>
      <c r="AA7" s="110"/>
      <c r="AB7" s="93">
        <f t="shared" si="9"/>
        <v>16000000</v>
      </c>
      <c r="AC7" s="249">
        <v>0.0013783292469105393</v>
      </c>
      <c r="AD7" s="249">
        <v>0.0020429151765128366</v>
      </c>
      <c r="AE7" s="249">
        <v>0.0027306013862697207</v>
      </c>
      <c r="AF7" s="249">
        <v>0.0034414523722422876</v>
      </c>
      <c r="AG7" s="248">
        <v>0.004175686428791183</v>
      </c>
      <c r="AH7" s="249">
        <v>0.004476005492305129</v>
      </c>
      <c r="AI7" s="249">
        <v>0.004780154363490035</v>
      </c>
      <c r="AJ7" s="249">
        <v>0.005088167683676439</v>
      </c>
      <c r="AK7" s="249">
        <v>0.005400084031431348</v>
      </c>
      <c r="AL7" s="250">
        <v>0.005715945922558238</v>
      </c>
    </row>
    <row r="8">
      <c r="A8" s="110"/>
      <c r="B8" s="93">
        <f t="shared" si="7"/>
        <v>18000000</v>
      </c>
      <c r="C8" s="14">
        <v>0.036181823746083266</v>
      </c>
      <c r="D8" s="14">
        <v>0.03784878690194457</v>
      </c>
      <c r="E8" s="14">
        <v>0.03949080096743462</v>
      </c>
      <c r="F8" s="14">
        <v>0.041112750711826136</v>
      </c>
      <c r="G8" s="288">
        <v>0.042719520904391774</v>
      </c>
      <c r="H8" s="14">
        <v>0.04335907289522387</v>
      </c>
      <c r="I8" s="14">
        <v>0.04399729034608089</v>
      </c>
      <c r="J8" s="14">
        <v>0.04463448588219633</v>
      </c>
      <c r="K8" s="14">
        <v>0.04527097212880361</v>
      </c>
      <c r="L8" s="120">
        <v>0.04590706171113617</v>
      </c>
      <c r="N8" s="110"/>
      <c r="O8" s="93">
        <f t="shared" si="8"/>
        <v>18000000</v>
      </c>
      <c r="P8" s="389">
        <v>0.001814116682288977</v>
      </c>
      <c r="Q8" s="249">
        <v>0.002519016508543402</v>
      </c>
      <c r="R8" s="249">
        <v>0.0032484178819147517</v>
      </c>
      <c r="S8" s="249">
        <v>0.004002389210806271</v>
      </c>
      <c r="T8" s="248">
        <v>0.004781162031352018</v>
      </c>
      <c r="U8" s="249">
        <v>0.005099698500847476</v>
      </c>
      <c r="V8" s="249">
        <v>0.005422297094805094</v>
      </c>
      <c r="W8" s="249">
        <v>0.005748994555904478</v>
      </c>
      <c r="X8" s="249">
        <v>0.006079831802895136</v>
      </c>
      <c r="Y8" s="250">
        <v>0.006414853930596483</v>
      </c>
      <c r="AA8" s="110"/>
      <c r="AB8" s="93">
        <f t="shared" si="9"/>
        <v>18000000</v>
      </c>
      <c r="AC8" s="249">
        <v>0.0014820803186526134</v>
      </c>
      <c r="AD8" s="249">
        <v>0.0021869801449070385</v>
      </c>
      <c r="AE8" s="249">
        <v>0.002916381518278388</v>
      </c>
      <c r="AF8" s="249">
        <v>0.0036703528471699076</v>
      </c>
      <c r="AG8" s="248">
        <v>0.0044491256677156536</v>
      </c>
      <c r="AH8" s="249">
        <v>0.004767662137211112</v>
      </c>
      <c r="AI8" s="249">
        <v>0.005090260731168731</v>
      </c>
      <c r="AJ8" s="249">
        <v>0.005416958192268114</v>
      </c>
      <c r="AK8" s="249">
        <v>0.005747795439258773</v>
      </c>
      <c r="AL8" s="250">
        <v>0.006082817566960119</v>
      </c>
    </row>
    <row r="9">
      <c r="A9" s="110"/>
      <c r="B9" s="93">
        <f t="shared" si="7"/>
        <v>20000000</v>
      </c>
      <c r="C9" s="14">
        <v>0.03392995659691734</v>
      </c>
      <c r="D9" s="14">
        <v>0.035511376701348525</v>
      </c>
      <c r="E9" s="14">
        <v>0.03706912802044297</v>
      </c>
      <c r="F9" s="14">
        <v>0.0386078446532245</v>
      </c>
      <c r="G9" s="288">
        <v>0.04013216069871692</v>
      </c>
      <c r="H9" s="14">
        <v>0.04073889299065428</v>
      </c>
      <c r="I9" s="14">
        <v>0.04134435922680673</v>
      </c>
      <c r="J9" s="14">
        <v>0.04194885598951178</v>
      </c>
      <c r="K9" s="14">
        <v>0.042552679861106966</v>
      </c>
      <c r="L9" s="120">
        <v>0.043156127423929797</v>
      </c>
      <c r="N9" s="110"/>
      <c r="O9" s="93">
        <f t="shared" si="8"/>
        <v>20000000</v>
      </c>
      <c r="P9" s="389">
        <v>0.0019122468857804028</v>
      </c>
      <c r="Q9" s="249">
        <v>0.0026552765435207152</v>
      </c>
      <c r="R9" s="249">
        <v>0.003424133099623501</v>
      </c>
      <c r="S9" s="249">
        <v>0.004218888662877207</v>
      </c>
      <c r="T9" s="248">
        <v>0.005039787293796583</v>
      </c>
      <c r="U9" s="249">
        <v>0.005375554214274714</v>
      </c>
      <c r="V9" s="249">
        <v>0.005715602989899352</v>
      </c>
      <c r="W9" s="249">
        <v>0.006059972350855455</v>
      </c>
      <c r="X9" s="249">
        <v>0.006408705429292176</v>
      </c>
      <c r="Y9" s="250">
        <v>0.0067618497593228575</v>
      </c>
      <c r="AA9" s="110"/>
      <c r="AB9" s="93">
        <f t="shared" si="9"/>
        <v>20000000</v>
      </c>
      <c r="AC9" s="249">
        <v>0.001580210522144039</v>
      </c>
      <c r="AD9" s="249">
        <v>0.0023232401798843516</v>
      </c>
      <c r="AE9" s="249">
        <v>0.0030920967359871375</v>
      </c>
      <c r="AF9" s="249">
        <v>0.003886852299240843</v>
      </c>
      <c r="AG9" s="248">
        <v>0.00470775093016022</v>
      </c>
      <c r="AH9" s="249">
        <v>0.0050435178506383505</v>
      </c>
      <c r="AI9" s="249">
        <v>0.005383566626262989</v>
      </c>
      <c r="AJ9" s="249">
        <v>0.005727935987219092</v>
      </c>
      <c r="AK9" s="249">
        <v>0.006076669065655812</v>
      </c>
      <c r="AL9" s="250">
        <v>0.006429813395686494</v>
      </c>
    </row>
    <row r="10">
      <c r="A10" s="110"/>
      <c r="B10" s="93">
        <f t="shared" si="7"/>
        <v>22000000</v>
      </c>
      <c r="C10" s="14">
        <v>0.032026818020693446</v>
      </c>
      <c r="D10" s="14">
        <v>0.03353464292814945</v>
      </c>
      <c r="E10" s="14">
        <v>0.035019900534253974</v>
      </c>
      <c r="F10" s="14">
        <v>0.0364870092790611</v>
      </c>
      <c r="G10" s="288">
        <v>0.03794038760262492</v>
      </c>
      <c r="H10" s="14">
        <v>0.038518884144674415</v>
      </c>
      <c r="I10" s="14">
        <v>0.03909617354989712</v>
      </c>
      <c r="J10" s="14">
        <v>0.03967253859845645</v>
      </c>
      <c r="K10" s="14">
        <v>0.04024826207051589</v>
      </c>
      <c r="L10" s="120">
        <v>0.040823626746238885</v>
      </c>
      <c r="N10" s="110"/>
      <c r="O10" s="93">
        <f t="shared" si="8"/>
        <v>22000000</v>
      </c>
      <c r="P10" s="389">
        <v>0.0020055814536923044</v>
      </c>
      <c r="Q10" s="249">
        <v>0.0027848775331831845</v>
      </c>
      <c r="R10" s="249">
        <v>0.003591261092197416</v>
      </c>
      <c r="S10" s="249">
        <v>0.004424807759070355</v>
      </c>
      <c r="T10" s="248">
        <v>0.005285773506629361</v>
      </c>
      <c r="U10" s="249">
        <v>0.005637928823749668</v>
      </c>
      <c r="V10" s="249">
        <v>0.005994574988434214</v>
      </c>
      <c r="W10" s="249">
        <v>0.006355752621243675</v>
      </c>
      <c r="X10" s="249">
        <v>0.006721506959557724</v>
      </c>
      <c r="Y10" s="250">
        <v>0.007091887857575024</v>
      </c>
      <c r="AA10" s="110"/>
      <c r="AB10" s="93">
        <f t="shared" si="9"/>
        <v>22000000</v>
      </c>
      <c r="AC10" s="249">
        <v>0.0016735450900559406</v>
      </c>
      <c r="AD10" s="249">
        <v>0.002452841169546821</v>
      </c>
      <c r="AE10" s="249">
        <v>0.0032592247285610524</v>
      </c>
      <c r="AF10" s="249">
        <v>0.004092771395433992</v>
      </c>
      <c r="AG10" s="248">
        <v>0.004953737142992997</v>
      </c>
      <c r="AH10" s="249">
        <v>0.005305892460113305</v>
      </c>
      <c r="AI10" s="249">
        <v>0.0056625386247978506</v>
      </c>
      <c r="AJ10" s="249">
        <v>0.0060237162576073115</v>
      </c>
      <c r="AK10" s="249">
        <v>0.006389470595921361</v>
      </c>
      <c r="AL10" s="250">
        <v>0.00675985149393866</v>
      </c>
    </row>
    <row r="11">
      <c r="A11" s="110"/>
      <c r="B11" s="93">
        <f t="shared" si="7"/>
        <v>24000000</v>
      </c>
      <c r="C11" s="14">
        <v>0.030392664775398526</v>
      </c>
      <c r="D11" s="14">
        <v>0.031836297215547094</v>
      </c>
      <c r="E11" s="14">
        <v>0.03325832310963285</v>
      </c>
      <c r="F11" s="14">
        <v>0.03466297279193757</v>
      </c>
      <c r="G11" s="288">
        <v>0.036054476596743025</v>
      </c>
      <c r="H11" s="14">
        <v>0.03660834486784453</v>
      </c>
      <c r="I11" s="14">
        <v>0.03716105739342526</v>
      </c>
      <c r="J11" s="14">
        <v>0.03771288491487927</v>
      </c>
      <c r="K11" s="14">
        <v>0.038264098173600575</v>
      </c>
      <c r="L11" s="120">
        <v>0.03881496791098322</v>
      </c>
      <c r="N11" s="110"/>
      <c r="O11" s="93">
        <f t="shared" si="8"/>
        <v>24000000</v>
      </c>
      <c r="P11" s="389">
        <v>0.0020947615097218633</v>
      </c>
      <c r="Q11" s="249">
        <v>0.00290870971860129</v>
      </c>
      <c r="R11" s="249">
        <v>0.003750949877127752</v>
      </c>
      <c r="S11" s="249">
        <v>0.004621560976521309</v>
      </c>
      <c r="T11" s="248">
        <v>0.005520810371680611</v>
      </c>
      <c r="U11" s="249">
        <v>0.005888624604500442</v>
      </c>
      <c r="V11" s="249">
        <v>0.006261129374623696</v>
      </c>
      <c r="W11" s="249">
        <v>0.006638367108842287</v>
      </c>
      <c r="X11" s="249">
        <v>0.007020385056058309</v>
      </c>
      <c r="Y11" s="250">
        <v>0.0074072352872840185</v>
      </c>
      <c r="AA11" s="110"/>
      <c r="AB11" s="93">
        <f t="shared" si="9"/>
        <v>24000000</v>
      </c>
      <c r="AC11" s="249">
        <v>0.0017627251460854995</v>
      </c>
      <c r="AD11" s="249">
        <v>0.002576673354964926</v>
      </c>
      <c r="AE11" s="249">
        <v>0.0034189135134913883</v>
      </c>
      <c r="AF11" s="249">
        <v>0.004289524612884945</v>
      </c>
      <c r="AG11" s="248">
        <v>0.005188774008044247</v>
      </c>
      <c r="AH11" s="249">
        <v>0.005556588240864078</v>
      </c>
      <c r="AI11" s="249">
        <v>0.005929093010987332</v>
      </c>
      <c r="AJ11" s="249">
        <v>0.006306330745205924</v>
      </c>
      <c r="AK11" s="249">
        <v>0.0066883486924219455</v>
      </c>
      <c r="AL11" s="250">
        <v>0.0070751989236476544</v>
      </c>
    </row>
    <row r="12">
      <c r="A12" s="110"/>
      <c r="B12" s="93">
        <f t="shared" si="7"/>
        <v>26000000</v>
      </c>
      <c r="C12" s="397">
        <v>0.028970884031708728</v>
      </c>
      <c r="D12" s="397">
        <v>0.030357881216193466</v>
      </c>
      <c r="E12" s="397">
        <v>0.03172411950269135</v>
      </c>
      <c r="F12" s="397">
        <v>0.03307366326491349</v>
      </c>
      <c r="G12" s="398">
        <v>0.034410576876571</v>
      </c>
      <c r="H12" s="397">
        <v>0.0349427162987872</v>
      </c>
      <c r="I12" s="397">
        <v>0.035473745316624346</v>
      </c>
      <c r="J12" s="397">
        <v>0.03600392404999994</v>
      </c>
      <c r="K12" s="397">
        <v>0.03653351261883151</v>
      </c>
      <c r="L12" s="399">
        <v>0.03706277114303656</v>
      </c>
      <c r="N12" s="110"/>
      <c r="O12" s="93">
        <f t="shared" si="8"/>
        <v>26000000</v>
      </c>
      <c r="P12" s="393">
        <v>0.002180296905889174</v>
      </c>
      <c r="Q12" s="394">
        <v>0.0030274810617645026</v>
      </c>
      <c r="R12" s="394">
        <v>0.003904112412459255</v>
      </c>
      <c r="S12" s="394">
        <v>0.004810273174641955</v>
      </c>
      <c r="T12" s="395">
        <v>0.005746241620113755</v>
      </c>
      <c r="U12" s="394">
        <v>0.006129074811404136</v>
      </c>
      <c r="V12" s="394">
        <v>0.0065167900687064005</v>
      </c>
      <c r="W12" s="394">
        <v>0.006909431551225641</v>
      </c>
      <c r="X12" s="394">
        <v>0.00730704843717836</v>
      </c>
      <c r="Y12" s="396">
        <v>0.007709694923792444</v>
      </c>
      <c r="AA12" s="110"/>
      <c r="AB12" s="93">
        <f t="shared" si="9"/>
        <v>26000000</v>
      </c>
      <c r="AC12" s="394">
        <v>0.0018482605422528104</v>
      </c>
      <c r="AD12" s="394">
        <v>0.002695444698128139</v>
      </c>
      <c r="AE12" s="394">
        <v>0.0035720760488228915</v>
      </c>
      <c r="AF12" s="394">
        <v>0.004478236811005591</v>
      </c>
      <c r="AG12" s="395">
        <v>0.005414205256477391</v>
      </c>
      <c r="AH12" s="394">
        <v>0.0057970384477677725</v>
      </c>
      <c r="AI12" s="394">
        <v>0.0061847537050700365</v>
      </c>
      <c r="AJ12" s="394">
        <v>0.006577395187589277</v>
      </c>
      <c r="AK12" s="394">
        <v>0.006975012073541996</v>
      </c>
      <c r="AL12" s="396">
        <v>0.00737765856015608</v>
      </c>
    </row>
    <row r="13">
      <c r="A13" s="110"/>
      <c r="B13" s="93">
        <f t="shared" si="7"/>
        <v>28000000</v>
      </c>
      <c r="C13" s="51">
        <v>0.02772007866641201</v>
      </c>
      <c r="D13" s="51">
        <v>0.029056622596185248</v>
      </c>
      <c r="E13" s="51">
        <v>0.030373162751326874</v>
      </c>
      <c r="F13" s="51">
        <v>0.031673615660343706</v>
      </c>
      <c r="G13" s="400">
        <v>0.03296189785174258</v>
      </c>
      <c r="H13" s="51">
        <v>0.03347468022975463</v>
      </c>
      <c r="I13" s="51">
        <v>0.03398639259533332</v>
      </c>
      <c r="J13" s="51">
        <v>0.034497285606303114</v>
      </c>
      <c r="K13" s="51">
        <v>0.03500760992048843</v>
      </c>
      <c r="L13" s="150">
        <v>0.035517616195713704</v>
      </c>
      <c r="N13" s="110"/>
      <c r="O13" s="93">
        <f t="shared" si="8"/>
        <v>28000000</v>
      </c>
      <c r="P13" s="389">
        <v>0.002262601028252129</v>
      </c>
      <c r="Q13" s="249">
        <v>0.0031417655755323066</v>
      </c>
      <c r="R13" s="249">
        <v>0.0040514889210649645</v>
      </c>
      <c r="S13" s="249">
        <v>0.004991856385119203</v>
      </c>
      <c r="T13" s="248">
        <v>0.005963156743990459</v>
      </c>
      <c r="U13" s="249">
        <v>0.006360441522005317</v>
      </c>
      <c r="V13" s="249">
        <v>0.006762792659353453</v>
      </c>
      <c r="W13" s="249">
        <v>0.007170255982207722</v>
      </c>
      <c r="X13" s="249">
        <v>0.0075828825252152385</v>
      </c>
      <c r="Y13" s="250">
        <v>0.008000728531497393</v>
      </c>
      <c r="AA13" s="110"/>
      <c r="AB13" s="93">
        <f t="shared" si="9"/>
        <v>28000000</v>
      </c>
      <c r="AC13" s="249">
        <v>0.001930564664615765</v>
      </c>
      <c r="AD13" s="249">
        <v>0.002809729211895943</v>
      </c>
      <c r="AE13" s="249">
        <v>0.003719452557428601</v>
      </c>
      <c r="AF13" s="249">
        <v>0.004659820021482839</v>
      </c>
      <c r="AG13" s="248">
        <v>0.005631120380354096</v>
      </c>
      <c r="AH13" s="249">
        <v>0.006028405158368953</v>
      </c>
      <c r="AI13" s="249">
        <v>0.00643075629571709</v>
      </c>
      <c r="AJ13" s="249">
        <v>0.006838219618571358</v>
      </c>
      <c r="AK13" s="249">
        <v>0.007250846161578875</v>
      </c>
      <c r="AL13" s="250">
        <v>0.00766869216786103</v>
      </c>
    </row>
    <row r="14">
      <c r="A14" s="110"/>
      <c r="B14" s="93">
        <f t="shared" si="7"/>
        <v>30000000</v>
      </c>
      <c r="C14" s="51">
        <v>0.026609215994714972</v>
      </c>
      <c r="D14" s="51">
        <v>0.027900440102993397</v>
      </c>
      <c r="E14" s="51">
        <v>0.029172338728969665</v>
      </c>
      <c r="F14" s="51">
        <v>0.030428695598652404</v>
      </c>
      <c r="G14" s="400">
        <v>0.03167329443805024</v>
      </c>
      <c r="H14" s="51">
        <v>0.032168689279955545</v>
      </c>
      <c r="I14" s="51">
        <v>0.0326630503916412</v>
      </c>
      <c r="J14" s="51">
        <v>0.033156619931571735</v>
      </c>
      <c r="K14" s="51">
        <v>0.03364964005821174</v>
      </c>
      <c r="L14" s="150">
        <v>0.03414235293002577</v>
      </c>
      <c r="N14" s="110"/>
      <c r="O14" s="93">
        <f t="shared" si="8"/>
        <v>30000000</v>
      </c>
      <c r="P14" s="389">
        <v>0.002342014566194087</v>
      </c>
      <c r="Q14" s="249">
        <v>0.0032520363288033828</v>
      </c>
      <c r="R14" s="249">
        <v>0.004193689452726068</v>
      </c>
      <c r="S14" s="249">
        <v>0.005167062252830978</v>
      </c>
      <c r="T14" s="248">
        <v>0.006172453640981862</v>
      </c>
      <c r="U14" s="249">
        <v>0.006583682454820399</v>
      </c>
      <c r="V14" s="249">
        <v>0.0070001554487896635</v>
      </c>
      <c r="W14" s="249">
        <v>0.007421920057485048</v>
      </c>
      <c r="X14" s="249">
        <v>0.007849029106785022</v>
      </c>
      <c r="Y14" s="250">
        <v>0.008281540813851122</v>
      </c>
      <c r="AA14" s="110"/>
      <c r="AB14" s="93">
        <f t="shared" si="9"/>
        <v>30000000</v>
      </c>
      <c r="AC14" s="249">
        <v>0.002009978202557723</v>
      </c>
      <c r="AD14" s="249">
        <v>0.002919999965167019</v>
      </c>
      <c r="AE14" s="249">
        <v>0.0038616530890897044</v>
      </c>
      <c r="AF14" s="249">
        <v>0.004835025889194615</v>
      </c>
      <c r="AG14" s="248">
        <v>0.005840417277345499</v>
      </c>
      <c r="AH14" s="249">
        <v>0.006251646091184035</v>
      </c>
      <c r="AI14" s="249">
        <v>0.0066681190851533</v>
      </c>
      <c r="AJ14" s="249">
        <v>0.007089883693848685</v>
      </c>
      <c r="AK14" s="249">
        <v>0.007516992743148659</v>
      </c>
      <c r="AL14" s="250">
        <v>0.00794950445021476</v>
      </c>
    </row>
    <row r="15">
      <c r="A15" s="110"/>
      <c r="B15" s="93">
        <f t="shared" si="7"/>
        <v>32000000</v>
      </c>
      <c r="C15" s="51">
        <v>0.02561453447622912</v>
      </c>
      <c r="D15" s="51">
        <v>0.02686475684312509</v>
      </c>
      <c r="E15" s="51">
        <v>0.028096267392242632</v>
      </c>
      <c r="F15" s="51">
        <v>0.029312729700536267</v>
      </c>
      <c r="G15" s="400">
        <v>0.030517807344960495</v>
      </c>
      <c r="H15" s="51">
        <v>0.03099747133808456</v>
      </c>
      <c r="I15" s="51">
        <v>0.03147613442622734</v>
      </c>
      <c r="J15" s="51">
        <v>0.031954031078313905</v>
      </c>
      <c r="K15" s="51">
        <v>0.032431395763269366</v>
      </c>
      <c r="L15" s="150">
        <v>0.032908462950018785</v>
      </c>
      <c r="N15" s="110"/>
      <c r="O15" s="93">
        <f t="shared" si="8"/>
        <v>32000000</v>
      </c>
      <c r="P15" s="389">
        <v>0.0024188222430519685</v>
      </c>
      <c r="Q15" s="249">
        <v>0.0033586886780578693</v>
      </c>
      <c r="R15" s="249">
        <v>0.0043312238425530026</v>
      </c>
      <c r="S15" s="249">
        <v>0.005336518947741696</v>
      </c>
      <c r="T15" s="248">
        <v>0.006374882708469358</v>
      </c>
      <c r="U15" s="249">
        <v>0.006799598001129966</v>
      </c>
      <c r="V15" s="249">
        <v>0.007229729459740127</v>
      </c>
      <c r="W15" s="249">
        <v>0.007665326074539304</v>
      </c>
      <c r="X15" s="249">
        <v>0.008106442403860182</v>
      </c>
      <c r="Y15" s="250">
        <v>0.008553138574128644</v>
      </c>
      <c r="AA15" s="110"/>
      <c r="AB15" s="93">
        <f t="shared" si="9"/>
        <v>32000000</v>
      </c>
      <c r="AC15" s="249">
        <v>0.002086785879415605</v>
      </c>
      <c r="AD15" s="249">
        <v>0.0030266523144215052</v>
      </c>
      <c r="AE15" s="249">
        <v>0.0039991874789166385</v>
      </c>
      <c r="AF15" s="249">
        <v>0.005004482584105333</v>
      </c>
      <c r="AG15" s="248">
        <v>0.006042846344832995</v>
      </c>
      <c r="AH15" s="249">
        <v>0.006467561637493603</v>
      </c>
      <c r="AI15" s="249">
        <v>0.006897693096103764</v>
      </c>
      <c r="AJ15" s="249">
        <v>0.0073332897109029405</v>
      </c>
      <c r="AK15" s="249">
        <v>0.007774406040223818</v>
      </c>
      <c r="AL15" s="250">
        <v>0.00822110221049228</v>
      </c>
    </row>
    <row r="16">
      <c r="A16" s="110"/>
      <c r="B16" s="93">
        <f t="shared" si="7"/>
        <v>34000000</v>
      </c>
      <c r="C16" s="51">
        <v>0.024717504108884795</v>
      </c>
      <c r="D16" s="51">
        <v>0.025930397961642863</v>
      </c>
      <c r="E16" s="51">
        <v>0.027125138684719118</v>
      </c>
      <c r="F16" s="51">
        <v>0.02830528046981965</v>
      </c>
      <c r="G16" s="400">
        <v>0.029474377508650618</v>
      </c>
      <c r="H16" s="51">
        <v>0.0299397199341697</v>
      </c>
      <c r="I16" s="51">
        <v>0.03040409133922782</v>
      </c>
      <c r="J16" s="51">
        <v>0.030867719192094165</v>
      </c>
      <c r="K16" s="51">
        <v>0.03133083096103794</v>
      </c>
      <c r="L16" s="150">
        <v>0.031793654114328336</v>
      </c>
      <c r="N16" s="110"/>
      <c r="O16" s="93">
        <f t="shared" si="8"/>
        <v>34000000</v>
      </c>
      <c r="P16" s="389">
        <v>0.002493264899424175</v>
      </c>
      <c r="Q16" s="249">
        <v>0.0034620570457996862</v>
      </c>
      <c r="R16" s="249">
        <v>0.004464523347759907</v>
      </c>
      <c r="S16" s="249">
        <v>0.005500757823662255</v>
      </c>
      <c r="T16" s="248">
        <v>0.006571078689485687</v>
      </c>
      <c r="U16" s="249">
        <v>0.007008865192599392</v>
      </c>
      <c r="V16" s="249">
        <v>0.0074522345517870625</v>
      </c>
      <c r="W16" s="249">
        <v>0.007901237265031686</v>
      </c>
      <c r="X16" s="249">
        <v>0.008355929569775366</v>
      </c>
      <c r="Y16" s="250">
        <v>0.008816373442919306</v>
      </c>
      <c r="AA16" s="110"/>
      <c r="AB16" s="93">
        <f t="shared" si="9"/>
        <v>34000000</v>
      </c>
      <c r="AC16" s="249">
        <v>0.0021612285357878115</v>
      </c>
      <c r="AD16" s="249">
        <v>0.0031300206821633226</v>
      </c>
      <c r="AE16" s="249">
        <v>0.004132486984123543</v>
      </c>
      <c r="AF16" s="249">
        <v>0.005168721460025891</v>
      </c>
      <c r="AG16" s="248">
        <v>0.006239042325849323</v>
      </c>
      <c r="AH16" s="249">
        <v>0.006676828828963028</v>
      </c>
      <c r="AI16" s="249">
        <v>0.0071201981881506985</v>
      </c>
      <c r="AJ16" s="249">
        <v>0.007569200901395323</v>
      </c>
      <c r="AK16" s="249">
        <v>0.008023893206139002</v>
      </c>
      <c r="AL16" s="250">
        <v>0.008484337079282943</v>
      </c>
    </row>
    <row r="17">
      <c r="A17" s="110"/>
      <c r="B17" s="93">
        <f t="shared" si="7"/>
        <v>36000000</v>
      </c>
      <c r="C17" s="51">
        <v>0.02390344224298361</v>
      </c>
      <c r="D17" s="51">
        <v>0.025082163194481262</v>
      </c>
      <c r="E17" s="51">
        <v>0.026243242474992972</v>
      </c>
      <c r="F17" s="51">
        <v>0.027390134137996</v>
      </c>
      <c r="G17" s="400">
        <v>0.028526292236967565</v>
      </c>
      <c r="H17" s="51">
        <v>0.0289785237866063</v>
      </c>
      <c r="I17" s="51">
        <v>0.0294298116739789</v>
      </c>
      <c r="J17" s="51">
        <v>0.029880376958507916</v>
      </c>
      <c r="K17" s="51">
        <v>0.0303304406996159</v>
      </c>
      <c r="L17" s="150">
        <v>0.030780223956725368</v>
      </c>
      <c r="N17" s="110"/>
      <c r="O17" s="93">
        <f t="shared" si="8"/>
        <v>36000000</v>
      </c>
      <c r="P17" s="389">
        <v>0.0025655484158203547</v>
      </c>
      <c r="Q17" s="249">
        <v>0.003562427310223802</v>
      </c>
      <c r="R17" s="249">
        <v>0.004593956624859126</v>
      </c>
      <c r="S17" s="249">
        <v>0.005660233103817978</v>
      </c>
      <c r="T17" s="248">
        <v>0.006761584188641318</v>
      </c>
      <c r="U17" s="249">
        <v>0.00721206278391224</v>
      </c>
      <c r="V17" s="249">
        <v>0.007668286090689597</v>
      </c>
      <c r="W17" s="249">
        <v>0.008130306070969201</v>
      </c>
      <c r="X17" s="249">
        <v>0.008598180592601569</v>
      </c>
      <c r="Y17" s="250">
        <v>0.009071973429291903</v>
      </c>
      <c r="AA17" s="110"/>
      <c r="AB17" s="93">
        <f t="shared" si="9"/>
        <v>36000000</v>
      </c>
      <c r="AC17" s="249">
        <v>0.002233512052183991</v>
      </c>
      <c r="AD17" s="249">
        <v>0.0032303909465874383</v>
      </c>
      <c r="AE17" s="249">
        <v>0.004261920261222762</v>
      </c>
      <c r="AF17" s="249">
        <v>0.005328196740181615</v>
      </c>
      <c r="AG17" s="248">
        <v>0.006429547825004954</v>
      </c>
      <c r="AH17" s="249">
        <v>0.006880026420275877</v>
      </c>
      <c r="AI17" s="249">
        <v>0.007336249727053233</v>
      </c>
      <c r="AJ17" s="249">
        <v>0.007798269707332838</v>
      </c>
      <c r="AK17" s="249">
        <v>0.008266144228965206</v>
      </c>
      <c r="AL17" s="250">
        <v>0.00873993706565554</v>
      </c>
    </row>
    <row r="18">
      <c r="A18" s="110"/>
      <c r="B18" s="93">
        <f t="shared" si="7"/>
        <v>38000000</v>
      </c>
      <c r="C18" s="51">
        <v>0.023160550345470803</v>
      </c>
      <c r="D18" s="51">
        <v>0.024307833072682125</v>
      </c>
      <c r="E18" s="51">
        <v>0.025437944658262688</v>
      </c>
      <c r="F18" s="51">
        <v>0.026554247030994932</v>
      </c>
      <c r="G18" s="400">
        <v>0.027660102119661297</v>
      </c>
      <c r="H18" s="51">
        <v>0.02810027198763666</v>
      </c>
      <c r="I18" s="51">
        <v>0.02853952336220876</v>
      </c>
      <c r="J18" s="51">
        <v>0.02897807140681966</v>
      </c>
      <c r="K18" s="51">
        <v>0.02941613128491144</v>
      </c>
      <c r="L18" s="150">
        <v>0.029853918159926184</v>
      </c>
      <c r="N18" s="110"/>
      <c r="O18" s="93">
        <f t="shared" si="8"/>
        <v>38000000</v>
      </c>
      <c r="P18" s="389">
        <v>0.0026358504299629766</v>
      </c>
      <c r="Q18" s="249">
        <v>0.003660046132617116</v>
      </c>
      <c r="R18" s="249">
        <v>0.004719841757885615</v>
      </c>
      <c r="S18" s="249">
        <v>0.005815336700874015</v>
      </c>
      <c r="T18" s="248">
        <v>0.006946867375785697</v>
      </c>
      <c r="U18" s="249">
        <v>0.007409690135906671</v>
      </c>
      <c r="V18" s="249">
        <v>0.00787841502603653</v>
      </c>
      <c r="W18" s="249">
        <v>0.008353095432051037</v>
      </c>
      <c r="X18" s="249">
        <v>0.008833790807514865</v>
      </c>
      <c r="Y18" s="250">
        <v>0.009320566673681582</v>
      </c>
      <c r="AA18" s="110"/>
      <c r="AB18" s="93">
        <f t="shared" si="9"/>
        <v>38000000</v>
      </c>
      <c r="AC18" s="249">
        <v>0.002303814066326613</v>
      </c>
      <c r="AD18" s="249">
        <v>0.0033280097689807526</v>
      </c>
      <c r="AE18" s="249">
        <v>0.004387805394249252</v>
      </c>
      <c r="AF18" s="249">
        <v>0.005483300337237651</v>
      </c>
      <c r="AG18" s="248">
        <v>0.006614831012149333</v>
      </c>
      <c r="AH18" s="249">
        <v>0.007077653772270308</v>
      </c>
      <c r="AI18" s="249">
        <v>0.007546378662400167</v>
      </c>
      <c r="AJ18" s="249">
        <v>0.008021059068414674</v>
      </c>
      <c r="AK18" s="249">
        <v>0.008501754443878502</v>
      </c>
      <c r="AL18" s="250">
        <v>0.008988530310045218</v>
      </c>
    </row>
    <row r="19">
      <c r="A19" s="110"/>
      <c r="B19" s="93">
        <f t="shared" si="7"/>
        <v>40000000</v>
      </c>
      <c r="C19" s="51">
        <v>0.022479228779834</v>
      </c>
      <c r="D19" s="51">
        <v>0.023597461659582035</v>
      </c>
      <c r="E19" s="51">
        <v>0.024698958180715998</v>
      </c>
      <c r="F19" s="51">
        <v>0.025786995146080346</v>
      </c>
      <c r="G19" s="400">
        <v>0.0268648493585195</v>
      </c>
      <c r="H19" s="51">
        <v>0.027293873876513264</v>
      </c>
      <c r="I19" s="51">
        <v>0.027722003157876155</v>
      </c>
      <c r="J19" s="51">
        <v>0.028149446917990206</v>
      </c>
      <c r="K19" s="51">
        <v>0.028576414872237478</v>
      </c>
      <c r="L19" s="150">
        <v>0.029003116736000006</v>
      </c>
      <c r="N19" s="110"/>
      <c r="O19" s="93">
        <f t="shared" si="8"/>
        <v>40000000</v>
      </c>
      <c r="P19" s="389">
        <v>0.0027043254804763606</v>
      </c>
      <c r="Q19" s="249">
        <v>0.0037551280996981507</v>
      </c>
      <c r="R19" s="249">
        <v>0.00484245546885818</v>
      </c>
      <c r="S19" s="249">
        <v>0.005966409565183039</v>
      </c>
      <c r="T19" s="248">
        <v>0.007127335542362727</v>
      </c>
      <c r="U19" s="249">
        <v>0.007602181675099149</v>
      </c>
      <c r="V19" s="249">
        <v>0.008083083265455876</v>
      </c>
      <c r="W19" s="249">
        <v>0.008570095086185751</v>
      </c>
      <c r="X19" s="249">
        <v>0.009063278135359084</v>
      </c>
      <c r="Y19" s="250">
        <v>0.009562699636363636</v>
      </c>
      <c r="AA19" s="110"/>
      <c r="AB19" s="93">
        <f t="shared" si="9"/>
        <v>40000000</v>
      </c>
      <c r="AC19" s="249">
        <v>0.002372289116839997</v>
      </c>
      <c r="AD19" s="249">
        <v>0.003423091736061787</v>
      </c>
      <c r="AE19" s="249">
        <v>0.004510419105221817</v>
      </c>
      <c r="AF19" s="249">
        <v>0.005634373201546675</v>
      </c>
      <c r="AG19" s="248">
        <v>0.006795299178726364</v>
      </c>
      <c r="AH19" s="249">
        <v>0.007270145311462785</v>
      </c>
      <c r="AI19" s="249">
        <v>0.0077510469018195124</v>
      </c>
      <c r="AJ19" s="249">
        <v>0.008238058722549388</v>
      </c>
      <c r="AK19" s="249">
        <v>0.008731241771722721</v>
      </c>
      <c r="AL19" s="250">
        <v>0.009230663272727273</v>
      </c>
    </row>
    <row r="20">
      <c r="A20" s="110"/>
      <c r="B20" s="93">
        <f t="shared" ref="B20:B26" si="10">B19+10000000</f>
        <v>50000000</v>
      </c>
      <c r="C20" s="401">
        <v>0.019761147580983292</v>
      </c>
      <c r="D20" s="401">
        <v>0.020761325474500072</v>
      </c>
      <c r="E20" s="401">
        <v>0.021746533913794112</v>
      </c>
      <c r="F20" s="401">
        <v>0.02271970376042902</v>
      </c>
      <c r="G20" s="402">
        <v>0.023683765875968394</v>
      </c>
      <c r="H20" s="401">
        <v>0.024067497070467656</v>
      </c>
      <c r="I20" s="401">
        <v>0.024450427540981874</v>
      </c>
      <c r="J20" s="401">
        <v>0.02483274486265114</v>
      </c>
      <c r="K20" s="401">
        <v>0.025214636610615494</v>
      </c>
      <c r="L20" s="403">
        <v>0.025596290360015032</v>
      </c>
      <c r="N20" s="110"/>
      <c r="O20" s="93">
        <f t="shared" ref="O20:O26" si="11">O19+10000000</f>
        <v>50000000</v>
      </c>
      <c r="P20" s="393">
        <v>0.003023527803814962</v>
      </c>
      <c r="Q20" s="394">
        <v>0.004198360847572336</v>
      </c>
      <c r="R20" s="394">
        <v>0.005414029803191254</v>
      </c>
      <c r="S20" s="394">
        <v>0.006670648684677121</v>
      </c>
      <c r="T20" s="395">
        <v>0.007968603385586694</v>
      </c>
      <c r="U20" s="394">
        <v>0.00849949750141246</v>
      </c>
      <c r="V20" s="394">
        <v>0.00903716182467516</v>
      </c>
      <c r="W20" s="394">
        <v>0.009581657593174133</v>
      </c>
      <c r="X20" s="394">
        <v>0.010133053004825225</v>
      </c>
      <c r="Y20" s="396">
        <v>0.010691423217660806</v>
      </c>
      <c r="AA20" s="110"/>
      <c r="AB20" s="93">
        <f t="shared" ref="AB20:AB26" si="12">AB19+10000000</f>
        <v>50000000</v>
      </c>
      <c r="AC20" s="394">
        <v>0.0026914914401785983</v>
      </c>
      <c r="AD20" s="394">
        <v>0.0038663244839359724</v>
      </c>
      <c r="AE20" s="394">
        <v>0.00508199343955489</v>
      </c>
      <c r="AF20" s="394">
        <v>0.006338612321040757</v>
      </c>
      <c r="AG20" s="395">
        <v>0.007636567021950331</v>
      </c>
      <c r="AH20" s="394">
        <v>0.008167461137776097</v>
      </c>
      <c r="AI20" s="394">
        <v>0.008705125461038795</v>
      </c>
      <c r="AJ20" s="394">
        <v>0.009249621229537769</v>
      </c>
      <c r="AK20" s="394">
        <v>0.009801016641188862</v>
      </c>
      <c r="AL20" s="396">
        <v>0.010359386854024443</v>
      </c>
    </row>
    <row r="21">
      <c r="A21" s="110"/>
      <c r="B21" s="93">
        <f t="shared" si="10"/>
        <v>60000000</v>
      </c>
      <c r="C21" s="51">
        <v>0.0178069746617795</v>
      </c>
      <c r="D21" s="51">
        <v>0.018720007984774738</v>
      </c>
      <c r="E21" s="51">
        <v>0.019619376128184405</v>
      </c>
      <c r="F21" s="51">
        <v>0.020507754590327373</v>
      </c>
      <c r="G21" s="400">
        <v>0.02138781886952249</v>
      </c>
      <c r="H21" s="51">
        <v>0.021738115921598567</v>
      </c>
      <c r="I21" s="51">
        <v>0.02208768201602641</v>
      </c>
      <c r="J21" s="51">
        <v>0.02243668838469843</v>
      </c>
      <c r="K21" s="51">
        <v>0.022785306259507025</v>
      </c>
      <c r="L21" s="150">
        <v>0.023133706872344614</v>
      </c>
      <c r="N21" s="110"/>
      <c r="O21" s="93">
        <f t="shared" si="11"/>
        <v>60000000</v>
      </c>
      <c r="P21" s="389">
        <v>0.0033121087627870165</v>
      </c>
      <c r="Q21" s="249">
        <v>0.004599073881523755</v>
      </c>
      <c r="R21" s="249">
        <v>0.005930772500426208</v>
      </c>
      <c r="S21" s="249">
        <v>0.007307329515579648</v>
      </c>
      <c r="T21" s="248">
        <v>0.008729167652195741</v>
      </c>
      <c r="U21" s="249">
        <v>0.0093107330179648</v>
      </c>
      <c r="V21" s="249">
        <v>0.009899714774398265</v>
      </c>
      <c r="W21" s="249">
        <v>0.010496180004144259</v>
      </c>
      <c r="X21" s="249">
        <v>0.011100203414276564</v>
      </c>
      <c r="Y21" s="250">
        <v>0.011711867336294578</v>
      </c>
      <c r="AA21" s="110"/>
      <c r="AB21" s="93">
        <f t="shared" si="12"/>
        <v>60000000</v>
      </c>
      <c r="AC21" s="249">
        <v>0.0029800723991506525</v>
      </c>
      <c r="AD21" s="249">
        <v>0.004267037517887392</v>
      </c>
      <c r="AE21" s="249">
        <v>0.005598736136789844</v>
      </c>
      <c r="AF21" s="249">
        <v>0.006975293151943284</v>
      </c>
      <c r="AG21" s="248">
        <v>0.008397131288559376</v>
      </c>
      <c r="AH21" s="249">
        <v>0.008978696654328436</v>
      </c>
      <c r="AI21" s="249">
        <v>0.009567678410761902</v>
      </c>
      <c r="AJ21" s="249">
        <v>0.010164143640507895</v>
      </c>
      <c r="AK21" s="249">
        <v>0.0107681670506402</v>
      </c>
      <c r="AL21" s="250">
        <v>0.011379830972658215</v>
      </c>
    </row>
    <row r="22">
      <c r="A22" s="110"/>
      <c r="B22" s="93">
        <f t="shared" si="10"/>
        <v>70000000</v>
      </c>
      <c r="C22" s="397">
        <v>0.01631883055069553</v>
      </c>
      <c r="D22" s="397">
        <v>0.017164135152886638</v>
      </c>
      <c r="E22" s="397">
        <v>0.017996788257150436</v>
      </c>
      <c r="F22" s="397">
        <v>0.018819266893607425</v>
      </c>
      <c r="G22" s="398">
        <v>0.01963404809237811</v>
      </c>
      <c r="H22" s="397">
        <v>0.01995836014408121</v>
      </c>
      <c r="I22" s="397">
        <v>0.020281995460501495</v>
      </c>
      <c r="J22" s="397">
        <v>0.020605112571566678</v>
      </c>
      <c r="K22" s="397">
        <v>0.020927870007204474</v>
      </c>
      <c r="L22" s="399">
        <v>0.02125042629734259</v>
      </c>
      <c r="N22" s="110"/>
      <c r="O22" s="93">
        <f t="shared" si="11"/>
        <v>70000000</v>
      </c>
      <c r="P22" s="389">
        <v>0.003577486342757854</v>
      </c>
      <c r="Q22" s="249">
        <v>0.004967567546495932</v>
      </c>
      <c r="R22" s="249">
        <v>0.006405966452751713</v>
      </c>
      <c r="S22" s="249">
        <v>0.00789281796471567</v>
      </c>
      <c r="T22" s="248">
        <v>0.00942857867780172</v>
      </c>
      <c r="U22" s="249">
        <v>0.010056741066922387</v>
      </c>
      <c r="V22" s="249">
        <v>0.010692914073512066</v>
      </c>
      <c r="W22" s="249">
        <v>0.01133717015511208</v>
      </c>
      <c r="X22" s="249">
        <v>0.011989590004584666</v>
      </c>
      <c r="Y22" s="250">
        <v>0.012650262550112985</v>
      </c>
      <c r="AA22" s="110"/>
      <c r="AB22" s="93">
        <f t="shared" si="12"/>
        <v>70000000</v>
      </c>
      <c r="AC22" s="249">
        <v>0.0032454499791214906</v>
      </c>
      <c r="AD22" s="249">
        <v>0.004635531182859568</v>
      </c>
      <c r="AE22" s="249">
        <v>0.00607393008911535</v>
      </c>
      <c r="AF22" s="249">
        <v>0.007560781601079306</v>
      </c>
      <c r="AG22" s="248">
        <v>0.009096542314165356</v>
      </c>
      <c r="AH22" s="249">
        <v>0.009724704703286024</v>
      </c>
      <c r="AI22" s="249">
        <v>0.010360877709875703</v>
      </c>
      <c r="AJ22" s="249">
        <v>0.011005133791475715</v>
      </c>
      <c r="AK22" s="249">
        <v>0.011657553640948302</v>
      </c>
      <c r="AL22" s="250">
        <v>0.012318226186476622</v>
      </c>
    </row>
    <row r="23">
      <c r="A23" s="110"/>
      <c r="B23" s="93">
        <f t="shared" si="10"/>
        <v>80000000</v>
      </c>
      <c r="C23" s="51">
        <v>0.015138778298458671</v>
      </c>
      <c r="D23" s="51">
        <v>0.015929488350674263</v>
      </c>
      <c r="E23" s="51">
        <v>0.016708364010221483</v>
      </c>
      <c r="F23" s="51">
        <v>0.01747772232661225</v>
      </c>
      <c r="G23" s="400">
        <v>0.01823988034935846</v>
      </c>
      <c r="H23" s="51">
        <v>0.01854324649532714</v>
      </c>
      <c r="I23" s="51">
        <v>0.01884597961340336</v>
      </c>
      <c r="J23" s="51">
        <v>0.01914822799475589</v>
      </c>
      <c r="K23" s="51">
        <v>0.01945013993055348</v>
      </c>
      <c r="L23" s="150">
        <v>0.019751863711964898</v>
      </c>
      <c r="N23" s="110"/>
      <c r="O23" s="93">
        <f t="shared" si="11"/>
        <v>80000000</v>
      </c>
      <c r="P23" s="389">
        <v>0.0038244937715608057</v>
      </c>
      <c r="Q23" s="249">
        <v>0.0053105530870414305</v>
      </c>
      <c r="R23" s="249">
        <v>0.006848266199247002</v>
      </c>
      <c r="S23" s="249">
        <v>0.008437777325754413</v>
      </c>
      <c r="T23" s="248">
        <v>0.010079574587593166</v>
      </c>
      <c r="U23" s="249">
        <v>0.010751108428549427</v>
      </c>
      <c r="V23" s="249">
        <v>0.011431205979798704</v>
      </c>
      <c r="W23" s="249">
        <v>0.01211994470171091</v>
      </c>
      <c r="X23" s="249">
        <v>0.012817410858584352</v>
      </c>
      <c r="Y23" s="250">
        <v>0.013523699518645715</v>
      </c>
      <c r="AA23" s="110"/>
      <c r="AB23" s="93">
        <f t="shared" si="12"/>
        <v>80000000</v>
      </c>
      <c r="AC23" s="249">
        <v>0.003492457407924442</v>
      </c>
      <c r="AD23" s="249">
        <v>0.004978516723405067</v>
      </c>
      <c r="AE23" s="249">
        <v>0.006516229835610639</v>
      </c>
      <c r="AF23" s="249">
        <v>0.00810574096211805</v>
      </c>
      <c r="AG23" s="248">
        <v>0.009747538223956803</v>
      </c>
      <c r="AH23" s="249">
        <v>0.010419072064913064</v>
      </c>
      <c r="AI23" s="249">
        <v>0.01109916961616234</v>
      </c>
      <c r="AJ23" s="249">
        <v>0.011787908338074547</v>
      </c>
      <c r="AK23" s="249">
        <v>0.012485374494947988</v>
      </c>
      <c r="AL23" s="250">
        <v>0.013191663155009352</v>
      </c>
    </row>
    <row r="24">
      <c r="A24" s="110"/>
      <c r="B24" s="93">
        <f t="shared" si="10"/>
        <v>90000000</v>
      </c>
      <c r="C24" s="51">
        <v>0.014174508075444887</v>
      </c>
      <c r="D24" s="51">
        <v>0.014919996661943576</v>
      </c>
      <c r="E24" s="51">
        <v>0.01565432767603289</v>
      </c>
      <c r="F24" s="51">
        <v>0.01637968565294245</v>
      </c>
      <c r="G24" s="400">
        <v>0.01709825512790189</v>
      </c>
      <c r="H24" s="51">
        <v>0.01738427147323107</v>
      </c>
      <c r="I24" s="51">
        <v>0.017669690994139658</v>
      </c>
      <c r="J24" s="51">
        <v>0.01795465350088236</v>
      </c>
      <c r="K24" s="51">
        <v>0.018239298803713874</v>
      </c>
      <c r="L24" s="150">
        <v>0.01852376671288889</v>
      </c>
      <c r="N24" s="110"/>
      <c r="O24" s="93">
        <f t="shared" si="11"/>
        <v>90000000</v>
      </c>
      <c r="P24" s="389">
        <v>0.004056488220714542</v>
      </c>
      <c r="Q24" s="249">
        <v>0.005632692149547227</v>
      </c>
      <c r="R24" s="249">
        <v>0.007263683203287269</v>
      </c>
      <c r="S24" s="249">
        <v>0.008949614347774559</v>
      </c>
      <c r="T24" s="248">
        <v>0.010691003313544094</v>
      </c>
      <c r="U24" s="249">
        <v>0.011403272512648725</v>
      </c>
      <c r="V24" s="249">
        <v>0.012124624898183816</v>
      </c>
      <c r="W24" s="249">
        <v>0.012855142629278631</v>
      </c>
      <c r="X24" s="249">
        <v>0.013594917203038629</v>
      </c>
      <c r="Y24" s="250">
        <v>0.014344049454545456</v>
      </c>
      <c r="AA24" s="110"/>
      <c r="AB24" s="93">
        <f t="shared" si="12"/>
        <v>90000000</v>
      </c>
      <c r="AC24" s="249">
        <v>0.003724451857078178</v>
      </c>
      <c r="AD24" s="249">
        <v>0.005300655785910864</v>
      </c>
      <c r="AE24" s="249">
        <v>0.006931646839650906</v>
      </c>
      <c r="AF24" s="249">
        <v>0.008617577984138196</v>
      </c>
      <c r="AG24" s="248">
        <v>0.010358966949907731</v>
      </c>
      <c r="AH24" s="249">
        <v>0.011071236149012361</v>
      </c>
      <c r="AI24" s="249">
        <v>0.011792588534547453</v>
      </c>
      <c r="AJ24" s="249">
        <v>0.012523106265642268</v>
      </c>
      <c r="AK24" s="249">
        <v>0.013262880839402264</v>
      </c>
      <c r="AL24" s="250">
        <v>0.014012013090909093</v>
      </c>
    </row>
    <row r="25">
      <c r="A25" s="110"/>
      <c r="B25" s="93">
        <f t="shared" si="10"/>
        <v>100000000</v>
      </c>
      <c r="C25" s="51">
        <v>0.013368092012456827</v>
      </c>
      <c r="D25" s="51">
        <v>0.014075324583355418</v>
      </c>
      <c r="E25" s="51">
        <v>0.014771972151662444</v>
      </c>
      <c r="F25" s="51">
        <v>0.015460107149464258</v>
      </c>
      <c r="G25" s="400">
        <v>0.016141802008847208</v>
      </c>
      <c r="H25" s="51">
        <v>0.016413140938630444</v>
      </c>
      <c r="I25" s="51">
        <v>0.016683913671054002</v>
      </c>
      <c r="J25" s="51">
        <v>0.016954252841771413</v>
      </c>
      <c r="K25" s="51">
        <v>0.017224291086436198</v>
      </c>
      <c r="L25" s="150">
        <v>0.01749416104070189</v>
      </c>
      <c r="N25" s="110"/>
      <c r="O25" s="93">
        <f t="shared" si="11"/>
        <v>100000000</v>
      </c>
      <c r="P25" s="389">
        <v>0.004275914026367256</v>
      </c>
      <c r="Q25" s="249">
        <v>0.0059373788503729995</v>
      </c>
      <c r="R25" s="249">
        <v>0.007656594374765208</v>
      </c>
      <c r="S25" s="249">
        <v>0.009433721839696629</v>
      </c>
      <c r="T25" s="248">
        <v>0.011269306981068865</v>
      </c>
      <c r="U25" s="249">
        <v>0.012020104639853731</v>
      </c>
      <c r="V25" s="249">
        <v>0.012780476817815996</v>
      </c>
      <c r="W25" s="249">
        <v>0.013550510118282</v>
      </c>
      <c r="X25" s="249">
        <v>0.014330300987669275</v>
      </c>
      <c r="Y25" s="250">
        <v>0.015119955715486504</v>
      </c>
      <c r="AA25" s="110"/>
      <c r="AB25" s="93">
        <f t="shared" si="12"/>
        <v>100000000</v>
      </c>
      <c r="AC25" s="249">
        <v>0.003943877662730893</v>
      </c>
      <c r="AD25" s="249">
        <v>0.0056053424867366355</v>
      </c>
      <c r="AE25" s="249">
        <v>0.0073245580111288445</v>
      </c>
      <c r="AF25" s="249">
        <v>0.009101685476060266</v>
      </c>
      <c r="AG25" s="248">
        <v>0.0109372706174325</v>
      </c>
      <c r="AH25" s="249">
        <v>0.011688068276217368</v>
      </c>
      <c r="AI25" s="249">
        <v>0.012448440454179633</v>
      </c>
      <c r="AJ25" s="249">
        <v>0.013218473754645636</v>
      </c>
      <c r="AK25" s="249">
        <v>0.013998264624032912</v>
      </c>
      <c r="AL25" s="250">
        <v>0.014787919351850141</v>
      </c>
    </row>
    <row r="26">
      <c r="A26" s="146"/>
      <c r="B26" s="156">
        <f t="shared" si="10"/>
        <v>110000000</v>
      </c>
      <c r="C26" s="296">
        <v>0.012681150373631623</v>
      </c>
      <c r="D26" s="296">
        <v>0.013355470171879413</v>
      </c>
      <c r="E26" s="296">
        <v>0.01401969756614908</v>
      </c>
      <c r="F26" s="296">
        <v>0.014675808542903703</v>
      </c>
      <c r="G26" s="404">
        <v>0.015325779088606373</v>
      </c>
      <c r="H26" s="296">
        <v>0.015584490607160629</v>
      </c>
      <c r="I26" s="296">
        <v>0.015842662277714303</v>
      </c>
      <c r="J26" s="296">
        <v>0.016100420563401028</v>
      </c>
      <c r="K26" s="296">
        <v>0.016357891927354453</v>
      </c>
      <c r="L26" s="297">
        <v>0.016615202832708207</v>
      </c>
      <c r="N26" s="146"/>
      <c r="O26" s="156">
        <f t="shared" si="11"/>
        <v>110000000</v>
      </c>
      <c r="P26" s="405">
        <v>0.004484616464868837</v>
      </c>
      <c r="Q26" s="406">
        <v>0.006227175473209528</v>
      </c>
      <c r="R26" s="406">
        <v>0.008030303927103563</v>
      </c>
      <c r="S26" s="406">
        <v>0.009894170936649824</v>
      </c>
      <c r="T26" s="407">
        <v>0.011819348874490687</v>
      </c>
      <c r="U26" s="406">
        <v>0.012606792102209686</v>
      </c>
      <c r="V26" s="406">
        <v>0.013404277170358917</v>
      </c>
      <c r="W26" s="406">
        <v>0.01421189490927333</v>
      </c>
      <c r="X26" s="406">
        <v>0.015029746472809002</v>
      </c>
      <c r="Y26" s="408">
        <v>0.015857943338343106</v>
      </c>
      <c r="AA26" s="146"/>
      <c r="AB26" s="156">
        <f t="shared" si="12"/>
        <v>110000000</v>
      </c>
      <c r="AC26" s="406">
        <v>0.004152580101232474</v>
      </c>
      <c r="AD26" s="406">
        <v>0.005895139109573164</v>
      </c>
      <c r="AE26" s="406">
        <v>0.0076982675634672</v>
      </c>
      <c r="AF26" s="406">
        <v>0.00956213457301346</v>
      </c>
      <c r="AG26" s="409">
        <v>0.011487312510854324</v>
      </c>
      <c r="AH26" s="406">
        <v>0.012274755738573322</v>
      </c>
      <c r="AI26" s="406">
        <v>0.013072240806722554</v>
      </c>
      <c r="AJ26" s="406">
        <v>0.013879858545636966</v>
      </c>
      <c r="AK26" s="406">
        <v>0.014697710109172639</v>
      </c>
      <c r="AL26" s="408">
        <v>0.015525906974706741</v>
      </c>
    </row>
    <row r="29">
      <c r="A29" s="70" t="s">
        <v>103</v>
      </c>
      <c r="B29" s="71"/>
      <c r="C29" s="71"/>
      <c r="D29" s="71"/>
      <c r="E29" s="71"/>
      <c r="F29" s="71"/>
      <c r="G29" s="71"/>
      <c r="H29" s="71"/>
      <c r="I29" s="18"/>
      <c r="K29" s="70" t="s">
        <v>104</v>
      </c>
      <c r="L29" s="71"/>
      <c r="M29" s="71"/>
      <c r="N29" s="71"/>
      <c r="O29" s="71"/>
      <c r="P29" s="71"/>
      <c r="Q29" s="71"/>
      <c r="R29" s="71"/>
      <c r="S29" s="18"/>
      <c r="U29" s="70" t="s">
        <v>105</v>
      </c>
      <c r="V29" s="71"/>
      <c r="W29" s="71"/>
      <c r="X29" s="71"/>
      <c r="Y29" s="71"/>
      <c r="Z29" s="71"/>
      <c r="AA29" s="71"/>
      <c r="AB29" s="71"/>
      <c r="AC29" s="18"/>
    </row>
    <row r="30">
      <c r="A30" s="411" t="s">
        <v>26</v>
      </c>
      <c r="I30" s="78"/>
      <c r="K30" s="77" t="s">
        <v>26</v>
      </c>
      <c r="S30" s="78"/>
      <c r="U30" s="77" t="s">
        <v>26</v>
      </c>
      <c r="AC30" s="78"/>
    </row>
    <row r="31">
      <c r="A31" s="90"/>
      <c r="B31" s="91">
        <f>$F$32</f>
        <v>0.08279616999</v>
      </c>
      <c r="C31" s="240">
        <v>64.0</v>
      </c>
      <c r="D31" s="241">
        <f t="shared" ref="D31:I31" si="13">C31+10</f>
        <v>74</v>
      </c>
      <c r="E31" s="241">
        <f t="shared" si="13"/>
        <v>84</v>
      </c>
      <c r="F31" s="93">
        <f t="shared" si="13"/>
        <v>94</v>
      </c>
      <c r="G31" s="93">
        <f t="shared" si="13"/>
        <v>104</v>
      </c>
      <c r="H31" s="93">
        <f t="shared" si="13"/>
        <v>114</v>
      </c>
      <c r="I31" s="94">
        <f t="shared" si="13"/>
        <v>124</v>
      </c>
      <c r="J31" s="178"/>
      <c r="K31" s="90"/>
      <c r="L31" s="516" t="str">
        <f>#REF!</f>
        <v>#REF!</v>
      </c>
      <c r="M31" s="240">
        <v>64.0</v>
      </c>
      <c r="N31" s="241">
        <f t="shared" ref="N31:S31" si="14">M31+10</f>
        <v>74</v>
      </c>
      <c r="O31" s="241">
        <f t="shared" si="14"/>
        <v>84</v>
      </c>
      <c r="P31" s="93">
        <f t="shared" si="14"/>
        <v>94</v>
      </c>
      <c r="Q31" s="93">
        <f t="shared" si="14"/>
        <v>104</v>
      </c>
      <c r="R31" s="93">
        <f t="shared" si="14"/>
        <v>114</v>
      </c>
      <c r="S31" s="94">
        <f t="shared" si="14"/>
        <v>124</v>
      </c>
      <c r="T31" s="178"/>
      <c r="U31" s="90"/>
      <c r="V31" s="516" t="str">
        <f>#REF!</f>
        <v>#REF!</v>
      </c>
      <c r="W31" s="240">
        <v>64.0</v>
      </c>
      <c r="X31" s="241">
        <f t="shared" ref="X31:AC31" si="15">W31+10</f>
        <v>74</v>
      </c>
      <c r="Y31" s="241">
        <f t="shared" si="15"/>
        <v>84</v>
      </c>
      <c r="Z31" s="93">
        <f t="shared" si="15"/>
        <v>94</v>
      </c>
      <c r="AA31" s="93">
        <f t="shared" si="15"/>
        <v>104</v>
      </c>
      <c r="AB31" s="93">
        <f t="shared" si="15"/>
        <v>114</v>
      </c>
      <c r="AC31" s="94">
        <f t="shared" si="15"/>
        <v>124</v>
      </c>
    </row>
    <row r="32">
      <c r="A32" s="381" t="s">
        <v>107</v>
      </c>
      <c r="B32" s="103">
        <v>1.0E7</v>
      </c>
      <c r="C32" s="288">
        <v>0.06103449871703899</v>
      </c>
      <c r="D32" s="14">
        <v>0.06828838914157635</v>
      </c>
      <c r="E32" s="14">
        <v>0.07554227956611367</v>
      </c>
      <c r="F32" s="14">
        <v>0.08279616999065104</v>
      </c>
      <c r="G32" s="14">
        <v>0.09005006041518838</v>
      </c>
      <c r="H32" s="14">
        <v>0.09730395083972572</v>
      </c>
      <c r="I32" s="120">
        <v>0.10455784126426308</v>
      </c>
      <c r="J32" s="178"/>
      <c r="K32" s="381" t="s">
        <v>107</v>
      </c>
      <c r="L32" s="103">
        <v>1.0E7</v>
      </c>
      <c r="M32" s="400">
        <v>0.0035636677711813635</v>
      </c>
      <c r="N32" s="51">
        <v>0.004120490860428452</v>
      </c>
      <c r="O32" s="51">
        <v>0.00467731394967554</v>
      </c>
      <c r="P32" s="51">
        <v>0.00523413703892263</v>
      </c>
      <c r="Q32" s="51">
        <v>0.005790960128169717</v>
      </c>
      <c r="R32" s="51">
        <v>0.006347783217416803</v>
      </c>
      <c r="S32" s="150">
        <v>0.006904606306663893</v>
      </c>
      <c r="T32" s="178"/>
      <c r="U32" s="381" t="s">
        <v>107</v>
      </c>
      <c r="V32" s="103">
        <f t="shared" ref="V32:V54" si="16">L32</f>
        <v>10000000</v>
      </c>
      <c r="W32" s="400">
        <v>0.003231631407545</v>
      </c>
      <c r="X32" s="51">
        <v>0.0037884544967920885</v>
      </c>
      <c r="Y32" s="51">
        <v>0.004345277586039177</v>
      </c>
      <c r="Z32" s="51">
        <v>0.004902100675286266</v>
      </c>
      <c r="AA32" s="51">
        <v>0.005458923764533353</v>
      </c>
      <c r="AB32" s="51">
        <v>0.006015746853780439</v>
      </c>
      <c r="AC32" s="150">
        <v>0.00657256994302753</v>
      </c>
    </row>
    <row r="33">
      <c r="A33" s="110"/>
      <c r="B33" s="103">
        <f t="shared" ref="B33:B47" si="17">B32+2000000</f>
        <v>12000000</v>
      </c>
      <c r="C33" s="391">
        <v>0.054554607095358164</v>
      </c>
      <c r="D33" s="390">
        <v>0.06117647278734121</v>
      </c>
      <c r="E33" s="390">
        <v>0.06779833847932427</v>
      </c>
      <c r="F33" s="390">
        <v>0.0744202041713073</v>
      </c>
      <c r="G33" s="390">
        <v>0.08104206986329038</v>
      </c>
      <c r="H33" s="390">
        <v>0.08766393555527341</v>
      </c>
      <c r="I33" s="392">
        <v>0.09428580124725648</v>
      </c>
      <c r="J33" s="178"/>
      <c r="K33" s="110"/>
      <c r="L33" s="103">
        <f t="shared" ref="L33:L47" si="18">L32+2000000</f>
        <v>12000000</v>
      </c>
      <c r="M33" s="517">
        <v>0.0039038024514603826</v>
      </c>
      <c r="N33" s="518">
        <v>0.004513771584501067</v>
      </c>
      <c r="O33" s="518">
        <v>0.005123740717541753</v>
      </c>
      <c r="P33" s="518">
        <v>0.005733709850582437</v>
      </c>
      <c r="Q33" s="518">
        <v>0.006343678983623124</v>
      </c>
      <c r="R33" s="518">
        <v>0.006953648116663806</v>
      </c>
      <c r="S33" s="519">
        <v>0.007563617249704494</v>
      </c>
      <c r="U33" s="110"/>
      <c r="V33" s="103">
        <f t="shared" si="16"/>
        <v>12000000</v>
      </c>
      <c r="W33" s="517">
        <v>0.003571766087824019</v>
      </c>
      <c r="X33" s="518">
        <v>0.004181735220864704</v>
      </c>
      <c r="Y33" s="518">
        <v>0.00479170435390539</v>
      </c>
      <c r="Z33" s="518">
        <v>0.005401673486946074</v>
      </c>
      <c r="AA33" s="518">
        <v>0.00601164261998676</v>
      </c>
      <c r="AB33" s="518">
        <v>0.006621611753027443</v>
      </c>
      <c r="AC33" s="519">
        <v>0.007231580886068131</v>
      </c>
    </row>
    <row r="34">
      <c r="A34" s="110"/>
      <c r="B34" s="93">
        <f t="shared" si="17"/>
        <v>14000000</v>
      </c>
      <c r="C34" s="288">
        <v>0.04967162924747453</v>
      </c>
      <c r="D34" s="14">
        <v>0.05580228560310671</v>
      </c>
      <c r="E34" s="14">
        <v>0.06193294195873889</v>
      </c>
      <c r="F34" s="14">
        <v>0.06806359831437107</v>
      </c>
      <c r="G34" s="14">
        <v>0.07419425467000325</v>
      </c>
      <c r="H34" s="14">
        <v>0.08032491102563544</v>
      </c>
      <c r="I34" s="120">
        <v>0.08645556738126761</v>
      </c>
      <c r="J34" s="23"/>
      <c r="K34" s="110"/>
      <c r="L34" s="93">
        <f t="shared" si="18"/>
        <v>14000000</v>
      </c>
      <c r="M34" s="400">
        <v>0.004216588570953947</v>
      </c>
      <c r="N34" s="51">
        <v>0.004875430535165501</v>
      </c>
      <c r="O34" s="51">
        <v>0.005534272499377057</v>
      </c>
      <c r="P34" s="51">
        <v>0.006193114463588609</v>
      </c>
      <c r="Q34" s="51">
        <v>0.0068519564278001635</v>
      </c>
      <c r="R34" s="51">
        <v>0.007510798392011718</v>
      </c>
      <c r="S34" s="150">
        <v>0.008169640356223272</v>
      </c>
      <c r="T34" s="23"/>
      <c r="U34" s="110"/>
      <c r="V34" s="103">
        <f t="shared" si="16"/>
        <v>14000000</v>
      </c>
      <c r="W34" s="400">
        <v>0.0038845522073175827</v>
      </c>
      <c r="X34" s="51">
        <v>0.004543394171529137</v>
      </c>
      <c r="Y34" s="51">
        <v>0.005202236135740694</v>
      </c>
      <c r="Z34" s="51">
        <v>0.005861078099952246</v>
      </c>
      <c r="AA34" s="51">
        <v>0.0065199200641637995</v>
      </c>
      <c r="AB34" s="51">
        <v>0.007178762028375355</v>
      </c>
      <c r="AC34" s="150">
        <v>0.007837603992586909</v>
      </c>
    </row>
    <row r="35">
      <c r="A35" s="110"/>
      <c r="B35" s="93">
        <f t="shared" si="17"/>
        <v>16000000</v>
      </c>
      <c r="C35" s="288">
        <v>0.045833105022118015</v>
      </c>
      <c r="D35" s="14">
        <v>0.05156780893182397</v>
      </c>
      <c r="E35" s="14">
        <v>0.05730251284152989</v>
      </c>
      <c r="F35" s="14">
        <v>0.06303721675123584</v>
      </c>
      <c r="G35" s="14">
        <v>0.06877192066094179</v>
      </c>
      <c r="H35" s="14">
        <v>0.07450662457064772</v>
      </c>
      <c r="I35" s="120">
        <v>0.08024132848035367</v>
      </c>
      <c r="J35" s="23"/>
      <c r="K35" s="110"/>
      <c r="L35" s="93">
        <f t="shared" si="18"/>
        <v>16000000</v>
      </c>
      <c r="M35" s="400">
        <v>0.004507722792427547</v>
      </c>
      <c r="N35" s="51">
        <v>0.005212054478744352</v>
      </c>
      <c r="O35" s="51">
        <v>0.005916386165061155</v>
      </c>
      <c r="P35" s="51">
        <v>0.00662071785137796</v>
      </c>
      <c r="Q35" s="51">
        <v>0.007325049537694762</v>
      </c>
      <c r="R35" s="51">
        <v>0.008029381224011567</v>
      </c>
      <c r="S35" s="150">
        <v>0.008733712910328371</v>
      </c>
      <c r="T35" s="225"/>
      <c r="U35" s="110"/>
      <c r="V35" s="103">
        <f t="shared" si="16"/>
        <v>16000000</v>
      </c>
      <c r="W35" s="400">
        <v>0.004175686428791183</v>
      </c>
      <c r="X35" s="51">
        <v>0.004880018115107988</v>
      </c>
      <c r="Y35" s="51">
        <v>0.005584349801424791</v>
      </c>
      <c r="Z35" s="51">
        <v>0.006288681487741596</v>
      </c>
      <c r="AA35" s="51">
        <v>0.006993013174058399</v>
      </c>
      <c r="AB35" s="51">
        <v>0.0076973448603752034</v>
      </c>
      <c r="AC35" s="150">
        <v>0.008401676546692006</v>
      </c>
    </row>
    <row r="36">
      <c r="A36" s="110"/>
      <c r="B36" s="93">
        <f t="shared" si="17"/>
        <v>18000000</v>
      </c>
      <c r="C36" s="288">
        <v>0.042719520904391774</v>
      </c>
      <c r="D36" s="14">
        <v>0.04812625160125854</v>
      </c>
      <c r="E36" s="14">
        <v>0.053532982298125295</v>
      </c>
      <c r="F36" s="14">
        <v>0.05893971299499209</v>
      </c>
      <c r="G36" s="14">
        <v>0.06434644369185885</v>
      </c>
      <c r="H36" s="14">
        <v>0.06975317438872561</v>
      </c>
      <c r="I36" s="120">
        <v>0.07515990508559238</v>
      </c>
      <c r="J36" s="177"/>
      <c r="K36" s="110"/>
      <c r="L36" s="93">
        <f t="shared" si="18"/>
        <v>18000000</v>
      </c>
      <c r="M36" s="400">
        <v>0.004781162031352018</v>
      </c>
      <c r="N36" s="51">
        <v>0.005528218598750768</v>
      </c>
      <c r="O36" s="51">
        <v>0.00627527516614952</v>
      </c>
      <c r="P36" s="51">
        <v>0.007022331733548275</v>
      </c>
      <c r="Q36" s="51">
        <v>0.007769388300947027</v>
      </c>
      <c r="R36" s="51">
        <v>0.008516444868345779</v>
      </c>
      <c r="S36" s="150">
        <v>0.009263501435744533</v>
      </c>
      <c r="T36" s="177"/>
      <c r="U36" s="110"/>
      <c r="V36" s="103">
        <f t="shared" si="16"/>
        <v>18000000</v>
      </c>
      <c r="W36" s="400">
        <v>0.0044491256677156536</v>
      </c>
      <c r="X36" s="51">
        <v>0.005196182235114404</v>
      </c>
      <c r="Y36" s="51">
        <v>0.005943238802513157</v>
      </c>
      <c r="Z36" s="51">
        <v>0.006690295369911912</v>
      </c>
      <c r="AA36" s="51">
        <v>0.007437351937310663</v>
      </c>
      <c r="AB36" s="51">
        <v>0.008184408504709416</v>
      </c>
      <c r="AC36" s="150">
        <v>0.00893146507210817</v>
      </c>
    </row>
    <row r="37">
      <c r="A37" s="110"/>
      <c r="B37" s="93">
        <f t="shared" si="17"/>
        <v>20000000</v>
      </c>
      <c r="C37" s="288">
        <v>0.04013216069871692</v>
      </c>
      <c r="D37" s="14">
        <v>0.045261435807891444</v>
      </c>
      <c r="E37" s="14">
        <v>0.050390710917065956</v>
      </c>
      <c r="F37" s="14">
        <v>0.055519986026240496</v>
      </c>
      <c r="G37" s="14">
        <v>0.060649261135415</v>
      </c>
      <c r="H37" s="14">
        <v>0.06577853624458953</v>
      </c>
      <c r="I37" s="120">
        <v>0.07090781135376406</v>
      </c>
      <c r="J37" s="51"/>
      <c r="K37" s="110"/>
      <c r="L37" s="93">
        <f t="shared" si="18"/>
        <v>20000000</v>
      </c>
      <c r="M37" s="400">
        <v>0.005039787293796583</v>
      </c>
      <c r="N37" s="51">
        <v>0.0058272540584523</v>
      </c>
      <c r="O37" s="51">
        <v>0.006614720823108018</v>
      </c>
      <c r="P37" s="51">
        <v>0.007402187587763733</v>
      </c>
      <c r="Q37" s="51">
        <v>0.008189654352419447</v>
      </c>
      <c r="R37" s="51">
        <v>0.008977121117075165</v>
      </c>
      <c r="S37" s="150">
        <v>0.009764587881730883</v>
      </c>
      <c r="T37" s="51"/>
      <c r="U37" s="110"/>
      <c r="V37" s="103">
        <f t="shared" si="16"/>
        <v>20000000</v>
      </c>
      <c r="W37" s="400">
        <v>0.00470775093016022</v>
      </c>
      <c r="X37" s="51">
        <v>0.005495217694815936</v>
      </c>
      <c r="Y37" s="51">
        <v>0.006282684459471654</v>
      </c>
      <c r="Z37" s="51">
        <v>0.00707015122412737</v>
      </c>
      <c r="AA37" s="51">
        <v>0.007857617988783084</v>
      </c>
      <c r="AB37" s="51">
        <v>0.008645084753438802</v>
      </c>
      <c r="AC37" s="150">
        <v>0.009432551518094518</v>
      </c>
    </row>
    <row r="38">
      <c r="A38" s="110"/>
      <c r="B38" s="93">
        <f t="shared" si="17"/>
        <v>22000000</v>
      </c>
      <c r="C38" s="288">
        <v>0.03794038760262492</v>
      </c>
      <c r="D38" s="14">
        <v>0.04283095952917141</v>
      </c>
      <c r="E38" s="14">
        <v>0.047721531455717905</v>
      </c>
      <c r="F38" s="14">
        <v>0.05261210338226442</v>
      </c>
      <c r="G38" s="14">
        <v>0.057502675308810924</v>
      </c>
      <c r="H38" s="14">
        <v>0.06239324723535742</v>
      </c>
      <c r="I38" s="120">
        <v>0.06728381916190394</v>
      </c>
      <c r="J38" s="417"/>
      <c r="K38" s="110"/>
      <c r="L38" s="93">
        <f t="shared" si="18"/>
        <v>22000000</v>
      </c>
      <c r="M38" s="400">
        <v>0.005285773506629361</v>
      </c>
      <c r="N38" s="51">
        <v>0.006111675617040197</v>
      </c>
      <c r="O38" s="51">
        <v>0.006937577727451034</v>
      </c>
      <c r="P38" s="51">
        <v>0.007763479837861873</v>
      </c>
      <c r="Q38" s="51">
        <v>0.008589381948272712</v>
      </c>
      <c r="R38" s="51">
        <v>0.009415284058683545</v>
      </c>
      <c r="S38" s="150">
        <v>0.010241186169094387</v>
      </c>
      <c r="T38" s="417"/>
      <c r="U38" s="110"/>
      <c r="V38" s="103">
        <f t="shared" si="16"/>
        <v>22000000</v>
      </c>
      <c r="W38" s="400">
        <v>0.004953737142992997</v>
      </c>
      <c r="X38" s="51">
        <v>0.005779639253403834</v>
      </c>
      <c r="Y38" s="51">
        <v>0.00660554136381467</v>
      </c>
      <c r="Z38" s="51">
        <v>0.00743144347422551</v>
      </c>
      <c r="AA38" s="51">
        <v>0.008257345584636349</v>
      </c>
      <c r="AB38" s="51">
        <v>0.009083247695047182</v>
      </c>
      <c r="AC38" s="150">
        <v>0.009909149805458024</v>
      </c>
    </row>
    <row r="39">
      <c r="A39" s="110"/>
      <c r="B39" s="93">
        <f t="shared" si="17"/>
        <v>24000000</v>
      </c>
      <c r="C39" s="288">
        <v>0.036054476596743025</v>
      </c>
      <c r="D39" s="14">
        <v>0.04073684273165079</v>
      </c>
      <c r="E39" s="14">
        <v>0.045419208866558536</v>
      </c>
      <c r="F39" s="14">
        <v>0.0501015750014663</v>
      </c>
      <c r="G39" s="14">
        <v>0.05478394113637408</v>
      </c>
      <c r="H39" s="14">
        <v>0.059466307271281854</v>
      </c>
      <c r="I39" s="120">
        <v>0.0641486734061896</v>
      </c>
      <c r="J39" s="51"/>
      <c r="K39" s="110"/>
      <c r="L39" s="93">
        <f t="shared" si="18"/>
        <v>24000000</v>
      </c>
      <c r="M39" s="400">
        <v>0.005520810371680611</v>
      </c>
      <c r="N39" s="51">
        <v>0.006383436992255707</v>
      </c>
      <c r="O39" s="51">
        <v>0.007246063612830799</v>
      </c>
      <c r="P39" s="51">
        <v>0.008108690233405897</v>
      </c>
      <c r="Q39" s="51">
        <v>0.008971316853980992</v>
      </c>
      <c r="R39" s="51">
        <v>0.009833943474556087</v>
      </c>
      <c r="S39" s="150">
        <v>0.010696570095131185</v>
      </c>
      <c r="T39" s="51"/>
      <c r="U39" s="110"/>
      <c r="V39" s="103">
        <f t="shared" si="16"/>
        <v>24000000</v>
      </c>
      <c r="W39" s="400">
        <v>0.005188774008044247</v>
      </c>
      <c r="X39" s="51">
        <v>0.006051400628619343</v>
      </c>
      <c r="Y39" s="51">
        <v>0.006914027249194435</v>
      </c>
      <c r="Z39" s="51">
        <v>0.007776653869769533</v>
      </c>
      <c r="AA39" s="51">
        <v>0.008639280490344629</v>
      </c>
      <c r="AB39" s="51">
        <v>0.009501907110919723</v>
      </c>
      <c r="AC39" s="150">
        <v>0.01036453373149482</v>
      </c>
    </row>
    <row r="40">
      <c r="A40" s="110"/>
      <c r="B40" s="93">
        <f t="shared" si="17"/>
        <v>26000000</v>
      </c>
      <c r="C40" s="398">
        <v>0.034410576876571</v>
      </c>
      <c r="D40" s="397">
        <v>0.03890924874430446</v>
      </c>
      <c r="E40" s="397">
        <v>0.04340792061203791</v>
      </c>
      <c r="F40" s="397">
        <v>0.04790659247977135</v>
      </c>
      <c r="G40" s="397">
        <v>0.0524052643475048</v>
      </c>
      <c r="H40" s="397">
        <v>0.056903936215238246</v>
      </c>
      <c r="I40" s="399">
        <v>0.06140260808297171</v>
      </c>
      <c r="J40" s="51"/>
      <c r="K40" s="110"/>
      <c r="L40" s="93">
        <f t="shared" si="18"/>
        <v>26000000</v>
      </c>
      <c r="M40" s="398">
        <v>0.005746241620113755</v>
      </c>
      <c r="N40" s="397">
        <v>0.006644091873256529</v>
      </c>
      <c r="O40" s="397">
        <v>0.007541942126399303</v>
      </c>
      <c r="P40" s="397">
        <v>0.008439792379542078</v>
      </c>
      <c r="Q40" s="397">
        <v>0.009337642632684849</v>
      </c>
      <c r="R40" s="397">
        <v>0.010235492885827625</v>
      </c>
      <c r="S40" s="399">
        <v>0.011133343138970398</v>
      </c>
      <c r="T40" s="51"/>
      <c r="U40" s="110"/>
      <c r="V40" s="103">
        <f t="shared" si="16"/>
        <v>26000000</v>
      </c>
      <c r="W40" s="398">
        <v>0.005414205256477391</v>
      </c>
      <c r="X40" s="397">
        <v>0.006312055509620165</v>
      </c>
      <c r="Y40" s="397">
        <v>0.00720990576276294</v>
      </c>
      <c r="Z40" s="397">
        <v>0.008107756015905715</v>
      </c>
      <c r="AA40" s="397">
        <v>0.009005606269048486</v>
      </c>
      <c r="AB40" s="397">
        <v>0.00990345652219126</v>
      </c>
      <c r="AC40" s="399">
        <v>0.010801306775334035</v>
      </c>
    </row>
    <row r="41">
      <c r="A41" s="110"/>
      <c r="B41" s="93">
        <f t="shared" si="17"/>
        <v>28000000</v>
      </c>
      <c r="C41" s="288">
        <v>0.03296189785174258</v>
      </c>
      <c r="D41" s="14">
        <v>0.03729692653393451</v>
      </c>
      <c r="E41" s="14">
        <v>0.04163195521612642</v>
      </c>
      <c r="F41" s="14">
        <v>0.04596698389831835</v>
      </c>
      <c r="G41" s="14">
        <v>0.050302012580510265</v>
      </c>
      <c r="H41" s="14">
        <v>0.05463704126270219</v>
      </c>
      <c r="I41" s="120">
        <v>0.058972069944894095</v>
      </c>
      <c r="J41" s="51"/>
      <c r="K41" s="110"/>
      <c r="L41" s="93">
        <f t="shared" si="18"/>
        <v>28000000</v>
      </c>
      <c r="M41" s="400">
        <v>0.005963156743990459</v>
      </c>
      <c r="N41" s="51">
        <v>0.006894899985238969</v>
      </c>
      <c r="O41" s="51">
        <v>0.007826643226487478</v>
      </c>
      <c r="P41" s="51">
        <v>0.008758386467735989</v>
      </c>
      <c r="Q41" s="51">
        <v>0.009690129708984495</v>
      </c>
      <c r="R41" s="51">
        <v>0.010621872950233004</v>
      </c>
      <c r="S41" s="150">
        <v>0.01155361619148151</v>
      </c>
      <c r="T41" s="51"/>
      <c r="U41" s="110"/>
      <c r="V41" s="103">
        <f t="shared" si="16"/>
        <v>28000000</v>
      </c>
      <c r="W41" s="400">
        <v>0.005631120380354096</v>
      </c>
      <c r="X41" s="51">
        <v>0.006562863621602606</v>
      </c>
      <c r="Y41" s="51">
        <v>0.0074946068628511135</v>
      </c>
      <c r="Z41" s="51">
        <v>0.008426350104099624</v>
      </c>
      <c r="AA41" s="51">
        <v>0.00935809334534813</v>
      </c>
      <c r="AB41" s="51">
        <v>0.010289836586596641</v>
      </c>
      <c r="AC41" s="150">
        <v>0.011221579827845147</v>
      </c>
    </row>
    <row r="42">
      <c r="A42" s="110"/>
      <c r="B42" s="93">
        <f t="shared" si="17"/>
        <v>30000000</v>
      </c>
      <c r="C42" s="288">
        <v>0.03167329443805024</v>
      </c>
      <c r="D42" s="14">
        <v>0.03586133002732893</v>
      </c>
      <c r="E42" s="14">
        <v>0.04004936561660761</v>
      </c>
      <c r="F42" s="14">
        <v>0.0442374012058863</v>
      </c>
      <c r="G42" s="14">
        <v>0.048425436795164985</v>
      </c>
      <c r="H42" s="14">
        <v>0.05261347238444368</v>
      </c>
      <c r="I42" s="120">
        <v>0.05680150797372235</v>
      </c>
      <c r="J42" s="51"/>
      <c r="K42" s="110"/>
      <c r="L42" s="93">
        <f t="shared" si="18"/>
        <v>30000000</v>
      </c>
      <c r="M42" s="400">
        <v>0.006172453640981862</v>
      </c>
      <c r="N42" s="51">
        <v>0.007136899522385279</v>
      </c>
      <c r="O42" s="51">
        <v>0.008101345403788693</v>
      </c>
      <c r="P42" s="51">
        <v>0.00906579128519211</v>
      </c>
      <c r="Q42" s="51">
        <v>0.010030237166595526</v>
      </c>
      <c r="R42" s="51">
        <v>0.01099468304799894</v>
      </c>
      <c r="S42" s="150">
        <v>0.011959128929402358</v>
      </c>
      <c r="T42" s="51"/>
      <c r="U42" s="110"/>
      <c r="V42" s="103">
        <f t="shared" si="16"/>
        <v>30000000</v>
      </c>
      <c r="W42" s="400">
        <v>0.005840417277345499</v>
      </c>
      <c r="X42" s="51">
        <v>0.006804863158748915</v>
      </c>
      <c r="Y42" s="51">
        <v>0.007769309040152329</v>
      </c>
      <c r="Z42" s="51">
        <v>0.008733754921555746</v>
      </c>
      <c r="AA42" s="51">
        <v>0.009698200802959163</v>
      </c>
      <c r="AB42" s="51">
        <v>0.010662646684362577</v>
      </c>
      <c r="AC42" s="150">
        <v>0.011627092565765993</v>
      </c>
    </row>
    <row r="43">
      <c r="A43" s="110"/>
      <c r="B43" s="93">
        <f t="shared" si="17"/>
        <v>32000000</v>
      </c>
      <c r="C43" s="288">
        <v>0.030517807344960495</v>
      </c>
      <c r="D43" s="14">
        <v>0.03457285536761057</v>
      </c>
      <c r="E43" s="14">
        <v>0.03862790339026064</v>
      </c>
      <c r="F43" s="14">
        <v>0.04268295141291072</v>
      </c>
      <c r="G43" s="14">
        <v>0.04673799943556079</v>
      </c>
      <c r="H43" s="14">
        <v>0.050793047458210894</v>
      </c>
      <c r="I43" s="120">
        <v>0.05484809548086095</v>
      </c>
      <c r="J43" s="51"/>
      <c r="K43" s="110"/>
      <c r="L43" s="93">
        <f t="shared" si="18"/>
        <v>32000000</v>
      </c>
      <c r="M43" s="400">
        <v>0.006374882708469358</v>
      </c>
      <c r="N43" s="51">
        <v>0.0073709581316676945</v>
      </c>
      <c r="O43" s="51">
        <v>0.00836703355486603</v>
      </c>
      <c r="P43" s="51">
        <v>0.009363108978064368</v>
      </c>
      <c r="Q43" s="51">
        <v>0.010359184401262702</v>
      </c>
      <c r="R43" s="51">
        <v>0.01135525982446104</v>
      </c>
      <c r="S43" s="150">
        <v>0.012351335247659377</v>
      </c>
      <c r="T43" s="51"/>
      <c r="U43" s="110"/>
      <c r="V43" s="103">
        <f t="shared" si="16"/>
        <v>32000000</v>
      </c>
      <c r="W43" s="400">
        <v>0.006042846344832995</v>
      </c>
      <c r="X43" s="51">
        <v>0.0070389217680313304</v>
      </c>
      <c r="Y43" s="51">
        <v>0.008034997191229666</v>
      </c>
      <c r="Z43" s="51">
        <v>0.009031072614428003</v>
      </c>
      <c r="AA43" s="51">
        <v>0.010027148037626337</v>
      </c>
      <c r="AB43" s="51">
        <v>0.011023223460824677</v>
      </c>
      <c r="AC43" s="150">
        <v>0.012019298884023012</v>
      </c>
    </row>
    <row r="44">
      <c r="A44" s="110"/>
      <c r="B44" s="93">
        <f t="shared" si="17"/>
        <v>34000000</v>
      </c>
      <c r="C44" s="288">
        <v>0.029474377508650618</v>
      </c>
      <c r="D44" s="14">
        <v>0.03340835193555375</v>
      </c>
      <c r="E44" s="14">
        <v>0.03734232636245688</v>
      </c>
      <c r="F44" s="14">
        <v>0.04127630078936</v>
      </c>
      <c r="G44" s="14">
        <v>0.045210275216263154</v>
      </c>
      <c r="H44" s="14">
        <v>0.04914424964316628</v>
      </c>
      <c r="I44" s="120">
        <v>0.05307822407006941</v>
      </c>
      <c r="J44" s="51"/>
      <c r="K44" s="110"/>
      <c r="L44" s="93">
        <f t="shared" si="18"/>
        <v>34000000</v>
      </c>
      <c r="M44" s="400">
        <v>0.006571078689485687</v>
      </c>
      <c r="N44" s="51">
        <v>0.007597809734717827</v>
      </c>
      <c r="O44" s="51">
        <v>0.008624540779949966</v>
      </c>
      <c r="P44" s="51">
        <v>0.009651271825182101</v>
      </c>
      <c r="Q44" s="51">
        <v>0.010678002870414243</v>
      </c>
      <c r="R44" s="51">
        <v>0.011704733915646384</v>
      </c>
      <c r="S44" s="150">
        <v>0.012731464960878522</v>
      </c>
      <c r="T44" s="51"/>
      <c r="U44" s="110"/>
      <c r="V44" s="103">
        <f t="shared" si="16"/>
        <v>34000000</v>
      </c>
      <c r="W44" s="400">
        <v>0.006239042325849323</v>
      </c>
      <c r="X44" s="51">
        <v>0.007265773371081464</v>
      </c>
      <c r="Y44" s="51">
        <v>0.008292504416313603</v>
      </c>
      <c r="Z44" s="51">
        <v>0.009319235461545738</v>
      </c>
      <c r="AA44" s="51">
        <v>0.01034596650677788</v>
      </c>
      <c r="AB44" s="51">
        <v>0.011372697552010019</v>
      </c>
      <c r="AC44" s="150">
        <v>0.012399428597242159</v>
      </c>
    </row>
    <row r="45">
      <c r="A45" s="110"/>
      <c r="B45" s="93">
        <f t="shared" si="17"/>
        <v>36000000</v>
      </c>
      <c r="C45" s="288">
        <v>0.028526292236967565</v>
      </c>
      <c r="D45" s="14">
        <v>0.03234942817677152</v>
      </c>
      <c r="E45" s="14">
        <v>0.03617256411657549</v>
      </c>
      <c r="F45" s="14">
        <v>0.039995700056379445</v>
      </c>
      <c r="G45" s="14">
        <v>0.04381883599618339</v>
      </c>
      <c r="H45" s="14">
        <v>0.04764197193598736</v>
      </c>
      <c r="I45" s="120">
        <v>0.05146510787579133</v>
      </c>
      <c r="J45" s="227"/>
      <c r="K45" s="110"/>
      <c r="L45" s="93">
        <f t="shared" si="18"/>
        <v>36000000</v>
      </c>
      <c r="M45" s="400">
        <v>0.006761584188641318</v>
      </c>
      <c r="N45" s="51">
        <v>0.007818081718116527</v>
      </c>
      <c r="O45" s="51">
        <v>0.008874579247591734</v>
      </c>
      <c r="P45" s="51">
        <v>0.009931076777066936</v>
      </c>
      <c r="Q45" s="51">
        <v>0.010987574306542144</v>
      </c>
      <c r="R45" s="51">
        <v>0.012044071836017349</v>
      </c>
      <c r="S45" s="150">
        <v>0.013100569365492554</v>
      </c>
      <c r="T45" s="227"/>
      <c r="U45" s="110"/>
      <c r="V45" s="103">
        <f t="shared" si="16"/>
        <v>36000000</v>
      </c>
      <c r="W45" s="400">
        <v>0.006429547825004954</v>
      </c>
      <c r="X45" s="51">
        <v>0.007486045354480163</v>
      </c>
      <c r="Y45" s="51">
        <v>0.008542542883955371</v>
      </c>
      <c r="Z45" s="51">
        <v>0.009599040413430572</v>
      </c>
      <c r="AA45" s="51">
        <v>0.010655537942905781</v>
      </c>
      <c r="AB45" s="51">
        <v>0.011712035472380986</v>
      </c>
      <c r="AC45" s="150">
        <v>0.01276853300185619</v>
      </c>
    </row>
    <row r="46">
      <c r="A46" s="110"/>
      <c r="B46" s="93">
        <f t="shared" si="17"/>
        <v>38000000</v>
      </c>
      <c r="C46" s="288">
        <v>0.027660102119661297</v>
      </c>
      <c r="D46" s="14">
        <v>0.03138126939164784</v>
      </c>
      <c r="E46" s="14">
        <v>0.03510243666363439</v>
      </c>
      <c r="F46" s="14">
        <v>0.03882360393562095</v>
      </c>
      <c r="G46" s="14">
        <v>0.042544771207607496</v>
      </c>
      <c r="H46" s="14">
        <v>0.04626593847959405</v>
      </c>
      <c r="I46" s="120">
        <v>0.0499871057515806</v>
      </c>
      <c r="J46" s="51"/>
      <c r="K46" s="110"/>
      <c r="L46" s="93">
        <f t="shared" si="18"/>
        <v>38000000</v>
      </c>
      <c r="M46" s="400">
        <v>0.006946867375785697</v>
      </c>
      <c r="N46" s="51">
        <v>0.008032315403252211</v>
      </c>
      <c r="O46" s="51">
        <v>0.009117763430718726</v>
      </c>
      <c r="P46" s="51">
        <v>0.010203211458185242</v>
      </c>
      <c r="Q46" s="51">
        <v>0.011288659485651754</v>
      </c>
      <c r="R46" s="51">
        <v>0.01237410751311827</v>
      </c>
      <c r="S46" s="150">
        <v>0.013459555540584783</v>
      </c>
      <c r="T46" s="51"/>
      <c r="U46" s="110"/>
      <c r="V46" s="103">
        <f t="shared" si="16"/>
        <v>38000000</v>
      </c>
      <c r="W46" s="400">
        <v>0.006614831012149333</v>
      </c>
      <c r="X46" s="51">
        <v>0.007700279039615847</v>
      </c>
      <c r="Y46" s="51">
        <v>0.008785727067082362</v>
      </c>
      <c r="Z46" s="51">
        <v>0.009871175094548877</v>
      </c>
      <c r="AA46" s="51">
        <v>0.01095662312201539</v>
      </c>
      <c r="AB46" s="51">
        <v>0.012042071149481907</v>
      </c>
      <c r="AC46" s="150">
        <v>0.01312751917694842</v>
      </c>
    </row>
    <row r="47">
      <c r="A47" s="110"/>
      <c r="B47" s="93">
        <f t="shared" si="17"/>
        <v>40000000</v>
      </c>
      <c r="C47" s="288">
        <v>0.0268648493585195</v>
      </c>
      <c r="D47" s="14">
        <v>0.030491794570788176</v>
      </c>
      <c r="E47" s="14">
        <v>0.034118739783056844</v>
      </c>
      <c r="F47" s="14">
        <v>0.03774568499532552</v>
      </c>
      <c r="G47" s="14">
        <v>0.041372630207594185</v>
      </c>
      <c r="H47" s="14">
        <v>0.04499957541986285</v>
      </c>
      <c r="I47" s="120">
        <v>0.048626520632131534</v>
      </c>
      <c r="J47" s="51"/>
      <c r="K47" s="110"/>
      <c r="L47" s="93">
        <f t="shared" si="18"/>
        <v>40000000</v>
      </c>
      <c r="M47" s="400">
        <v>0.007127335542362727</v>
      </c>
      <c r="N47" s="51">
        <v>0.008240981720856903</v>
      </c>
      <c r="O47" s="51">
        <v>0.00935462789935108</v>
      </c>
      <c r="P47" s="51">
        <v>0.01046827407784526</v>
      </c>
      <c r="Q47" s="51">
        <v>0.011581920256339435</v>
      </c>
      <c r="R47" s="51">
        <v>0.012695566434833607</v>
      </c>
      <c r="S47" s="150">
        <v>0.013809212613327786</v>
      </c>
      <c r="T47" s="51"/>
      <c r="U47" s="110"/>
      <c r="V47" s="103">
        <f t="shared" si="16"/>
        <v>40000000</v>
      </c>
      <c r="W47" s="400">
        <v>0.006795299178726364</v>
      </c>
      <c r="X47" s="51">
        <v>0.00790894535722054</v>
      </c>
      <c r="Y47" s="51">
        <v>0.009022591535714717</v>
      </c>
      <c r="Z47" s="51">
        <v>0.010136237714208894</v>
      </c>
      <c r="AA47" s="51">
        <v>0.011249883892703072</v>
      </c>
      <c r="AB47" s="51">
        <v>0.012363530071197244</v>
      </c>
      <c r="AC47" s="150">
        <v>0.013477176249691422</v>
      </c>
    </row>
    <row r="48">
      <c r="A48" s="110"/>
      <c r="B48" s="93">
        <f t="shared" ref="B48:B54" si="19">B47+10000000</f>
        <v>50000000</v>
      </c>
      <c r="C48" s="402">
        <v>0.023683765875968394</v>
      </c>
      <c r="D48" s="401">
        <v>0.02692780429408846</v>
      </c>
      <c r="E48" s="401">
        <v>0.03017184271220852</v>
      </c>
      <c r="F48" s="401">
        <v>0.03341588113032858</v>
      </c>
      <c r="G48" s="401">
        <v>0.03665991954844864</v>
      </c>
      <c r="H48" s="401">
        <v>0.03990395796656871</v>
      </c>
      <c r="I48" s="403">
        <v>0.043147996384688775</v>
      </c>
      <c r="J48" s="51"/>
      <c r="K48" s="110"/>
      <c r="L48" s="93">
        <f t="shared" ref="L48:L54" si="20">L47+10000000</f>
        <v>50000000</v>
      </c>
      <c r="M48" s="402">
        <v>0.007968603385586694</v>
      </c>
      <c r="N48" s="401">
        <v>0.009213697664584618</v>
      </c>
      <c r="O48" s="401">
        <v>0.010458791943582539</v>
      </c>
      <c r="P48" s="401">
        <v>0.011703886222580461</v>
      </c>
      <c r="Q48" s="401">
        <v>0.01294898050157838</v>
      </c>
      <c r="R48" s="401">
        <v>0.0141940747805763</v>
      </c>
      <c r="S48" s="403">
        <v>0.015439169059574225</v>
      </c>
      <c r="T48" s="51"/>
      <c r="U48" s="110"/>
      <c r="V48" s="103">
        <f t="shared" si="16"/>
        <v>50000000</v>
      </c>
      <c r="W48" s="402">
        <v>0.007636567021950331</v>
      </c>
      <c r="X48" s="401">
        <v>0.008881661300948255</v>
      </c>
      <c r="Y48" s="401">
        <v>0.010126755579946176</v>
      </c>
      <c r="Z48" s="401">
        <v>0.011371849858944096</v>
      </c>
      <c r="AA48" s="401">
        <v>0.012616944137942017</v>
      </c>
      <c r="AB48" s="401">
        <v>0.013862038416939938</v>
      </c>
      <c r="AC48" s="403">
        <v>0.015107132695937862</v>
      </c>
    </row>
    <row r="49">
      <c r="A49" s="110"/>
      <c r="B49" s="93">
        <f t="shared" si="19"/>
        <v>60000000</v>
      </c>
      <c r="C49" s="288">
        <v>0.02138781886952249</v>
      </c>
      <c r="D49" s="14">
        <v>0.024349207234552056</v>
      </c>
      <c r="E49" s="14">
        <v>0.027310595599581603</v>
      </c>
      <c r="F49" s="14">
        <v>0.030271983964611164</v>
      </c>
      <c r="G49" s="14">
        <v>0.03323337232964072</v>
      </c>
      <c r="H49" s="14">
        <v>0.03619476069467027</v>
      </c>
      <c r="I49" s="120">
        <v>0.039156149059699816</v>
      </c>
      <c r="J49" s="51"/>
      <c r="K49" s="110"/>
      <c r="L49" s="93">
        <f t="shared" si="20"/>
        <v>60000000</v>
      </c>
      <c r="M49" s="400">
        <v>0.008729167652195741</v>
      </c>
      <c r="N49" s="51">
        <v>0.010093100097851328</v>
      </c>
      <c r="O49" s="51">
        <v>0.011457032543506912</v>
      </c>
      <c r="P49" s="51">
        <v>0.012820964989162494</v>
      </c>
      <c r="Q49" s="51">
        <v>0.014184897434818078</v>
      </c>
      <c r="R49" s="51">
        <v>0.015548829880473661</v>
      </c>
      <c r="S49" s="150">
        <v>0.01691276232612925</v>
      </c>
      <c r="T49" s="51"/>
      <c r="U49" s="110"/>
      <c r="V49" s="103">
        <f t="shared" si="16"/>
        <v>60000000</v>
      </c>
      <c r="W49" s="400">
        <v>0.008397131288559376</v>
      </c>
      <c r="X49" s="51">
        <v>0.009761063734214965</v>
      </c>
      <c r="Y49" s="51">
        <v>0.011124996179870547</v>
      </c>
      <c r="Z49" s="51">
        <v>0.01248892862552613</v>
      </c>
      <c r="AA49" s="51">
        <v>0.013852861071181714</v>
      </c>
      <c r="AB49" s="51">
        <v>0.015216793516837298</v>
      </c>
      <c r="AC49" s="150">
        <v>0.016580725962492885</v>
      </c>
    </row>
    <row r="50">
      <c r="A50" s="110"/>
      <c r="B50" s="93">
        <f t="shared" si="19"/>
        <v>70000000</v>
      </c>
      <c r="C50" s="288">
        <v>0.01963404809237811</v>
      </c>
      <c r="D50" s="14">
        <v>0.02237576096395505</v>
      </c>
      <c r="E50" s="14">
        <v>0.025117473835531985</v>
      </c>
      <c r="F50" s="14">
        <v>0.027859186707108925</v>
      </c>
      <c r="G50" s="14">
        <v>0.030600899578685854</v>
      </c>
      <c r="H50" s="14">
        <v>0.03334261245026279</v>
      </c>
      <c r="I50" s="120">
        <v>0.03608432532183973</v>
      </c>
      <c r="J50" s="51"/>
      <c r="K50" s="110"/>
      <c r="L50" s="93">
        <f t="shared" si="20"/>
        <v>70000000</v>
      </c>
      <c r="M50" s="400">
        <v>0.00942857867780172</v>
      </c>
      <c r="N50" s="51">
        <v>0.01090179409620824</v>
      </c>
      <c r="O50" s="51">
        <v>0.01237500951461476</v>
      </c>
      <c r="P50" s="51">
        <v>0.013848224933021283</v>
      </c>
      <c r="Q50" s="51">
        <v>0.015321440351427795</v>
      </c>
      <c r="R50" s="51">
        <v>0.01679465576983432</v>
      </c>
      <c r="S50" s="150">
        <v>0.018267871188240834</v>
      </c>
      <c r="T50" s="51"/>
      <c r="U50" s="110"/>
      <c r="V50" s="103">
        <f t="shared" si="16"/>
        <v>70000000</v>
      </c>
      <c r="W50" s="400">
        <v>0.009096542314165356</v>
      </c>
      <c r="X50" s="51">
        <v>0.010569757732571877</v>
      </c>
      <c r="Y50" s="51">
        <v>0.012042973150978397</v>
      </c>
      <c r="Z50" s="51">
        <v>0.01351618856938492</v>
      </c>
      <c r="AA50" s="51">
        <v>0.014989403987791432</v>
      </c>
      <c r="AB50" s="51">
        <v>0.016462619406197955</v>
      </c>
      <c r="AC50" s="150">
        <v>0.017935834824604473</v>
      </c>
    </row>
    <row r="51">
      <c r="A51" s="110"/>
      <c r="B51" s="93">
        <f t="shared" si="19"/>
        <v>80000000</v>
      </c>
      <c r="C51" s="425">
        <v>0.01823988034935846</v>
      </c>
      <c r="D51" s="426">
        <v>0.020804517903945722</v>
      </c>
      <c r="E51" s="426">
        <v>0.023369155458532978</v>
      </c>
      <c r="F51" s="426">
        <v>0.025933793013120245</v>
      </c>
      <c r="G51" s="426">
        <v>0.028498430567707497</v>
      </c>
      <c r="H51" s="426">
        <v>0.03106306812229476</v>
      </c>
      <c r="I51" s="427">
        <v>0.03362770567688202</v>
      </c>
      <c r="J51" s="51"/>
      <c r="K51" s="110"/>
      <c r="L51" s="93">
        <f t="shared" si="20"/>
        <v>80000000</v>
      </c>
      <c r="M51" s="398">
        <v>0.010079574587593166</v>
      </c>
      <c r="N51" s="397">
        <v>0.0116545081169046</v>
      </c>
      <c r="O51" s="397">
        <v>0.013229441646216035</v>
      </c>
      <c r="P51" s="397">
        <v>0.014804375175527466</v>
      </c>
      <c r="Q51" s="397">
        <v>0.016379308704838894</v>
      </c>
      <c r="R51" s="397">
        <v>0.01795424223415033</v>
      </c>
      <c r="S51" s="399">
        <v>0.019529175763461765</v>
      </c>
      <c r="T51" s="51"/>
      <c r="U51" s="110"/>
      <c r="V51" s="103">
        <f t="shared" si="16"/>
        <v>80000000</v>
      </c>
      <c r="W51" s="398">
        <v>0.009747538223956803</v>
      </c>
      <c r="X51" s="397">
        <v>0.011322471753268237</v>
      </c>
      <c r="Y51" s="397">
        <v>0.012897405282579672</v>
      </c>
      <c r="Z51" s="397">
        <v>0.014472338811891102</v>
      </c>
      <c r="AA51" s="397">
        <v>0.016047272341202533</v>
      </c>
      <c r="AB51" s="397">
        <v>0.01762220587051397</v>
      </c>
      <c r="AC51" s="399">
        <v>0.0191971393998254</v>
      </c>
    </row>
    <row r="52">
      <c r="A52" s="110"/>
      <c r="B52" s="93">
        <f t="shared" si="19"/>
        <v>90000000</v>
      </c>
      <c r="C52" s="288">
        <v>0.01709825512790189</v>
      </c>
      <c r="D52" s="14">
        <v>0.01951621860274767</v>
      </c>
      <c r="E52" s="14">
        <v>0.021934182077593446</v>
      </c>
      <c r="F52" s="14">
        <v>0.02435214555243923</v>
      </c>
      <c r="G52" s="14">
        <v>0.026770109027285015</v>
      </c>
      <c r="H52" s="14">
        <v>0.029188072502130798</v>
      </c>
      <c r="I52" s="120">
        <v>0.031606035976976574</v>
      </c>
      <c r="J52" s="51"/>
      <c r="K52" s="110"/>
      <c r="L52" s="93">
        <f t="shared" si="20"/>
        <v>90000000</v>
      </c>
      <c r="M52" s="400">
        <v>0.010691003313544094</v>
      </c>
      <c r="N52" s="51">
        <v>0.012361472581285355</v>
      </c>
      <c r="O52" s="51">
        <v>0.014031941849026617</v>
      </c>
      <c r="P52" s="51">
        <v>0.015702411116767883</v>
      </c>
      <c r="Q52" s="51">
        <v>0.01737288038450915</v>
      </c>
      <c r="R52" s="51">
        <v>0.01904334965225041</v>
      </c>
      <c r="S52" s="150">
        <v>0.02071381891999167</v>
      </c>
      <c r="T52" s="51"/>
      <c r="U52" s="110"/>
      <c r="V52" s="103">
        <f t="shared" si="16"/>
        <v>90000000</v>
      </c>
      <c r="W52" s="400">
        <v>0.010358966949907731</v>
      </c>
      <c r="X52" s="51">
        <v>0.012029436217648992</v>
      </c>
      <c r="Y52" s="51">
        <v>0.013699905485390254</v>
      </c>
      <c r="Z52" s="51">
        <v>0.01537037475313152</v>
      </c>
      <c r="AA52" s="51">
        <v>0.017040844020872786</v>
      </c>
      <c r="AB52" s="51">
        <v>0.01871131328861405</v>
      </c>
      <c r="AC52" s="150">
        <v>0.02038178255635531</v>
      </c>
    </row>
    <row r="53">
      <c r="A53" s="110"/>
      <c r="B53" s="93">
        <f t="shared" si="19"/>
        <v>100000000</v>
      </c>
      <c r="C53" s="288">
        <v>0.016141802008847208</v>
      </c>
      <c r="D53" s="14">
        <v>0.018435683572729587</v>
      </c>
      <c r="E53" s="14">
        <v>0.020729565136611956</v>
      </c>
      <c r="F53" s="14">
        <v>0.02302344670049434</v>
      </c>
      <c r="G53" s="14">
        <v>0.02531732826437672</v>
      </c>
      <c r="H53" s="14">
        <v>0.02761120982825908</v>
      </c>
      <c r="I53" s="120">
        <v>0.029905091392141467</v>
      </c>
      <c r="J53" s="428"/>
      <c r="K53" s="110"/>
      <c r="L53" s="93">
        <f t="shared" si="20"/>
        <v>100000000</v>
      </c>
      <c r="M53" s="400">
        <v>0.011269306981068865</v>
      </c>
      <c r="N53" s="51">
        <v>0.013030136196860876</v>
      </c>
      <c r="O53" s="51">
        <v>0.014790965412652884</v>
      </c>
      <c r="P53" s="51">
        <v>0.016551794628444895</v>
      </c>
      <c r="Q53" s="51">
        <v>0.018312623844236913</v>
      </c>
      <c r="R53" s="51">
        <v>0.020073453060028914</v>
      </c>
      <c r="S53" s="150">
        <v>0.021834282275820925</v>
      </c>
      <c r="T53" s="428"/>
      <c r="U53" s="110"/>
      <c r="V53" s="103">
        <f t="shared" si="16"/>
        <v>100000000</v>
      </c>
      <c r="W53" s="400">
        <v>0.0109372706174325</v>
      </c>
      <c r="X53" s="51">
        <v>0.012698099833224513</v>
      </c>
      <c r="Y53" s="51">
        <v>0.01445892904901652</v>
      </c>
      <c r="Z53" s="51">
        <v>0.016219758264808534</v>
      </c>
      <c r="AA53" s="51">
        <v>0.01798058748060055</v>
      </c>
      <c r="AB53" s="51">
        <v>0.01974141669639255</v>
      </c>
      <c r="AC53" s="150">
        <v>0.021502245912184564</v>
      </c>
    </row>
    <row r="54">
      <c r="A54" s="146"/>
      <c r="B54" s="156">
        <f t="shared" si="19"/>
        <v>110000000</v>
      </c>
      <c r="C54" s="404">
        <v>0.015325779088606373</v>
      </c>
      <c r="D54" s="296">
        <v>0.017512909343928396</v>
      </c>
      <c r="E54" s="296">
        <v>0.019700039599250416</v>
      </c>
      <c r="F54" s="296">
        <v>0.021887169854572435</v>
      </c>
      <c r="G54" s="296">
        <v>0.024074300109894448</v>
      </c>
      <c r="H54" s="296">
        <v>0.02626143036521647</v>
      </c>
      <c r="I54" s="297">
        <v>0.02844856062053849</v>
      </c>
      <c r="J54" s="51"/>
      <c r="K54" s="146"/>
      <c r="L54" s="156">
        <f t="shared" si="20"/>
        <v>110000000</v>
      </c>
      <c r="M54" s="520">
        <v>0.011819348874490687</v>
      </c>
      <c r="N54" s="148">
        <v>0.013666122136129853</v>
      </c>
      <c r="O54" s="148">
        <v>0.015512895397769028</v>
      </c>
      <c r="P54" s="148">
        <v>0.017359668659408196</v>
      </c>
      <c r="Q54" s="148">
        <v>0.01920644192104736</v>
      </c>
      <c r="R54" s="148">
        <v>0.021053215182686536</v>
      </c>
      <c r="S54" s="149">
        <v>0.022899988444325704</v>
      </c>
      <c r="T54" s="51"/>
      <c r="U54" s="146"/>
      <c r="V54" s="279">
        <f t="shared" si="16"/>
        <v>110000000</v>
      </c>
      <c r="W54" s="520">
        <v>0.011487312510854324</v>
      </c>
      <c r="X54" s="148">
        <v>0.01333408577249349</v>
      </c>
      <c r="Y54" s="148">
        <v>0.015180859034132665</v>
      </c>
      <c r="Z54" s="148">
        <v>0.01702763229577183</v>
      </c>
      <c r="AA54" s="148">
        <v>0.018874405557411</v>
      </c>
      <c r="AB54" s="148">
        <v>0.020721178819050175</v>
      </c>
      <c r="AC54" s="149">
        <v>0.02256795208068934</v>
      </c>
    </row>
  </sheetData>
  <mergeCells count="12">
    <mergeCell ref="K30:S30"/>
    <mergeCell ref="U30:AC30"/>
    <mergeCell ref="A32:A54"/>
    <mergeCell ref="K32:K54"/>
    <mergeCell ref="U32:U54"/>
    <mergeCell ref="D2:L2"/>
    <mergeCell ref="Q2:Y2"/>
    <mergeCell ref="AD2:AL2"/>
    <mergeCell ref="A3:A26"/>
    <mergeCell ref="N3:N26"/>
    <mergeCell ref="AA3:AA26"/>
    <mergeCell ref="A30:I30"/>
  </mergeCells>
  <conditionalFormatting sqref="S48 AC48">
    <cfRule type="cellIs" dxfId="0" priority="1" operator="lessThan">
      <formula>"1.50%"</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38"/>
    <col customWidth="1" min="2" max="2" width="40.13"/>
    <col customWidth="1" min="4" max="4" width="2.25"/>
    <col customWidth="1" min="5" max="5" width="23.75"/>
    <col customWidth="1" min="6" max="6" width="16.88"/>
    <col customWidth="1" min="7" max="8" width="2.38"/>
    <col customWidth="1" min="9" max="9" width="6.25"/>
    <col customWidth="1" min="10" max="11" width="2.38"/>
    <col customWidth="1" min="12" max="12" width="40.38"/>
    <col customWidth="1" min="13" max="13" width="10.13"/>
    <col customWidth="1" min="14" max="14" width="2.38"/>
    <col customWidth="1" min="15" max="15" width="39.63"/>
    <col customWidth="1" min="16" max="16" width="8.75"/>
    <col customWidth="1" min="17" max="20" width="2.38"/>
    <col customWidth="1" min="21" max="21" width="3.63"/>
    <col customWidth="1" min="22" max="22" width="10.75"/>
    <col customWidth="1" min="23" max="23" width="6.5"/>
    <col customWidth="1" min="24" max="24" width="8.13"/>
    <col customWidth="1" min="25" max="26" width="6.75"/>
    <col customWidth="1" min="27" max="27" width="7.5"/>
    <col customWidth="1" min="28" max="31" width="6.75"/>
    <col customWidth="1" min="32" max="32" width="9.38"/>
    <col customWidth="1" min="33" max="33" width="7.63"/>
    <col customWidth="1" min="34" max="34" width="6.75"/>
    <col customWidth="1" min="35" max="35" width="10.0"/>
    <col customWidth="1" min="36" max="36" width="6.75"/>
    <col customWidth="1" min="37" max="37" width="10.75"/>
    <col customWidth="1" min="38" max="38" width="7.63"/>
    <col customWidth="1" min="39" max="39" width="6.75"/>
    <col customWidth="1" min="40" max="40" width="9.13"/>
    <col customWidth="1" min="41" max="41" width="6.75"/>
    <col customWidth="1" min="42" max="43" width="9.0"/>
    <col customWidth="1" min="44" max="44" width="6.75"/>
    <col customWidth="1" min="45" max="45" width="8.13"/>
    <col customWidth="1" min="46" max="47" width="6.75"/>
    <col customWidth="1" min="48" max="48" width="10.0"/>
    <col customWidth="1" min="49" max="49" width="6.75"/>
    <col customWidth="1" min="50" max="50" width="8.5"/>
    <col customWidth="1" min="51" max="53" width="6.75"/>
    <col customWidth="1" min="54" max="54" width="10.0"/>
    <col customWidth="1" min="55" max="61" width="6.75"/>
    <col customWidth="1" min="62" max="62" width="8.63"/>
    <col customWidth="1" min="63" max="112" width="6.75"/>
  </cols>
  <sheetData>
    <row r="1">
      <c r="A1" s="1"/>
      <c r="B1" s="1"/>
      <c r="C1" s="1"/>
      <c r="D1" s="1"/>
      <c r="F1" s="1"/>
    </row>
    <row r="2">
      <c r="D2" s="2"/>
      <c r="F2" s="521"/>
      <c r="G2" s="522"/>
      <c r="H2" s="522"/>
      <c r="I2" s="522"/>
      <c r="J2" s="522"/>
      <c r="K2" s="522"/>
      <c r="L2" s="522"/>
    </row>
    <row r="3">
      <c r="D3" s="2"/>
      <c r="F3" s="523" t="s">
        <v>0</v>
      </c>
      <c r="G3" s="522"/>
      <c r="H3" s="522"/>
      <c r="I3" s="522"/>
      <c r="J3" s="522"/>
      <c r="K3" s="522"/>
      <c r="L3" s="522"/>
    </row>
    <row r="4">
      <c r="D4" s="2"/>
      <c r="F4" s="523" t="s">
        <v>111</v>
      </c>
      <c r="G4" s="522"/>
      <c r="H4" s="522"/>
      <c r="I4" s="522"/>
      <c r="J4" s="522"/>
      <c r="K4" s="522"/>
      <c r="L4" s="522"/>
      <c r="P4" s="23"/>
      <c r="R4" s="524"/>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row>
    <row r="5" ht="52.5" customHeight="1">
      <c r="D5" s="2"/>
      <c r="P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row>
    <row r="6" ht="33.75" customHeight="1">
      <c r="B6" s="525" t="s">
        <v>112</v>
      </c>
      <c r="C6" s="526"/>
      <c r="D6" s="526"/>
      <c r="E6" s="526"/>
      <c r="F6" s="527"/>
      <c r="K6" s="525" t="s">
        <v>113</v>
      </c>
      <c r="L6" s="526"/>
      <c r="M6" s="526"/>
      <c r="N6" s="526"/>
      <c r="O6" s="527"/>
      <c r="P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row>
    <row r="7">
      <c r="B7" s="110"/>
      <c r="F7" s="78"/>
      <c r="K7" s="110"/>
      <c r="O7" s="78"/>
      <c r="P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row>
    <row r="8">
      <c r="B8" s="110"/>
      <c r="F8" s="78"/>
      <c r="K8" s="110"/>
      <c r="O8" s="78"/>
      <c r="P8" s="23"/>
      <c r="R8" s="23"/>
      <c r="S8" s="23"/>
      <c r="T8" s="23"/>
      <c r="U8" s="23"/>
      <c r="V8" s="23"/>
      <c r="W8" s="23"/>
      <c r="X8" s="23"/>
      <c r="Y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row>
    <row r="9">
      <c r="B9" s="110"/>
      <c r="F9" s="78"/>
      <c r="K9" s="146"/>
      <c r="L9" s="528"/>
      <c r="M9" s="528"/>
      <c r="N9" s="528"/>
      <c r="O9" s="529"/>
      <c r="P9" s="23"/>
      <c r="R9" s="23"/>
      <c r="S9" s="23"/>
      <c r="T9" s="23"/>
      <c r="U9" s="23"/>
      <c r="V9" s="23"/>
      <c r="W9" s="23"/>
      <c r="X9" s="23"/>
      <c r="Y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row>
    <row r="10">
      <c r="B10" s="110"/>
      <c r="F10" s="78"/>
      <c r="P10" s="23"/>
      <c r="R10" s="23"/>
      <c r="S10" s="23"/>
      <c r="T10" s="23"/>
      <c r="U10" s="23"/>
      <c r="V10" s="23"/>
      <c r="W10" s="23"/>
      <c r="X10" s="23"/>
      <c r="Y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row>
    <row r="11">
      <c r="B11" s="110"/>
      <c r="F11" s="78"/>
      <c r="K11" s="530" t="s">
        <v>114</v>
      </c>
      <c r="L11" s="526"/>
      <c r="M11" s="526"/>
      <c r="N11" s="526"/>
      <c r="O11" s="527"/>
      <c r="P11" s="23"/>
      <c r="R11" s="23"/>
      <c r="S11" s="23"/>
      <c r="T11" s="23"/>
      <c r="U11" s="23"/>
      <c r="V11" s="23"/>
      <c r="W11" s="23"/>
      <c r="X11" s="23"/>
      <c r="Y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row>
    <row r="12">
      <c r="B12" s="110"/>
      <c r="F12" s="78"/>
      <c r="K12" s="110"/>
      <c r="O12" s="78"/>
      <c r="P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row>
    <row r="13">
      <c r="B13" s="110"/>
      <c r="F13" s="78"/>
      <c r="K13" s="110"/>
      <c r="O13" s="78"/>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row>
    <row r="14">
      <c r="B14" s="146"/>
      <c r="C14" s="528"/>
      <c r="D14" s="528"/>
      <c r="E14" s="528"/>
      <c r="F14" s="529"/>
      <c r="K14" s="110"/>
      <c r="O14" s="78"/>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row>
    <row r="15">
      <c r="K15" s="110"/>
      <c r="O15" s="78"/>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row>
    <row r="16">
      <c r="K16" s="110"/>
      <c r="O16" s="78"/>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row>
    <row r="17">
      <c r="B17" s="531" t="s">
        <v>115</v>
      </c>
      <c r="C17" s="526"/>
      <c r="D17" s="526"/>
      <c r="E17" s="526"/>
      <c r="F17" s="527"/>
      <c r="K17" s="110"/>
      <c r="O17" s="78"/>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row>
    <row r="18">
      <c r="B18" s="110"/>
      <c r="F18" s="78"/>
      <c r="K18" s="110"/>
      <c r="O18" s="78"/>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row>
    <row r="19">
      <c r="B19" s="532" t="s">
        <v>116</v>
      </c>
      <c r="F19" s="78"/>
      <c r="K19" s="110"/>
      <c r="O19" s="78"/>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row>
    <row r="20">
      <c r="B20" s="110"/>
      <c r="F20" s="78"/>
      <c r="K20" s="110"/>
      <c r="O20" s="78"/>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row>
    <row r="21">
      <c r="B21" s="110"/>
      <c r="F21" s="78"/>
      <c r="K21" s="110"/>
      <c r="O21" s="78"/>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row>
    <row r="22">
      <c r="B22" s="110"/>
      <c r="F22" s="78"/>
      <c r="K22" s="146"/>
      <c r="L22" s="528"/>
      <c r="M22" s="528"/>
      <c r="N22" s="528"/>
      <c r="O22" s="529"/>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row>
    <row r="23">
      <c r="B23" s="533" t="s">
        <v>117</v>
      </c>
      <c r="F23" s="78"/>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row>
    <row r="24">
      <c r="B24" s="110"/>
      <c r="F24" s="78"/>
      <c r="K24" s="534" t="s">
        <v>118</v>
      </c>
      <c r="L24" s="526"/>
      <c r="M24" s="526"/>
      <c r="N24" s="526"/>
      <c r="O24" s="527"/>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row>
    <row r="25">
      <c r="B25" s="110"/>
      <c r="F25" s="78"/>
      <c r="K25" s="110"/>
      <c r="O25" s="78"/>
      <c r="R25" s="23"/>
      <c r="S25" s="23"/>
      <c r="T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row>
    <row r="26">
      <c r="B26" s="532" t="s">
        <v>119</v>
      </c>
      <c r="F26" s="78"/>
      <c r="K26" s="110"/>
      <c r="O26" s="78"/>
      <c r="R26" s="23"/>
      <c r="S26" s="23"/>
      <c r="T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row>
    <row r="27">
      <c r="B27" s="110"/>
      <c r="F27" s="78"/>
      <c r="K27" s="110"/>
      <c r="O27" s="78"/>
      <c r="R27" s="23"/>
      <c r="S27" s="23"/>
      <c r="T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row>
    <row r="28">
      <c r="B28" s="110"/>
      <c r="F28" s="78"/>
      <c r="K28" s="110"/>
      <c r="O28" s="78"/>
      <c r="R28" s="23"/>
      <c r="S28" s="23"/>
      <c r="T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row>
    <row r="29">
      <c r="B29" s="532" t="s">
        <v>120</v>
      </c>
      <c r="F29" s="78"/>
      <c r="K29" s="110"/>
      <c r="O29" s="78"/>
      <c r="R29" s="23"/>
      <c r="S29" s="23"/>
      <c r="T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row>
    <row r="30">
      <c r="B30" s="110"/>
      <c r="F30" s="78"/>
      <c r="K30" s="110"/>
      <c r="O30" s="78"/>
      <c r="R30" s="23"/>
      <c r="S30" s="23"/>
      <c r="T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row>
    <row r="31" ht="15.75" customHeight="1">
      <c r="B31" s="110"/>
      <c r="F31" s="78"/>
      <c r="K31" s="146"/>
      <c r="L31" s="528"/>
      <c r="M31" s="528"/>
      <c r="N31" s="528"/>
      <c r="O31" s="529"/>
      <c r="R31" s="23"/>
      <c r="S31" s="23"/>
      <c r="T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row>
    <row r="32" ht="17.25" customHeight="1">
      <c r="B32" s="533" t="s">
        <v>121</v>
      </c>
      <c r="F32" s="78"/>
      <c r="K32" s="535"/>
      <c r="L32" s="535"/>
      <c r="M32" s="535"/>
      <c r="N32" s="535"/>
      <c r="O32" s="535"/>
      <c r="P32" s="535"/>
      <c r="Q32" s="535"/>
      <c r="R32" s="535"/>
      <c r="S32" s="535"/>
      <c r="T32" s="535"/>
      <c r="U32" s="535"/>
      <c r="V32" s="535"/>
      <c r="W32" s="535"/>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row>
    <row r="33" ht="13.5" customHeight="1">
      <c r="B33" s="110"/>
      <c r="F33" s="78"/>
      <c r="K33" s="530" t="s">
        <v>122</v>
      </c>
      <c r="L33" s="526"/>
      <c r="M33" s="526"/>
      <c r="N33" s="526"/>
      <c r="O33" s="527"/>
      <c r="R33" s="23"/>
      <c r="S33" s="23"/>
      <c r="T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row>
    <row r="34">
      <c r="B34" s="110"/>
      <c r="F34" s="78"/>
      <c r="K34" s="110"/>
      <c r="O34" s="78"/>
      <c r="R34" s="23"/>
      <c r="S34" s="23"/>
      <c r="T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row>
    <row r="35">
      <c r="B35" s="532" t="s">
        <v>123</v>
      </c>
      <c r="F35" s="78"/>
      <c r="K35" s="110"/>
      <c r="O35" s="78"/>
      <c r="R35" s="23"/>
      <c r="S35" s="23"/>
      <c r="T35" s="23"/>
      <c r="Z35" s="23"/>
      <c r="AA35" s="23"/>
      <c r="AB35" s="23"/>
      <c r="AC35" s="23"/>
      <c r="AD35" s="23"/>
      <c r="AE35" s="23"/>
      <c r="AF35" s="23"/>
      <c r="AG35" s="23"/>
      <c r="AH35" s="23"/>
      <c r="AI35" s="23"/>
      <c r="AJ35" s="23"/>
      <c r="AK35" s="23"/>
      <c r="AL35" s="23"/>
      <c r="AM35" s="536"/>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row>
    <row r="36">
      <c r="B36" s="110"/>
      <c r="F36" s="78"/>
      <c r="H36" s="9" t="s">
        <v>62</v>
      </c>
      <c r="K36" s="110"/>
      <c r="O36" s="78"/>
      <c r="R36" s="23"/>
      <c r="S36" s="23"/>
      <c r="T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row>
    <row r="37">
      <c r="B37" s="110"/>
      <c r="F37" s="78"/>
      <c r="K37" s="110"/>
      <c r="O37" s="78"/>
      <c r="R37" s="23"/>
      <c r="S37" s="23"/>
      <c r="T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row>
    <row r="38">
      <c r="B38" s="110"/>
      <c r="F38" s="78"/>
      <c r="K38" s="110"/>
      <c r="O38" s="78"/>
      <c r="R38" s="23"/>
      <c r="S38" s="23"/>
      <c r="T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row>
    <row r="39">
      <c r="B39" s="532" t="s">
        <v>124</v>
      </c>
      <c r="F39" s="78"/>
      <c r="K39" s="146"/>
      <c r="L39" s="528"/>
      <c r="M39" s="528"/>
      <c r="N39" s="528"/>
      <c r="O39" s="529"/>
      <c r="P39" s="537"/>
      <c r="R39" s="23"/>
      <c r="S39" s="23"/>
      <c r="T39" s="23"/>
      <c r="Z39" s="535"/>
      <c r="AA39" s="535"/>
      <c r="AB39" s="535"/>
      <c r="AC39" s="535"/>
      <c r="AD39" s="505"/>
      <c r="AE39" s="538"/>
      <c r="AF39" s="535"/>
      <c r="AG39" s="535"/>
      <c r="AH39" s="535"/>
      <c r="AI39" s="535"/>
      <c r="AJ39" s="535"/>
      <c r="AK39" s="535"/>
      <c r="AL39" s="535"/>
      <c r="AM39" s="535"/>
      <c r="AN39" s="23"/>
      <c r="AO39" s="539"/>
      <c r="AP39" s="505"/>
      <c r="AQ39" s="505"/>
      <c r="AR39" s="505"/>
      <c r="AS39" s="505"/>
      <c r="AT39" s="505"/>
      <c r="AU39" s="505"/>
      <c r="AV39" s="535"/>
      <c r="AW39" s="535"/>
      <c r="AX39" s="535"/>
      <c r="AY39" s="535"/>
      <c r="AZ39" s="535"/>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row>
    <row r="40">
      <c r="B40" s="110"/>
      <c r="F40" s="78"/>
      <c r="K40" s="535"/>
      <c r="L40" s="535"/>
      <c r="M40" s="535"/>
      <c r="N40" s="535"/>
      <c r="O40" s="535"/>
      <c r="P40" s="535"/>
      <c r="Q40" s="535"/>
      <c r="R40" s="535"/>
      <c r="S40" s="535"/>
      <c r="T40" s="535"/>
      <c r="U40" s="535"/>
      <c r="V40" s="535"/>
      <c r="W40" s="535"/>
      <c r="Z40" s="540"/>
      <c r="AA40" s="540"/>
      <c r="AB40" s="540"/>
      <c r="AC40" s="540"/>
      <c r="AD40" s="505"/>
      <c r="AE40" s="540"/>
      <c r="AN40" s="23"/>
      <c r="AO40" s="541"/>
      <c r="AP40" s="505"/>
      <c r="AQ40" s="505"/>
      <c r="AR40" s="505"/>
      <c r="AS40" s="542"/>
      <c r="AT40" s="505"/>
      <c r="AU40" s="505"/>
      <c r="AV40" s="535"/>
      <c r="AW40" s="535"/>
      <c r="AX40" s="535"/>
      <c r="AY40" s="535"/>
      <c r="AZ40" s="535"/>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row>
    <row r="41">
      <c r="B41" s="110"/>
      <c r="F41" s="78"/>
      <c r="K41" s="530" t="s">
        <v>125</v>
      </c>
      <c r="L41" s="526"/>
      <c r="M41" s="526"/>
      <c r="N41" s="526"/>
      <c r="O41" s="527"/>
      <c r="P41" s="537"/>
      <c r="R41" s="23"/>
      <c r="S41" s="23"/>
      <c r="T41" s="23"/>
      <c r="Z41" s="543"/>
      <c r="AA41" s="543"/>
      <c r="AB41" s="543"/>
      <c r="AC41" s="543"/>
      <c r="AD41" s="505"/>
      <c r="AE41" s="535"/>
      <c r="AF41" s="544"/>
      <c r="AG41" s="543"/>
      <c r="AH41" s="543"/>
      <c r="AI41" s="543"/>
      <c r="AJ41" s="543"/>
      <c r="AK41" s="543"/>
      <c r="AL41" s="543"/>
      <c r="AM41" s="543"/>
      <c r="AN41" s="23"/>
      <c r="AO41" s="505"/>
      <c r="AP41" s="545"/>
      <c r="AQ41" s="546"/>
      <c r="AR41" s="546"/>
      <c r="AS41" s="546"/>
      <c r="AT41" s="546"/>
      <c r="AU41" s="546"/>
      <c r="AV41" s="546"/>
      <c r="AW41" s="546"/>
      <c r="AX41" s="546"/>
      <c r="AY41" s="546"/>
      <c r="AZ41" s="546"/>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row>
    <row r="42">
      <c r="B42" s="547"/>
      <c r="C42" s="548"/>
      <c r="D42" s="548"/>
      <c r="E42" s="548"/>
      <c r="F42" s="549"/>
      <c r="K42" s="110"/>
      <c r="O42" s="78"/>
      <c r="P42" s="23"/>
      <c r="R42" s="23"/>
      <c r="S42" s="23"/>
      <c r="T42" s="23"/>
      <c r="Z42" s="550"/>
      <c r="AA42" s="550"/>
      <c r="AB42" s="550"/>
      <c r="AC42" s="550"/>
      <c r="AD42" s="505"/>
      <c r="AE42" s="551"/>
      <c r="AF42" s="543"/>
      <c r="AG42" s="552"/>
      <c r="AH42" s="552"/>
      <c r="AI42" s="552"/>
      <c r="AJ42" s="552"/>
      <c r="AK42" s="552"/>
      <c r="AL42" s="552"/>
      <c r="AM42" s="552"/>
      <c r="AN42" s="23"/>
      <c r="AO42" s="551"/>
      <c r="AP42" s="543"/>
      <c r="AQ42" s="550"/>
      <c r="AR42" s="550"/>
      <c r="AS42" s="550"/>
      <c r="AT42" s="550"/>
      <c r="AU42" s="550"/>
      <c r="AV42" s="550"/>
      <c r="AW42" s="550"/>
      <c r="AX42" s="550"/>
      <c r="AY42" s="550"/>
      <c r="AZ42" s="550"/>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row>
    <row r="43">
      <c r="K43" s="110"/>
      <c r="O43" s="78"/>
      <c r="P43" s="553"/>
      <c r="R43" s="23"/>
      <c r="S43" s="23"/>
      <c r="T43" s="23"/>
      <c r="Z43" s="550"/>
      <c r="AA43" s="550"/>
      <c r="AB43" s="550"/>
      <c r="AC43" s="550"/>
      <c r="AD43" s="505"/>
      <c r="AF43" s="543"/>
      <c r="AG43" s="552"/>
      <c r="AH43" s="552"/>
      <c r="AI43" s="552"/>
      <c r="AJ43" s="552"/>
      <c r="AK43" s="552"/>
      <c r="AL43" s="552"/>
      <c r="AM43" s="552"/>
      <c r="AN43" s="23"/>
      <c r="AP43" s="543"/>
      <c r="AQ43" s="554"/>
      <c r="AR43" s="554"/>
      <c r="AS43" s="554"/>
      <c r="AT43" s="554"/>
      <c r="AU43" s="554"/>
      <c r="AV43" s="554"/>
      <c r="AW43" s="554"/>
      <c r="AX43" s="554"/>
      <c r="AY43" s="554"/>
      <c r="AZ43" s="554"/>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row>
    <row r="44">
      <c r="B44" s="555" t="s">
        <v>126</v>
      </c>
      <c r="C44" s="556"/>
      <c r="D44" s="556"/>
      <c r="E44" s="556"/>
      <c r="F44" s="557"/>
      <c r="K44" s="110"/>
      <c r="O44" s="78"/>
      <c r="P44" s="558"/>
      <c r="R44" s="23"/>
      <c r="S44" s="23"/>
      <c r="T44" s="23"/>
      <c r="Z44" s="550"/>
      <c r="AA44" s="550"/>
      <c r="AB44" s="550"/>
      <c r="AC44" s="550"/>
      <c r="AD44" s="505"/>
      <c r="AF44" s="543"/>
      <c r="AG44" s="552"/>
      <c r="AH44" s="552"/>
      <c r="AI44" s="552"/>
      <c r="AJ44" s="552"/>
      <c r="AK44" s="552"/>
      <c r="AL44" s="552"/>
      <c r="AM44" s="552"/>
      <c r="AN44" s="23"/>
      <c r="AP44" s="543"/>
      <c r="AQ44" s="550"/>
      <c r="AR44" s="550"/>
      <c r="AS44" s="550"/>
      <c r="AT44" s="550"/>
      <c r="AU44" s="550"/>
      <c r="AV44" s="550"/>
      <c r="AW44" s="550"/>
      <c r="AX44" s="550"/>
      <c r="AY44" s="550"/>
      <c r="AZ44" s="550"/>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row>
    <row r="45">
      <c r="B45" s="559"/>
      <c r="F45" s="560"/>
      <c r="K45" s="110"/>
      <c r="O45" s="78"/>
      <c r="P45" s="561"/>
      <c r="R45" s="23"/>
      <c r="S45" s="23"/>
      <c r="T45" s="23"/>
      <c r="Z45" s="550"/>
      <c r="AA45" s="550"/>
      <c r="AB45" s="550"/>
      <c r="AC45" s="550"/>
      <c r="AD45" s="505"/>
      <c r="AF45" s="543"/>
      <c r="AG45" s="552"/>
      <c r="AH45" s="552"/>
      <c r="AI45" s="552"/>
      <c r="AJ45" s="552"/>
      <c r="AK45" s="552"/>
      <c r="AL45" s="552"/>
      <c r="AM45" s="552"/>
      <c r="AN45" s="23"/>
      <c r="AP45" s="543"/>
      <c r="AQ45" s="550"/>
      <c r="AR45" s="550"/>
      <c r="AS45" s="550"/>
      <c r="AT45" s="550"/>
      <c r="AU45" s="550"/>
      <c r="AV45" s="550"/>
      <c r="AW45" s="550"/>
      <c r="AX45" s="550"/>
      <c r="AY45" s="550"/>
      <c r="AZ45" s="550"/>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row>
    <row r="46">
      <c r="B46" s="562" t="str">
        <f>HYPERLINK("https://ethos.dev/beacon-chain/","1. Best eth2 Explainer")</f>
        <v>1. Best eth2 Explainer</v>
      </c>
      <c r="F46" s="560"/>
      <c r="K46" s="110"/>
      <c r="O46" s="78"/>
      <c r="P46" s="563"/>
      <c r="R46" s="23"/>
      <c r="S46" s="23"/>
      <c r="T46" s="23"/>
      <c r="Z46" s="550"/>
      <c r="AA46" s="550"/>
      <c r="AB46" s="550"/>
      <c r="AC46" s="550"/>
      <c r="AD46" s="505"/>
      <c r="AF46" s="543"/>
      <c r="AG46" s="552"/>
      <c r="AH46" s="552"/>
      <c r="AI46" s="552"/>
      <c r="AJ46" s="552"/>
      <c r="AK46" s="552"/>
      <c r="AL46" s="552"/>
      <c r="AM46" s="552"/>
      <c r="AN46" s="23"/>
      <c r="AP46" s="543"/>
      <c r="AQ46" s="550"/>
      <c r="AR46" s="550"/>
      <c r="AS46" s="550"/>
      <c r="AT46" s="550"/>
      <c r="AU46" s="550"/>
      <c r="AV46" s="550"/>
      <c r="AW46" s="550"/>
      <c r="AX46" s="550"/>
      <c r="AY46" s="550"/>
      <c r="AZ46" s="550"/>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row>
    <row r="47">
      <c r="B47" s="559"/>
      <c r="F47" s="560"/>
      <c r="K47" s="146"/>
      <c r="L47" s="528"/>
      <c r="M47" s="528"/>
      <c r="N47" s="528"/>
      <c r="O47" s="529"/>
      <c r="P47" s="564"/>
      <c r="R47" s="23"/>
      <c r="S47" s="23"/>
      <c r="T47" s="23"/>
      <c r="Z47" s="550"/>
      <c r="AA47" s="550"/>
      <c r="AB47" s="550"/>
      <c r="AC47" s="550"/>
      <c r="AD47" s="505"/>
      <c r="AF47" s="543"/>
      <c r="AG47" s="552"/>
      <c r="AH47" s="552"/>
      <c r="AI47" s="552"/>
      <c r="AJ47" s="552"/>
      <c r="AK47" s="552"/>
      <c r="AL47" s="552"/>
      <c r="AM47" s="552"/>
      <c r="AN47" s="23"/>
      <c r="AP47" s="543"/>
      <c r="AQ47" s="550"/>
      <c r="AR47" s="550"/>
      <c r="AS47" s="550"/>
      <c r="AT47" s="550"/>
      <c r="AU47" s="550"/>
      <c r="AV47" s="550"/>
      <c r="AW47" s="550"/>
      <c r="AX47" s="550"/>
      <c r="AY47" s="550"/>
      <c r="AZ47" s="550"/>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row>
    <row r="48">
      <c r="B48" s="559"/>
      <c r="F48" s="560"/>
      <c r="K48" s="535"/>
      <c r="L48" s="535"/>
      <c r="M48" s="535"/>
      <c r="N48" s="535"/>
      <c r="O48" s="535"/>
      <c r="P48" s="535"/>
      <c r="Q48" s="535"/>
      <c r="R48" s="535"/>
      <c r="S48" s="535"/>
      <c r="T48" s="535"/>
      <c r="U48" s="535"/>
      <c r="V48" s="535"/>
      <c r="W48" s="535"/>
      <c r="Z48" s="550"/>
      <c r="AA48" s="550"/>
      <c r="AB48" s="550"/>
      <c r="AC48" s="550"/>
      <c r="AD48" s="505"/>
      <c r="AF48" s="543"/>
      <c r="AG48" s="552"/>
      <c r="AH48" s="552"/>
      <c r="AI48" s="552"/>
      <c r="AJ48" s="552"/>
      <c r="AK48" s="552"/>
      <c r="AL48" s="552"/>
      <c r="AM48" s="552"/>
      <c r="AN48" s="23"/>
      <c r="AP48" s="543"/>
      <c r="AQ48" s="550"/>
      <c r="AR48" s="550"/>
      <c r="AS48" s="550"/>
      <c r="AT48" s="550"/>
      <c r="AU48" s="550"/>
      <c r="AV48" s="550"/>
      <c r="AW48" s="550"/>
      <c r="AX48" s="550"/>
      <c r="AY48" s="550"/>
      <c r="AZ48" s="550"/>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row>
    <row r="49">
      <c r="B49" s="559"/>
      <c r="F49" s="560"/>
      <c r="K49" s="534" t="s">
        <v>127</v>
      </c>
      <c r="L49" s="526"/>
      <c r="M49" s="526"/>
      <c r="N49" s="526"/>
      <c r="O49" s="527"/>
      <c r="P49" s="565"/>
      <c r="R49" s="23"/>
      <c r="S49" s="23"/>
      <c r="T49" s="23"/>
      <c r="Z49" s="550"/>
      <c r="AA49" s="550"/>
      <c r="AB49" s="550"/>
      <c r="AC49" s="550"/>
      <c r="AD49" s="505"/>
      <c r="AF49" s="543"/>
      <c r="AG49" s="552"/>
      <c r="AH49" s="552"/>
      <c r="AI49" s="552"/>
      <c r="AJ49" s="552"/>
      <c r="AK49" s="552"/>
      <c r="AL49" s="552"/>
      <c r="AM49" s="552"/>
      <c r="AN49" s="23"/>
      <c r="AP49" s="543"/>
      <c r="AQ49" s="550"/>
      <c r="AR49" s="550"/>
      <c r="AS49" s="550"/>
      <c r="AT49" s="550"/>
      <c r="AU49" s="550"/>
      <c r="AV49" s="550"/>
      <c r="AW49" s="550"/>
      <c r="AX49" s="550"/>
      <c r="AY49" s="550"/>
      <c r="AZ49" s="550"/>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row>
    <row r="50">
      <c r="B50" s="562" t="str">
        <f>HYPERLINK("https://github.com/ethereum/eth2.0-specs","2. eth2 Spec")</f>
        <v>2. eth2 Spec</v>
      </c>
      <c r="F50" s="560"/>
      <c r="K50" s="110"/>
      <c r="O50" s="78"/>
      <c r="P50" s="566"/>
      <c r="R50" s="23"/>
      <c r="S50" s="23"/>
      <c r="T50" s="23"/>
      <c r="Z50" s="550"/>
      <c r="AA50" s="550"/>
      <c r="AB50" s="550"/>
      <c r="AC50" s="550"/>
      <c r="AD50" s="505"/>
      <c r="AF50" s="543"/>
      <c r="AG50" s="552"/>
      <c r="AH50" s="552"/>
      <c r="AI50" s="552"/>
      <c r="AJ50" s="552"/>
      <c r="AK50" s="552"/>
      <c r="AL50" s="552"/>
      <c r="AM50" s="552"/>
      <c r="AN50" s="23"/>
      <c r="AP50" s="543"/>
      <c r="AQ50" s="554"/>
      <c r="AR50" s="554"/>
      <c r="AS50" s="554"/>
      <c r="AT50" s="554"/>
      <c r="AU50" s="554"/>
      <c r="AV50" s="554"/>
      <c r="AW50" s="554"/>
      <c r="AX50" s="554"/>
      <c r="AY50" s="554"/>
      <c r="AZ50" s="554"/>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row>
    <row r="51">
      <c r="B51" s="559"/>
      <c r="F51" s="560"/>
      <c r="K51" s="110"/>
      <c r="O51" s="78"/>
      <c r="P51" s="563"/>
      <c r="R51" s="23"/>
      <c r="S51" s="23"/>
      <c r="T51" s="23"/>
      <c r="Z51" s="550"/>
      <c r="AA51" s="550"/>
      <c r="AB51" s="550"/>
      <c r="AC51" s="550"/>
      <c r="AD51" s="505"/>
      <c r="AF51" s="543"/>
      <c r="AG51" s="552"/>
      <c r="AH51" s="552"/>
      <c r="AI51" s="552"/>
      <c r="AJ51" s="552"/>
      <c r="AK51" s="552"/>
      <c r="AL51" s="552"/>
      <c r="AM51" s="552"/>
      <c r="AN51" s="23"/>
      <c r="AP51" s="543"/>
      <c r="AQ51" s="550"/>
      <c r="AR51" s="550"/>
      <c r="AS51" s="550"/>
      <c r="AT51" s="550"/>
      <c r="AU51" s="550"/>
      <c r="AV51" s="550"/>
      <c r="AW51" s="550"/>
      <c r="AX51" s="550"/>
      <c r="AY51" s="550"/>
      <c r="AZ51" s="550"/>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row>
    <row r="52">
      <c r="B52" s="559"/>
      <c r="F52" s="560"/>
      <c r="K52" s="110"/>
      <c r="O52" s="78"/>
      <c r="P52" s="567"/>
      <c r="R52" s="23"/>
      <c r="S52" s="23"/>
      <c r="T52" s="23"/>
      <c r="Z52" s="550"/>
      <c r="AA52" s="550"/>
      <c r="AB52" s="550"/>
      <c r="AC52" s="550"/>
      <c r="AD52" s="505"/>
      <c r="AF52" s="543"/>
      <c r="AG52" s="552"/>
      <c r="AH52" s="552"/>
      <c r="AI52" s="552"/>
      <c r="AJ52" s="552"/>
      <c r="AK52" s="552"/>
      <c r="AL52" s="552"/>
      <c r="AM52" s="552"/>
      <c r="AN52" s="23"/>
      <c r="AP52" s="543"/>
      <c r="AQ52" s="550"/>
      <c r="AR52" s="550"/>
      <c r="AS52" s="550"/>
      <c r="AT52" s="550"/>
      <c r="AU52" s="550"/>
      <c r="AV52" s="550"/>
      <c r="AW52" s="550"/>
      <c r="AX52" s="550"/>
      <c r="AY52" s="550"/>
      <c r="AZ52" s="550"/>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row>
    <row r="53">
      <c r="B53" s="562" t="str">
        <f>HYPERLINK("https://github.com/ethereum/eth2.0-specs","3. Ben E's Master Guide")</f>
        <v>3. Ben E's Master Guide</v>
      </c>
      <c r="F53" s="560"/>
      <c r="K53" s="110"/>
      <c r="O53" s="78"/>
      <c r="P53" s="563"/>
      <c r="R53" s="23"/>
      <c r="S53" s="23"/>
      <c r="T53" s="23"/>
      <c r="Z53" s="550"/>
      <c r="AA53" s="550"/>
      <c r="AB53" s="550"/>
      <c r="AC53" s="550"/>
      <c r="AD53" s="505"/>
      <c r="AF53" s="543"/>
      <c r="AG53" s="552"/>
      <c r="AH53" s="552"/>
      <c r="AI53" s="552"/>
      <c r="AJ53" s="552"/>
      <c r="AK53" s="552"/>
      <c r="AL53" s="552"/>
      <c r="AM53" s="552"/>
      <c r="AN53" s="23"/>
      <c r="AP53" s="543"/>
      <c r="AQ53" s="550"/>
      <c r="AR53" s="550"/>
      <c r="AS53" s="550"/>
      <c r="AT53" s="550"/>
      <c r="AU53" s="550"/>
      <c r="AV53" s="550"/>
      <c r="AW53" s="550"/>
      <c r="AX53" s="550"/>
      <c r="AY53" s="550"/>
      <c r="AZ53" s="550"/>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row>
    <row r="54">
      <c r="B54" s="559"/>
      <c r="F54" s="560"/>
      <c r="K54" s="110"/>
      <c r="O54" s="78"/>
      <c r="P54" s="568"/>
      <c r="R54" s="23"/>
      <c r="S54" s="23"/>
      <c r="T54" s="23"/>
      <c r="Z54" s="550"/>
      <c r="AA54" s="550"/>
      <c r="AB54" s="550"/>
      <c r="AC54" s="550"/>
      <c r="AD54" s="505"/>
      <c r="AF54" s="543"/>
      <c r="AG54" s="552"/>
      <c r="AH54" s="552"/>
      <c r="AI54" s="552"/>
      <c r="AJ54" s="552"/>
      <c r="AK54" s="552"/>
      <c r="AL54" s="552"/>
      <c r="AM54" s="552"/>
      <c r="AN54" s="23"/>
      <c r="AP54" s="543"/>
      <c r="AQ54" s="550"/>
      <c r="AR54" s="550"/>
      <c r="AS54" s="550"/>
      <c r="AT54" s="550"/>
      <c r="AU54" s="550"/>
      <c r="AV54" s="550"/>
      <c r="AW54" s="550"/>
      <c r="AX54" s="550"/>
      <c r="AY54" s="550"/>
      <c r="AZ54" s="550"/>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row>
    <row r="55" ht="19.5" customHeight="1">
      <c r="B55" s="559"/>
      <c r="F55" s="560"/>
      <c r="G55" s="52"/>
      <c r="H55" s="52"/>
      <c r="I55" s="52"/>
      <c r="J55" s="52"/>
      <c r="K55" s="110"/>
      <c r="O55" s="78"/>
      <c r="P55" s="569"/>
      <c r="Q55" s="52"/>
      <c r="R55" s="23"/>
      <c r="S55" s="23"/>
      <c r="T55" s="23"/>
      <c r="Z55" s="550"/>
      <c r="AA55" s="550"/>
      <c r="AB55" s="550"/>
      <c r="AC55" s="550"/>
      <c r="AD55" s="505"/>
      <c r="AF55" s="543"/>
      <c r="AG55" s="552"/>
      <c r="AH55" s="552"/>
      <c r="AI55" s="552"/>
      <c r="AJ55" s="552"/>
      <c r="AK55" s="552"/>
      <c r="AL55" s="552"/>
      <c r="AM55" s="552"/>
      <c r="AN55" s="23"/>
      <c r="AP55" s="543"/>
      <c r="AQ55" s="550"/>
      <c r="AR55" s="550"/>
      <c r="AS55" s="550"/>
      <c r="AT55" s="550"/>
      <c r="AU55" s="550"/>
      <c r="AV55" s="550"/>
      <c r="AW55" s="550"/>
      <c r="AX55" s="550"/>
      <c r="AY55" s="550"/>
      <c r="AZ55" s="550"/>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570"/>
      <c r="CA55" s="52"/>
      <c r="CB55" s="52"/>
      <c r="CC55" s="52"/>
      <c r="CD55" s="52"/>
      <c r="CE55" s="52"/>
      <c r="CF55" s="52"/>
      <c r="CG55" s="52"/>
      <c r="CH55" s="52"/>
      <c r="CI55" s="52"/>
      <c r="CJ55" s="52"/>
      <c r="CK55" s="52"/>
      <c r="CL55" s="52"/>
      <c r="CM55" s="52"/>
      <c r="CN55" s="52"/>
      <c r="CO55" s="52"/>
      <c r="CP55" s="52"/>
      <c r="CQ55" s="52"/>
      <c r="CR55" s="52"/>
      <c r="CS55" s="52"/>
      <c r="CT55" s="52"/>
      <c r="CU55" s="52"/>
      <c r="CV55" s="52"/>
      <c r="CW55" s="52"/>
      <c r="CX55" s="52"/>
      <c r="CY55" s="52"/>
      <c r="CZ55" s="52"/>
      <c r="DA55" s="52"/>
      <c r="DB55" s="52"/>
      <c r="DC55" s="52"/>
      <c r="DD55" s="52"/>
      <c r="DE55" s="52"/>
      <c r="DF55" s="52"/>
      <c r="DG55" s="52"/>
      <c r="DH55" s="52"/>
    </row>
    <row r="56">
      <c r="B56" s="562" t="str">
        <f>HYPERLINK("https://prysmaticlabs.com/","4. Prysmatic Labs")</f>
        <v>4. Prysmatic Labs</v>
      </c>
      <c r="F56" s="560"/>
      <c r="K56" s="110"/>
      <c r="O56" s="78"/>
      <c r="P56" s="569"/>
      <c r="R56" s="23"/>
      <c r="S56" s="23"/>
      <c r="T56" s="23"/>
      <c r="Z56" s="550"/>
      <c r="AA56" s="550"/>
      <c r="AB56" s="550"/>
      <c r="AC56" s="550"/>
      <c r="AD56" s="505"/>
      <c r="AF56" s="543"/>
      <c r="AG56" s="552"/>
      <c r="AH56" s="552"/>
      <c r="AI56" s="552"/>
      <c r="AJ56" s="552"/>
      <c r="AK56" s="552"/>
      <c r="AL56" s="552"/>
      <c r="AM56" s="552"/>
      <c r="AN56" s="23"/>
      <c r="AP56" s="543"/>
      <c r="AQ56" s="550"/>
      <c r="AR56" s="550"/>
      <c r="AS56" s="550"/>
      <c r="AT56" s="550"/>
      <c r="AU56" s="550"/>
      <c r="AV56" s="550"/>
      <c r="AW56" s="550"/>
      <c r="AX56" s="550"/>
      <c r="AY56" s="550"/>
      <c r="AZ56" s="550"/>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row>
    <row r="57">
      <c r="B57" s="559"/>
      <c r="F57" s="560"/>
      <c r="K57" s="110"/>
      <c r="O57" s="78"/>
      <c r="P57" s="571"/>
      <c r="R57" s="23"/>
      <c r="S57" s="23"/>
      <c r="T57" s="23"/>
      <c r="Z57" s="550"/>
      <c r="AA57" s="550"/>
      <c r="AB57" s="550"/>
      <c r="AC57" s="550"/>
      <c r="AD57" s="505"/>
      <c r="AF57" s="543"/>
      <c r="AG57" s="552"/>
      <c r="AH57" s="552"/>
      <c r="AI57" s="552"/>
      <c r="AJ57" s="552"/>
      <c r="AK57" s="552"/>
      <c r="AL57" s="552"/>
      <c r="AM57" s="552"/>
      <c r="AN57" s="23"/>
      <c r="AP57" s="543"/>
      <c r="AQ57" s="550"/>
      <c r="AR57" s="550"/>
      <c r="AS57" s="550"/>
      <c r="AT57" s="550"/>
      <c r="AU57" s="550"/>
      <c r="AV57" s="550"/>
      <c r="AW57" s="550"/>
      <c r="AX57" s="550"/>
      <c r="AY57" s="550"/>
      <c r="AZ57" s="550"/>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row>
    <row r="58">
      <c r="B58" s="559"/>
      <c r="F58" s="560"/>
      <c r="I58" s="63"/>
      <c r="K58" s="146"/>
      <c r="L58" s="528"/>
      <c r="M58" s="528"/>
      <c r="N58" s="528"/>
      <c r="O58" s="529"/>
      <c r="P58" s="572"/>
      <c r="R58" s="23"/>
      <c r="S58" s="23"/>
      <c r="T58" s="23"/>
      <c r="Z58" s="550"/>
      <c r="AA58" s="550"/>
      <c r="AB58" s="550"/>
      <c r="AC58" s="550"/>
      <c r="AD58" s="505"/>
      <c r="AF58" s="543"/>
      <c r="AG58" s="552"/>
      <c r="AH58" s="552"/>
      <c r="AI58" s="552"/>
      <c r="AJ58" s="552"/>
      <c r="AK58" s="552"/>
      <c r="AL58" s="552"/>
      <c r="AM58" s="552"/>
      <c r="AN58" s="23"/>
      <c r="AP58" s="543"/>
      <c r="AQ58" s="554"/>
      <c r="AR58" s="554"/>
      <c r="AS58" s="554"/>
      <c r="AT58" s="554"/>
      <c r="AU58" s="554"/>
      <c r="AV58" s="554"/>
      <c r="AW58" s="554"/>
      <c r="AX58" s="554"/>
      <c r="AY58" s="554"/>
      <c r="AZ58" s="554"/>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row>
    <row r="59">
      <c r="B59" s="562" t="str">
        <f>HYPERLINK("https://lighthouse.sigmaprime.io/","5. Lighthouse (SigmaPrime)")</f>
        <v>5. Lighthouse (SigmaPrime)</v>
      </c>
      <c r="F59" s="560"/>
      <c r="K59" s="535"/>
      <c r="L59" s="535"/>
      <c r="M59" s="535"/>
      <c r="N59" s="535"/>
      <c r="O59" s="535"/>
      <c r="P59" s="573"/>
      <c r="Q59" s="535"/>
      <c r="R59" s="535"/>
      <c r="S59" s="535"/>
      <c r="T59" s="535"/>
      <c r="U59" s="535"/>
      <c r="V59" s="535"/>
      <c r="W59" s="535"/>
      <c r="Z59" s="550"/>
      <c r="AA59" s="550"/>
      <c r="AB59" s="550"/>
      <c r="AC59" s="550"/>
      <c r="AD59" s="505"/>
      <c r="AE59" s="535"/>
      <c r="AF59" s="543"/>
      <c r="AG59" s="552"/>
      <c r="AH59" s="552"/>
      <c r="AI59" s="552"/>
      <c r="AJ59" s="552"/>
      <c r="AK59" s="552"/>
      <c r="AL59" s="552"/>
      <c r="AM59" s="552"/>
      <c r="AN59" s="23"/>
      <c r="AO59" s="535"/>
      <c r="AP59" s="543"/>
      <c r="AQ59" s="550"/>
      <c r="AR59" s="550"/>
      <c r="AS59" s="550"/>
      <c r="AT59" s="550"/>
      <c r="AU59" s="550"/>
      <c r="AV59" s="550"/>
      <c r="AW59" s="550"/>
      <c r="AX59" s="550"/>
      <c r="AY59" s="550"/>
      <c r="AZ59" s="550"/>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row>
    <row r="60">
      <c r="B60" s="559"/>
      <c r="F60" s="560"/>
      <c r="K60" s="534" t="s">
        <v>128</v>
      </c>
      <c r="L60" s="526"/>
      <c r="M60" s="526"/>
      <c r="N60" s="526"/>
      <c r="O60" s="527"/>
      <c r="P60" s="569"/>
      <c r="R60" s="23"/>
      <c r="S60" s="23"/>
      <c r="T60" s="23"/>
      <c r="Z60" s="550"/>
      <c r="AA60" s="550"/>
      <c r="AB60" s="550"/>
      <c r="AC60" s="550"/>
      <c r="AD60" s="505"/>
      <c r="AE60" s="535"/>
      <c r="AF60" s="543"/>
      <c r="AG60" s="552"/>
      <c r="AH60" s="552"/>
      <c r="AI60" s="552"/>
      <c r="AJ60" s="552"/>
      <c r="AK60" s="552"/>
      <c r="AL60" s="552"/>
      <c r="AM60" s="552"/>
      <c r="AN60" s="23"/>
      <c r="AO60" s="535"/>
      <c r="AP60" s="543"/>
      <c r="AQ60" s="554"/>
      <c r="AR60" s="554"/>
      <c r="AS60" s="554"/>
      <c r="AT60" s="554"/>
      <c r="AU60" s="554"/>
      <c r="AV60" s="554"/>
      <c r="AW60" s="554"/>
      <c r="AX60" s="554"/>
      <c r="AY60" s="554"/>
      <c r="AZ60" s="554"/>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row>
    <row r="61">
      <c r="B61" s="559"/>
      <c r="F61" s="560"/>
      <c r="K61" s="110"/>
      <c r="O61" s="78"/>
      <c r="P61" s="569"/>
      <c r="R61" s="23"/>
      <c r="S61" s="23"/>
      <c r="T61" s="23"/>
      <c r="Z61" s="550"/>
      <c r="AA61" s="550"/>
      <c r="AB61" s="550"/>
      <c r="AC61" s="550"/>
      <c r="AD61" s="535"/>
      <c r="AE61" s="535"/>
      <c r="AF61" s="543"/>
      <c r="AG61" s="552"/>
      <c r="AH61" s="552"/>
      <c r="AI61" s="552"/>
      <c r="AJ61" s="552"/>
      <c r="AK61" s="552"/>
      <c r="AL61" s="552"/>
      <c r="AM61" s="552"/>
      <c r="AN61" s="23"/>
      <c r="AO61" s="535"/>
      <c r="AP61" s="543"/>
      <c r="AQ61" s="550"/>
      <c r="AR61" s="550"/>
      <c r="AS61" s="550"/>
      <c r="AT61" s="550"/>
      <c r="AU61" s="550"/>
      <c r="AV61" s="550"/>
      <c r="AW61" s="550"/>
      <c r="AX61" s="550"/>
      <c r="AY61" s="550"/>
      <c r="AZ61" s="550"/>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row>
    <row r="62">
      <c r="B62" s="562" t="str">
        <f>HYPERLINK("https://eth2stats.io/sapphire-testnet","6. Alehtio eth2 Stats (Block Explorer)")</f>
        <v>6. Alehtio eth2 Stats (Block Explorer)</v>
      </c>
      <c r="F62" s="560"/>
      <c r="K62" s="110"/>
      <c r="O62" s="78"/>
      <c r="P62" s="569"/>
      <c r="R62" s="23"/>
      <c r="S62" s="23"/>
      <c r="T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row>
    <row r="63">
      <c r="B63" s="559"/>
      <c r="F63" s="560"/>
      <c r="K63" s="110"/>
      <c r="O63" s="78"/>
      <c r="P63" s="569"/>
      <c r="R63" s="23"/>
      <c r="S63" s="23"/>
      <c r="T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E63" s="87"/>
      <c r="CF63" s="87"/>
      <c r="CG63" s="87"/>
      <c r="CH63" s="87"/>
      <c r="CI63" s="87"/>
      <c r="CJ63" s="87"/>
      <c r="CK63" s="87"/>
      <c r="CL63" s="87"/>
      <c r="CM63" s="87"/>
      <c r="CN63" s="87"/>
      <c r="CO63" s="87"/>
      <c r="CP63" s="87"/>
      <c r="CQ63" s="87"/>
      <c r="CR63" s="87"/>
      <c r="CS63" s="87"/>
      <c r="CT63" s="87"/>
      <c r="CU63" s="87"/>
      <c r="CV63" s="87"/>
      <c r="CW63" s="87"/>
      <c r="CX63" s="87"/>
      <c r="CY63" s="87"/>
      <c r="CZ63" s="87"/>
      <c r="DA63" s="87"/>
      <c r="DB63" s="87"/>
      <c r="DC63" s="87"/>
      <c r="DD63" s="87"/>
      <c r="DE63" s="87"/>
      <c r="DF63" s="87"/>
      <c r="DG63" s="87"/>
      <c r="DH63" s="87"/>
    </row>
    <row r="64">
      <c r="B64" s="559"/>
      <c r="F64" s="560"/>
      <c r="I64" s="9" t="s">
        <v>62</v>
      </c>
      <c r="K64" s="110"/>
      <c r="O64" s="78"/>
      <c r="R64" s="23"/>
      <c r="S64" s="23"/>
      <c r="T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E64" s="87"/>
      <c r="CF64" s="87"/>
      <c r="CG64" s="87"/>
      <c r="CH64" s="87"/>
      <c r="CI64" s="87"/>
      <c r="CJ64" s="87"/>
      <c r="CK64" s="87"/>
      <c r="CL64" s="87"/>
      <c r="CM64" s="87"/>
      <c r="CN64" s="87"/>
      <c r="CO64" s="87"/>
      <c r="CP64" s="87"/>
      <c r="CQ64" s="87"/>
      <c r="CR64" s="87"/>
      <c r="CS64" s="87"/>
      <c r="CT64" s="87"/>
      <c r="CU64" s="87"/>
      <c r="CV64" s="87"/>
      <c r="CW64" s="87"/>
      <c r="CX64" s="87"/>
      <c r="CY64" s="87"/>
      <c r="CZ64" s="87"/>
      <c r="DA64" s="87"/>
      <c r="DB64" s="87"/>
      <c r="DC64" s="87"/>
      <c r="DD64" s="87"/>
      <c r="DE64" s="87"/>
      <c r="DF64" s="87"/>
      <c r="DG64" s="87"/>
      <c r="DH64" s="87"/>
    </row>
    <row r="65">
      <c r="B65" s="559"/>
      <c r="F65" s="560"/>
      <c r="K65" s="110"/>
      <c r="O65" s="78"/>
      <c r="R65" s="524"/>
      <c r="S65" s="23"/>
      <c r="T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E65" s="87"/>
      <c r="CF65" s="87"/>
      <c r="CG65" s="87"/>
      <c r="CH65" s="87"/>
      <c r="CI65" s="87"/>
      <c r="CJ65" s="87"/>
      <c r="CK65" s="87"/>
      <c r="CL65" s="87"/>
      <c r="CM65" s="87"/>
      <c r="CN65" s="87"/>
      <c r="CO65" s="87"/>
      <c r="CP65" s="87"/>
      <c r="CQ65" s="87"/>
      <c r="CR65" s="87"/>
      <c r="CS65" s="87"/>
      <c r="CT65" s="87"/>
      <c r="CU65" s="87"/>
      <c r="CV65" s="87"/>
      <c r="CW65" s="87"/>
      <c r="CX65" s="87"/>
      <c r="CY65" s="87"/>
      <c r="CZ65" s="87"/>
      <c r="DA65" s="87"/>
      <c r="DB65" s="87"/>
      <c r="DC65" s="87"/>
      <c r="DD65" s="87"/>
      <c r="DE65" s="87"/>
      <c r="DF65" s="87"/>
      <c r="DG65" s="87"/>
      <c r="DH65" s="87"/>
    </row>
    <row r="66">
      <c r="B66" s="562" t="str">
        <f>HYPERLINK("https://eth2stats.io/sapphire-testnet","7. eth2 Rewards &amp; Penalties")</f>
        <v>7. eth2 Rewards &amp; Penalties</v>
      </c>
      <c r="F66" s="560"/>
      <c r="K66" s="110"/>
      <c r="O66" s="78"/>
      <c r="R66" s="23"/>
      <c r="S66" s="23"/>
      <c r="T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3"/>
      <c r="BU66" s="23"/>
      <c r="BV66" s="23"/>
      <c r="BW66" s="23"/>
      <c r="BX66" s="23"/>
      <c r="BY66" s="23"/>
      <c r="BZ66" s="23"/>
      <c r="CE66" s="115"/>
      <c r="CF66" s="115"/>
      <c r="CG66" s="115"/>
      <c r="CH66" s="115"/>
      <c r="CI66" s="115"/>
      <c r="CJ66" s="115"/>
      <c r="CK66" s="115"/>
      <c r="CL66" s="115"/>
      <c r="CM66" s="115"/>
      <c r="CN66" s="115"/>
      <c r="CO66" s="115"/>
      <c r="CP66" s="115"/>
      <c r="CQ66" s="115"/>
      <c r="CR66" s="115"/>
      <c r="CS66" s="115"/>
      <c r="CT66" s="115"/>
      <c r="CU66" s="115"/>
      <c r="CV66" s="115"/>
      <c r="CW66" s="115"/>
      <c r="CX66" s="115"/>
      <c r="CY66" s="115"/>
      <c r="CZ66" s="115"/>
      <c r="DA66" s="115"/>
      <c r="DB66" s="115"/>
      <c r="DC66" s="115"/>
      <c r="DD66" s="115"/>
      <c r="DE66" s="115"/>
      <c r="DF66" s="115"/>
      <c r="DG66" s="115"/>
      <c r="DH66" s="115"/>
    </row>
    <row r="67">
      <c r="B67" s="559"/>
      <c r="F67" s="560"/>
      <c r="K67" s="110"/>
      <c r="O67" s="78"/>
      <c r="R67" s="23"/>
      <c r="S67" s="23"/>
      <c r="T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51"/>
      <c r="BB67" s="51"/>
      <c r="BC67" s="51"/>
      <c r="BD67" s="51"/>
      <c r="BE67" s="51"/>
      <c r="BF67" s="51"/>
      <c r="BG67" s="51"/>
      <c r="BH67" s="51"/>
      <c r="BI67" s="51"/>
      <c r="BJ67" s="51"/>
      <c r="BK67" s="51"/>
      <c r="BL67" s="51"/>
      <c r="BM67" s="51"/>
      <c r="BN67" s="23"/>
      <c r="BO67" s="23"/>
      <c r="BP67" s="23"/>
      <c r="BQ67" s="23"/>
      <c r="BR67" s="23"/>
      <c r="BS67" s="23"/>
      <c r="BT67" s="23"/>
      <c r="BU67" s="23"/>
      <c r="BV67" s="23"/>
      <c r="BW67" s="23"/>
      <c r="BX67" s="23"/>
      <c r="BY67" s="23"/>
      <c r="BZ67" s="23"/>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row>
    <row r="68">
      <c r="B68" s="559"/>
      <c r="F68" s="560"/>
      <c r="K68" s="110"/>
      <c r="O68" s="78"/>
      <c r="P68" s="535"/>
      <c r="Q68" s="535"/>
      <c r="R68" s="535"/>
      <c r="S68" s="535"/>
      <c r="T68" s="535"/>
      <c r="U68" s="535"/>
      <c r="V68" s="535"/>
      <c r="W68" s="535"/>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51"/>
      <c r="BB68" s="51"/>
      <c r="BC68" s="51"/>
      <c r="BD68" s="51"/>
      <c r="BE68" s="51"/>
      <c r="BF68" s="51"/>
      <c r="BG68" s="51"/>
      <c r="BH68" s="51"/>
      <c r="BI68" s="51"/>
      <c r="BJ68" s="51"/>
      <c r="BK68" s="51"/>
      <c r="BL68" s="51"/>
      <c r="BM68" s="51"/>
      <c r="BN68" s="23"/>
      <c r="BO68" s="23"/>
      <c r="BP68" s="23"/>
      <c r="BQ68" s="23"/>
      <c r="BR68" s="23"/>
      <c r="BS68" s="23"/>
      <c r="BT68" s="23"/>
      <c r="BU68" s="23"/>
      <c r="BV68" s="23"/>
      <c r="BW68" s="23"/>
      <c r="BX68" s="23"/>
      <c r="BY68" s="23"/>
      <c r="BZ68" s="23"/>
      <c r="CE68" s="123"/>
      <c r="CF68" s="123"/>
      <c r="CG68" s="123"/>
      <c r="CH68" s="123"/>
      <c r="CI68" s="123"/>
      <c r="CJ68" s="123"/>
      <c r="CK68" s="123"/>
      <c r="CL68" s="123"/>
      <c r="CM68" s="123"/>
      <c r="CN68" s="123"/>
      <c r="CO68" s="123"/>
      <c r="CP68" s="123"/>
      <c r="CQ68" s="123"/>
      <c r="CR68" s="123"/>
      <c r="CS68" s="123"/>
      <c r="CT68" s="123"/>
      <c r="CU68" s="123"/>
      <c r="CV68" s="123"/>
      <c r="CW68" s="123"/>
      <c r="CX68" s="123"/>
      <c r="CY68" s="123"/>
      <c r="CZ68" s="123"/>
      <c r="DA68" s="123"/>
      <c r="DB68" s="123"/>
      <c r="DC68" s="123"/>
      <c r="DD68" s="123"/>
      <c r="DE68" s="123"/>
      <c r="DF68" s="123"/>
      <c r="DG68" s="123"/>
      <c r="DH68" s="123"/>
    </row>
    <row r="69" ht="19.5" customHeight="1">
      <c r="B69" s="562" t="str">
        <f>HYPERLINK("https://www.adiasg.me/2020/03/31/casper-ffg-explainer.html","8. Casper FFG Explainer ")</f>
        <v>8. Casper FFG Explainer </v>
      </c>
      <c r="F69" s="560"/>
      <c r="K69" s="146"/>
      <c r="L69" s="528"/>
      <c r="M69" s="528"/>
      <c r="N69" s="528"/>
      <c r="O69" s="529"/>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51"/>
      <c r="BB69" s="51"/>
      <c r="BC69" s="51"/>
      <c r="BD69" s="51"/>
      <c r="BE69" s="51"/>
      <c r="BF69" s="51"/>
      <c r="BG69" s="51"/>
      <c r="BH69" s="51"/>
      <c r="BI69" s="51"/>
      <c r="BJ69" s="51"/>
      <c r="BK69" s="51"/>
      <c r="BL69" s="51"/>
      <c r="BM69" s="51"/>
      <c r="BN69" s="23"/>
      <c r="BO69" s="23"/>
      <c r="BP69" s="23"/>
      <c r="BQ69" s="23"/>
      <c r="BR69" s="23"/>
      <c r="BS69" s="23"/>
      <c r="BT69" s="23"/>
      <c r="BU69" s="23"/>
      <c r="BV69" s="23"/>
      <c r="BW69" s="23"/>
      <c r="BX69" s="23"/>
      <c r="BY69" s="23"/>
      <c r="BZ69" s="23"/>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row>
    <row r="70">
      <c r="B70" s="559"/>
      <c r="F70" s="560"/>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51"/>
      <c r="BB70" s="51"/>
      <c r="BC70" s="51"/>
      <c r="BD70" s="51"/>
      <c r="BE70" s="51"/>
      <c r="BF70" s="51"/>
      <c r="BG70" s="51"/>
      <c r="BH70" s="51"/>
      <c r="BI70" s="51"/>
      <c r="BJ70" s="51"/>
      <c r="BK70" s="51"/>
      <c r="BL70" s="51"/>
      <c r="BM70" s="51"/>
      <c r="BN70" s="23"/>
      <c r="BO70" s="23"/>
      <c r="BP70" s="23"/>
      <c r="BQ70" s="23"/>
      <c r="BR70" s="23"/>
      <c r="BS70" s="23"/>
      <c r="BT70" s="23"/>
      <c r="BU70" s="23"/>
      <c r="BV70" s="23"/>
      <c r="BW70" s="23"/>
      <c r="BX70" s="23"/>
      <c r="BY70" s="23"/>
      <c r="BZ70" s="23"/>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row>
    <row r="71" ht="18.0" customHeight="1">
      <c r="B71" s="574"/>
      <c r="C71" s="575"/>
      <c r="D71" s="575"/>
      <c r="E71" s="575"/>
      <c r="F71" s="576"/>
      <c r="K71" s="534" t="s">
        <v>129</v>
      </c>
      <c r="L71" s="526"/>
      <c r="M71" s="526"/>
      <c r="N71" s="526"/>
      <c r="O71" s="527"/>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51"/>
      <c r="BB71" s="51"/>
      <c r="BC71" s="51"/>
      <c r="BD71" s="51"/>
      <c r="BE71" s="51"/>
      <c r="BF71" s="51"/>
      <c r="BG71" s="51"/>
      <c r="BH71" s="51"/>
      <c r="BI71" s="51"/>
      <c r="BJ71" s="51"/>
      <c r="BK71" s="51"/>
      <c r="BL71" s="51"/>
      <c r="BM71" s="51"/>
      <c r="BN71" s="23"/>
      <c r="BO71" s="23"/>
      <c r="BP71" s="23"/>
      <c r="BQ71" s="23"/>
      <c r="BR71" s="23"/>
      <c r="BS71" s="23"/>
      <c r="BT71" s="23"/>
      <c r="BU71" s="23"/>
      <c r="BV71" s="23"/>
      <c r="BW71" s="23"/>
      <c r="BX71" s="23"/>
      <c r="BY71" s="23"/>
      <c r="BZ71" s="23"/>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row>
    <row r="72">
      <c r="K72" s="110"/>
      <c r="O72" s="78"/>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51"/>
      <c r="BB72" s="51"/>
      <c r="BC72" s="51"/>
      <c r="BD72" s="51"/>
      <c r="BE72" s="51"/>
      <c r="BF72" s="51"/>
      <c r="BG72" s="51"/>
      <c r="BH72" s="51"/>
      <c r="BI72" s="51"/>
      <c r="BJ72" s="51"/>
      <c r="BK72" s="51"/>
      <c r="BL72" s="51"/>
      <c r="BM72" s="51"/>
      <c r="BN72" s="23"/>
      <c r="BO72" s="23"/>
      <c r="BP72" s="23"/>
      <c r="BQ72" s="23"/>
      <c r="BR72" s="23"/>
      <c r="BS72" s="23"/>
      <c r="BT72" s="23"/>
      <c r="BU72" s="23"/>
      <c r="BV72" s="23"/>
      <c r="BW72" s="23"/>
      <c r="BX72" s="23"/>
      <c r="BY72" s="23"/>
      <c r="BZ72" s="23"/>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row>
    <row r="73">
      <c r="K73" s="110"/>
      <c r="O73" s="78"/>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51"/>
      <c r="BB73" s="51"/>
      <c r="BC73" s="51"/>
      <c r="BD73" s="51"/>
      <c r="BE73" s="51"/>
      <c r="BF73" s="51"/>
      <c r="BG73" s="51"/>
      <c r="BH73" s="51"/>
      <c r="BI73" s="51"/>
      <c r="BJ73" s="51"/>
      <c r="BK73" s="51"/>
      <c r="BL73" s="51"/>
      <c r="BM73" s="51"/>
      <c r="BN73" s="23"/>
      <c r="BO73" s="23"/>
      <c r="BP73" s="23"/>
      <c r="BQ73" s="23"/>
      <c r="BR73" s="23"/>
      <c r="BS73" s="23"/>
      <c r="BT73" s="23"/>
      <c r="BU73" s="23"/>
      <c r="BV73" s="23"/>
      <c r="BW73" s="23"/>
      <c r="BX73" s="23"/>
      <c r="BY73" s="23"/>
      <c r="BZ73" s="23"/>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row>
    <row r="74">
      <c r="K74" s="110"/>
      <c r="O74" s="78"/>
      <c r="P74" s="535"/>
      <c r="Q74" s="535"/>
      <c r="W74" s="535"/>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51"/>
      <c r="BB74" s="51"/>
      <c r="BC74" s="51"/>
      <c r="BD74" s="51"/>
      <c r="BE74" s="51"/>
      <c r="BF74" s="51"/>
      <c r="BG74" s="51"/>
      <c r="BH74" s="51"/>
      <c r="BI74" s="51"/>
      <c r="BJ74" s="51"/>
      <c r="BK74" s="51"/>
      <c r="BL74" s="51"/>
      <c r="BM74" s="51"/>
      <c r="BN74" s="23"/>
      <c r="BO74" s="23"/>
      <c r="BP74" s="23"/>
      <c r="BQ74" s="23"/>
      <c r="BR74" s="23"/>
      <c r="BS74" s="23"/>
      <c r="BT74" s="23"/>
      <c r="BU74" s="23"/>
      <c r="BV74" s="23"/>
      <c r="BW74" s="23"/>
      <c r="BX74" s="23"/>
      <c r="BY74" s="23"/>
      <c r="BZ74" s="23"/>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row>
    <row r="75">
      <c r="K75" s="110"/>
      <c r="O75" s="78"/>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51"/>
      <c r="BB75" s="51"/>
      <c r="BC75" s="51"/>
      <c r="BD75" s="51"/>
      <c r="BE75" s="51"/>
      <c r="BF75" s="51"/>
      <c r="BG75" s="51"/>
      <c r="BH75" s="51"/>
      <c r="BI75" s="51"/>
      <c r="BJ75" s="51"/>
      <c r="BK75" s="51"/>
      <c r="BL75" s="51"/>
      <c r="BM75" s="51"/>
      <c r="BN75" s="23"/>
      <c r="BO75" s="23"/>
      <c r="BP75" s="23"/>
      <c r="BQ75" s="23"/>
      <c r="BR75" s="23"/>
      <c r="BS75" s="23"/>
      <c r="BT75" s="23"/>
      <c r="BU75" s="23"/>
      <c r="BV75" s="23"/>
      <c r="BW75" s="23"/>
      <c r="BX75" s="23"/>
      <c r="BY75" s="23"/>
      <c r="BZ75" s="23"/>
      <c r="CE75" s="144"/>
      <c r="CF75" s="144"/>
      <c r="CG75" s="144"/>
      <c r="CH75" s="144"/>
      <c r="CI75" s="144"/>
      <c r="CJ75" s="144"/>
      <c r="CK75" s="144"/>
      <c r="CL75" s="144"/>
      <c r="CM75" s="144"/>
      <c r="CN75" s="144"/>
      <c r="CO75" s="144"/>
      <c r="CP75" s="144"/>
      <c r="CQ75" s="144"/>
      <c r="CR75" s="144"/>
      <c r="CS75" s="144"/>
      <c r="CT75" s="144"/>
      <c r="CU75" s="144"/>
      <c r="CV75" s="144"/>
      <c r="CW75" s="144"/>
      <c r="CX75" s="144"/>
      <c r="CY75" s="144"/>
      <c r="CZ75" s="144"/>
      <c r="DA75" s="144"/>
      <c r="DB75" s="144"/>
      <c r="DC75" s="144"/>
      <c r="DD75" s="144"/>
      <c r="DE75" s="144"/>
      <c r="DF75" s="144"/>
      <c r="DG75" s="144"/>
      <c r="DH75" s="144"/>
    </row>
    <row r="76">
      <c r="K76" s="146"/>
      <c r="L76" s="528"/>
      <c r="M76" s="528"/>
      <c r="N76" s="528"/>
      <c r="O76" s="529"/>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51"/>
      <c r="BB76" s="51"/>
      <c r="BC76" s="51"/>
      <c r="BD76" s="51"/>
      <c r="BE76" s="51"/>
      <c r="BF76" s="51"/>
      <c r="BG76" s="51"/>
      <c r="BH76" s="51"/>
      <c r="BI76" s="51"/>
      <c r="BJ76" s="51"/>
      <c r="BK76" s="51"/>
      <c r="BL76" s="51"/>
      <c r="BM76" s="51"/>
      <c r="BN76" s="23"/>
      <c r="BO76" s="23"/>
      <c r="BP76" s="23"/>
      <c r="BQ76" s="23"/>
      <c r="BR76" s="23"/>
      <c r="BS76" s="23"/>
      <c r="BT76" s="23"/>
      <c r="BU76" s="23"/>
      <c r="BV76" s="23"/>
      <c r="BW76" s="23"/>
      <c r="BX76" s="23"/>
      <c r="BY76" s="23"/>
      <c r="BZ76" s="23"/>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row>
    <row r="77">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51"/>
      <c r="BB77" s="51"/>
      <c r="BC77" s="51"/>
      <c r="BD77" s="51"/>
      <c r="BE77" s="51"/>
      <c r="BF77" s="51"/>
      <c r="BG77" s="51"/>
      <c r="BH77" s="51"/>
      <c r="BI77" s="51"/>
      <c r="BJ77" s="51"/>
      <c r="BK77" s="51"/>
      <c r="BL77" s="51"/>
      <c r="BM77" s="51"/>
      <c r="BN77" s="23"/>
      <c r="BO77" s="23"/>
      <c r="BP77" s="23"/>
      <c r="BQ77" s="23"/>
      <c r="BR77" s="23"/>
      <c r="BS77" s="23"/>
      <c r="BT77" s="23"/>
      <c r="BU77" s="23"/>
      <c r="BV77" s="23"/>
      <c r="BW77" s="23"/>
      <c r="BX77" s="23"/>
      <c r="BY77" s="23"/>
      <c r="BZ77" s="23"/>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row>
    <row r="78">
      <c r="K78" s="534" t="s">
        <v>130</v>
      </c>
      <c r="L78" s="526"/>
      <c r="M78" s="526"/>
      <c r="N78" s="526"/>
      <c r="O78" s="527"/>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51"/>
      <c r="BB78" s="51"/>
      <c r="BC78" s="51"/>
      <c r="BD78" s="51"/>
      <c r="BE78" s="51"/>
      <c r="BF78" s="51"/>
      <c r="BG78" s="51"/>
      <c r="BH78" s="51"/>
      <c r="BI78" s="51"/>
      <c r="BJ78" s="51"/>
      <c r="BK78" s="51"/>
      <c r="BL78" s="51"/>
      <c r="BM78" s="51"/>
      <c r="BN78" s="23"/>
      <c r="BO78" s="23"/>
      <c r="BP78" s="23"/>
      <c r="BQ78" s="23"/>
      <c r="BR78" s="23"/>
      <c r="BS78" s="23"/>
      <c r="BT78" s="23"/>
      <c r="BU78" s="23"/>
      <c r="BV78" s="23"/>
      <c r="BW78" s="23"/>
      <c r="BX78" s="23"/>
      <c r="BY78" s="23"/>
      <c r="BZ78" s="23"/>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row>
    <row r="79">
      <c r="K79" s="110"/>
      <c r="O79" s="78"/>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51"/>
      <c r="BB79" s="51"/>
      <c r="BC79" s="51"/>
      <c r="BD79" s="51"/>
      <c r="BE79" s="51"/>
      <c r="BF79" s="51"/>
      <c r="BG79" s="51"/>
      <c r="BH79" s="51"/>
      <c r="BI79" s="51"/>
      <c r="BJ79" s="51"/>
      <c r="BK79" s="51"/>
      <c r="BL79" s="51"/>
      <c r="BM79" s="51"/>
      <c r="BN79" s="23"/>
      <c r="BO79" s="23"/>
      <c r="BP79" s="23"/>
      <c r="BQ79" s="23"/>
      <c r="BR79" s="23"/>
      <c r="BS79" s="23"/>
      <c r="BT79" s="23"/>
      <c r="BU79" s="23"/>
      <c r="BV79" s="23"/>
      <c r="BW79" s="23"/>
      <c r="BX79" s="23"/>
      <c r="BY79" s="23"/>
      <c r="BZ79" s="23"/>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row>
    <row r="80">
      <c r="K80" s="110"/>
      <c r="O80" s="78"/>
      <c r="AB80" s="23"/>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51"/>
      <c r="BB80" s="51"/>
      <c r="BC80" s="51"/>
      <c r="BD80" s="51"/>
      <c r="BE80" s="51"/>
      <c r="BF80" s="51"/>
      <c r="BG80" s="51"/>
      <c r="BH80" s="51"/>
      <c r="BI80" s="51"/>
      <c r="BJ80" s="51"/>
      <c r="BK80" s="51"/>
      <c r="BL80" s="51"/>
      <c r="BM80" s="51"/>
      <c r="BN80" s="23"/>
      <c r="BO80" s="23"/>
      <c r="BP80" s="23"/>
      <c r="BQ80" s="23"/>
      <c r="BR80" s="23"/>
      <c r="BS80" s="23"/>
      <c r="BT80" s="23"/>
      <c r="BU80" s="23"/>
      <c r="BV80" s="23"/>
      <c r="BW80" s="23"/>
      <c r="BX80" s="23"/>
      <c r="BY80" s="23"/>
      <c r="BZ80" s="23"/>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row>
    <row r="81">
      <c r="K81" s="110"/>
      <c r="O81" s="78"/>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51"/>
      <c r="BB81" s="51"/>
      <c r="BC81" s="51"/>
      <c r="BD81" s="51"/>
      <c r="BE81" s="51"/>
      <c r="BF81" s="51"/>
      <c r="BG81" s="51"/>
      <c r="BH81" s="51"/>
      <c r="BI81" s="51"/>
      <c r="BJ81" s="51"/>
      <c r="BK81" s="51"/>
      <c r="BL81" s="51"/>
      <c r="BM81" s="51"/>
      <c r="BN81" s="23"/>
      <c r="BO81" s="23"/>
      <c r="BP81" s="23"/>
      <c r="BQ81" s="23"/>
      <c r="BR81" s="23"/>
      <c r="BS81" s="23"/>
      <c r="BT81" s="23"/>
      <c r="BU81" s="23"/>
      <c r="BV81" s="23"/>
      <c r="BW81" s="23"/>
      <c r="BX81" s="23"/>
      <c r="BY81" s="23"/>
      <c r="BZ81" s="23"/>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row>
    <row r="82">
      <c r="K82" s="110"/>
      <c r="O82" s="78"/>
      <c r="R82" s="23"/>
      <c r="S82" s="23"/>
      <c r="T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51"/>
      <c r="BB82" s="51"/>
      <c r="BC82" s="51"/>
      <c r="BD82" s="51"/>
      <c r="BE82" s="51"/>
      <c r="BF82" s="51"/>
      <c r="BG82" s="51"/>
      <c r="BH82" s="51"/>
      <c r="BI82" s="51"/>
      <c r="BJ82" s="51"/>
      <c r="BK82" s="51"/>
      <c r="BL82" s="51"/>
      <c r="BM82" s="51"/>
      <c r="BN82" s="23"/>
      <c r="BO82" s="23"/>
      <c r="BP82" s="23"/>
      <c r="BQ82" s="23"/>
      <c r="BR82" s="23"/>
      <c r="BS82" s="23"/>
      <c r="BT82" s="23"/>
      <c r="BU82" s="23"/>
      <c r="BV82" s="23"/>
      <c r="BW82" s="23"/>
      <c r="BX82" s="23"/>
      <c r="BY82" s="23"/>
      <c r="BZ82" s="23"/>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row>
    <row r="83">
      <c r="K83" s="110"/>
      <c r="O83" s="78"/>
      <c r="R83" s="23"/>
      <c r="S83" s="23"/>
      <c r="T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51"/>
      <c r="BB83" s="51"/>
      <c r="BC83" s="51"/>
      <c r="BD83" s="51"/>
      <c r="BE83" s="51"/>
      <c r="BF83" s="51"/>
      <c r="BG83" s="51"/>
      <c r="BH83" s="51"/>
      <c r="BI83" s="51"/>
      <c r="BJ83" s="51"/>
      <c r="BK83" s="51"/>
      <c r="BL83" s="51"/>
      <c r="BM83" s="51"/>
      <c r="BN83" s="23"/>
      <c r="BO83" s="23"/>
      <c r="BP83" s="23"/>
      <c r="BQ83" s="23"/>
      <c r="BR83" s="23"/>
      <c r="BS83" s="23"/>
      <c r="BT83" s="23"/>
      <c r="BU83" s="23"/>
      <c r="BV83" s="23"/>
      <c r="BW83" s="23"/>
      <c r="BX83" s="23"/>
      <c r="BY83" s="23"/>
      <c r="BZ83" s="23"/>
      <c r="CE83" s="144"/>
      <c r="CF83" s="144"/>
      <c r="CG83" s="144"/>
      <c r="CH83" s="144"/>
      <c r="CI83" s="144"/>
      <c r="CJ83" s="144"/>
      <c r="CK83" s="144"/>
      <c r="CL83" s="144"/>
      <c r="CM83" s="144"/>
      <c r="CN83" s="144"/>
      <c r="CO83" s="144"/>
      <c r="CP83" s="144"/>
      <c r="CQ83" s="144"/>
      <c r="CR83" s="144"/>
      <c r="CS83" s="144"/>
      <c r="CT83" s="144"/>
      <c r="CU83" s="144"/>
      <c r="CV83" s="144"/>
      <c r="CW83" s="144"/>
      <c r="CX83" s="144"/>
      <c r="CY83" s="144"/>
      <c r="CZ83" s="144"/>
      <c r="DA83" s="144"/>
      <c r="DB83" s="144"/>
      <c r="DC83" s="144"/>
      <c r="DD83" s="144"/>
      <c r="DE83" s="144"/>
      <c r="DF83" s="144"/>
      <c r="DG83" s="144"/>
      <c r="DH83" s="144"/>
    </row>
    <row r="84">
      <c r="K84" s="146"/>
      <c r="L84" s="528"/>
      <c r="M84" s="528"/>
      <c r="N84" s="528"/>
      <c r="O84" s="529"/>
      <c r="R84" s="23"/>
      <c r="S84" s="23"/>
      <c r="T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51"/>
      <c r="BB84" s="51"/>
      <c r="BC84" s="51"/>
      <c r="BD84" s="51"/>
      <c r="BE84" s="51"/>
      <c r="BF84" s="51"/>
      <c r="BG84" s="51"/>
      <c r="BH84" s="51"/>
      <c r="BI84" s="51"/>
      <c r="BJ84" s="51"/>
      <c r="BK84" s="51"/>
      <c r="BL84" s="51"/>
      <c r="BM84" s="51"/>
      <c r="BN84" s="23"/>
      <c r="BO84" s="23"/>
      <c r="BP84" s="23"/>
      <c r="BQ84" s="23"/>
      <c r="BR84" s="23"/>
      <c r="BS84" s="23"/>
      <c r="BT84" s="23"/>
      <c r="BU84" s="23"/>
      <c r="BV84" s="23"/>
      <c r="BW84" s="23"/>
      <c r="BX84" s="23"/>
      <c r="BY84" s="23"/>
      <c r="BZ84" s="23"/>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row>
    <row r="85">
      <c r="R85" s="23"/>
      <c r="S85" s="23"/>
      <c r="T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51"/>
      <c r="BB85" s="51"/>
      <c r="BC85" s="51"/>
      <c r="BD85" s="51"/>
      <c r="BE85" s="51"/>
      <c r="BF85" s="51"/>
      <c r="BG85" s="51"/>
      <c r="BH85" s="51"/>
      <c r="BI85" s="51"/>
      <c r="BJ85" s="51"/>
      <c r="BK85" s="51"/>
      <c r="BL85" s="51"/>
      <c r="BM85" s="51"/>
      <c r="BN85" s="23"/>
      <c r="BO85" s="23"/>
      <c r="BP85" s="23"/>
      <c r="BQ85" s="23"/>
      <c r="BR85" s="23"/>
      <c r="BS85" s="23"/>
      <c r="BT85" s="23"/>
      <c r="BU85" s="23"/>
      <c r="BV85" s="23"/>
      <c r="BW85" s="23"/>
      <c r="BX85" s="23"/>
      <c r="BY85" s="23"/>
      <c r="BZ85" s="23"/>
      <c r="CE85" s="144"/>
      <c r="CF85" s="144"/>
      <c r="CG85" s="144"/>
      <c r="CH85" s="144"/>
      <c r="CI85" s="144"/>
      <c r="CJ85" s="144"/>
      <c r="CK85" s="144"/>
      <c r="CL85" s="144"/>
      <c r="CM85" s="144"/>
      <c r="CN85" s="144"/>
      <c r="CO85" s="144"/>
      <c r="CP85" s="144"/>
      <c r="CQ85" s="144"/>
      <c r="CR85" s="144"/>
      <c r="CS85" s="144"/>
      <c r="CT85" s="144"/>
      <c r="CU85" s="144"/>
      <c r="CV85" s="144"/>
      <c r="CW85" s="144"/>
      <c r="CX85" s="144"/>
      <c r="CY85" s="144"/>
      <c r="CZ85" s="144"/>
      <c r="DA85" s="144"/>
      <c r="DB85" s="144"/>
      <c r="DC85" s="144"/>
      <c r="DD85" s="144"/>
      <c r="DE85" s="144"/>
      <c r="DF85" s="144"/>
      <c r="DG85" s="144"/>
      <c r="DH85" s="144"/>
    </row>
    <row r="86">
      <c r="R86" s="23"/>
      <c r="S86" s="23"/>
      <c r="T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51"/>
      <c r="BB86" s="51"/>
      <c r="BC86" s="51"/>
      <c r="BD86" s="51"/>
      <c r="BE86" s="51"/>
      <c r="BF86" s="51"/>
      <c r="BG86" s="51"/>
      <c r="BH86" s="51"/>
      <c r="BI86" s="51"/>
      <c r="BJ86" s="51"/>
      <c r="BK86" s="51"/>
      <c r="BL86" s="51"/>
      <c r="BM86" s="51"/>
      <c r="BN86" s="23"/>
      <c r="BO86" s="23"/>
      <c r="BP86" s="23"/>
      <c r="BQ86" s="23"/>
      <c r="BR86" s="23"/>
      <c r="BS86" s="23"/>
      <c r="BT86" s="23"/>
      <c r="BU86" s="23"/>
      <c r="BV86" s="23"/>
      <c r="BW86" s="23"/>
      <c r="BX86" s="23"/>
      <c r="BY86" s="23"/>
      <c r="BZ86" s="23"/>
    </row>
    <row r="87">
      <c r="R87" s="23"/>
      <c r="S87" s="23"/>
      <c r="T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51"/>
      <c r="BB87" s="51"/>
      <c r="BC87" s="51"/>
      <c r="BD87" s="51"/>
      <c r="BE87" s="51"/>
      <c r="BF87" s="51"/>
      <c r="BG87" s="51"/>
      <c r="BH87" s="51"/>
      <c r="BI87" s="51"/>
      <c r="BJ87" s="51"/>
      <c r="BK87" s="51"/>
      <c r="BL87" s="51"/>
      <c r="BM87" s="51"/>
      <c r="BN87" s="23"/>
      <c r="BO87" s="23"/>
      <c r="BP87" s="23"/>
      <c r="BQ87" s="23"/>
      <c r="BR87" s="23"/>
      <c r="BS87" s="23"/>
      <c r="BT87" s="23"/>
      <c r="BU87" s="23"/>
      <c r="BV87" s="23"/>
      <c r="BW87" s="23"/>
      <c r="BX87" s="23"/>
      <c r="BY87" s="23"/>
      <c r="BZ87" s="23"/>
    </row>
    <row r="88">
      <c r="R88" s="23"/>
      <c r="S88" s="23"/>
      <c r="T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c r="AX88" s="23"/>
      <c r="AY88" s="23"/>
      <c r="AZ88" s="23"/>
      <c r="BA88" s="51"/>
      <c r="BB88" s="51"/>
      <c r="BC88" s="51"/>
      <c r="BD88" s="51"/>
      <c r="BE88" s="51"/>
      <c r="BF88" s="51"/>
      <c r="BG88" s="51"/>
      <c r="BH88" s="51"/>
      <c r="BI88" s="51"/>
      <c r="BJ88" s="51"/>
      <c r="BK88" s="51"/>
      <c r="BL88" s="51"/>
      <c r="BM88" s="51"/>
      <c r="BN88" s="23"/>
      <c r="BO88" s="23"/>
      <c r="BP88" s="23"/>
      <c r="BQ88" s="23"/>
      <c r="BR88" s="23"/>
      <c r="BS88" s="23"/>
      <c r="BT88" s="23"/>
      <c r="BU88" s="23"/>
      <c r="BV88" s="23"/>
      <c r="BW88" s="23"/>
      <c r="BX88" s="23"/>
      <c r="BY88" s="23"/>
      <c r="BZ88" s="23"/>
    </row>
    <row r="89">
      <c r="R89" s="23"/>
      <c r="S89" s="23"/>
      <c r="T89" s="23"/>
      <c r="Z89" s="23"/>
      <c r="AA89" s="23"/>
      <c r="AB89" s="23"/>
      <c r="AC89" s="23"/>
      <c r="AD89" s="51"/>
      <c r="AE89" s="51"/>
      <c r="AF89" s="51"/>
      <c r="AG89" s="51"/>
      <c r="AH89" s="51"/>
      <c r="AI89" s="51"/>
      <c r="AJ89" s="51"/>
      <c r="AK89" s="51"/>
      <c r="AL89" s="51"/>
      <c r="AM89" s="51"/>
      <c r="AN89" s="51"/>
      <c r="AO89" s="51"/>
      <c r="AP89" s="51"/>
      <c r="AQ89" s="23"/>
      <c r="AR89" s="23"/>
      <c r="AS89" s="23"/>
      <c r="AT89" s="23"/>
      <c r="AU89" s="23"/>
      <c r="AV89" s="23"/>
      <c r="AW89" s="23"/>
      <c r="AX89" s="23"/>
      <c r="AY89" s="23"/>
      <c r="AZ89" s="23"/>
      <c r="BA89" s="51"/>
      <c r="BB89" s="51"/>
      <c r="BC89" s="51"/>
      <c r="BD89" s="51"/>
      <c r="BE89" s="51"/>
      <c r="BF89" s="51"/>
      <c r="BG89" s="51"/>
      <c r="BH89" s="51"/>
      <c r="BI89" s="51"/>
      <c r="BJ89" s="51"/>
      <c r="BK89" s="51"/>
      <c r="BL89" s="51"/>
      <c r="BM89" s="51"/>
      <c r="BN89" s="23"/>
      <c r="BO89" s="23"/>
      <c r="BP89" s="23"/>
      <c r="BQ89" s="23"/>
      <c r="BR89" s="23"/>
      <c r="BS89" s="23"/>
      <c r="BT89" s="23"/>
      <c r="BU89" s="23"/>
      <c r="BV89" s="23"/>
      <c r="BW89" s="23"/>
      <c r="BX89" s="23"/>
      <c r="BY89" s="23"/>
      <c r="BZ89" s="23"/>
    </row>
    <row r="90">
      <c r="R90" s="570"/>
      <c r="S90" s="570"/>
      <c r="T90" s="570"/>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570"/>
      <c r="BV90" s="570"/>
      <c r="BW90" s="570"/>
      <c r="BX90" s="570"/>
      <c r="BY90" s="570"/>
      <c r="BZ90" s="23"/>
    </row>
    <row r="91">
      <c r="R91" s="23"/>
      <c r="S91" s="23"/>
      <c r="T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23"/>
      <c r="BP91" s="23"/>
      <c r="BQ91" s="23"/>
      <c r="BR91" s="23"/>
      <c r="BS91" s="23"/>
      <c r="BT91" s="23"/>
      <c r="BU91" s="23"/>
      <c r="BV91" s="23"/>
      <c r="BW91" s="23"/>
      <c r="BX91" s="23"/>
      <c r="BY91" s="23"/>
      <c r="BZ91" s="23"/>
    </row>
    <row r="92">
      <c r="R92" s="23"/>
      <c r="S92" s="23"/>
      <c r="T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23"/>
      <c r="BP92" s="23"/>
      <c r="BQ92" s="23"/>
      <c r="BR92" s="23"/>
      <c r="BS92" s="23"/>
      <c r="BT92" s="23"/>
      <c r="BU92" s="23"/>
      <c r="BV92" s="23"/>
      <c r="BW92" s="23"/>
      <c r="BX92" s="23"/>
      <c r="BY92" s="23"/>
      <c r="BZ92" s="23"/>
    </row>
    <row r="93">
      <c r="R93" s="23"/>
      <c r="S93" s="23"/>
      <c r="T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23"/>
      <c r="BP93" s="23"/>
      <c r="BQ93" s="23"/>
      <c r="BR93" s="23"/>
      <c r="BS93" s="23"/>
      <c r="BT93" s="23"/>
      <c r="BU93" s="23"/>
      <c r="BV93" s="23"/>
      <c r="BW93" s="23"/>
      <c r="BX93" s="23"/>
      <c r="BY93" s="23"/>
      <c r="BZ93" s="23"/>
    </row>
    <row r="94">
      <c r="R94" s="23"/>
      <c r="S94" s="23"/>
      <c r="T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row>
    <row r="95">
      <c r="R95" s="23"/>
      <c r="S95" s="23"/>
      <c r="T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c r="BW95" s="23"/>
      <c r="BX95" s="23"/>
      <c r="BY95" s="23"/>
      <c r="BZ95" s="23"/>
    </row>
    <row r="96">
      <c r="R96" s="23"/>
      <c r="S96" s="23"/>
      <c r="T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3"/>
      <c r="BU96" s="23"/>
      <c r="BV96" s="23"/>
      <c r="BW96" s="23"/>
      <c r="BX96" s="23"/>
      <c r="BY96" s="23"/>
      <c r="BZ96" s="23"/>
    </row>
    <row r="97">
      <c r="R97" s="23"/>
      <c r="S97" s="23"/>
      <c r="T97" s="23"/>
      <c r="Z97" s="569"/>
      <c r="AA97" s="569"/>
      <c r="AB97" s="569"/>
      <c r="AC97" s="569"/>
      <c r="AD97" s="577"/>
      <c r="AE97" s="538"/>
      <c r="AF97" s="578"/>
      <c r="AG97" s="578"/>
      <c r="AH97" s="578"/>
      <c r="AI97" s="578"/>
      <c r="AJ97" s="578"/>
      <c r="AK97" s="578"/>
      <c r="AL97" s="579"/>
      <c r="AM97" s="579"/>
      <c r="AN97" s="579"/>
      <c r="AO97" s="579"/>
      <c r="AP97" s="579"/>
      <c r="AQ97" s="569"/>
      <c r="AR97" s="580"/>
      <c r="AS97" s="569"/>
      <c r="AT97" s="569"/>
      <c r="AU97" s="569"/>
      <c r="AV97" s="569"/>
      <c r="AW97" s="569"/>
      <c r="AX97" s="569"/>
      <c r="AY97" s="569"/>
      <c r="AZ97" s="569"/>
      <c r="BA97" s="569"/>
      <c r="BB97" s="569"/>
      <c r="BC97" s="569"/>
      <c r="BD97" s="569"/>
      <c r="BE97" s="569"/>
      <c r="BF97" s="569"/>
      <c r="BG97" s="569"/>
      <c r="BH97" s="569"/>
      <c r="BI97" s="580"/>
      <c r="BJ97" s="569"/>
      <c r="BK97" s="569"/>
      <c r="BL97" s="569"/>
      <c r="BM97" s="569"/>
      <c r="BN97" s="569"/>
      <c r="BO97" s="569"/>
      <c r="BP97" s="569"/>
      <c r="BQ97" s="569"/>
      <c r="BR97" s="569"/>
      <c r="BS97" s="569"/>
      <c r="BT97" s="569"/>
      <c r="BU97" s="569"/>
      <c r="BV97" s="569"/>
      <c r="BW97" s="569"/>
      <c r="BX97" s="569"/>
      <c r="BY97" s="23"/>
      <c r="BZ97" s="23"/>
    </row>
    <row r="98">
      <c r="R98" s="23"/>
      <c r="S98" s="23"/>
      <c r="T98" s="23"/>
      <c r="Z98" s="581"/>
      <c r="AA98" s="581"/>
      <c r="AB98" s="581"/>
      <c r="AC98" s="581"/>
      <c r="AD98" s="577"/>
      <c r="AE98" s="541"/>
      <c r="AF98" s="578"/>
      <c r="AG98" s="578"/>
      <c r="AH98" s="578"/>
      <c r="AI98" s="542"/>
      <c r="AJ98" s="582"/>
      <c r="AK98" s="582"/>
      <c r="AL98" s="583"/>
      <c r="AM98" s="583"/>
      <c r="AN98" s="583"/>
      <c r="AO98" s="583"/>
      <c r="AP98" s="579"/>
      <c r="AQ98" s="569"/>
      <c r="AR98" s="584"/>
      <c r="AS98" s="581"/>
      <c r="AT98" s="581"/>
      <c r="BH98" s="569"/>
      <c r="BI98" s="584"/>
      <c r="BJ98" s="581"/>
      <c r="BK98" s="581"/>
      <c r="BY98" s="23"/>
      <c r="BZ98" s="23"/>
    </row>
    <row r="99">
      <c r="R99" s="23"/>
      <c r="S99" s="23"/>
      <c r="T99" s="23"/>
      <c r="U99" s="553"/>
      <c r="V99" s="585"/>
      <c r="W99" s="586"/>
      <c r="X99" s="587"/>
      <c r="Y99" s="587"/>
      <c r="Z99" s="587"/>
      <c r="AA99" s="587"/>
      <c r="AB99" s="587"/>
      <c r="AC99" s="587"/>
      <c r="AD99" s="577"/>
      <c r="AE99" s="578"/>
      <c r="AF99" s="545"/>
      <c r="AG99" s="546"/>
      <c r="AH99" s="546"/>
      <c r="AI99" s="546"/>
      <c r="AJ99" s="546"/>
      <c r="AK99" s="546"/>
      <c r="AL99" s="546"/>
      <c r="AM99" s="546"/>
      <c r="AN99" s="546"/>
      <c r="AO99" s="546"/>
      <c r="AP99" s="546"/>
      <c r="AQ99" s="569"/>
      <c r="AR99" s="584"/>
      <c r="AS99" s="581"/>
      <c r="AT99" s="581"/>
      <c r="AU99" s="581"/>
      <c r="AV99" s="581"/>
      <c r="AW99" s="581"/>
      <c r="AX99" s="581"/>
      <c r="AY99" s="581"/>
      <c r="AZ99" s="581"/>
      <c r="BA99" s="581"/>
      <c r="BB99" s="581"/>
      <c r="BC99" s="581"/>
      <c r="BD99" s="581"/>
      <c r="BE99" s="581"/>
      <c r="BF99" s="581"/>
      <c r="BG99" s="581"/>
      <c r="BH99" s="569"/>
      <c r="BI99" s="584"/>
      <c r="BJ99" s="581"/>
      <c r="BK99" s="581"/>
      <c r="BL99" s="581"/>
      <c r="BM99" s="581"/>
      <c r="BN99" s="581"/>
      <c r="BO99" s="581"/>
      <c r="BP99" s="581"/>
      <c r="BQ99" s="581"/>
      <c r="BR99" s="581"/>
      <c r="BS99" s="581"/>
      <c r="BT99" s="581"/>
      <c r="BU99" s="581"/>
      <c r="BV99" s="581"/>
      <c r="BW99" s="581"/>
      <c r="BX99" s="581"/>
      <c r="BY99" s="23"/>
      <c r="BZ99" s="23"/>
    </row>
    <row r="100">
      <c r="R100" s="23"/>
      <c r="S100" s="23"/>
      <c r="T100" s="23"/>
      <c r="U100" s="588"/>
      <c r="V100" s="586"/>
      <c r="W100" s="577"/>
      <c r="X100" s="589"/>
      <c r="Y100" s="589"/>
      <c r="Z100" s="589"/>
      <c r="AA100" s="589"/>
      <c r="AB100" s="589"/>
      <c r="AC100" s="589"/>
      <c r="AD100" s="577"/>
      <c r="AE100" s="588"/>
      <c r="AF100" s="586"/>
      <c r="AG100" s="590"/>
      <c r="AH100" s="590"/>
      <c r="AI100" s="590"/>
      <c r="AJ100" s="590"/>
      <c r="AK100" s="590"/>
      <c r="AL100" s="590"/>
      <c r="AM100" s="590"/>
      <c r="AN100" s="590"/>
      <c r="AO100" s="590"/>
      <c r="AP100" s="590"/>
      <c r="AQ100" s="569"/>
      <c r="AR100" s="584"/>
      <c r="AS100" s="581"/>
      <c r="AT100" s="581"/>
      <c r="AU100" s="581"/>
      <c r="AV100" s="581"/>
      <c r="AW100" s="581"/>
      <c r="AX100" s="581"/>
      <c r="AY100" s="581"/>
      <c r="AZ100" s="581"/>
      <c r="BA100" s="581"/>
      <c r="BB100" s="581"/>
      <c r="BC100" s="581"/>
      <c r="BD100" s="581"/>
      <c r="BE100" s="581"/>
      <c r="BF100" s="581"/>
      <c r="BG100" s="581"/>
      <c r="BH100" s="569"/>
      <c r="BI100" s="584"/>
      <c r="BJ100" s="581"/>
      <c r="BK100" s="581"/>
      <c r="BL100" s="581"/>
      <c r="BM100" s="581"/>
      <c r="BN100" s="581"/>
      <c r="BO100" s="581"/>
      <c r="BP100" s="581"/>
      <c r="BQ100" s="581"/>
      <c r="BR100" s="581"/>
      <c r="BS100" s="581"/>
      <c r="BT100" s="581"/>
      <c r="BU100" s="581"/>
      <c r="BV100" s="581"/>
      <c r="BW100" s="581"/>
      <c r="BX100" s="581"/>
      <c r="BY100" s="23"/>
      <c r="BZ100" s="23"/>
    </row>
    <row r="101">
      <c r="R101" s="23"/>
      <c r="S101" s="23"/>
      <c r="T101" s="23"/>
      <c r="V101" s="586"/>
      <c r="W101" s="577"/>
      <c r="X101" s="589"/>
      <c r="Y101" s="589"/>
      <c r="Z101" s="589"/>
      <c r="AA101" s="589"/>
      <c r="AB101" s="589"/>
      <c r="AC101" s="589"/>
      <c r="AD101" s="577"/>
      <c r="AF101" s="586"/>
      <c r="AG101" s="591"/>
      <c r="AH101" s="591"/>
      <c r="AI101" s="591"/>
      <c r="AJ101" s="591"/>
      <c r="AK101" s="591"/>
      <c r="AL101" s="591"/>
      <c r="AM101" s="591"/>
      <c r="AN101" s="591"/>
      <c r="AO101" s="591"/>
      <c r="AP101" s="591"/>
      <c r="AQ101" s="569"/>
      <c r="AR101" s="553"/>
      <c r="AS101" s="585"/>
      <c r="AT101" s="586"/>
      <c r="AU101" s="587"/>
      <c r="AV101" s="587"/>
      <c r="AW101" s="587"/>
      <c r="AX101" s="587"/>
      <c r="AY101" s="586"/>
      <c r="AZ101" s="586"/>
      <c r="BA101" s="586"/>
      <c r="BB101" s="586"/>
      <c r="BC101" s="586"/>
      <c r="BD101" s="586"/>
      <c r="BE101" s="586"/>
      <c r="BF101" s="586"/>
      <c r="BG101" s="586"/>
      <c r="BH101" s="569"/>
      <c r="BI101" s="553"/>
      <c r="BJ101" s="585"/>
      <c r="BK101" s="586"/>
      <c r="BL101" s="587"/>
      <c r="BM101" s="587"/>
      <c r="BN101" s="587"/>
      <c r="BO101" s="587"/>
      <c r="BP101" s="586"/>
      <c r="BQ101" s="586"/>
      <c r="BR101" s="586"/>
      <c r="BS101" s="586"/>
      <c r="BT101" s="586"/>
      <c r="BU101" s="586"/>
      <c r="BV101" s="586"/>
      <c r="BW101" s="586"/>
      <c r="BX101" s="586"/>
      <c r="BY101" s="23"/>
      <c r="BZ101" s="23"/>
    </row>
    <row r="102">
      <c r="R102" s="23"/>
      <c r="S102" s="23"/>
      <c r="T102" s="23"/>
      <c r="V102" s="587"/>
      <c r="W102" s="577"/>
      <c r="X102" s="589"/>
      <c r="Y102" s="589"/>
      <c r="Z102" s="589"/>
      <c r="AA102" s="589"/>
      <c r="AB102" s="589"/>
      <c r="AC102" s="589"/>
      <c r="AD102" s="577"/>
      <c r="AF102" s="587"/>
      <c r="AG102" s="590"/>
      <c r="AH102" s="590"/>
      <c r="AI102" s="590"/>
      <c r="AJ102" s="590"/>
      <c r="AK102" s="590"/>
      <c r="AL102" s="590"/>
      <c r="AM102" s="590"/>
      <c r="AN102" s="590"/>
      <c r="AO102" s="590"/>
      <c r="AP102" s="590"/>
      <c r="AQ102" s="569"/>
      <c r="AR102" s="592"/>
      <c r="AS102" s="593"/>
      <c r="AT102" s="577"/>
      <c r="AU102" s="577"/>
      <c r="AV102" s="577"/>
      <c r="AW102" s="577"/>
      <c r="AX102" s="577"/>
      <c r="AY102" s="577"/>
      <c r="AZ102" s="577"/>
      <c r="BA102" s="577"/>
      <c r="BB102" s="577"/>
      <c r="BC102" s="577"/>
      <c r="BD102" s="577"/>
      <c r="BE102" s="577"/>
      <c r="BF102" s="577"/>
      <c r="BG102" s="577"/>
      <c r="BH102" s="569"/>
      <c r="BI102" s="588"/>
      <c r="BJ102" s="586"/>
      <c r="BK102" s="577"/>
      <c r="BL102" s="577"/>
      <c r="BM102" s="577"/>
      <c r="BN102" s="577"/>
      <c r="BO102" s="577"/>
      <c r="BP102" s="577"/>
      <c r="BQ102" s="577"/>
      <c r="BR102" s="577"/>
      <c r="BS102" s="577"/>
      <c r="BT102" s="577"/>
      <c r="BU102" s="577"/>
      <c r="BV102" s="577"/>
      <c r="BW102" s="577"/>
      <c r="BX102" s="577"/>
      <c r="BY102" s="23"/>
      <c r="BZ102" s="23"/>
    </row>
    <row r="103">
      <c r="R103" s="23"/>
      <c r="S103" s="23"/>
      <c r="T103" s="23"/>
      <c r="V103" s="587"/>
      <c r="W103" s="577"/>
      <c r="X103" s="589"/>
      <c r="Y103" s="589"/>
      <c r="Z103" s="589"/>
      <c r="AA103" s="589"/>
      <c r="AB103" s="589"/>
      <c r="AC103" s="589"/>
      <c r="AD103" s="577"/>
      <c r="AF103" s="587"/>
      <c r="AG103" s="590"/>
      <c r="AH103" s="590"/>
      <c r="AI103" s="590"/>
      <c r="AJ103" s="590"/>
      <c r="AK103" s="590"/>
      <c r="AL103" s="590"/>
      <c r="AM103" s="590"/>
      <c r="AN103" s="590"/>
      <c r="AO103" s="590"/>
      <c r="AP103" s="590"/>
      <c r="AQ103" s="569"/>
      <c r="AS103" s="593"/>
      <c r="AT103" s="594"/>
      <c r="AU103" s="594"/>
      <c r="AV103" s="594"/>
      <c r="AW103" s="594"/>
      <c r="AX103" s="594"/>
      <c r="AY103" s="594"/>
      <c r="AZ103" s="594"/>
      <c r="BA103" s="594"/>
      <c r="BB103" s="594"/>
      <c r="BC103" s="594"/>
      <c r="BD103" s="594"/>
      <c r="BE103" s="594"/>
      <c r="BF103" s="594"/>
      <c r="BG103" s="594"/>
      <c r="BH103" s="569"/>
      <c r="BJ103" s="586"/>
      <c r="BK103" s="594"/>
      <c r="BL103" s="594"/>
      <c r="BM103" s="594"/>
      <c r="BN103" s="594"/>
      <c r="BO103" s="594"/>
      <c r="BP103" s="594"/>
      <c r="BQ103" s="594"/>
      <c r="BR103" s="594"/>
      <c r="BS103" s="594"/>
      <c r="BT103" s="594"/>
      <c r="BU103" s="594"/>
      <c r="BV103" s="594"/>
      <c r="BW103" s="594"/>
      <c r="BX103" s="594"/>
      <c r="BY103" s="23"/>
      <c r="BZ103" s="23"/>
    </row>
    <row r="104">
      <c r="B104" s="595"/>
      <c r="R104" s="23"/>
      <c r="S104" s="23"/>
      <c r="T104" s="23"/>
      <c r="V104" s="587"/>
      <c r="W104" s="577"/>
      <c r="X104" s="589"/>
      <c r="Y104" s="589"/>
      <c r="Z104" s="589"/>
      <c r="AA104" s="589"/>
      <c r="AB104" s="589"/>
      <c r="AC104" s="589"/>
      <c r="AD104" s="577"/>
      <c r="AF104" s="587"/>
      <c r="AG104" s="590"/>
      <c r="AH104" s="590"/>
      <c r="AI104" s="590"/>
      <c r="AJ104" s="590"/>
      <c r="AK104" s="590"/>
      <c r="AL104" s="590"/>
      <c r="AM104" s="590"/>
      <c r="AN104" s="590"/>
      <c r="AO104" s="590"/>
      <c r="AP104" s="590"/>
      <c r="AQ104" s="569"/>
      <c r="AS104" s="593"/>
      <c r="AT104" s="577"/>
      <c r="AU104" s="577"/>
      <c r="AV104" s="577"/>
      <c r="AW104" s="577"/>
      <c r="AX104" s="577"/>
      <c r="AY104" s="577"/>
      <c r="AZ104" s="577"/>
      <c r="BA104" s="577"/>
      <c r="BB104" s="577"/>
      <c r="BC104" s="577"/>
      <c r="BD104" s="577"/>
      <c r="BE104" s="577"/>
      <c r="BF104" s="577"/>
      <c r="BG104" s="577"/>
      <c r="BH104" s="569"/>
      <c r="BJ104" s="587"/>
      <c r="BK104" s="577"/>
      <c r="BL104" s="577"/>
      <c r="BM104" s="577"/>
      <c r="BN104" s="577"/>
      <c r="BO104" s="577"/>
      <c r="BP104" s="577"/>
      <c r="BQ104" s="577"/>
      <c r="BR104" s="577"/>
      <c r="BS104" s="577"/>
      <c r="BT104" s="577"/>
      <c r="BU104" s="577"/>
      <c r="BV104" s="577"/>
      <c r="BW104" s="577"/>
      <c r="BX104" s="577"/>
      <c r="BY104" s="23"/>
      <c r="BZ104" s="23"/>
    </row>
    <row r="105">
      <c r="R105" s="23"/>
      <c r="S105" s="23"/>
      <c r="T105" s="23"/>
      <c r="V105" s="587"/>
      <c r="W105" s="577"/>
      <c r="X105" s="589"/>
      <c r="Y105" s="589"/>
      <c r="Z105" s="589"/>
      <c r="AA105" s="589"/>
      <c r="AB105" s="589"/>
      <c r="AC105" s="589"/>
      <c r="AD105" s="577"/>
      <c r="AF105" s="587"/>
      <c r="AG105" s="590"/>
      <c r="AH105" s="590"/>
      <c r="AI105" s="590"/>
      <c r="AJ105" s="590"/>
      <c r="AK105" s="590"/>
      <c r="AL105" s="590"/>
      <c r="AM105" s="590"/>
      <c r="AN105" s="590"/>
      <c r="AO105" s="590"/>
      <c r="AP105" s="590"/>
      <c r="AQ105" s="569"/>
      <c r="AS105" s="593"/>
      <c r="AT105" s="577"/>
      <c r="AU105" s="577"/>
      <c r="AV105" s="577"/>
      <c r="AW105" s="577"/>
      <c r="AX105" s="577"/>
      <c r="AY105" s="577"/>
      <c r="AZ105" s="577"/>
      <c r="BA105" s="577"/>
      <c r="BB105" s="577"/>
      <c r="BC105" s="577"/>
      <c r="BD105" s="577"/>
      <c r="BE105" s="577"/>
      <c r="BF105" s="577"/>
      <c r="BG105" s="577"/>
      <c r="BH105" s="569"/>
      <c r="BJ105" s="587"/>
      <c r="BK105" s="577"/>
      <c r="BL105" s="577"/>
      <c r="BM105" s="577"/>
      <c r="BN105" s="577"/>
      <c r="BO105" s="577"/>
      <c r="BP105" s="577"/>
      <c r="BQ105" s="577"/>
      <c r="BR105" s="577"/>
      <c r="BS105" s="577"/>
      <c r="BT105" s="577"/>
      <c r="BU105" s="577"/>
      <c r="BV105" s="577"/>
      <c r="BW105" s="577"/>
      <c r="BX105" s="577"/>
      <c r="BY105" s="23"/>
      <c r="BZ105" s="23"/>
    </row>
    <row r="106">
      <c r="R106" s="23"/>
      <c r="S106" s="23"/>
      <c r="T106" s="23"/>
      <c r="V106" s="587"/>
      <c r="W106" s="577"/>
      <c r="X106" s="589"/>
      <c r="Y106" s="589"/>
      <c r="Z106" s="589"/>
      <c r="AA106" s="589"/>
      <c r="AB106" s="589"/>
      <c r="AC106" s="589"/>
      <c r="AD106" s="577"/>
      <c r="AF106" s="587"/>
      <c r="AG106" s="590"/>
      <c r="AH106" s="590"/>
      <c r="AI106" s="590"/>
      <c r="AJ106" s="590"/>
      <c r="AK106" s="590"/>
      <c r="AL106" s="590"/>
      <c r="AM106" s="590"/>
      <c r="AN106" s="590"/>
      <c r="AO106" s="590"/>
      <c r="AP106" s="590"/>
      <c r="AQ106" s="569"/>
      <c r="AS106" s="593"/>
      <c r="AT106" s="577"/>
      <c r="AU106" s="577"/>
      <c r="AV106" s="577"/>
      <c r="AW106" s="577"/>
      <c r="AX106" s="577"/>
      <c r="AY106" s="577"/>
      <c r="AZ106" s="577"/>
      <c r="BA106" s="577"/>
      <c r="BB106" s="577"/>
      <c r="BC106" s="577"/>
      <c r="BD106" s="577"/>
      <c r="BE106" s="577"/>
      <c r="BF106" s="577"/>
      <c r="BG106" s="577"/>
      <c r="BH106" s="569"/>
      <c r="BJ106" s="587"/>
      <c r="BK106" s="577"/>
      <c r="BL106" s="577"/>
      <c r="BM106" s="577"/>
      <c r="BN106" s="577"/>
      <c r="BO106" s="577"/>
      <c r="BP106" s="577"/>
      <c r="BQ106" s="577"/>
      <c r="BR106" s="577"/>
      <c r="BS106" s="577"/>
      <c r="BT106" s="577"/>
      <c r="BU106" s="577"/>
      <c r="BV106" s="577"/>
      <c r="BW106" s="577"/>
      <c r="BX106" s="577"/>
      <c r="BY106" s="23"/>
      <c r="BZ106" s="23"/>
    </row>
    <row r="107">
      <c r="R107" s="23"/>
      <c r="S107" s="23"/>
      <c r="T107" s="23"/>
      <c r="V107" s="587"/>
      <c r="W107" s="577"/>
      <c r="X107" s="589"/>
      <c r="Y107" s="589"/>
      <c r="Z107" s="589"/>
      <c r="AA107" s="589"/>
      <c r="AB107" s="589"/>
      <c r="AC107" s="589"/>
      <c r="AD107" s="577"/>
      <c r="AF107" s="587"/>
      <c r="AG107" s="590"/>
      <c r="AH107" s="590"/>
      <c r="AI107" s="590"/>
      <c r="AJ107" s="590"/>
      <c r="AK107" s="590"/>
      <c r="AL107" s="590"/>
      <c r="AM107" s="590"/>
      <c r="AN107" s="590"/>
      <c r="AO107" s="590"/>
      <c r="AP107" s="590"/>
      <c r="AQ107" s="569"/>
      <c r="AS107" s="593"/>
      <c r="AT107" s="577"/>
      <c r="AU107" s="577"/>
      <c r="AV107" s="577"/>
      <c r="AW107" s="577"/>
      <c r="AX107" s="577"/>
      <c r="AY107" s="577"/>
      <c r="AZ107" s="577"/>
      <c r="BA107" s="577"/>
      <c r="BB107" s="577"/>
      <c r="BC107" s="577"/>
      <c r="BD107" s="577"/>
      <c r="BE107" s="577"/>
      <c r="BF107" s="577"/>
      <c r="BG107" s="577"/>
      <c r="BH107" s="569"/>
      <c r="BJ107" s="587"/>
      <c r="BK107" s="577"/>
      <c r="BL107" s="577"/>
      <c r="BM107" s="577"/>
      <c r="BN107" s="577"/>
      <c r="BO107" s="577"/>
      <c r="BP107" s="577"/>
      <c r="BQ107" s="577"/>
      <c r="BR107" s="577"/>
      <c r="BS107" s="577"/>
      <c r="BT107" s="577"/>
      <c r="BU107" s="577"/>
      <c r="BV107" s="577"/>
      <c r="BW107" s="577"/>
      <c r="BX107" s="577"/>
      <c r="BY107" s="23"/>
      <c r="BZ107" s="23"/>
    </row>
    <row r="108">
      <c r="R108" s="23"/>
      <c r="S108" s="23"/>
      <c r="T108" s="23"/>
      <c r="V108" s="587"/>
      <c r="W108" s="577"/>
      <c r="X108" s="589"/>
      <c r="Y108" s="589"/>
      <c r="Z108" s="589"/>
      <c r="AA108" s="589"/>
      <c r="AB108" s="589"/>
      <c r="AC108" s="589"/>
      <c r="AD108" s="577"/>
      <c r="AF108" s="587"/>
      <c r="AG108" s="591"/>
      <c r="AH108" s="591"/>
      <c r="AI108" s="591"/>
      <c r="AJ108" s="591"/>
      <c r="AK108" s="591"/>
      <c r="AL108" s="591"/>
      <c r="AM108" s="591"/>
      <c r="AN108" s="591"/>
      <c r="AO108" s="591"/>
      <c r="AP108" s="591"/>
      <c r="AQ108" s="569"/>
      <c r="AS108" s="593"/>
      <c r="AT108" s="577"/>
      <c r="AU108" s="577"/>
      <c r="AV108" s="577"/>
      <c r="AW108" s="577"/>
      <c r="AX108" s="577"/>
      <c r="AY108" s="577"/>
      <c r="AZ108" s="577"/>
      <c r="BA108" s="577"/>
      <c r="BB108" s="577"/>
      <c r="BC108" s="577"/>
      <c r="BD108" s="577"/>
      <c r="BE108" s="577"/>
      <c r="BF108" s="577"/>
      <c r="BG108" s="577"/>
      <c r="BH108" s="569"/>
      <c r="BJ108" s="587"/>
      <c r="BK108" s="577"/>
      <c r="BL108" s="577"/>
      <c r="BM108" s="577"/>
      <c r="BN108" s="577"/>
      <c r="BO108" s="577"/>
      <c r="BP108" s="577"/>
      <c r="BQ108" s="577"/>
      <c r="BR108" s="577"/>
      <c r="BS108" s="577"/>
      <c r="BT108" s="577"/>
      <c r="BU108" s="577"/>
      <c r="BV108" s="577"/>
      <c r="BW108" s="577"/>
      <c r="BX108" s="577"/>
      <c r="BY108" s="23"/>
      <c r="BZ108" s="23"/>
    </row>
    <row r="109">
      <c r="R109" s="23"/>
      <c r="S109" s="23"/>
      <c r="T109" s="23"/>
      <c r="V109" s="587"/>
      <c r="W109" s="577"/>
      <c r="X109" s="589"/>
      <c r="Y109" s="589"/>
      <c r="Z109" s="589"/>
      <c r="AA109" s="589"/>
      <c r="AB109" s="589"/>
      <c r="AC109" s="589"/>
      <c r="AD109" s="577"/>
      <c r="AF109" s="587"/>
      <c r="AG109" s="590"/>
      <c r="AH109" s="590"/>
      <c r="AI109" s="590"/>
      <c r="AJ109" s="590"/>
      <c r="AK109" s="590"/>
      <c r="AL109" s="590"/>
      <c r="AM109" s="590"/>
      <c r="AN109" s="590"/>
      <c r="AO109" s="590"/>
      <c r="AP109" s="590"/>
      <c r="AQ109" s="569"/>
      <c r="AS109" s="593"/>
      <c r="AT109" s="577"/>
      <c r="AU109" s="577"/>
      <c r="AV109" s="577"/>
      <c r="AW109" s="577"/>
      <c r="AX109" s="577"/>
      <c r="AY109" s="577"/>
      <c r="AZ109" s="577"/>
      <c r="BA109" s="577"/>
      <c r="BB109" s="577"/>
      <c r="BC109" s="577"/>
      <c r="BD109" s="577"/>
      <c r="BE109" s="577"/>
      <c r="BF109" s="577"/>
      <c r="BG109" s="577"/>
      <c r="BH109" s="569"/>
      <c r="BJ109" s="587"/>
      <c r="BK109" s="577"/>
      <c r="BL109" s="577"/>
      <c r="BM109" s="577"/>
      <c r="BN109" s="577"/>
      <c r="BO109" s="577"/>
      <c r="BP109" s="577"/>
      <c r="BQ109" s="577"/>
      <c r="BR109" s="577"/>
      <c r="BS109" s="577"/>
      <c r="BT109" s="577"/>
      <c r="BU109" s="577"/>
      <c r="BV109" s="577"/>
      <c r="BW109" s="577"/>
      <c r="BX109" s="577"/>
      <c r="BY109" s="23"/>
      <c r="BZ109" s="23"/>
    </row>
    <row r="110">
      <c r="R110" s="23"/>
      <c r="S110" s="23"/>
      <c r="T110" s="23"/>
      <c r="V110" s="587"/>
      <c r="W110" s="577"/>
      <c r="X110" s="589"/>
      <c r="Y110" s="589"/>
      <c r="Z110" s="589"/>
      <c r="AA110" s="589"/>
      <c r="AB110" s="589"/>
      <c r="AC110" s="589"/>
      <c r="AD110" s="577"/>
      <c r="AF110" s="587"/>
      <c r="AG110" s="590"/>
      <c r="AH110" s="590"/>
      <c r="AI110" s="590"/>
      <c r="AJ110" s="590"/>
      <c r="AK110" s="590"/>
      <c r="AL110" s="590"/>
      <c r="AM110" s="590"/>
      <c r="AN110" s="590"/>
      <c r="AO110" s="590"/>
      <c r="AP110" s="590"/>
      <c r="AQ110" s="569"/>
      <c r="AS110" s="593"/>
      <c r="AT110" s="594"/>
      <c r="AU110" s="594"/>
      <c r="AV110" s="594"/>
      <c r="AW110" s="594"/>
      <c r="AX110" s="594"/>
      <c r="AY110" s="594"/>
      <c r="AZ110" s="594"/>
      <c r="BA110" s="594"/>
      <c r="BB110" s="594"/>
      <c r="BC110" s="594"/>
      <c r="BD110" s="594"/>
      <c r="BE110" s="594"/>
      <c r="BF110" s="594"/>
      <c r="BG110" s="594"/>
      <c r="BH110" s="569"/>
      <c r="BJ110" s="587"/>
      <c r="BK110" s="594"/>
      <c r="BL110" s="594"/>
      <c r="BM110" s="594"/>
      <c r="BN110" s="594"/>
      <c r="BO110" s="594"/>
      <c r="BP110" s="594"/>
      <c r="BQ110" s="594"/>
      <c r="BR110" s="594"/>
      <c r="BS110" s="594"/>
      <c r="BT110" s="594"/>
      <c r="BU110" s="594"/>
      <c r="BV110" s="594"/>
      <c r="BW110" s="594"/>
      <c r="BX110" s="594"/>
      <c r="BY110" s="23"/>
      <c r="BZ110" s="23"/>
    </row>
    <row r="111">
      <c r="R111" s="23"/>
      <c r="S111" s="23"/>
      <c r="T111" s="23"/>
      <c r="V111" s="587"/>
      <c r="W111" s="577"/>
      <c r="X111" s="589"/>
      <c r="Y111" s="589"/>
      <c r="Z111" s="589"/>
      <c r="AA111" s="589"/>
      <c r="AB111" s="589"/>
      <c r="AC111" s="589"/>
      <c r="AD111" s="577"/>
      <c r="AF111" s="587"/>
      <c r="AG111" s="590"/>
      <c r="AH111" s="590"/>
      <c r="AI111" s="590"/>
      <c r="AJ111" s="590"/>
      <c r="AK111" s="590"/>
      <c r="AL111" s="590"/>
      <c r="AM111" s="590"/>
      <c r="AN111" s="590"/>
      <c r="AO111" s="590"/>
      <c r="AP111" s="590"/>
      <c r="AQ111" s="569"/>
      <c r="AS111" s="593"/>
      <c r="AT111" s="577"/>
      <c r="AU111" s="577"/>
      <c r="AV111" s="577"/>
      <c r="AW111" s="577"/>
      <c r="AX111" s="577"/>
      <c r="AY111" s="577"/>
      <c r="AZ111" s="577"/>
      <c r="BA111" s="577"/>
      <c r="BB111" s="577"/>
      <c r="BC111" s="577"/>
      <c r="BD111" s="577"/>
      <c r="BE111" s="577"/>
      <c r="BF111" s="577"/>
      <c r="BG111" s="577"/>
      <c r="BH111" s="569"/>
      <c r="BJ111" s="587"/>
      <c r="BK111" s="577"/>
      <c r="BL111" s="577"/>
      <c r="BM111" s="577"/>
      <c r="BN111" s="577"/>
      <c r="BO111" s="577"/>
      <c r="BP111" s="577"/>
      <c r="BQ111" s="577"/>
      <c r="BR111" s="577"/>
      <c r="BS111" s="577"/>
      <c r="BT111" s="577"/>
      <c r="BU111" s="577"/>
      <c r="BV111" s="577"/>
      <c r="BW111" s="577"/>
      <c r="BX111" s="577"/>
      <c r="BY111" s="23"/>
      <c r="BZ111" s="23"/>
    </row>
    <row r="112">
      <c r="R112" s="23"/>
      <c r="S112" s="23"/>
      <c r="T112" s="23"/>
      <c r="V112" s="587"/>
      <c r="W112" s="577"/>
      <c r="X112" s="589"/>
      <c r="Y112" s="589"/>
      <c r="Z112" s="589"/>
      <c r="AA112" s="589"/>
      <c r="AB112" s="589"/>
      <c r="AC112" s="589"/>
      <c r="AD112" s="577"/>
      <c r="AF112" s="587"/>
      <c r="AG112" s="590"/>
      <c r="AH112" s="590"/>
      <c r="AI112" s="590"/>
      <c r="AJ112" s="590"/>
      <c r="AK112" s="590"/>
      <c r="AL112" s="590"/>
      <c r="AM112" s="590"/>
      <c r="AN112" s="590"/>
      <c r="AO112" s="590"/>
      <c r="AP112" s="590"/>
      <c r="AQ112" s="569"/>
      <c r="AR112" s="569"/>
      <c r="AS112" s="569"/>
      <c r="AT112" s="569"/>
      <c r="AU112" s="569"/>
      <c r="AV112" s="569"/>
      <c r="AW112" s="569"/>
      <c r="AX112" s="569"/>
      <c r="AY112" s="569"/>
      <c r="AZ112" s="569"/>
      <c r="BA112" s="569"/>
      <c r="BB112" s="569"/>
      <c r="BC112" s="569"/>
      <c r="BD112" s="569"/>
      <c r="BE112" s="569"/>
      <c r="BF112" s="569"/>
      <c r="BG112" s="569"/>
      <c r="BH112" s="569"/>
      <c r="BJ112" s="587"/>
      <c r="BK112" s="577"/>
      <c r="BL112" s="577"/>
      <c r="BM112" s="577"/>
      <c r="BN112" s="577"/>
      <c r="BO112" s="577"/>
      <c r="BP112" s="577"/>
      <c r="BQ112" s="577"/>
      <c r="BR112" s="577"/>
      <c r="BS112" s="577"/>
      <c r="BT112" s="577"/>
      <c r="BU112" s="577"/>
      <c r="BV112" s="577"/>
      <c r="BW112" s="577"/>
      <c r="BX112" s="577"/>
      <c r="BY112" s="23"/>
      <c r="BZ112" s="23"/>
    </row>
    <row r="113">
      <c r="R113" s="23"/>
      <c r="S113" s="23"/>
      <c r="T113" s="23"/>
      <c r="V113" s="587"/>
      <c r="W113" s="577"/>
      <c r="X113" s="589"/>
      <c r="Y113" s="589"/>
      <c r="Z113" s="589"/>
      <c r="AA113" s="589"/>
      <c r="AB113" s="589"/>
      <c r="AC113" s="589"/>
      <c r="AD113" s="577"/>
      <c r="AF113" s="587"/>
      <c r="AG113" s="590"/>
      <c r="AH113" s="590"/>
      <c r="AI113" s="590"/>
      <c r="AJ113" s="590"/>
      <c r="AK113" s="590"/>
      <c r="AL113" s="590"/>
      <c r="AM113" s="590"/>
      <c r="AN113" s="590"/>
      <c r="AO113" s="590"/>
      <c r="AP113" s="590"/>
      <c r="AQ113" s="569"/>
      <c r="AR113" s="569"/>
      <c r="AS113" s="569"/>
      <c r="AT113" s="569"/>
      <c r="AU113" s="569"/>
      <c r="AV113" s="569"/>
      <c r="AW113" s="569"/>
      <c r="AX113" s="569"/>
      <c r="AY113" s="569"/>
      <c r="AZ113" s="569"/>
      <c r="BA113" s="569"/>
      <c r="BB113" s="569"/>
      <c r="BC113" s="569"/>
      <c r="BD113" s="569"/>
      <c r="BE113" s="569"/>
      <c r="BF113" s="569"/>
      <c r="BG113" s="569"/>
      <c r="BH113" s="569"/>
      <c r="BJ113" s="587"/>
      <c r="BK113" s="577"/>
      <c r="BL113" s="577"/>
      <c r="BM113" s="577"/>
      <c r="BN113" s="577"/>
      <c r="BO113" s="577"/>
      <c r="BP113" s="577"/>
      <c r="BQ113" s="577"/>
      <c r="BR113" s="577"/>
      <c r="BS113" s="577"/>
      <c r="BT113" s="577"/>
      <c r="BU113" s="577"/>
      <c r="BV113" s="577"/>
      <c r="BW113" s="577"/>
      <c r="BX113" s="577"/>
      <c r="BY113" s="23"/>
      <c r="BZ113" s="23"/>
    </row>
    <row r="114">
      <c r="R114" s="23"/>
      <c r="S114" s="23"/>
      <c r="T114" s="23"/>
      <c r="V114" s="587"/>
      <c r="W114" s="577"/>
      <c r="X114" s="589"/>
      <c r="Y114" s="589"/>
      <c r="Z114" s="589"/>
      <c r="AA114" s="589"/>
      <c r="AB114" s="589"/>
      <c r="AC114" s="589"/>
      <c r="AD114" s="577"/>
      <c r="AF114" s="587"/>
      <c r="AG114" s="590"/>
      <c r="AH114" s="590"/>
      <c r="AI114" s="590"/>
      <c r="AJ114" s="590"/>
      <c r="AK114" s="590"/>
      <c r="AL114" s="590"/>
      <c r="AM114" s="590"/>
      <c r="AN114" s="590"/>
      <c r="AO114" s="590"/>
      <c r="AP114" s="590"/>
      <c r="AQ114" s="569"/>
      <c r="AR114" s="569"/>
      <c r="AS114" s="569"/>
      <c r="AT114" s="569"/>
      <c r="AU114" s="569"/>
      <c r="AV114" s="569"/>
      <c r="AW114" s="569"/>
      <c r="AX114" s="569"/>
      <c r="AY114" s="569"/>
      <c r="AZ114" s="569"/>
      <c r="BA114" s="569"/>
      <c r="BB114" s="569"/>
      <c r="BC114" s="569"/>
      <c r="BD114" s="569"/>
      <c r="BE114" s="569"/>
      <c r="BF114" s="569"/>
      <c r="BG114" s="569"/>
      <c r="BH114" s="569"/>
      <c r="BJ114" s="587"/>
      <c r="BK114" s="577"/>
      <c r="BL114" s="577"/>
      <c r="BM114" s="577"/>
      <c r="BN114" s="577"/>
      <c r="BO114" s="577"/>
      <c r="BP114" s="577"/>
      <c r="BQ114" s="577"/>
      <c r="BR114" s="577"/>
      <c r="BS114" s="577"/>
      <c r="BT114" s="577"/>
      <c r="BU114" s="577"/>
      <c r="BV114" s="577"/>
      <c r="BW114" s="577"/>
      <c r="BX114" s="577"/>
      <c r="BY114" s="23"/>
      <c r="BZ114" s="23"/>
    </row>
    <row r="115">
      <c r="R115" s="23"/>
      <c r="S115" s="23"/>
      <c r="T115" s="23"/>
      <c r="V115" s="587"/>
      <c r="W115" s="577"/>
      <c r="X115" s="589"/>
      <c r="Y115" s="589"/>
      <c r="Z115" s="589"/>
      <c r="AA115" s="589"/>
      <c r="AB115" s="589"/>
      <c r="AC115" s="589"/>
      <c r="AD115" s="577"/>
      <c r="AF115" s="587"/>
      <c r="AG115" s="590"/>
      <c r="AH115" s="590"/>
      <c r="AI115" s="590"/>
      <c r="AJ115" s="590"/>
      <c r="AK115" s="590"/>
      <c r="AL115" s="590"/>
      <c r="AM115" s="590"/>
      <c r="AN115" s="590"/>
      <c r="AO115" s="590"/>
      <c r="AP115" s="590"/>
      <c r="AQ115" s="569"/>
      <c r="AR115" s="569"/>
      <c r="AS115" s="569"/>
      <c r="AT115" s="569"/>
      <c r="AU115" s="569"/>
      <c r="AV115" s="569"/>
      <c r="AW115" s="569"/>
      <c r="AX115" s="569"/>
      <c r="AY115" s="569"/>
      <c r="AZ115" s="569"/>
      <c r="BA115" s="569"/>
      <c r="BB115" s="569"/>
      <c r="BC115" s="569"/>
      <c r="BD115" s="569"/>
      <c r="BE115" s="569"/>
      <c r="BF115" s="569"/>
      <c r="BG115" s="569"/>
      <c r="BH115" s="569"/>
      <c r="BJ115" s="587"/>
      <c r="BK115" s="577"/>
      <c r="BL115" s="577"/>
      <c r="BM115" s="577"/>
      <c r="BN115" s="577"/>
      <c r="BO115" s="577"/>
      <c r="BP115" s="577"/>
      <c r="BQ115" s="577"/>
      <c r="BR115" s="577"/>
      <c r="BS115" s="577"/>
      <c r="BT115" s="577"/>
      <c r="BU115" s="577"/>
      <c r="BV115" s="577"/>
      <c r="BW115" s="577"/>
      <c r="BX115" s="577"/>
      <c r="BY115" s="23"/>
      <c r="BZ115" s="23"/>
    </row>
    <row r="116" ht="24.0" customHeight="1">
      <c r="R116" s="23"/>
      <c r="S116" s="23"/>
      <c r="T116" s="23"/>
      <c r="V116" s="587"/>
      <c r="W116" s="577"/>
      <c r="X116" s="589"/>
      <c r="Y116" s="589"/>
      <c r="Z116" s="589"/>
      <c r="AA116" s="589"/>
      <c r="AB116" s="589"/>
      <c r="AC116" s="589"/>
      <c r="AD116" s="577"/>
      <c r="AF116" s="587"/>
      <c r="AG116" s="591"/>
      <c r="AH116" s="591"/>
      <c r="AI116" s="591"/>
      <c r="AJ116" s="591"/>
      <c r="AK116" s="591"/>
      <c r="AL116" s="591"/>
      <c r="AM116" s="591"/>
      <c r="AN116" s="591"/>
      <c r="AO116" s="591"/>
      <c r="AP116" s="591"/>
      <c r="AQ116" s="569"/>
      <c r="AR116" s="569"/>
      <c r="AS116" s="569"/>
      <c r="AT116" s="569"/>
      <c r="AU116" s="569"/>
      <c r="AV116" s="569"/>
      <c r="AW116" s="569"/>
      <c r="AX116" s="569"/>
      <c r="AY116" s="569"/>
      <c r="AZ116" s="569"/>
      <c r="BA116" s="569"/>
      <c r="BB116" s="569"/>
      <c r="BC116" s="569"/>
      <c r="BD116" s="569"/>
      <c r="BE116" s="569"/>
      <c r="BF116" s="569"/>
      <c r="BG116" s="569"/>
      <c r="BH116" s="569"/>
      <c r="BJ116" s="587"/>
      <c r="BK116" s="577"/>
      <c r="BL116" s="577"/>
      <c r="BM116" s="577"/>
      <c r="BN116" s="577"/>
      <c r="BO116" s="577"/>
      <c r="BP116" s="577"/>
      <c r="BQ116" s="577"/>
      <c r="BR116" s="577"/>
      <c r="BS116" s="577"/>
      <c r="BT116" s="577"/>
      <c r="BU116" s="577"/>
      <c r="BV116" s="577"/>
      <c r="BW116" s="577"/>
      <c r="BX116" s="577"/>
      <c r="BY116" s="23"/>
      <c r="BZ116" s="23"/>
    </row>
    <row r="117">
      <c r="R117" s="23"/>
      <c r="S117" s="23"/>
      <c r="T117" s="23"/>
      <c r="U117" s="569"/>
      <c r="V117" s="587"/>
      <c r="W117" s="577"/>
      <c r="X117" s="589"/>
      <c r="Y117" s="589"/>
      <c r="Z117" s="589"/>
      <c r="AA117" s="589"/>
      <c r="AB117" s="589"/>
      <c r="AC117" s="589"/>
      <c r="AD117" s="577"/>
      <c r="AE117" s="569"/>
      <c r="AF117" s="587"/>
      <c r="AG117" s="590"/>
      <c r="AH117" s="590"/>
      <c r="AI117" s="590"/>
      <c r="AJ117" s="590"/>
      <c r="AK117" s="590"/>
      <c r="AL117" s="590"/>
      <c r="AM117" s="590"/>
      <c r="AN117" s="590"/>
      <c r="AO117" s="590"/>
      <c r="AP117" s="590"/>
      <c r="AQ117" s="569"/>
      <c r="AR117" s="569"/>
      <c r="AS117" s="569"/>
      <c r="AT117" s="569"/>
      <c r="AU117" s="569"/>
      <c r="AV117" s="569"/>
      <c r="AW117" s="569"/>
      <c r="AX117" s="569"/>
      <c r="AY117" s="569"/>
      <c r="AZ117" s="569"/>
      <c r="BA117" s="569"/>
      <c r="BB117" s="569"/>
      <c r="BC117" s="569"/>
      <c r="BD117" s="569"/>
      <c r="BE117" s="569"/>
      <c r="BF117" s="569"/>
      <c r="BG117" s="569"/>
      <c r="BH117" s="569"/>
      <c r="BJ117" s="587"/>
      <c r="BK117" s="577"/>
      <c r="BL117" s="577"/>
      <c r="BM117" s="577"/>
      <c r="BN117" s="577"/>
      <c r="BO117" s="577"/>
      <c r="BP117" s="577"/>
      <c r="BQ117" s="577"/>
      <c r="BR117" s="577"/>
      <c r="BS117" s="577"/>
      <c r="BT117" s="577"/>
      <c r="BU117" s="577"/>
      <c r="BV117" s="577"/>
      <c r="BW117" s="577"/>
      <c r="BX117" s="577"/>
      <c r="BY117" s="23"/>
      <c r="BZ117" s="179"/>
      <c r="CA117" s="179"/>
      <c r="CB117" s="179"/>
      <c r="CC117" s="179"/>
      <c r="CD117" s="179"/>
      <c r="CE117" s="179"/>
      <c r="CF117" s="179"/>
      <c r="CG117" s="179"/>
      <c r="CH117" s="179"/>
      <c r="CI117" s="179"/>
      <c r="CJ117" s="179"/>
      <c r="CK117" s="179"/>
      <c r="CL117" s="179"/>
      <c r="CM117" s="179"/>
      <c r="CN117" s="179"/>
      <c r="CO117" s="179"/>
      <c r="CP117" s="179"/>
      <c r="CQ117" s="179"/>
      <c r="CR117" s="179"/>
      <c r="CS117" s="179"/>
      <c r="CT117" s="179"/>
      <c r="CU117" s="179"/>
      <c r="CV117" s="179"/>
      <c r="CW117" s="179"/>
      <c r="CX117" s="179"/>
      <c r="CY117" s="179"/>
      <c r="CZ117" s="179"/>
      <c r="DA117" s="179"/>
      <c r="DB117" s="179"/>
      <c r="DC117" s="179"/>
      <c r="DD117" s="179"/>
      <c r="DE117" s="179"/>
      <c r="DF117" s="179"/>
      <c r="DG117" s="179"/>
      <c r="DH117" s="179"/>
    </row>
    <row r="118">
      <c r="R118" s="23"/>
      <c r="S118" s="23"/>
      <c r="T118" s="23"/>
      <c r="U118" s="569"/>
      <c r="V118" s="587"/>
      <c r="W118" s="577"/>
      <c r="X118" s="589"/>
      <c r="Y118" s="589"/>
      <c r="Z118" s="589"/>
      <c r="AA118" s="589"/>
      <c r="AB118" s="589"/>
      <c r="AC118" s="589"/>
      <c r="AD118" s="577"/>
      <c r="AE118" s="569"/>
      <c r="AF118" s="587"/>
      <c r="AG118" s="591"/>
      <c r="AH118" s="591"/>
      <c r="AI118" s="591"/>
      <c r="AJ118" s="591"/>
      <c r="AK118" s="591"/>
      <c r="AL118" s="591"/>
      <c r="AM118" s="591"/>
      <c r="AN118" s="591"/>
      <c r="AO118" s="591"/>
      <c r="AP118" s="591"/>
      <c r="AQ118" s="569"/>
      <c r="AR118" s="569"/>
      <c r="AS118" s="569"/>
      <c r="AT118" s="569"/>
      <c r="AU118" s="569"/>
      <c r="AV118" s="569"/>
      <c r="AW118" s="569"/>
      <c r="AX118" s="569"/>
      <c r="AY118" s="569"/>
      <c r="AZ118" s="569"/>
      <c r="BA118" s="569"/>
      <c r="BB118" s="569"/>
      <c r="BC118" s="569"/>
      <c r="BD118" s="569"/>
      <c r="BE118" s="569"/>
      <c r="BF118" s="569"/>
      <c r="BG118" s="569"/>
      <c r="BH118" s="569"/>
      <c r="BJ118" s="587"/>
      <c r="BK118" s="594"/>
      <c r="BL118" s="594"/>
      <c r="BM118" s="594"/>
      <c r="BN118" s="594"/>
      <c r="BO118" s="594"/>
      <c r="BP118" s="594"/>
      <c r="BQ118" s="594"/>
      <c r="BR118" s="594"/>
      <c r="BS118" s="594"/>
      <c r="BT118" s="594"/>
      <c r="BU118" s="594"/>
      <c r="BV118" s="594"/>
      <c r="BW118" s="594"/>
      <c r="BX118" s="594"/>
      <c r="BY118" s="23"/>
      <c r="BZ118" s="23"/>
    </row>
    <row r="119">
      <c r="R119" s="23"/>
      <c r="S119" s="23"/>
      <c r="T119" s="23"/>
      <c r="U119" s="569"/>
      <c r="V119" s="587"/>
      <c r="W119" s="577"/>
      <c r="X119" s="589"/>
      <c r="Y119" s="589"/>
      <c r="Z119" s="589"/>
      <c r="AA119" s="589"/>
      <c r="AB119" s="589"/>
      <c r="AC119" s="589"/>
      <c r="AD119" s="569"/>
      <c r="AE119" s="569"/>
      <c r="AF119" s="587"/>
      <c r="AG119" s="590"/>
      <c r="AH119" s="590"/>
      <c r="AI119" s="590"/>
      <c r="AJ119" s="590"/>
      <c r="AK119" s="590"/>
      <c r="AL119" s="590"/>
      <c r="AM119" s="590"/>
      <c r="AN119" s="590"/>
      <c r="AO119" s="590"/>
      <c r="AP119" s="590"/>
      <c r="AQ119" s="569"/>
      <c r="AR119" s="569"/>
      <c r="AS119" s="569"/>
      <c r="AT119" s="569"/>
      <c r="AU119" s="569"/>
      <c r="AV119" s="569"/>
      <c r="AW119" s="569"/>
      <c r="AX119" s="569"/>
      <c r="AY119" s="569"/>
      <c r="AZ119" s="569"/>
      <c r="BA119" s="569"/>
      <c r="BB119" s="569"/>
      <c r="BC119" s="569"/>
      <c r="BD119" s="569"/>
      <c r="BE119" s="569"/>
      <c r="BF119" s="569"/>
      <c r="BG119" s="569"/>
      <c r="BH119" s="569"/>
      <c r="BI119" s="589"/>
      <c r="BJ119" s="587"/>
      <c r="BK119" s="577"/>
      <c r="BL119" s="577"/>
      <c r="BM119" s="577"/>
      <c r="BN119" s="577"/>
      <c r="BO119" s="577"/>
      <c r="BP119" s="577"/>
      <c r="BQ119" s="577"/>
      <c r="BR119" s="577"/>
      <c r="BS119" s="577"/>
      <c r="BT119" s="577"/>
      <c r="BU119" s="577"/>
      <c r="BV119" s="577"/>
      <c r="BW119" s="577"/>
      <c r="BX119" s="577"/>
      <c r="BY119" s="23"/>
      <c r="BZ119" s="23"/>
    </row>
    <row r="120">
      <c r="R120" s="23"/>
      <c r="S120" s="23"/>
      <c r="T120" s="23"/>
      <c r="U120" s="569"/>
      <c r="V120" s="569"/>
      <c r="W120" s="569"/>
      <c r="X120" s="569"/>
      <c r="Y120" s="569"/>
      <c r="Z120" s="569"/>
      <c r="AA120" s="569"/>
      <c r="AB120" s="569"/>
      <c r="AC120" s="569"/>
      <c r="AD120" s="569"/>
      <c r="AE120" s="569"/>
      <c r="AF120" s="569"/>
      <c r="AG120" s="569"/>
      <c r="AH120" s="569"/>
      <c r="AI120" s="569"/>
      <c r="AJ120" s="569"/>
      <c r="AK120" s="569"/>
      <c r="AL120" s="569"/>
      <c r="AM120" s="569"/>
      <c r="AN120" s="569"/>
      <c r="AO120" s="569"/>
      <c r="AP120" s="569"/>
      <c r="AQ120" s="569"/>
      <c r="AR120" s="569"/>
      <c r="AS120" s="569"/>
      <c r="AT120" s="569"/>
      <c r="AU120" s="569"/>
      <c r="AV120" s="569"/>
      <c r="AW120" s="569"/>
      <c r="AX120" s="569"/>
      <c r="AY120" s="569"/>
      <c r="AZ120" s="569"/>
      <c r="BA120" s="569"/>
      <c r="BB120" s="569"/>
      <c r="BC120" s="569"/>
      <c r="BD120" s="569"/>
      <c r="BE120" s="569"/>
      <c r="BF120" s="569"/>
      <c r="BG120" s="569"/>
      <c r="BH120" s="569"/>
      <c r="BI120" s="589"/>
      <c r="BJ120" s="587"/>
      <c r="BK120" s="594"/>
      <c r="BL120" s="594"/>
      <c r="BM120" s="594"/>
      <c r="BN120" s="594"/>
      <c r="BO120" s="594"/>
      <c r="BP120" s="594"/>
      <c r="BQ120" s="594"/>
      <c r="BR120" s="594"/>
      <c r="BS120" s="594"/>
      <c r="BT120" s="594"/>
      <c r="BU120" s="594"/>
      <c r="BV120" s="594"/>
      <c r="BW120" s="594"/>
      <c r="BX120" s="594"/>
      <c r="BY120" s="23"/>
      <c r="BZ120" s="23"/>
    </row>
    <row r="121">
      <c r="R121" s="23"/>
      <c r="S121" s="23"/>
      <c r="T121" s="23"/>
      <c r="U121" s="569"/>
      <c r="V121" s="569"/>
      <c r="W121" s="569"/>
      <c r="X121" s="569"/>
      <c r="Y121" s="569"/>
      <c r="Z121" s="569"/>
      <c r="AA121" s="569"/>
      <c r="AB121" s="569"/>
      <c r="AC121" s="569"/>
      <c r="AD121" s="569"/>
      <c r="AE121" s="569"/>
      <c r="AF121" s="569"/>
      <c r="AG121" s="569"/>
      <c r="AH121" s="569"/>
      <c r="AI121" s="569"/>
      <c r="AJ121" s="569"/>
      <c r="AK121" s="569"/>
      <c r="AL121" s="569"/>
      <c r="AM121" s="569"/>
      <c r="AN121" s="569"/>
      <c r="AO121" s="569"/>
      <c r="AP121" s="569"/>
      <c r="AQ121" s="569"/>
      <c r="AR121" s="569"/>
      <c r="AS121" s="569"/>
      <c r="AT121" s="569"/>
      <c r="AU121" s="569"/>
      <c r="AV121" s="569"/>
      <c r="AW121" s="569"/>
      <c r="AX121" s="569"/>
      <c r="AY121" s="569"/>
      <c r="AZ121" s="569"/>
      <c r="BA121" s="569"/>
      <c r="BB121" s="569"/>
      <c r="BC121" s="569"/>
      <c r="BD121" s="569"/>
      <c r="BE121" s="569"/>
      <c r="BF121" s="569"/>
      <c r="BG121" s="569"/>
      <c r="BH121" s="569"/>
      <c r="BI121" s="569"/>
      <c r="BJ121" s="587"/>
      <c r="BK121" s="594"/>
      <c r="BL121" s="594"/>
      <c r="BM121" s="594"/>
      <c r="BN121" s="594"/>
      <c r="BO121" s="594"/>
      <c r="BP121" s="594"/>
      <c r="BQ121" s="594"/>
      <c r="BR121" s="594"/>
      <c r="BS121" s="594"/>
      <c r="BT121" s="594"/>
      <c r="BU121" s="594"/>
      <c r="BV121" s="594"/>
      <c r="BW121" s="594"/>
      <c r="BX121" s="594"/>
      <c r="BY121" s="23"/>
      <c r="BZ121" s="23"/>
    </row>
    <row r="122">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23"/>
      <c r="BP122" s="23"/>
      <c r="BQ122" s="23"/>
      <c r="BR122" s="23"/>
      <c r="BS122" s="23"/>
      <c r="BT122" s="23"/>
      <c r="BU122" s="23"/>
      <c r="BV122" s="23"/>
      <c r="BW122" s="23"/>
      <c r="BX122" s="23"/>
      <c r="BY122" s="23"/>
      <c r="BZ122" s="23"/>
    </row>
    <row r="1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row>
    <row r="124">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23"/>
      <c r="BP124" s="23"/>
      <c r="BQ124" s="23"/>
      <c r="BR124" s="23"/>
      <c r="BS124" s="23"/>
      <c r="BT124" s="23"/>
      <c r="BU124" s="23"/>
      <c r="BV124" s="23"/>
      <c r="BW124" s="23"/>
      <c r="BX124" s="23"/>
      <c r="BY124" s="23"/>
      <c r="BZ124" s="23"/>
    </row>
    <row r="125">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23"/>
      <c r="BP125" s="23"/>
      <c r="BQ125" s="23"/>
      <c r="BR125" s="23"/>
      <c r="BS125" s="23"/>
      <c r="BT125" s="23"/>
      <c r="BU125" s="23"/>
      <c r="BV125" s="23"/>
      <c r="BW125" s="23"/>
      <c r="BX125" s="23"/>
      <c r="BY125" s="23"/>
      <c r="BZ125" s="23"/>
    </row>
    <row r="126">
      <c r="R126" s="524"/>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23"/>
      <c r="BP126" s="23"/>
      <c r="BQ126" s="23"/>
      <c r="BR126" s="23"/>
      <c r="BS126" s="23"/>
      <c r="BT126" s="23"/>
      <c r="BU126" s="23"/>
      <c r="BV126" s="23"/>
      <c r="BW126" s="23"/>
      <c r="BX126" s="23"/>
      <c r="BY126" s="23"/>
      <c r="BZ126" s="23"/>
    </row>
    <row r="127">
      <c r="F127" s="191"/>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23"/>
      <c r="BP127" s="23"/>
      <c r="BQ127" s="23"/>
      <c r="BR127" s="23"/>
      <c r="BS127" s="23"/>
      <c r="BT127" s="23"/>
      <c r="BU127" s="23"/>
      <c r="BV127" s="23"/>
      <c r="BW127" s="23"/>
      <c r="BX127" s="23"/>
      <c r="BY127" s="23"/>
      <c r="BZ127" s="23"/>
    </row>
    <row r="128">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23"/>
      <c r="BP128" s="23"/>
      <c r="BQ128" s="23"/>
      <c r="BR128" s="23"/>
      <c r="BS128" s="23"/>
      <c r="BT128" s="23"/>
      <c r="BU128" s="23"/>
      <c r="BV128" s="23"/>
      <c r="BW128" s="23"/>
      <c r="BX128" s="23"/>
      <c r="BY128" s="23"/>
      <c r="BZ128" s="23"/>
    </row>
    <row r="129">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23"/>
      <c r="BP129" s="23"/>
      <c r="BQ129" s="23"/>
      <c r="BR129" s="23"/>
      <c r="BS129" s="23"/>
      <c r="BT129" s="23"/>
      <c r="BU129" s="23"/>
      <c r="BV129" s="23"/>
      <c r="BW129" s="23"/>
      <c r="BX129" s="23"/>
      <c r="BY129" s="23"/>
      <c r="BZ129" s="23"/>
    </row>
    <row r="130">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23"/>
      <c r="BP130" s="23"/>
      <c r="BQ130" s="23"/>
      <c r="BR130" s="23"/>
      <c r="BS130" s="23"/>
      <c r="BT130" s="23"/>
      <c r="BU130" s="23"/>
      <c r="BV130" s="23"/>
      <c r="BW130" s="23"/>
      <c r="BX130" s="23"/>
      <c r="BY130" s="23"/>
      <c r="BZ130" s="23"/>
    </row>
    <row r="131">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23"/>
      <c r="BP131" s="23"/>
      <c r="BQ131" s="23"/>
      <c r="BR131" s="23"/>
      <c r="BS131" s="23"/>
      <c r="BT131" s="23"/>
      <c r="BU131" s="23"/>
      <c r="BV131" s="23"/>
      <c r="BW131" s="23"/>
      <c r="BX131" s="23"/>
      <c r="BY131" s="23"/>
      <c r="BZ131" s="23"/>
    </row>
    <row r="132">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23"/>
      <c r="BP132" s="23"/>
      <c r="BQ132" s="23"/>
      <c r="BR132" s="23"/>
      <c r="BS132" s="23"/>
      <c r="BT132" s="23"/>
      <c r="BU132" s="23"/>
      <c r="BV132" s="23"/>
      <c r="BW132" s="23"/>
      <c r="BX132" s="23"/>
      <c r="BY132" s="23"/>
      <c r="BZ132" s="23"/>
    </row>
    <row r="13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171"/>
      <c r="BN133" s="23"/>
      <c r="BO133" s="23"/>
      <c r="BP133" s="23"/>
      <c r="BQ133" s="23"/>
      <c r="BR133" s="23"/>
      <c r="BS133" s="23"/>
      <c r="BT133" s="23"/>
      <c r="BU133" s="23"/>
      <c r="BV133" s="23"/>
      <c r="BW133" s="23"/>
      <c r="BX133" s="23"/>
      <c r="BY133" s="23"/>
      <c r="BZ133" s="23"/>
    </row>
    <row r="134">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172"/>
      <c r="BN134" s="23"/>
      <c r="BO134" s="23"/>
      <c r="BP134" s="23"/>
      <c r="BQ134" s="23"/>
      <c r="BR134" s="23"/>
      <c r="BS134" s="23"/>
      <c r="BT134" s="23"/>
      <c r="BU134" s="23"/>
      <c r="BV134" s="23"/>
      <c r="BW134" s="23"/>
      <c r="BX134" s="23"/>
      <c r="BY134" s="23"/>
      <c r="BZ134" s="23"/>
    </row>
    <row r="135">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173"/>
      <c r="BN135" s="23"/>
      <c r="BO135" s="23"/>
      <c r="BP135" s="23"/>
      <c r="BQ135" s="23"/>
      <c r="BR135" s="23"/>
      <c r="BS135" s="23"/>
      <c r="BT135" s="23"/>
      <c r="BU135" s="23"/>
      <c r="BV135" s="23"/>
      <c r="BW135" s="23"/>
      <c r="BX135" s="23"/>
      <c r="BY135" s="23"/>
      <c r="BZ135" s="23"/>
    </row>
    <row r="136">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174"/>
      <c r="BN136" s="23"/>
      <c r="BO136" s="23"/>
      <c r="BP136" s="23"/>
      <c r="BQ136" s="23"/>
      <c r="BR136" s="23"/>
      <c r="BS136" s="23"/>
      <c r="BT136" s="23"/>
      <c r="BU136" s="23"/>
      <c r="BV136" s="23"/>
      <c r="BW136" s="23"/>
      <c r="BX136" s="23"/>
      <c r="BY136" s="23"/>
      <c r="BZ136" s="23"/>
    </row>
    <row r="137">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175"/>
      <c r="BN137" s="23"/>
      <c r="BO137" s="23"/>
      <c r="BP137" s="23"/>
      <c r="BQ137" s="23"/>
      <c r="BR137" s="23"/>
      <c r="BS137" s="23"/>
      <c r="BT137" s="23"/>
      <c r="BU137" s="23"/>
      <c r="BV137" s="23"/>
      <c r="BW137" s="23"/>
      <c r="BX137" s="23"/>
      <c r="BY137" s="23"/>
      <c r="BZ137" s="23"/>
    </row>
    <row r="138">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175"/>
      <c r="BN138" s="23"/>
      <c r="BO138" s="23"/>
      <c r="BP138" s="23"/>
      <c r="BQ138" s="23"/>
      <c r="BR138" s="23"/>
      <c r="BS138" s="23"/>
      <c r="BT138" s="23"/>
      <c r="BU138" s="23"/>
      <c r="BV138" s="23"/>
      <c r="BW138" s="23"/>
      <c r="BX138" s="23"/>
      <c r="BY138" s="23"/>
      <c r="BZ138" s="23"/>
    </row>
    <row r="139">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176"/>
      <c r="AX139" s="177"/>
      <c r="AY139" s="51"/>
      <c r="AZ139" s="51"/>
      <c r="BA139" s="51"/>
      <c r="BB139" s="51"/>
      <c r="BC139" s="51"/>
      <c r="BD139" s="51"/>
      <c r="BE139" s="51"/>
      <c r="BF139" s="51"/>
      <c r="BG139" s="51"/>
      <c r="BH139" s="51"/>
      <c r="BI139" s="51"/>
      <c r="BJ139" s="51"/>
      <c r="BK139" s="51"/>
      <c r="BL139" s="51"/>
      <c r="BM139" s="175"/>
      <c r="BN139" s="23"/>
      <c r="BO139" s="23"/>
      <c r="BP139" s="23"/>
      <c r="BQ139" s="23"/>
      <c r="BR139" s="23"/>
      <c r="BS139" s="23"/>
      <c r="BT139" s="23"/>
      <c r="BU139" s="23"/>
      <c r="BV139" s="23"/>
      <c r="BW139" s="23"/>
      <c r="BX139" s="23"/>
      <c r="BY139" s="23"/>
      <c r="BZ139" s="23"/>
    </row>
    <row r="140">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176"/>
      <c r="AX140" s="177"/>
      <c r="AY140" s="51"/>
      <c r="AZ140" s="51"/>
      <c r="BA140" s="51"/>
      <c r="BB140" s="51"/>
      <c r="BC140" s="51"/>
      <c r="BD140" s="51"/>
      <c r="BE140" s="51"/>
      <c r="BF140" s="51"/>
      <c r="BG140" s="51"/>
      <c r="BH140" s="51"/>
      <c r="BI140" s="51"/>
      <c r="BJ140" s="51"/>
      <c r="BK140" s="51"/>
      <c r="BL140" s="51"/>
      <c r="BM140" s="175"/>
      <c r="BN140" s="23"/>
      <c r="BO140" s="23"/>
      <c r="BP140" s="23"/>
      <c r="BQ140" s="23"/>
      <c r="BR140" s="23"/>
      <c r="BS140" s="23"/>
      <c r="BT140" s="23"/>
      <c r="BU140" s="23"/>
      <c r="BV140" s="23"/>
      <c r="BW140" s="23"/>
      <c r="BX140" s="23"/>
      <c r="BY140" s="23"/>
      <c r="BZ140" s="23"/>
    </row>
    <row r="141">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176"/>
      <c r="AX141" s="177"/>
      <c r="AY141" s="51"/>
      <c r="AZ141" s="51"/>
      <c r="BA141" s="51"/>
      <c r="BB141" s="51"/>
      <c r="BC141" s="51"/>
      <c r="BD141" s="51"/>
      <c r="BE141" s="51"/>
      <c r="BF141" s="51"/>
      <c r="BG141" s="51"/>
      <c r="BH141" s="51"/>
      <c r="BI141" s="51"/>
      <c r="BJ141" s="51"/>
      <c r="BK141" s="51"/>
      <c r="BL141" s="51"/>
      <c r="BM141" s="175"/>
      <c r="BN141" s="23"/>
      <c r="BO141" s="23"/>
      <c r="BP141" s="23"/>
      <c r="BQ141" s="23"/>
      <c r="BR141" s="23"/>
      <c r="BS141" s="23"/>
      <c r="BT141" s="23"/>
      <c r="BU141" s="23"/>
      <c r="BV141" s="23"/>
      <c r="BW141" s="23"/>
      <c r="BX141" s="23"/>
      <c r="BY141" s="23"/>
      <c r="BZ141" s="23"/>
    </row>
    <row r="142">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176"/>
      <c r="AX142" s="177"/>
      <c r="AY142" s="51"/>
      <c r="AZ142" s="51"/>
      <c r="BA142" s="51"/>
      <c r="BB142" s="51"/>
      <c r="BC142" s="51"/>
      <c r="BD142" s="51"/>
      <c r="BE142" s="51"/>
      <c r="BF142" s="51"/>
      <c r="BG142" s="51"/>
      <c r="BH142" s="51"/>
      <c r="BI142" s="51"/>
      <c r="BJ142" s="51"/>
      <c r="BK142" s="51"/>
      <c r="BL142" s="51"/>
      <c r="BM142" s="175"/>
      <c r="BN142" s="23"/>
      <c r="BO142" s="23"/>
      <c r="BP142" s="23"/>
      <c r="BQ142" s="23"/>
      <c r="BR142" s="23"/>
      <c r="BS142" s="23"/>
      <c r="BT142" s="23"/>
      <c r="BU142" s="23"/>
      <c r="BV142" s="23"/>
      <c r="BW142" s="23"/>
      <c r="BX142" s="23"/>
      <c r="BY142" s="23"/>
      <c r="BZ142" s="23"/>
    </row>
    <row r="14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176"/>
      <c r="AX143" s="177"/>
      <c r="AY143" s="51"/>
      <c r="AZ143" s="51"/>
      <c r="BA143" s="51"/>
      <c r="BB143" s="51"/>
      <c r="BC143" s="51"/>
      <c r="BD143" s="51"/>
      <c r="BE143" s="51"/>
      <c r="BF143" s="51"/>
      <c r="BG143" s="51"/>
      <c r="BH143" s="51"/>
      <c r="BI143" s="51"/>
      <c r="BJ143" s="51"/>
      <c r="BK143" s="51"/>
      <c r="BL143" s="51"/>
      <c r="BM143" s="175"/>
      <c r="BN143" s="23"/>
      <c r="BO143" s="23"/>
      <c r="BP143" s="23"/>
      <c r="BQ143" s="23"/>
      <c r="BR143" s="23"/>
      <c r="BS143" s="23"/>
      <c r="BT143" s="23"/>
      <c r="BU143" s="23"/>
      <c r="BV143" s="23"/>
      <c r="BW143" s="23"/>
      <c r="BX143" s="23"/>
      <c r="BY143" s="23"/>
      <c r="BZ143" s="23"/>
    </row>
    <row r="144">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176"/>
      <c r="AX144" s="177"/>
      <c r="AY144" s="51"/>
      <c r="AZ144" s="51"/>
      <c r="BA144" s="51"/>
      <c r="BB144" s="51"/>
      <c r="BC144" s="51"/>
      <c r="BD144" s="51"/>
      <c r="BE144" s="51"/>
      <c r="BF144" s="51"/>
      <c r="BG144" s="51"/>
      <c r="BH144" s="51"/>
      <c r="BI144" s="51"/>
      <c r="BJ144" s="51"/>
      <c r="BK144" s="51"/>
      <c r="BL144" s="51"/>
      <c r="BM144" s="175"/>
      <c r="BN144" s="178"/>
      <c r="BO144" s="178"/>
      <c r="BP144" s="23"/>
      <c r="BQ144" s="23"/>
      <c r="BR144" s="23"/>
      <c r="BS144" s="23"/>
      <c r="BT144" s="23"/>
      <c r="BU144" s="23"/>
      <c r="BV144" s="23"/>
      <c r="BW144" s="23"/>
      <c r="BX144" s="23"/>
      <c r="BY144" s="23"/>
      <c r="BZ144" s="23"/>
    </row>
    <row r="145">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176"/>
      <c r="AX145" s="177"/>
      <c r="AY145" s="144"/>
      <c r="AZ145" s="144"/>
      <c r="BA145" s="144"/>
      <c r="BB145" s="144"/>
      <c r="BC145" s="144"/>
      <c r="BD145" s="144"/>
      <c r="BE145" s="144"/>
      <c r="BF145" s="144"/>
      <c r="BG145" s="144"/>
      <c r="BH145" s="144"/>
      <c r="BI145" s="144"/>
      <c r="BJ145" s="144"/>
      <c r="BK145" s="144"/>
      <c r="BL145" s="144"/>
      <c r="BM145" s="175"/>
      <c r="BN145" s="178"/>
      <c r="BO145" s="178"/>
      <c r="BP145" s="23"/>
      <c r="BQ145" s="23"/>
      <c r="BR145" s="23"/>
      <c r="BS145" s="23"/>
      <c r="BT145" s="23"/>
      <c r="BU145" s="23"/>
      <c r="BV145" s="23"/>
      <c r="BW145" s="23"/>
      <c r="BX145" s="23"/>
      <c r="BY145" s="23"/>
      <c r="BZ145" s="23"/>
    </row>
    <row r="146">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178"/>
      <c r="AX146" s="177"/>
      <c r="AY146" s="51"/>
      <c r="AZ146" s="51"/>
      <c r="BA146" s="51"/>
      <c r="BB146" s="51"/>
      <c r="BC146" s="51"/>
      <c r="BD146" s="51"/>
      <c r="BE146" s="51"/>
      <c r="BF146" s="51"/>
      <c r="BG146" s="51"/>
      <c r="BH146" s="51"/>
      <c r="BI146" s="51"/>
      <c r="BJ146" s="51"/>
      <c r="BK146" s="51"/>
      <c r="BL146" s="51"/>
      <c r="BM146" s="175"/>
      <c r="BN146" s="23"/>
      <c r="BO146" s="23"/>
      <c r="BP146" s="23"/>
      <c r="BQ146" s="23"/>
      <c r="BR146" s="23"/>
      <c r="BS146" s="23"/>
      <c r="BT146" s="23"/>
      <c r="BU146" s="23"/>
      <c r="BV146" s="23"/>
      <c r="BW146" s="23"/>
      <c r="BX146" s="23"/>
      <c r="BY146" s="23"/>
      <c r="BZ146" s="23"/>
    </row>
    <row r="147">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178"/>
      <c r="AX147" s="177"/>
      <c r="AY147" s="144"/>
      <c r="AZ147" s="144"/>
      <c r="BA147" s="144"/>
      <c r="BB147" s="144"/>
      <c r="BC147" s="144"/>
      <c r="BD147" s="144"/>
      <c r="BE147" s="144"/>
      <c r="BF147" s="144"/>
      <c r="BG147" s="144"/>
      <c r="BH147" s="144"/>
      <c r="BI147" s="144"/>
      <c r="BJ147" s="144"/>
      <c r="BK147" s="144"/>
      <c r="BL147" s="144"/>
      <c r="BM147" s="175"/>
      <c r="BN147" s="23"/>
      <c r="BO147" s="23"/>
      <c r="BP147" s="23"/>
      <c r="BQ147" s="23"/>
      <c r="BR147" s="23"/>
      <c r="BS147" s="23"/>
      <c r="BT147" s="23"/>
      <c r="BU147" s="23"/>
      <c r="BV147" s="23"/>
      <c r="BW147" s="23"/>
      <c r="BX147" s="23"/>
      <c r="BY147" s="23"/>
      <c r="BZ147" s="23"/>
    </row>
    <row r="148" ht="37.5" customHeight="1">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175"/>
      <c r="BN148" s="23"/>
      <c r="BO148" s="23"/>
      <c r="BP148" s="23"/>
      <c r="BQ148" s="23"/>
      <c r="BR148" s="23"/>
      <c r="BS148" s="23"/>
      <c r="BT148" s="23"/>
      <c r="BU148" s="23"/>
      <c r="BV148" s="23"/>
      <c r="BW148" s="23"/>
      <c r="BX148" s="23"/>
      <c r="BY148" s="23"/>
      <c r="BZ148" s="23"/>
    </row>
    <row r="149">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175"/>
      <c r="BN149" s="23"/>
      <c r="BO149" s="23"/>
      <c r="BP149" s="23"/>
      <c r="BQ149" s="23"/>
      <c r="BR149" s="23"/>
      <c r="BS149" s="23"/>
      <c r="BT149" s="23"/>
      <c r="BU149" s="23"/>
      <c r="BV149" s="23"/>
      <c r="BW149" s="23"/>
      <c r="BX149" s="23"/>
      <c r="BY149" s="23"/>
      <c r="BZ149" s="23"/>
    </row>
    <row r="150">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175"/>
      <c r="BN150" s="23"/>
      <c r="BO150" s="23"/>
      <c r="BP150" s="23"/>
      <c r="BQ150" s="23"/>
      <c r="BR150" s="23"/>
      <c r="BS150" s="23"/>
      <c r="BT150" s="23"/>
      <c r="BU150" s="23"/>
      <c r="BV150" s="23"/>
      <c r="BW150" s="23"/>
      <c r="BX150" s="23"/>
      <c r="BY150" s="23"/>
      <c r="BZ150" s="23"/>
    </row>
    <row r="151">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175"/>
      <c r="BN151" s="23"/>
      <c r="BO151" s="23"/>
      <c r="BP151" s="23"/>
      <c r="BQ151" s="23"/>
      <c r="BR151" s="23"/>
      <c r="BS151" s="23"/>
      <c r="BT151" s="23"/>
      <c r="BU151" s="23"/>
      <c r="BV151" s="23"/>
      <c r="BW151" s="23"/>
      <c r="BX151" s="23"/>
      <c r="BY151" s="23"/>
      <c r="BZ151" s="23"/>
    </row>
    <row r="152">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175"/>
      <c r="BN152" s="23"/>
      <c r="BO152" s="23"/>
      <c r="BP152" s="23"/>
      <c r="BQ152" s="23"/>
      <c r="BR152" s="23"/>
      <c r="BS152" s="23"/>
      <c r="BT152" s="179"/>
      <c r="BU152" s="179"/>
      <c r="BV152" s="179"/>
      <c r="BW152" s="179"/>
      <c r="BX152" s="179"/>
      <c r="BY152" s="179"/>
      <c r="BZ152" s="23"/>
    </row>
    <row r="15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175"/>
      <c r="BN153" s="23"/>
      <c r="BO153" s="23"/>
      <c r="BP153" s="23"/>
      <c r="BQ153" s="23"/>
      <c r="BR153" s="23"/>
      <c r="BS153" s="23"/>
      <c r="BT153" s="23"/>
      <c r="BU153" s="23"/>
      <c r="BV153" s="23"/>
      <c r="BW153" s="23"/>
      <c r="BX153" s="23"/>
      <c r="BY153" s="23"/>
      <c r="BZ153" s="23"/>
    </row>
    <row r="154">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23"/>
      <c r="BP154" s="23"/>
      <c r="BQ154" s="23"/>
      <c r="BR154" s="23"/>
      <c r="BS154" s="23"/>
      <c r="BT154" s="23"/>
      <c r="BU154" s="23"/>
      <c r="BV154" s="23"/>
      <c r="BW154" s="23"/>
      <c r="BX154" s="23"/>
      <c r="BY154" s="23"/>
      <c r="BZ154" s="23"/>
    </row>
    <row r="155">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23"/>
      <c r="BP155" s="23"/>
      <c r="BQ155" s="23"/>
      <c r="BR155" s="23"/>
      <c r="BS155" s="23"/>
      <c r="BT155" s="23"/>
      <c r="BU155" s="23"/>
      <c r="BV155" s="23"/>
      <c r="BW155" s="23"/>
      <c r="BX155" s="23"/>
      <c r="BY155" s="23"/>
      <c r="BZ155" s="23"/>
    </row>
    <row r="156">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181"/>
      <c r="BO156" s="23"/>
      <c r="BP156" s="23"/>
      <c r="BQ156" s="23"/>
      <c r="BR156" s="23"/>
      <c r="BS156" s="23"/>
      <c r="BT156" s="23"/>
      <c r="BU156" s="23"/>
      <c r="BV156" s="23"/>
      <c r="BW156" s="23"/>
      <c r="BX156" s="23"/>
      <c r="BY156" s="23"/>
      <c r="BZ156" s="23"/>
    </row>
    <row r="157">
      <c r="R157" s="23"/>
      <c r="S157" s="23"/>
      <c r="T157" s="23"/>
      <c r="U157" s="580"/>
      <c r="V157" s="569"/>
      <c r="W157" s="569"/>
      <c r="X157" s="569"/>
      <c r="Y157" s="569"/>
      <c r="Z157" s="569"/>
      <c r="AA157" s="569"/>
      <c r="AB157" s="569"/>
      <c r="AC157" s="569"/>
      <c r="AD157" s="569"/>
      <c r="AE157" s="580"/>
      <c r="AF157" s="569"/>
      <c r="AG157" s="569"/>
      <c r="AH157" s="569"/>
      <c r="AI157" s="569"/>
      <c r="AJ157" s="569"/>
      <c r="AK157" s="569"/>
      <c r="AL157" s="569"/>
      <c r="AM157" s="569"/>
      <c r="AN157" s="569"/>
      <c r="AO157" s="569"/>
      <c r="AP157" s="569"/>
      <c r="AQ157" s="569"/>
      <c r="AR157" s="580"/>
      <c r="AS157" s="569"/>
      <c r="AT157" s="569"/>
      <c r="AU157" s="569"/>
      <c r="AV157" s="569"/>
      <c r="AW157" s="569"/>
      <c r="AX157" s="569"/>
      <c r="AY157" s="569"/>
      <c r="AZ157" s="569"/>
      <c r="BA157" s="569"/>
      <c r="BB157" s="569"/>
      <c r="BC157" s="569"/>
      <c r="BD157" s="569"/>
      <c r="BE157" s="569"/>
      <c r="BF157" s="569"/>
      <c r="BG157" s="569"/>
      <c r="BH157" s="569"/>
      <c r="BI157" s="580"/>
      <c r="BJ157" s="569"/>
      <c r="BK157" s="569"/>
      <c r="BL157" s="569"/>
      <c r="BM157" s="569"/>
      <c r="BN157" s="569"/>
      <c r="BO157" s="569"/>
      <c r="BP157" s="569"/>
      <c r="BQ157" s="569"/>
      <c r="BR157" s="569"/>
      <c r="BS157" s="569"/>
      <c r="BT157" s="569"/>
      <c r="BU157" s="569"/>
      <c r="BV157" s="569"/>
      <c r="BW157" s="569"/>
      <c r="BX157" s="569"/>
      <c r="BY157" s="23"/>
      <c r="BZ157" s="23"/>
    </row>
    <row r="158">
      <c r="R158" s="23"/>
      <c r="S158" s="23"/>
      <c r="T158" s="23"/>
      <c r="U158" s="581"/>
      <c r="AD158" s="569"/>
      <c r="AE158" s="584"/>
      <c r="AF158" s="553"/>
      <c r="AG158" s="553"/>
      <c r="AH158" s="553"/>
      <c r="AI158" s="596"/>
      <c r="AJ158" s="596"/>
      <c r="AK158" s="596"/>
      <c r="AL158" s="596"/>
      <c r="AM158" s="596"/>
      <c r="AN158" s="596"/>
      <c r="AO158" s="596"/>
      <c r="AP158" s="596"/>
      <c r="AQ158" s="569"/>
      <c r="AR158" s="584"/>
      <c r="AS158" s="581"/>
      <c r="AT158" s="581"/>
      <c r="BH158" s="569"/>
      <c r="BI158" s="584"/>
      <c r="BJ158" s="581"/>
      <c r="BK158" s="581"/>
      <c r="BY158" s="23"/>
      <c r="BZ158" s="23"/>
    </row>
    <row r="159">
      <c r="R159" s="23"/>
      <c r="S159" s="23"/>
      <c r="T159" s="23"/>
      <c r="U159" s="553"/>
      <c r="V159" s="544"/>
      <c r="W159" s="543"/>
      <c r="X159" s="543"/>
      <c r="Y159" s="543"/>
      <c r="Z159" s="543"/>
      <c r="AA159" s="543"/>
      <c r="AB159" s="543"/>
      <c r="AC159" s="543"/>
      <c r="AD159" s="569"/>
      <c r="AE159" s="553"/>
      <c r="AF159" s="545"/>
      <c r="AG159" s="546"/>
      <c r="AH159" s="546"/>
      <c r="AI159" s="546"/>
      <c r="AJ159" s="546"/>
      <c r="AK159" s="546"/>
      <c r="AL159" s="546"/>
      <c r="AM159" s="546"/>
      <c r="AN159" s="546"/>
      <c r="AO159" s="546"/>
      <c r="AP159" s="546"/>
      <c r="AQ159" s="569"/>
      <c r="AR159" s="584"/>
      <c r="AS159" s="581"/>
      <c r="AT159" s="581"/>
      <c r="AU159" s="581"/>
      <c r="AV159" s="581"/>
      <c r="AW159" s="581"/>
      <c r="AX159" s="581"/>
      <c r="AY159" s="581"/>
      <c r="AZ159" s="581"/>
      <c r="BA159" s="581"/>
      <c r="BB159" s="581"/>
      <c r="BC159" s="581"/>
      <c r="BD159" s="581"/>
      <c r="BE159" s="581"/>
      <c r="BF159" s="581"/>
      <c r="BG159" s="581"/>
      <c r="BH159" s="569"/>
      <c r="BI159" s="584"/>
      <c r="BJ159" s="581"/>
      <c r="BK159" s="581"/>
      <c r="BL159" s="581"/>
      <c r="BM159" s="581"/>
      <c r="BN159" s="581"/>
      <c r="BO159" s="581"/>
      <c r="BP159" s="581"/>
      <c r="BQ159" s="581"/>
      <c r="BR159" s="581"/>
      <c r="BS159" s="581"/>
      <c r="BT159" s="581"/>
      <c r="BU159" s="581"/>
      <c r="BV159" s="581"/>
      <c r="BW159" s="581"/>
      <c r="BX159" s="581"/>
      <c r="BY159" s="23"/>
      <c r="BZ159" s="23"/>
    </row>
    <row r="160">
      <c r="R160" s="23"/>
      <c r="S160" s="23"/>
      <c r="T160" s="23"/>
      <c r="U160" s="588"/>
      <c r="V160" s="586"/>
      <c r="W160" s="590"/>
      <c r="X160" s="550"/>
      <c r="Y160" s="550"/>
      <c r="Z160" s="550"/>
      <c r="AA160" s="550"/>
      <c r="AB160" s="550"/>
      <c r="AC160" s="550"/>
      <c r="AD160" s="569"/>
      <c r="AE160" s="588"/>
      <c r="AF160" s="586"/>
      <c r="AG160" s="590"/>
      <c r="AH160" s="590"/>
      <c r="AI160" s="590"/>
      <c r="AJ160" s="590"/>
      <c r="AK160" s="590"/>
      <c r="AL160" s="590"/>
      <c r="AM160" s="590"/>
      <c r="AN160" s="590"/>
      <c r="AO160" s="590"/>
      <c r="AP160" s="590"/>
      <c r="AQ160" s="569"/>
      <c r="AR160" s="584"/>
      <c r="AS160" s="581"/>
      <c r="AT160" s="581"/>
      <c r="AU160" s="581"/>
      <c r="AV160" s="581"/>
      <c r="AW160" s="581"/>
      <c r="AX160" s="581"/>
      <c r="AY160" s="581"/>
      <c r="AZ160" s="581"/>
      <c r="BA160" s="581"/>
      <c r="BB160" s="581"/>
      <c r="BC160" s="581"/>
      <c r="BD160" s="581"/>
      <c r="BE160" s="581"/>
      <c r="BF160" s="581"/>
      <c r="BG160" s="581"/>
      <c r="BH160" s="569"/>
      <c r="BI160" s="584"/>
      <c r="BJ160" s="581"/>
      <c r="BK160" s="581"/>
      <c r="BL160" s="581"/>
      <c r="BM160" s="581"/>
      <c r="BN160" s="581"/>
      <c r="BO160" s="581"/>
      <c r="BP160" s="581"/>
      <c r="BQ160" s="581"/>
      <c r="BR160" s="581"/>
      <c r="BS160" s="581"/>
      <c r="BT160" s="581"/>
      <c r="BU160" s="581"/>
      <c r="BV160" s="581"/>
      <c r="BW160" s="581"/>
      <c r="BX160" s="581"/>
      <c r="BY160" s="23"/>
      <c r="BZ160" s="23"/>
    </row>
    <row r="161">
      <c r="R161" s="23"/>
      <c r="S161" s="23"/>
      <c r="T161" s="23"/>
      <c r="V161" s="586"/>
      <c r="W161" s="590"/>
      <c r="X161" s="550"/>
      <c r="Y161" s="550"/>
      <c r="Z161" s="550"/>
      <c r="AA161" s="550"/>
      <c r="AB161" s="550"/>
      <c r="AC161" s="550"/>
      <c r="AD161" s="569"/>
      <c r="AF161" s="586"/>
      <c r="AG161" s="591"/>
      <c r="AH161" s="591"/>
      <c r="AI161" s="591"/>
      <c r="AJ161" s="591"/>
      <c r="AK161" s="591"/>
      <c r="AL161" s="591"/>
      <c r="AM161" s="591"/>
      <c r="AN161" s="591"/>
      <c r="AO161" s="591"/>
      <c r="AP161" s="591"/>
      <c r="AQ161" s="569"/>
      <c r="AR161" s="553"/>
      <c r="AS161" s="597"/>
      <c r="AT161" s="586"/>
      <c r="AU161" s="587"/>
      <c r="AV161" s="587"/>
      <c r="AW161" s="587"/>
      <c r="AX161" s="587"/>
      <c r="AY161" s="586"/>
      <c r="AZ161" s="586"/>
      <c r="BA161" s="586"/>
      <c r="BB161" s="586"/>
      <c r="BC161" s="586"/>
      <c r="BD161" s="586"/>
      <c r="BE161" s="586"/>
      <c r="BF161" s="586"/>
      <c r="BG161" s="586"/>
      <c r="BH161" s="569"/>
      <c r="BI161" s="553"/>
      <c r="BJ161" s="597"/>
      <c r="BK161" s="586"/>
      <c r="BL161" s="587"/>
      <c r="BM161" s="587"/>
      <c r="BN161" s="587"/>
      <c r="BO161" s="587"/>
      <c r="BP161" s="586"/>
      <c r="BQ161" s="586"/>
      <c r="BR161" s="586"/>
      <c r="BS161" s="586"/>
      <c r="BT161" s="586"/>
      <c r="BU161" s="586"/>
      <c r="BV161" s="586"/>
      <c r="BW161" s="586"/>
      <c r="BX161" s="586"/>
      <c r="BY161" s="23"/>
      <c r="BZ161" s="23"/>
    </row>
    <row r="162">
      <c r="R162" s="23"/>
      <c r="S162" s="23"/>
      <c r="T162" s="23"/>
      <c r="V162" s="587"/>
      <c r="W162" s="590"/>
      <c r="X162" s="550"/>
      <c r="Y162" s="550"/>
      <c r="Z162" s="550"/>
      <c r="AA162" s="550"/>
      <c r="AB162" s="550"/>
      <c r="AC162" s="550"/>
      <c r="AD162" s="569"/>
      <c r="AF162" s="587"/>
      <c r="AG162" s="590"/>
      <c r="AH162" s="590"/>
      <c r="AI162" s="590"/>
      <c r="AJ162" s="590"/>
      <c r="AK162" s="590"/>
      <c r="AL162" s="590"/>
      <c r="AM162" s="590"/>
      <c r="AN162" s="590"/>
      <c r="AO162" s="590"/>
      <c r="AP162" s="590"/>
      <c r="AQ162" s="569"/>
      <c r="AR162" s="592"/>
      <c r="AS162" s="593"/>
      <c r="AT162" s="577"/>
      <c r="AU162" s="577"/>
      <c r="AV162" s="577"/>
      <c r="AW162" s="577"/>
      <c r="AX162" s="577"/>
      <c r="AY162" s="577"/>
      <c r="AZ162" s="577"/>
      <c r="BA162" s="577"/>
      <c r="BB162" s="577"/>
      <c r="BC162" s="577"/>
      <c r="BD162" s="577"/>
      <c r="BE162" s="577"/>
      <c r="BF162" s="577"/>
      <c r="BG162" s="577"/>
      <c r="BH162" s="569"/>
      <c r="BI162" s="588"/>
      <c r="BJ162" s="586"/>
      <c r="BK162" s="577"/>
      <c r="BL162" s="577"/>
      <c r="BM162" s="577"/>
      <c r="BN162" s="577"/>
      <c r="BO162" s="577"/>
      <c r="BP162" s="577"/>
      <c r="BQ162" s="577"/>
      <c r="BR162" s="577"/>
      <c r="BS162" s="577"/>
      <c r="BT162" s="577"/>
      <c r="BU162" s="577"/>
      <c r="BV162" s="577"/>
      <c r="BW162" s="577"/>
      <c r="BX162" s="577"/>
      <c r="BY162" s="23"/>
      <c r="BZ162" s="23"/>
    </row>
    <row r="163">
      <c r="R163" s="23"/>
      <c r="S163" s="23"/>
      <c r="T163" s="23"/>
      <c r="V163" s="587"/>
      <c r="W163" s="590"/>
      <c r="X163" s="550"/>
      <c r="Y163" s="550"/>
      <c r="Z163" s="550"/>
      <c r="AA163" s="550"/>
      <c r="AB163" s="550"/>
      <c r="AC163" s="550"/>
      <c r="AD163" s="569"/>
      <c r="AF163" s="587"/>
      <c r="AG163" s="590"/>
      <c r="AH163" s="590"/>
      <c r="AI163" s="590"/>
      <c r="AJ163" s="590"/>
      <c r="AK163" s="590"/>
      <c r="AL163" s="590"/>
      <c r="AM163" s="590"/>
      <c r="AN163" s="590"/>
      <c r="AO163" s="590"/>
      <c r="AP163" s="590"/>
      <c r="AQ163" s="569"/>
      <c r="AS163" s="593"/>
      <c r="AT163" s="594"/>
      <c r="AU163" s="594"/>
      <c r="AV163" s="594"/>
      <c r="AW163" s="594"/>
      <c r="AX163" s="594"/>
      <c r="AY163" s="594"/>
      <c r="AZ163" s="594"/>
      <c r="BA163" s="594"/>
      <c r="BB163" s="594"/>
      <c r="BC163" s="594"/>
      <c r="BD163" s="594"/>
      <c r="BE163" s="594"/>
      <c r="BF163" s="594"/>
      <c r="BG163" s="594"/>
      <c r="BH163" s="569"/>
      <c r="BJ163" s="586"/>
      <c r="BK163" s="594"/>
      <c r="BL163" s="594"/>
      <c r="BM163" s="594"/>
      <c r="BN163" s="594"/>
      <c r="BO163" s="594"/>
      <c r="BP163" s="594"/>
      <c r="BQ163" s="594"/>
      <c r="BR163" s="594"/>
      <c r="BS163" s="594"/>
      <c r="BT163" s="594"/>
      <c r="BU163" s="594"/>
      <c r="BV163" s="594"/>
      <c r="BW163" s="594"/>
      <c r="BX163" s="594"/>
      <c r="BY163" s="23"/>
      <c r="BZ163" s="23"/>
    </row>
    <row r="164">
      <c r="R164" s="23"/>
      <c r="S164" s="23"/>
      <c r="T164" s="23"/>
      <c r="V164" s="587"/>
      <c r="W164" s="590"/>
      <c r="X164" s="550"/>
      <c r="Y164" s="550"/>
      <c r="Z164" s="550"/>
      <c r="AA164" s="550"/>
      <c r="AB164" s="550"/>
      <c r="AC164" s="550"/>
      <c r="AD164" s="569"/>
      <c r="AF164" s="587"/>
      <c r="AG164" s="590"/>
      <c r="AH164" s="590"/>
      <c r="AI164" s="590"/>
      <c r="AJ164" s="590"/>
      <c r="AK164" s="590"/>
      <c r="AL164" s="590"/>
      <c r="AM164" s="590"/>
      <c r="AN164" s="590"/>
      <c r="AO164" s="590"/>
      <c r="AP164" s="590"/>
      <c r="AQ164" s="569"/>
      <c r="AS164" s="593"/>
      <c r="AT164" s="577"/>
      <c r="AU164" s="577"/>
      <c r="AV164" s="577"/>
      <c r="AW164" s="577"/>
      <c r="AX164" s="577"/>
      <c r="AY164" s="577"/>
      <c r="AZ164" s="577"/>
      <c r="BA164" s="577"/>
      <c r="BB164" s="577"/>
      <c r="BC164" s="577"/>
      <c r="BD164" s="577"/>
      <c r="BE164" s="577"/>
      <c r="BF164" s="577"/>
      <c r="BG164" s="577"/>
      <c r="BH164" s="569"/>
      <c r="BJ164" s="587"/>
      <c r="BK164" s="577"/>
      <c r="BL164" s="577"/>
      <c r="BM164" s="577"/>
      <c r="BN164" s="577"/>
      <c r="BO164" s="577"/>
      <c r="BP164" s="577"/>
      <c r="BQ164" s="577"/>
      <c r="BR164" s="577"/>
      <c r="BS164" s="577"/>
      <c r="BT164" s="577"/>
      <c r="BU164" s="577"/>
      <c r="BV164" s="577"/>
      <c r="BW164" s="577"/>
      <c r="BX164" s="577"/>
      <c r="BY164" s="23"/>
      <c r="BZ164" s="23"/>
    </row>
    <row r="165">
      <c r="R165" s="23"/>
      <c r="S165" s="23"/>
      <c r="T165" s="23"/>
      <c r="V165" s="587"/>
      <c r="W165" s="590"/>
      <c r="X165" s="550"/>
      <c r="Y165" s="550"/>
      <c r="Z165" s="550"/>
      <c r="AA165" s="550"/>
      <c r="AB165" s="550"/>
      <c r="AC165" s="550"/>
      <c r="AD165" s="569"/>
      <c r="AF165" s="587"/>
      <c r="AG165" s="590"/>
      <c r="AH165" s="590"/>
      <c r="AI165" s="590"/>
      <c r="AJ165" s="590"/>
      <c r="AK165" s="590"/>
      <c r="AL165" s="590"/>
      <c r="AM165" s="590"/>
      <c r="AN165" s="590"/>
      <c r="AO165" s="590"/>
      <c r="AP165" s="590"/>
      <c r="AQ165" s="569"/>
      <c r="AS165" s="593"/>
      <c r="AT165" s="577"/>
      <c r="AU165" s="577"/>
      <c r="AV165" s="577"/>
      <c r="AW165" s="577"/>
      <c r="AX165" s="577"/>
      <c r="AY165" s="577"/>
      <c r="AZ165" s="577"/>
      <c r="BA165" s="577"/>
      <c r="BB165" s="577"/>
      <c r="BC165" s="577"/>
      <c r="BD165" s="577"/>
      <c r="BE165" s="577"/>
      <c r="BF165" s="577"/>
      <c r="BG165" s="577"/>
      <c r="BH165" s="569"/>
      <c r="BJ165" s="587"/>
      <c r="BK165" s="577"/>
      <c r="BL165" s="577"/>
      <c r="BM165" s="577"/>
      <c r="BN165" s="577"/>
      <c r="BO165" s="577"/>
      <c r="BP165" s="577"/>
      <c r="BQ165" s="577"/>
      <c r="BR165" s="577"/>
      <c r="BS165" s="577"/>
      <c r="BT165" s="577"/>
      <c r="BU165" s="577"/>
      <c r="BV165" s="577"/>
      <c r="BW165" s="577"/>
      <c r="BX165" s="577"/>
      <c r="BY165" s="23"/>
      <c r="BZ165" s="23"/>
    </row>
    <row r="166">
      <c r="R166" s="23"/>
      <c r="S166" s="23"/>
      <c r="T166" s="23"/>
      <c r="V166" s="587"/>
      <c r="W166" s="590"/>
      <c r="X166" s="550"/>
      <c r="Y166" s="550"/>
      <c r="Z166" s="550"/>
      <c r="AA166" s="550"/>
      <c r="AB166" s="550"/>
      <c r="AC166" s="550"/>
      <c r="AD166" s="569"/>
      <c r="AF166" s="587"/>
      <c r="AG166" s="590"/>
      <c r="AH166" s="590"/>
      <c r="AI166" s="590"/>
      <c r="AJ166" s="590"/>
      <c r="AK166" s="590"/>
      <c r="AL166" s="590"/>
      <c r="AM166" s="590"/>
      <c r="AN166" s="590"/>
      <c r="AO166" s="590"/>
      <c r="AP166" s="590"/>
      <c r="AQ166" s="569"/>
      <c r="AS166" s="593"/>
      <c r="AT166" s="577"/>
      <c r="AU166" s="577"/>
      <c r="AV166" s="577"/>
      <c r="AW166" s="577"/>
      <c r="AX166" s="577"/>
      <c r="AY166" s="577"/>
      <c r="AZ166" s="577"/>
      <c r="BA166" s="577"/>
      <c r="BB166" s="577"/>
      <c r="BC166" s="577"/>
      <c r="BD166" s="577"/>
      <c r="BE166" s="577"/>
      <c r="BF166" s="577"/>
      <c r="BG166" s="577"/>
      <c r="BH166" s="569"/>
      <c r="BJ166" s="587"/>
      <c r="BK166" s="577"/>
      <c r="BL166" s="577"/>
      <c r="BM166" s="577"/>
      <c r="BN166" s="577"/>
      <c r="BO166" s="577"/>
      <c r="BP166" s="577"/>
      <c r="BQ166" s="577"/>
      <c r="BR166" s="577"/>
      <c r="BS166" s="577"/>
      <c r="BT166" s="577"/>
      <c r="BU166" s="577"/>
      <c r="BV166" s="577"/>
      <c r="BW166" s="577"/>
      <c r="BX166" s="577"/>
      <c r="BY166" s="23"/>
      <c r="BZ166" s="23"/>
    </row>
    <row r="167">
      <c r="R167" s="23"/>
      <c r="S167" s="23"/>
      <c r="T167" s="23"/>
      <c r="V167" s="587"/>
      <c r="W167" s="590"/>
      <c r="X167" s="550"/>
      <c r="Y167" s="550"/>
      <c r="Z167" s="550"/>
      <c r="AA167" s="550"/>
      <c r="AB167" s="550"/>
      <c r="AC167" s="550"/>
      <c r="AD167" s="569"/>
      <c r="AF167" s="587"/>
      <c r="AG167" s="590"/>
      <c r="AH167" s="590"/>
      <c r="AI167" s="590"/>
      <c r="AJ167" s="590"/>
      <c r="AK167" s="590"/>
      <c r="AL167" s="590"/>
      <c r="AM167" s="590"/>
      <c r="AN167" s="590"/>
      <c r="AO167" s="590"/>
      <c r="AP167" s="590"/>
      <c r="AQ167" s="569"/>
      <c r="AS167" s="593"/>
      <c r="AT167" s="577"/>
      <c r="AU167" s="577"/>
      <c r="AV167" s="577"/>
      <c r="AW167" s="577"/>
      <c r="AX167" s="577"/>
      <c r="AY167" s="577"/>
      <c r="AZ167" s="577"/>
      <c r="BA167" s="577"/>
      <c r="BB167" s="577"/>
      <c r="BC167" s="577"/>
      <c r="BD167" s="577"/>
      <c r="BE167" s="577"/>
      <c r="BF167" s="577"/>
      <c r="BG167" s="577"/>
      <c r="BH167" s="569"/>
      <c r="BJ167" s="587"/>
      <c r="BK167" s="577"/>
      <c r="BL167" s="577"/>
      <c r="BM167" s="577"/>
      <c r="BN167" s="577"/>
      <c r="BO167" s="577"/>
      <c r="BP167" s="577"/>
      <c r="BQ167" s="577"/>
      <c r="BR167" s="577"/>
      <c r="BS167" s="577"/>
      <c r="BT167" s="577"/>
      <c r="BU167" s="577"/>
      <c r="BV167" s="577"/>
      <c r="BW167" s="577"/>
      <c r="BX167" s="577"/>
      <c r="BY167" s="23"/>
      <c r="BZ167" s="23"/>
    </row>
    <row r="168">
      <c r="R168" s="23"/>
      <c r="S168" s="23"/>
      <c r="T168" s="23"/>
      <c r="V168" s="587"/>
      <c r="W168" s="590"/>
      <c r="X168" s="550"/>
      <c r="Y168" s="550"/>
      <c r="Z168" s="550"/>
      <c r="AA168" s="550"/>
      <c r="AB168" s="550"/>
      <c r="AC168" s="550"/>
      <c r="AD168" s="569"/>
      <c r="AF168" s="587"/>
      <c r="AG168" s="591"/>
      <c r="AH168" s="591"/>
      <c r="AI168" s="591"/>
      <c r="AJ168" s="591"/>
      <c r="AK168" s="591"/>
      <c r="AL168" s="591"/>
      <c r="AM168" s="591"/>
      <c r="AN168" s="591"/>
      <c r="AO168" s="591"/>
      <c r="AP168" s="591"/>
      <c r="AQ168" s="569"/>
      <c r="AS168" s="593"/>
      <c r="AT168" s="577"/>
      <c r="AU168" s="577"/>
      <c r="AV168" s="577"/>
      <c r="AW168" s="577"/>
      <c r="AX168" s="577"/>
      <c r="AY168" s="577"/>
      <c r="AZ168" s="577"/>
      <c r="BA168" s="577"/>
      <c r="BB168" s="577"/>
      <c r="BC168" s="577"/>
      <c r="BD168" s="577"/>
      <c r="BE168" s="577"/>
      <c r="BF168" s="577"/>
      <c r="BG168" s="577"/>
      <c r="BH168" s="569"/>
      <c r="BJ168" s="587"/>
      <c r="BK168" s="577"/>
      <c r="BL168" s="577"/>
      <c r="BM168" s="577"/>
      <c r="BN168" s="577"/>
      <c r="BO168" s="577"/>
      <c r="BP168" s="577"/>
      <c r="BQ168" s="577"/>
      <c r="BR168" s="577"/>
      <c r="BS168" s="577"/>
      <c r="BT168" s="577"/>
      <c r="BU168" s="577"/>
      <c r="BV168" s="577"/>
      <c r="BW168" s="577"/>
      <c r="BX168" s="577"/>
      <c r="BY168" s="23"/>
      <c r="BZ168" s="23"/>
    </row>
    <row r="169">
      <c r="R169" s="23"/>
      <c r="S169" s="23"/>
      <c r="T169" s="23"/>
      <c r="V169" s="587"/>
      <c r="W169" s="590"/>
      <c r="X169" s="550"/>
      <c r="Y169" s="550"/>
      <c r="Z169" s="550"/>
      <c r="AA169" s="550"/>
      <c r="AB169" s="550"/>
      <c r="AC169" s="550"/>
      <c r="AD169" s="569"/>
      <c r="AF169" s="587"/>
      <c r="AG169" s="590"/>
      <c r="AH169" s="590"/>
      <c r="AI169" s="590"/>
      <c r="AJ169" s="590"/>
      <c r="AK169" s="590"/>
      <c r="AL169" s="590"/>
      <c r="AM169" s="590"/>
      <c r="AN169" s="590"/>
      <c r="AO169" s="590"/>
      <c r="AP169" s="590"/>
      <c r="AQ169" s="569"/>
      <c r="AS169" s="593"/>
      <c r="AT169" s="577"/>
      <c r="AU169" s="577"/>
      <c r="AV169" s="577"/>
      <c r="AW169" s="577"/>
      <c r="AX169" s="577"/>
      <c r="AY169" s="577"/>
      <c r="AZ169" s="577"/>
      <c r="BA169" s="577"/>
      <c r="BB169" s="577"/>
      <c r="BC169" s="577"/>
      <c r="BD169" s="577"/>
      <c r="BE169" s="577"/>
      <c r="BF169" s="577"/>
      <c r="BG169" s="577"/>
      <c r="BH169" s="569"/>
      <c r="BJ169" s="587"/>
      <c r="BK169" s="577"/>
      <c r="BL169" s="577"/>
      <c r="BM169" s="577"/>
      <c r="BN169" s="577"/>
      <c r="BO169" s="577"/>
      <c r="BP169" s="577"/>
      <c r="BQ169" s="577"/>
      <c r="BR169" s="577"/>
      <c r="BS169" s="577"/>
      <c r="BT169" s="577"/>
      <c r="BU169" s="577"/>
      <c r="BV169" s="577"/>
      <c r="BW169" s="577"/>
      <c r="BX169" s="577"/>
      <c r="BY169" s="23"/>
      <c r="BZ169" s="23"/>
    </row>
    <row r="170">
      <c r="R170" s="23"/>
      <c r="S170" s="23"/>
      <c r="T170" s="23"/>
      <c r="V170" s="587"/>
      <c r="W170" s="590"/>
      <c r="X170" s="550"/>
      <c r="Y170" s="550"/>
      <c r="Z170" s="550"/>
      <c r="AA170" s="550"/>
      <c r="AB170" s="550"/>
      <c r="AC170" s="550"/>
      <c r="AD170" s="569"/>
      <c r="AF170" s="587"/>
      <c r="AG170" s="590"/>
      <c r="AH170" s="590"/>
      <c r="AI170" s="590"/>
      <c r="AJ170" s="590"/>
      <c r="AK170" s="590"/>
      <c r="AL170" s="590"/>
      <c r="AM170" s="590"/>
      <c r="AN170" s="590"/>
      <c r="AO170" s="590"/>
      <c r="AP170" s="590"/>
      <c r="AQ170" s="569"/>
      <c r="AS170" s="593"/>
      <c r="AT170" s="594"/>
      <c r="AU170" s="594"/>
      <c r="AV170" s="594"/>
      <c r="AW170" s="594"/>
      <c r="AX170" s="594"/>
      <c r="AY170" s="594"/>
      <c r="AZ170" s="594"/>
      <c r="BA170" s="594"/>
      <c r="BB170" s="594"/>
      <c r="BC170" s="594"/>
      <c r="BD170" s="594"/>
      <c r="BE170" s="594"/>
      <c r="BF170" s="594"/>
      <c r="BG170" s="594"/>
      <c r="BH170" s="569"/>
      <c r="BJ170" s="587"/>
      <c r="BK170" s="594"/>
      <c r="BL170" s="594"/>
      <c r="BM170" s="594"/>
      <c r="BN170" s="594"/>
      <c r="BO170" s="594"/>
      <c r="BP170" s="594"/>
      <c r="BQ170" s="594"/>
      <c r="BR170" s="594"/>
      <c r="BS170" s="594"/>
      <c r="BT170" s="594"/>
      <c r="BU170" s="594"/>
      <c r="BV170" s="594"/>
      <c r="BW170" s="594"/>
      <c r="BX170" s="594"/>
      <c r="BY170" s="23"/>
      <c r="BZ170" s="23"/>
    </row>
    <row r="171">
      <c r="R171" s="23"/>
      <c r="S171" s="23"/>
      <c r="T171" s="23"/>
      <c r="V171" s="587"/>
      <c r="W171" s="590"/>
      <c r="X171" s="550"/>
      <c r="Y171" s="550"/>
      <c r="Z171" s="550"/>
      <c r="AA171" s="550"/>
      <c r="AB171" s="550"/>
      <c r="AC171" s="550"/>
      <c r="AD171" s="569"/>
      <c r="AF171" s="587"/>
      <c r="AG171" s="590"/>
      <c r="AH171" s="590"/>
      <c r="AI171" s="590"/>
      <c r="AJ171" s="590"/>
      <c r="AK171" s="590"/>
      <c r="AL171" s="590"/>
      <c r="AM171" s="590"/>
      <c r="AN171" s="590"/>
      <c r="AO171" s="590"/>
      <c r="AP171" s="590"/>
      <c r="AQ171" s="569"/>
      <c r="AS171" s="593"/>
      <c r="AT171" s="577"/>
      <c r="AU171" s="577"/>
      <c r="AV171" s="577"/>
      <c r="AW171" s="577"/>
      <c r="AX171" s="577"/>
      <c r="AY171" s="577"/>
      <c r="AZ171" s="577"/>
      <c r="BA171" s="577"/>
      <c r="BB171" s="577"/>
      <c r="BC171" s="577"/>
      <c r="BD171" s="577"/>
      <c r="BE171" s="577"/>
      <c r="BF171" s="577"/>
      <c r="BG171" s="577"/>
      <c r="BH171" s="569"/>
      <c r="BJ171" s="587"/>
      <c r="BK171" s="577"/>
      <c r="BL171" s="577"/>
      <c r="BM171" s="577"/>
      <c r="BN171" s="577"/>
      <c r="BO171" s="577"/>
      <c r="BP171" s="577"/>
      <c r="BQ171" s="577"/>
      <c r="BR171" s="577"/>
      <c r="BS171" s="577"/>
      <c r="BT171" s="577"/>
      <c r="BU171" s="577"/>
      <c r="BV171" s="577"/>
      <c r="BW171" s="577"/>
      <c r="BX171" s="577"/>
      <c r="BY171" s="23"/>
      <c r="BZ171" s="23"/>
    </row>
    <row r="172">
      <c r="R172" s="23"/>
      <c r="S172" s="23"/>
      <c r="T172" s="23"/>
      <c r="V172" s="587"/>
      <c r="W172" s="590"/>
      <c r="X172" s="550"/>
      <c r="Y172" s="550"/>
      <c r="Z172" s="550"/>
      <c r="AA172" s="550"/>
      <c r="AB172" s="550"/>
      <c r="AC172" s="550"/>
      <c r="AD172" s="569"/>
      <c r="AF172" s="587"/>
      <c r="AG172" s="590"/>
      <c r="AH172" s="590"/>
      <c r="AI172" s="590"/>
      <c r="AJ172" s="590"/>
      <c r="AK172" s="590"/>
      <c r="AL172" s="590"/>
      <c r="AM172" s="590"/>
      <c r="AN172" s="590"/>
      <c r="AO172" s="590"/>
      <c r="AP172" s="590"/>
      <c r="AQ172" s="569"/>
      <c r="AR172" s="569"/>
      <c r="AS172" s="569"/>
      <c r="AT172" s="569"/>
      <c r="AU172" s="569"/>
      <c r="AV172" s="569"/>
      <c r="AW172" s="569"/>
      <c r="AX172" s="569"/>
      <c r="AY172" s="569"/>
      <c r="AZ172" s="569"/>
      <c r="BA172" s="569"/>
      <c r="BB172" s="569"/>
      <c r="BC172" s="569"/>
      <c r="BD172" s="569"/>
      <c r="BE172" s="569"/>
      <c r="BF172" s="569"/>
      <c r="BG172" s="569"/>
      <c r="BH172" s="569"/>
      <c r="BJ172" s="587"/>
      <c r="BK172" s="577"/>
      <c r="BL172" s="577"/>
      <c r="BM172" s="577"/>
      <c r="BN172" s="577"/>
      <c r="BO172" s="577"/>
      <c r="BP172" s="577"/>
      <c r="BQ172" s="577"/>
      <c r="BR172" s="577"/>
      <c r="BS172" s="577"/>
      <c r="BT172" s="577"/>
      <c r="BU172" s="577"/>
      <c r="BV172" s="577"/>
      <c r="BW172" s="577"/>
      <c r="BX172" s="577"/>
      <c r="BY172" s="23"/>
      <c r="BZ172" s="23"/>
    </row>
    <row r="173">
      <c r="R173" s="23"/>
      <c r="S173" s="23"/>
      <c r="T173" s="23"/>
      <c r="V173" s="587"/>
      <c r="W173" s="590"/>
      <c r="X173" s="550"/>
      <c r="Y173" s="550"/>
      <c r="Z173" s="550"/>
      <c r="AA173" s="550"/>
      <c r="AB173" s="550"/>
      <c r="AC173" s="550"/>
      <c r="AD173" s="569"/>
      <c r="AF173" s="587"/>
      <c r="AG173" s="590"/>
      <c r="AH173" s="590"/>
      <c r="AI173" s="590"/>
      <c r="AJ173" s="590"/>
      <c r="AK173" s="590"/>
      <c r="AL173" s="590"/>
      <c r="AM173" s="590"/>
      <c r="AN173" s="590"/>
      <c r="AO173" s="590"/>
      <c r="AP173" s="590"/>
      <c r="AQ173" s="569"/>
      <c r="AR173" s="569"/>
      <c r="AS173" s="569"/>
      <c r="AT173" s="569"/>
      <c r="AU173" s="569"/>
      <c r="AV173" s="569"/>
      <c r="AW173" s="569"/>
      <c r="AX173" s="569"/>
      <c r="AY173" s="569"/>
      <c r="AZ173" s="569"/>
      <c r="BA173" s="569"/>
      <c r="BB173" s="569"/>
      <c r="BC173" s="569"/>
      <c r="BD173" s="569"/>
      <c r="BE173" s="569"/>
      <c r="BF173" s="569"/>
      <c r="BG173" s="569"/>
      <c r="BH173" s="569"/>
      <c r="BJ173" s="587"/>
      <c r="BK173" s="577"/>
      <c r="BL173" s="577"/>
      <c r="BM173" s="577"/>
      <c r="BN173" s="577"/>
      <c r="BO173" s="577"/>
      <c r="BP173" s="577"/>
      <c r="BQ173" s="577"/>
      <c r="BR173" s="577"/>
      <c r="BS173" s="577"/>
      <c r="BT173" s="577"/>
      <c r="BU173" s="577"/>
      <c r="BV173" s="577"/>
      <c r="BW173" s="577"/>
      <c r="BX173" s="577"/>
      <c r="BY173" s="23"/>
      <c r="BZ173" s="23"/>
    </row>
    <row r="174">
      <c r="R174" s="23"/>
      <c r="S174" s="23"/>
      <c r="T174" s="23"/>
      <c r="V174" s="587"/>
      <c r="W174" s="590"/>
      <c r="X174" s="550"/>
      <c r="Y174" s="550"/>
      <c r="Z174" s="550"/>
      <c r="AA174" s="550"/>
      <c r="AB174" s="550"/>
      <c r="AC174" s="550"/>
      <c r="AD174" s="569"/>
      <c r="AF174" s="587"/>
      <c r="AG174" s="590"/>
      <c r="AH174" s="590"/>
      <c r="AI174" s="590"/>
      <c r="AJ174" s="590"/>
      <c r="AK174" s="590"/>
      <c r="AL174" s="590"/>
      <c r="AM174" s="590"/>
      <c r="AN174" s="590"/>
      <c r="AO174" s="590"/>
      <c r="AP174" s="590"/>
      <c r="AQ174" s="569"/>
      <c r="AR174" s="569"/>
      <c r="AS174" s="569"/>
      <c r="AT174" s="569"/>
      <c r="AU174" s="569"/>
      <c r="AV174" s="569"/>
      <c r="AW174" s="569"/>
      <c r="AX174" s="569"/>
      <c r="AY174" s="569"/>
      <c r="AZ174" s="569"/>
      <c r="BA174" s="569"/>
      <c r="BB174" s="569"/>
      <c r="BC174" s="569"/>
      <c r="BD174" s="569"/>
      <c r="BE174" s="569"/>
      <c r="BF174" s="569"/>
      <c r="BG174" s="569"/>
      <c r="BH174" s="569"/>
      <c r="BJ174" s="587"/>
      <c r="BK174" s="577"/>
      <c r="BL174" s="577"/>
      <c r="BM174" s="577"/>
      <c r="BN174" s="577"/>
      <c r="BO174" s="577"/>
      <c r="BP174" s="577"/>
      <c r="BQ174" s="577"/>
      <c r="BR174" s="577"/>
      <c r="BS174" s="577"/>
      <c r="BT174" s="577"/>
      <c r="BU174" s="577"/>
      <c r="BV174" s="577"/>
      <c r="BW174" s="577"/>
      <c r="BX174" s="577"/>
      <c r="BY174" s="23"/>
      <c r="BZ174" s="23"/>
    </row>
    <row r="175">
      <c r="R175" s="23"/>
      <c r="S175" s="23"/>
      <c r="T175" s="23"/>
      <c r="V175" s="587"/>
      <c r="W175" s="590"/>
      <c r="X175" s="550"/>
      <c r="Y175" s="550"/>
      <c r="Z175" s="550"/>
      <c r="AA175" s="550"/>
      <c r="AB175" s="550"/>
      <c r="AC175" s="550"/>
      <c r="AD175" s="569"/>
      <c r="AF175" s="587"/>
      <c r="AG175" s="590"/>
      <c r="AH175" s="590"/>
      <c r="AI175" s="590"/>
      <c r="AJ175" s="590"/>
      <c r="AK175" s="590"/>
      <c r="AL175" s="590"/>
      <c r="AM175" s="590"/>
      <c r="AN175" s="590"/>
      <c r="AO175" s="590"/>
      <c r="AP175" s="590"/>
      <c r="AQ175" s="569"/>
      <c r="AR175" s="569"/>
      <c r="AS175" s="569"/>
      <c r="AT175" s="569"/>
      <c r="AU175" s="569"/>
      <c r="AV175" s="569"/>
      <c r="AW175" s="569"/>
      <c r="AX175" s="569"/>
      <c r="AY175" s="569"/>
      <c r="AZ175" s="569"/>
      <c r="BA175" s="569"/>
      <c r="BB175" s="569"/>
      <c r="BC175" s="569"/>
      <c r="BD175" s="569"/>
      <c r="BE175" s="569"/>
      <c r="BF175" s="569"/>
      <c r="BG175" s="569"/>
      <c r="BH175" s="569"/>
      <c r="BJ175" s="587"/>
      <c r="BK175" s="577"/>
      <c r="BL175" s="577"/>
      <c r="BM175" s="577"/>
      <c r="BN175" s="577"/>
      <c r="BO175" s="577"/>
      <c r="BP175" s="577"/>
      <c r="BQ175" s="577"/>
      <c r="BR175" s="577"/>
      <c r="BS175" s="577"/>
      <c r="BT175" s="577"/>
      <c r="BU175" s="577"/>
      <c r="BV175" s="577"/>
      <c r="BW175" s="577"/>
      <c r="BX175" s="577"/>
      <c r="BY175" s="23"/>
      <c r="BZ175" s="23"/>
    </row>
    <row r="176">
      <c r="R176" s="23"/>
      <c r="S176" s="23"/>
      <c r="T176" s="23"/>
      <c r="V176" s="587"/>
      <c r="W176" s="590"/>
      <c r="X176" s="550"/>
      <c r="Y176" s="550"/>
      <c r="Z176" s="550"/>
      <c r="AA176" s="550"/>
      <c r="AB176" s="550"/>
      <c r="AC176" s="550"/>
      <c r="AD176" s="569"/>
      <c r="AF176" s="587"/>
      <c r="AG176" s="591"/>
      <c r="AH176" s="591"/>
      <c r="AI176" s="591"/>
      <c r="AJ176" s="591"/>
      <c r="AK176" s="591"/>
      <c r="AL176" s="591"/>
      <c r="AM176" s="591"/>
      <c r="AN176" s="591"/>
      <c r="AO176" s="591"/>
      <c r="AP176" s="591"/>
      <c r="AQ176" s="569"/>
      <c r="AR176" s="569"/>
      <c r="AS176" s="569"/>
      <c r="AT176" s="569"/>
      <c r="AU176" s="569"/>
      <c r="AV176" s="569"/>
      <c r="AW176" s="569"/>
      <c r="AX176" s="569"/>
      <c r="AY176" s="569"/>
      <c r="AZ176" s="569"/>
      <c r="BA176" s="569"/>
      <c r="BB176" s="569"/>
      <c r="BC176" s="569"/>
      <c r="BD176" s="569"/>
      <c r="BE176" s="569"/>
      <c r="BF176" s="569"/>
      <c r="BG176" s="569"/>
      <c r="BH176" s="569"/>
      <c r="BJ176" s="587"/>
      <c r="BK176" s="577"/>
      <c r="BL176" s="577"/>
      <c r="BM176" s="577"/>
      <c r="BN176" s="577"/>
      <c r="BO176" s="577"/>
      <c r="BP176" s="577"/>
      <c r="BQ176" s="577"/>
      <c r="BR176" s="577"/>
      <c r="BS176" s="577"/>
      <c r="BT176" s="577"/>
      <c r="BU176" s="577"/>
      <c r="BV176" s="577"/>
      <c r="BW176" s="577"/>
      <c r="BX176" s="577"/>
      <c r="BY176" s="23"/>
      <c r="BZ176" s="23"/>
    </row>
    <row r="177">
      <c r="R177" s="23"/>
      <c r="S177" s="23"/>
      <c r="T177" s="23"/>
      <c r="U177" s="569"/>
      <c r="V177" s="587"/>
      <c r="W177" s="590"/>
      <c r="X177" s="550"/>
      <c r="Y177" s="550"/>
      <c r="Z177" s="550"/>
      <c r="AA177" s="550"/>
      <c r="AB177" s="550"/>
      <c r="AC177" s="550"/>
      <c r="AD177" s="569"/>
      <c r="AE177" s="598"/>
      <c r="AF177" s="587"/>
      <c r="AG177" s="590"/>
      <c r="AH177" s="590"/>
      <c r="AI177" s="590"/>
      <c r="AJ177" s="590"/>
      <c r="AK177" s="590"/>
      <c r="AL177" s="590"/>
      <c r="AM177" s="590"/>
      <c r="AN177" s="590"/>
      <c r="AO177" s="590"/>
      <c r="AP177" s="590"/>
      <c r="AQ177" s="569"/>
      <c r="AR177" s="569"/>
      <c r="AS177" s="569"/>
      <c r="AT177" s="569"/>
      <c r="AU177" s="569"/>
      <c r="AV177" s="569"/>
      <c r="AW177" s="569"/>
      <c r="AX177" s="569"/>
      <c r="AY177" s="569"/>
      <c r="AZ177" s="569"/>
      <c r="BA177" s="569"/>
      <c r="BB177" s="569"/>
      <c r="BC177" s="569"/>
      <c r="BD177" s="569"/>
      <c r="BE177" s="569"/>
      <c r="BF177" s="569"/>
      <c r="BG177" s="569"/>
      <c r="BH177" s="569"/>
      <c r="BJ177" s="587"/>
      <c r="BK177" s="577"/>
      <c r="BL177" s="577"/>
      <c r="BM177" s="577"/>
      <c r="BN177" s="577"/>
      <c r="BO177" s="577"/>
      <c r="BP177" s="577"/>
      <c r="BQ177" s="577"/>
      <c r="BR177" s="577"/>
      <c r="BS177" s="577"/>
      <c r="BT177" s="577"/>
      <c r="BU177" s="577"/>
      <c r="BV177" s="577"/>
      <c r="BW177" s="577"/>
      <c r="BX177" s="577"/>
      <c r="BY177" s="23"/>
      <c r="BZ177" s="23"/>
    </row>
    <row r="178">
      <c r="R178" s="23"/>
      <c r="S178" s="23"/>
      <c r="T178" s="23"/>
      <c r="U178" s="569"/>
      <c r="V178" s="587"/>
      <c r="W178" s="591"/>
      <c r="X178" s="550"/>
      <c r="Y178" s="550"/>
      <c r="Z178" s="550"/>
      <c r="AA178" s="550"/>
      <c r="AB178" s="550"/>
      <c r="AC178" s="550"/>
      <c r="AD178" s="569"/>
      <c r="AE178" s="569"/>
      <c r="AF178" s="587"/>
      <c r="AG178" s="591"/>
      <c r="AH178" s="591"/>
      <c r="AI178" s="591"/>
      <c r="AJ178" s="591"/>
      <c r="AK178" s="591"/>
      <c r="AL178" s="591"/>
      <c r="AM178" s="591"/>
      <c r="AN178" s="591"/>
      <c r="AO178" s="591"/>
      <c r="AP178" s="591"/>
      <c r="AQ178" s="569"/>
      <c r="AR178" s="569"/>
      <c r="AS178" s="569"/>
      <c r="AT178" s="569"/>
      <c r="AU178" s="569"/>
      <c r="AV178" s="569"/>
      <c r="AW178" s="569"/>
      <c r="AX178" s="569"/>
      <c r="AY178" s="569"/>
      <c r="AZ178" s="569"/>
      <c r="BA178" s="569"/>
      <c r="BB178" s="569"/>
      <c r="BC178" s="569"/>
      <c r="BD178" s="569"/>
      <c r="BE178" s="569"/>
      <c r="BF178" s="569"/>
      <c r="BG178" s="569"/>
      <c r="BH178" s="569"/>
      <c r="BJ178" s="587"/>
      <c r="BK178" s="594"/>
      <c r="BL178" s="594"/>
      <c r="BM178" s="594"/>
      <c r="BN178" s="594"/>
      <c r="BO178" s="594"/>
      <c r="BP178" s="594"/>
      <c r="BQ178" s="594"/>
      <c r="BR178" s="594"/>
      <c r="BS178" s="594"/>
      <c r="BT178" s="594"/>
      <c r="BU178" s="594"/>
      <c r="BV178" s="594"/>
      <c r="BW178" s="594"/>
      <c r="BX178" s="594"/>
      <c r="BY178" s="23"/>
      <c r="BZ178" s="23"/>
    </row>
    <row r="179">
      <c r="R179" s="23"/>
      <c r="S179" s="23"/>
      <c r="T179" s="23"/>
      <c r="U179" s="569"/>
      <c r="V179" s="587"/>
      <c r="W179" s="591"/>
      <c r="X179" s="550"/>
      <c r="Y179" s="550"/>
      <c r="Z179" s="550"/>
      <c r="AA179" s="550"/>
      <c r="AB179" s="550"/>
      <c r="AC179" s="550"/>
      <c r="AD179" s="569"/>
      <c r="AE179" s="569"/>
      <c r="AF179" s="587"/>
      <c r="AG179" s="591"/>
      <c r="AH179" s="591"/>
      <c r="AI179" s="591"/>
      <c r="AJ179" s="591"/>
      <c r="AK179" s="591"/>
      <c r="AL179" s="591"/>
      <c r="AM179" s="591"/>
      <c r="AN179" s="591"/>
      <c r="AO179" s="591"/>
      <c r="AP179" s="591"/>
      <c r="AQ179" s="569"/>
      <c r="AR179" s="569"/>
      <c r="AS179" s="569"/>
      <c r="AT179" s="569"/>
      <c r="AU179" s="569"/>
      <c r="AV179" s="569"/>
      <c r="AW179" s="569"/>
      <c r="AX179" s="569"/>
      <c r="AY179" s="569"/>
      <c r="AZ179" s="569"/>
      <c r="BA179" s="569"/>
      <c r="BB179" s="569"/>
      <c r="BC179" s="569"/>
      <c r="BD179" s="569"/>
      <c r="BE179" s="569"/>
      <c r="BF179" s="569"/>
      <c r="BG179" s="569"/>
      <c r="BH179" s="569"/>
      <c r="BI179" s="589"/>
      <c r="BJ179" s="587"/>
      <c r="BK179" s="577"/>
      <c r="BL179" s="577"/>
      <c r="BM179" s="577"/>
      <c r="BN179" s="577"/>
      <c r="BO179" s="577"/>
      <c r="BP179" s="577"/>
      <c r="BQ179" s="577"/>
      <c r="BR179" s="577"/>
      <c r="BS179" s="577"/>
      <c r="BT179" s="577"/>
      <c r="BU179" s="577"/>
      <c r="BV179" s="577"/>
      <c r="BW179" s="577"/>
      <c r="BX179" s="577"/>
      <c r="BY179" s="23"/>
      <c r="BZ179" s="23"/>
    </row>
    <row r="180">
      <c r="R180" s="23"/>
      <c r="S180" s="23"/>
      <c r="T180" s="23"/>
      <c r="U180" s="569"/>
      <c r="V180" s="569"/>
      <c r="W180" s="569"/>
      <c r="X180" s="569"/>
      <c r="Y180" s="569"/>
      <c r="Z180" s="569"/>
      <c r="AA180" s="569"/>
      <c r="AB180" s="569"/>
      <c r="AC180" s="569"/>
      <c r="AD180" s="569"/>
      <c r="AE180" s="569"/>
      <c r="AF180" s="569"/>
      <c r="AG180" s="569"/>
      <c r="AH180" s="569"/>
      <c r="AI180" s="569"/>
      <c r="AJ180" s="569"/>
      <c r="AK180" s="569"/>
      <c r="AL180" s="569"/>
      <c r="AM180" s="569"/>
      <c r="AN180" s="569"/>
      <c r="AO180" s="569"/>
      <c r="AP180" s="569"/>
      <c r="AQ180" s="569"/>
      <c r="AR180" s="569"/>
      <c r="AS180" s="569"/>
      <c r="AT180" s="569"/>
      <c r="AU180" s="569"/>
      <c r="AV180" s="569"/>
      <c r="AW180" s="569"/>
      <c r="AX180" s="569"/>
      <c r="AY180" s="569"/>
      <c r="AZ180" s="569"/>
      <c r="BA180" s="569"/>
      <c r="BB180" s="569"/>
      <c r="BC180" s="569"/>
      <c r="BD180" s="569"/>
      <c r="BE180" s="569"/>
      <c r="BF180" s="569"/>
      <c r="BG180" s="569"/>
      <c r="BH180" s="569"/>
      <c r="BI180" s="589"/>
      <c r="BJ180" s="587"/>
      <c r="BK180" s="594"/>
      <c r="BL180" s="594"/>
      <c r="BM180" s="594"/>
      <c r="BN180" s="594"/>
      <c r="BO180" s="594"/>
      <c r="BP180" s="594"/>
      <c r="BQ180" s="594"/>
      <c r="BR180" s="594"/>
      <c r="BS180" s="594"/>
      <c r="BT180" s="594"/>
      <c r="BU180" s="594"/>
      <c r="BV180" s="594"/>
      <c r="BW180" s="594"/>
      <c r="BX180" s="594"/>
      <c r="BY180" s="23"/>
      <c r="BZ180" s="23"/>
    </row>
    <row r="181">
      <c r="R181" s="23"/>
      <c r="S181" s="23"/>
      <c r="T181" s="23"/>
      <c r="U181" s="569"/>
      <c r="V181" s="569"/>
      <c r="W181" s="569"/>
      <c r="X181" s="569"/>
      <c r="Y181" s="569"/>
      <c r="Z181" s="569"/>
      <c r="AA181" s="569"/>
      <c r="AB181" s="569"/>
      <c r="AC181" s="569"/>
      <c r="AD181" s="569"/>
      <c r="AE181" s="569"/>
      <c r="AF181" s="569"/>
      <c r="AG181" s="569"/>
      <c r="AH181" s="569"/>
      <c r="AI181" s="569"/>
      <c r="AJ181" s="569"/>
      <c r="AK181" s="569"/>
      <c r="AL181" s="569"/>
      <c r="AM181" s="569"/>
      <c r="AN181" s="569"/>
      <c r="AO181" s="569"/>
      <c r="AP181" s="569"/>
      <c r="AQ181" s="569"/>
      <c r="AR181" s="569"/>
      <c r="AS181" s="569"/>
      <c r="AT181" s="569"/>
      <c r="AU181" s="569"/>
      <c r="AV181" s="569"/>
      <c r="AW181" s="569"/>
      <c r="AX181" s="569"/>
      <c r="AY181" s="569"/>
      <c r="AZ181" s="569"/>
      <c r="BA181" s="569"/>
      <c r="BB181" s="569"/>
      <c r="BC181" s="569"/>
      <c r="BD181" s="569"/>
      <c r="BE181" s="569"/>
      <c r="BF181" s="569"/>
      <c r="BG181" s="569"/>
      <c r="BH181" s="569"/>
      <c r="BI181" s="569"/>
      <c r="BJ181" s="587"/>
      <c r="BK181" s="594"/>
      <c r="BL181" s="594"/>
      <c r="BM181" s="594"/>
      <c r="BN181" s="594"/>
      <c r="BO181" s="594"/>
      <c r="BP181" s="594"/>
      <c r="BQ181" s="594"/>
      <c r="BR181" s="594"/>
      <c r="BS181" s="594"/>
      <c r="BT181" s="594"/>
      <c r="BU181" s="594"/>
      <c r="BV181" s="594"/>
      <c r="BW181" s="594"/>
      <c r="BX181" s="594"/>
      <c r="BY181" s="23"/>
      <c r="BZ181" s="23"/>
    </row>
    <row r="182">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171"/>
      <c r="BO182" s="23"/>
      <c r="BP182" s="23"/>
      <c r="BQ182" s="23"/>
      <c r="BR182" s="23"/>
      <c r="BS182" s="23"/>
      <c r="BT182" s="23"/>
      <c r="BU182" s="23"/>
      <c r="BV182" s="23"/>
      <c r="BW182" s="23"/>
      <c r="BX182" s="23"/>
      <c r="BY182" s="23"/>
      <c r="BZ182" s="23"/>
    </row>
    <row r="18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171"/>
      <c r="BO183" s="23"/>
      <c r="BP183" s="23"/>
      <c r="BQ183" s="23"/>
      <c r="BR183" s="23"/>
      <c r="BS183" s="23"/>
      <c r="BT183" s="23"/>
      <c r="BU183" s="23"/>
      <c r="BV183" s="23"/>
      <c r="BW183" s="23"/>
      <c r="BX183" s="23"/>
      <c r="BY183" s="23"/>
      <c r="BZ183" s="23"/>
    </row>
    <row r="184">
      <c r="R184" s="524"/>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171"/>
      <c r="BO184" s="23"/>
      <c r="BP184" s="23"/>
      <c r="BQ184" s="23"/>
      <c r="BR184" s="23"/>
      <c r="BS184" s="23"/>
      <c r="BT184" s="23"/>
      <c r="BU184" s="23"/>
      <c r="BV184" s="23"/>
      <c r="BW184" s="23"/>
      <c r="BX184" s="23"/>
      <c r="BY184" s="23"/>
      <c r="BZ184" s="23"/>
    </row>
    <row r="185">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171"/>
      <c r="BO185" s="23"/>
      <c r="BP185" s="23"/>
      <c r="BQ185" s="23"/>
      <c r="BR185" s="23"/>
      <c r="BS185" s="23"/>
      <c r="BT185" s="23"/>
      <c r="BU185" s="23"/>
      <c r="BV185" s="23"/>
      <c r="BW185" s="23"/>
      <c r="BX185" s="23"/>
      <c r="BY185" s="23"/>
      <c r="BZ185" s="23"/>
    </row>
    <row r="186">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171"/>
      <c r="BI186" s="171"/>
      <c r="BJ186" s="171"/>
      <c r="BK186" s="171"/>
      <c r="BL186" s="171"/>
      <c r="BM186" s="23"/>
      <c r="BN186" s="171"/>
      <c r="BO186" s="23"/>
      <c r="BP186" s="23"/>
      <c r="BQ186" s="23"/>
      <c r="BR186" s="23"/>
      <c r="BS186" s="23"/>
      <c r="BT186" s="23"/>
      <c r="BU186" s="23"/>
      <c r="BV186" s="23"/>
      <c r="BW186" s="23"/>
      <c r="BX186" s="23"/>
      <c r="BY186" s="23"/>
      <c r="BZ186" s="23"/>
    </row>
    <row r="187">
      <c r="D187" s="213"/>
      <c r="G187" s="214"/>
      <c r="H187" s="214"/>
      <c r="I187" s="214"/>
      <c r="J187" s="214"/>
      <c r="K187" s="214"/>
      <c r="L187" s="214"/>
      <c r="M187" s="214"/>
      <c r="N187" s="214"/>
      <c r="O187" s="214"/>
      <c r="P187" s="214"/>
      <c r="Q187" s="214"/>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172"/>
      <c r="BI187" s="172"/>
      <c r="BJ187" s="172"/>
      <c r="BK187" s="172"/>
      <c r="BL187" s="172"/>
      <c r="BM187" s="23"/>
      <c r="BN187" s="171"/>
      <c r="BO187" s="23"/>
      <c r="BP187" s="23"/>
      <c r="BQ187" s="23"/>
      <c r="BR187" s="23"/>
      <c r="BS187" s="23"/>
      <c r="BT187" s="23"/>
      <c r="BU187" s="23"/>
      <c r="BV187" s="23"/>
      <c r="BW187" s="23"/>
      <c r="BX187" s="23"/>
      <c r="BY187" s="23"/>
      <c r="BZ187" s="23"/>
    </row>
    <row r="188">
      <c r="D188" s="173"/>
      <c r="E188" s="216"/>
      <c r="F188" s="214"/>
      <c r="G188" s="214"/>
      <c r="H188" s="214"/>
      <c r="I188" s="214"/>
      <c r="J188" s="214"/>
      <c r="K188" s="214"/>
      <c r="L188" s="214"/>
      <c r="M188" s="214"/>
      <c r="N188" s="214"/>
      <c r="O188" s="214"/>
      <c r="P188" s="214"/>
      <c r="Q188" s="214"/>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173"/>
      <c r="BI188" s="173"/>
      <c r="BJ188" s="173"/>
      <c r="BK188" s="173"/>
      <c r="BL188" s="173"/>
      <c r="BM188" s="23"/>
      <c r="BN188" s="171"/>
      <c r="BO188" s="23"/>
      <c r="BP188" s="23"/>
      <c r="BQ188" s="23"/>
      <c r="BR188" s="23"/>
      <c r="BS188" s="23"/>
      <c r="BT188" s="23"/>
      <c r="BU188" s="23"/>
      <c r="BV188" s="23"/>
      <c r="BW188" s="23"/>
      <c r="BX188" s="23"/>
      <c r="BY188" s="23"/>
      <c r="BZ188" s="23"/>
    </row>
    <row r="189">
      <c r="D189" s="173"/>
      <c r="E189" s="216"/>
      <c r="F189" s="214"/>
      <c r="G189" s="174"/>
      <c r="H189" s="174"/>
      <c r="I189" s="174"/>
      <c r="J189" s="174"/>
      <c r="K189" s="174"/>
      <c r="L189" s="174"/>
      <c r="M189" s="174"/>
      <c r="N189" s="174"/>
      <c r="O189" s="174"/>
      <c r="P189" s="174"/>
      <c r="Q189" s="174"/>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174"/>
      <c r="BI189" s="174"/>
      <c r="BJ189" s="174"/>
      <c r="BK189" s="174"/>
      <c r="BL189" s="174"/>
      <c r="BM189" s="23"/>
      <c r="BN189" s="171"/>
      <c r="BO189" s="23"/>
      <c r="BP189" s="23"/>
      <c r="BQ189" s="23"/>
      <c r="BR189" s="23"/>
      <c r="BS189" s="23"/>
      <c r="BT189" s="23"/>
      <c r="BU189" s="23"/>
      <c r="BV189" s="23"/>
      <c r="BW189" s="23"/>
      <c r="BX189" s="23"/>
      <c r="BY189" s="23"/>
      <c r="BZ189" s="23"/>
    </row>
    <row r="190">
      <c r="D190" s="218"/>
      <c r="E190" s="219"/>
      <c r="F190" s="174"/>
      <c r="G190" s="220"/>
      <c r="H190" s="220"/>
      <c r="I190" s="220"/>
      <c r="J190" s="220"/>
      <c r="K190" s="220"/>
      <c r="L190" s="220"/>
      <c r="M190" s="220"/>
      <c r="N190" s="220"/>
      <c r="O190" s="220"/>
      <c r="P190" s="220"/>
      <c r="Q190" s="220"/>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175"/>
      <c r="BI190" s="175"/>
      <c r="BJ190" s="175"/>
      <c r="BK190" s="175"/>
      <c r="BL190" s="175"/>
      <c r="BM190" s="23"/>
      <c r="BN190" s="171"/>
      <c r="BO190" s="23"/>
      <c r="BP190" s="23"/>
      <c r="BQ190" s="23"/>
      <c r="BR190" s="23"/>
      <c r="BS190" s="23"/>
      <c r="BT190" s="23"/>
      <c r="BU190" s="23"/>
      <c r="BV190" s="23"/>
      <c r="BW190" s="23"/>
      <c r="BX190" s="23"/>
      <c r="BY190" s="23"/>
      <c r="BZ190" s="23"/>
    </row>
    <row r="191">
      <c r="E191" s="174"/>
      <c r="F191" s="220"/>
      <c r="G191" s="175"/>
      <c r="H191" s="175"/>
      <c r="I191" s="175"/>
      <c r="J191" s="175"/>
      <c r="K191" s="175"/>
      <c r="L191" s="175"/>
      <c r="M191" s="175"/>
      <c r="N191" s="175"/>
      <c r="O191" s="175"/>
      <c r="P191" s="175"/>
      <c r="Q191" s="175"/>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175"/>
      <c r="BI191" s="175"/>
      <c r="BJ191" s="175"/>
      <c r="BK191" s="175"/>
      <c r="BL191" s="175"/>
      <c r="BM191" s="23"/>
      <c r="BN191" s="171"/>
      <c r="BO191" s="23"/>
      <c r="BP191" s="23"/>
      <c r="BQ191" s="23"/>
      <c r="BR191" s="23"/>
      <c r="BS191" s="23"/>
      <c r="BT191" s="23"/>
      <c r="BU191" s="23"/>
      <c r="BV191" s="23"/>
      <c r="BW191" s="23"/>
      <c r="BX191" s="23"/>
      <c r="BY191" s="23"/>
      <c r="BZ191" s="23"/>
    </row>
    <row r="192">
      <c r="E192" s="174"/>
      <c r="F192" s="175"/>
      <c r="G192" s="220"/>
      <c r="H192" s="220"/>
      <c r="I192" s="220"/>
      <c r="J192" s="220"/>
      <c r="K192" s="220"/>
      <c r="L192" s="220"/>
      <c r="M192" s="220"/>
      <c r="N192" s="220"/>
      <c r="O192" s="220"/>
      <c r="P192" s="220"/>
      <c r="Q192" s="220"/>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175"/>
      <c r="BI192" s="175"/>
      <c r="BJ192" s="175"/>
      <c r="BK192" s="175"/>
      <c r="BL192" s="175"/>
      <c r="BM192" s="23"/>
      <c r="BN192" s="171"/>
      <c r="BO192" s="23"/>
      <c r="BP192" s="23"/>
      <c r="BQ192" s="23"/>
      <c r="BR192" s="23"/>
      <c r="BS192" s="23"/>
      <c r="BT192" s="23"/>
      <c r="BU192" s="23"/>
      <c r="BV192" s="23"/>
      <c r="BW192" s="23"/>
      <c r="BX192" s="23"/>
      <c r="BY192" s="23"/>
      <c r="BZ192" s="23"/>
    </row>
    <row r="193">
      <c r="E193" s="174"/>
      <c r="F193" s="220"/>
      <c r="G193" s="220"/>
      <c r="H193" s="220"/>
      <c r="I193" s="220"/>
      <c r="J193" s="220"/>
      <c r="K193" s="220"/>
      <c r="L193" s="220"/>
      <c r="M193" s="220"/>
      <c r="N193" s="220"/>
      <c r="O193" s="220"/>
      <c r="P193" s="220"/>
      <c r="Q193" s="220"/>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175"/>
      <c r="BI193" s="175"/>
      <c r="BJ193" s="175"/>
      <c r="BK193" s="175"/>
      <c r="BL193" s="175"/>
      <c r="BM193" s="23"/>
      <c r="BN193" s="171"/>
      <c r="BO193" s="23"/>
      <c r="BP193" s="23"/>
      <c r="BQ193" s="23"/>
      <c r="BR193" s="23"/>
      <c r="BS193" s="23"/>
      <c r="BT193" s="23"/>
      <c r="BU193" s="23"/>
      <c r="BV193" s="23"/>
      <c r="BW193" s="23"/>
      <c r="BX193" s="23"/>
      <c r="BY193" s="23"/>
      <c r="BZ193" s="23"/>
    </row>
    <row r="194">
      <c r="E194" s="174"/>
      <c r="F194" s="220"/>
      <c r="G194" s="220"/>
      <c r="H194" s="220"/>
      <c r="I194" s="220"/>
      <c r="J194" s="220"/>
      <c r="K194" s="220"/>
      <c r="L194" s="220"/>
      <c r="M194" s="220"/>
      <c r="N194" s="220"/>
      <c r="O194" s="220"/>
      <c r="P194" s="220"/>
      <c r="Q194" s="220"/>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175"/>
      <c r="BI194" s="175"/>
      <c r="BJ194" s="175"/>
      <c r="BK194" s="175"/>
      <c r="BL194" s="175"/>
      <c r="BM194" s="23"/>
      <c r="BN194" s="171"/>
      <c r="BO194" s="23"/>
      <c r="BP194" s="23"/>
      <c r="BQ194" s="23"/>
      <c r="BR194" s="23"/>
      <c r="BS194" s="23"/>
      <c r="BT194" s="23"/>
      <c r="BU194" s="23"/>
      <c r="BV194" s="23"/>
      <c r="BW194" s="23"/>
      <c r="BX194" s="23"/>
      <c r="BY194" s="23"/>
      <c r="BZ194" s="23"/>
    </row>
    <row r="195">
      <c r="E195" s="174"/>
      <c r="F195" s="220"/>
      <c r="G195" s="220"/>
      <c r="H195" s="220"/>
      <c r="I195" s="220"/>
      <c r="J195" s="220"/>
      <c r="K195" s="220"/>
      <c r="L195" s="220"/>
      <c r="M195" s="220"/>
      <c r="N195" s="220"/>
      <c r="O195" s="220"/>
      <c r="P195" s="220"/>
      <c r="Q195" s="220"/>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175"/>
      <c r="BI195" s="175"/>
      <c r="BJ195" s="175"/>
      <c r="BK195" s="175"/>
      <c r="BL195" s="175"/>
      <c r="BM195" s="23"/>
      <c r="BN195" s="23"/>
      <c r="BO195" s="23"/>
      <c r="BP195" s="23"/>
      <c r="BQ195" s="23"/>
      <c r="BR195" s="23"/>
      <c r="BS195" s="23"/>
      <c r="BT195" s="23"/>
      <c r="BU195" s="23"/>
      <c r="BV195" s="23"/>
      <c r="BW195" s="23"/>
      <c r="BX195" s="23"/>
      <c r="BY195" s="23"/>
      <c r="BZ195" s="23"/>
    </row>
    <row r="196">
      <c r="E196" s="174"/>
      <c r="F196" s="220"/>
      <c r="G196" s="220"/>
      <c r="H196" s="220"/>
      <c r="I196" s="220"/>
      <c r="J196" s="220"/>
      <c r="K196" s="220"/>
      <c r="L196" s="220"/>
      <c r="M196" s="220"/>
      <c r="N196" s="220"/>
      <c r="O196" s="220"/>
      <c r="P196" s="220"/>
      <c r="Q196" s="220"/>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175"/>
      <c r="BI196" s="175"/>
      <c r="BJ196" s="175"/>
      <c r="BK196" s="175"/>
      <c r="BL196" s="175"/>
      <c r="BM196" s="23"/>
      <c r="BN196" s="23"/>
      <c r="BO196" s="23"/>
      <c r="BP196" s="23"/>
      <c r="BQ196" s="23"/>
      <c r="BR196" s="23"/>
      <c r="BS196" s="23"/>
      <c r="BT196" s="23"/>
      <c r="BU196" s="23"/>
      <c r="BV196" s="23"/>
      <c r="BW196" s="23"/>
      <c r="BX196" s="23"/>
      <c r="BY196" s="23"/>
      <c r="BZ196" s="23"/>
    </row>
    <row r="197">
      <c r="E197" s="174"/>
      <c r="F197" s="220"/>
      <c r="G197" s="220"/>
      <c r="H197" s="220"/>
      <c r="I197" s="220"/>
      <c r="J197" s="220"/>
      <c r="K197" s="220"/>
      <c r="L197" s="220"/>
      <c r="M197" s="220"/>
      <c r="N197" s="220"/>
      <c r="O197" s="220"/>
      <c r="P197" s="220"/>
      <c r="Q197" s="220"/>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175"/>
      <c r="BI197" s="175"/>
      <c r="BJ197" s="175"/>
      <c r="BK197" s="175"/>
      <c r="BL197" s="175"/>
      <c r="BM197" s="23"/>
      <c r="BN197" s="23"/>
      <c r="BO197" s="23"/>
      <c r="BP197" s="23"/>
      <c r="BQ197" s="23"/>
      <c r="BR197" s="23"/>
      <c r="BS197" s="23"/>
      <c r="BT197" s="23"/>
      <c r="BU197" s="23"/>
      <c r="BV197" s="23"/>
      <c r="BW197" s="23"/>
      <c r="BX197" s="23"/>
      <c r="BY197" s="23"/>
      <c r="BZ197" s="23"/>
    </row>
    <row r="198">
      <c r="E198" s="174"/>
      <c r="F198" s="220"/>
      <c r="G198" s="175"/>
      <c r="H198" s="175"/>
      <c r="I198" s="175"/>
      <c r="J198" s="175"/>
      <c r="K198" s="175"/>
      <c r="L198" s="175"/>
      <c r="M198" s="175"/>
      <c r="N198" s="175"/>
      <c r="O198" s="175"/>
      <c r="P198" s="175"/>
      <c r="Q198" s="175"/>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175"/>
      <c r="BI198" s="175"/>
      <c r="BJ198" s="175"/>
      <c r="BK198" s="175"/>
      <c r="BL198" s="175"/>
      <c r="BM198" s="23"/>
      <c r="BN198" s="23"/>
      <c r="BO198" s="23"/>
      <c r="BP198" s="23"/>
      <c r="BQ198" s="23"/>
      <c r="BR198" s="23"/>
      <c r="BS198" s="23"/>
      <c r="BT198" s="23"/>
      <c r="BU198" s="23"/>
      <c r="BV198" s="23"/>
      <c r="BW198" s="23"/>
      <c r="BX198" s="23"/>
      <c r="BY198" s="23"/>
      <c r="BZ198" s="23"/>
    </row>
    <row r="199">
      <c r="E199" s="174"/>
      <c r="F199" s="175"/>
      <c r="G199" s="220"/>
      <c r="H199" s="220"/>
      <c r="I199" s="220"/>
      <c r="J199" s="220"/>
      <c r="K199" s="220"/>
      <c r="L199" s="220"/>
      <c r="M199" s="220"/>
      <c r="N199" s="220"/>
      <c r="O199" s="220"/>
      <c r="P199" s="220"/>
      <c r="Q199" s="220"/>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175"/>
      <c r="BI199" s="175"/>
      <c r="BJ199" s="175"/>
      <c r="BK199" s="175"/>
      <c r="BL199" s="175"/>
      <c r="BM199" s="23"/>
      <c r="BN199" s="23"/>
      <c r="BO199" s="23"/>
      <c r="BP199" s="23"/>
      <c r="BQ199" s="23"/>
      <c r="BR199" s="23"/>
      <c r="BS199" s="23"/>
      <c r="BT199" s="23"/>
      <c r="BU199" s="23"/>
      <c r="BV199" s="23"/>
      <c r="BW199" s="23"/>
      <c r="BX199" s="23"/>
      <c r="BY199" s="23"/>
      <c r="BZ199" s="23"/>
    </row>
    <row r="200">
      <c r="E200" s="174"/>
      <c r="F200" s="220"/>
      <c r="G200" s="220"/>
      <c r="H200" s="220"/>
      <c r="I200" s="220"/>
      <c r="J200" s="220"/>
      <c r="K200" s="220"/>
      <c r="L200" s="220"/>
      <c r="M200" s="220"/>
      <c r="N200" s="220"/>
      <c r="O200" s="220"/>
      <c r="P200" s="220"/>
      <c r="Q200" s="220"/>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175"/>
      <c r="BI200" s="175"/>
      <c r="BJ200" s="175"/>
      <c r="BK200" s="175"/>
      <c r="BL200" s="175"/>
      <c r="BM200" s="23"/>
      <c r="BN200" s="23"/>
      <c r="BO200" s="23"/>
      <c r="BP200" s="23"/>
      <c r="BQ200" s="23"/>
      <c r="BR200" s="23"/>
      <c r="BS200" s="23"/>
      <c r="BT200" s="23"/>
      <c r="BU200" s="23"/>
      <c r="BV200" s="23"/>
      <c r="BW200" s="23"/>
      <c r="BX200" s="23"/>
      <c r="BY200" s="23"/>
      <c r="BZ200" s="23"/>
    </row>
    <row r="201">
      <c r="E201" s="174"/>
      <c r="F201" s="220"/>
      <c r="G201" s="220"/>
      <c r="H201" s="220"/>
      <c r="I201" s="220"/>
      <c r="J201" s="220"/>
      <c r="K201" s="220"/>
      <c r="L201" s="220"/>
      <c r="M201" s="220"/>
      <c r="N201" s="220"/>
      <c r="O201" s="220"/>
      <c r="P201" s="220"/>
      <c r="Q201" s="220"/>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175"/>
      <c r="BI201" s="175"/>
      <c r="BJ201" s="175"/>
      <c r="BK201" s="175"/>
      <c r="BL201" s="175"/>
      <c r="BM201" s="23"/>
      <c r="BN201" s="23"/>
      <c r="BO201" s="23"/>
      <c r="BP201" s="23"/>
      <c r="BQ201" s="23"/>
      <c r="BR201" s="23"/>
      <c r="BS201" s="23"/>
      <c r="BT201" s="23"/>
      <c r="BU201" s="23"/>
      <c r="BV201" s="23"/>
      <c r="BW201" s="23"/>
      <c r="BX201" s="23"/>
      <c r="BY201" s="23"/>
      <c r="BZ201" s="23"/>
    </row>
    <row r="202">
      <c r="E202" s="174"/>
      <c r="F202" s="220"/>
      <c r="G202" s="220"/>
      <c r="H202" s="220"/>
      <c r="I202" s="220"/>
      <c r="J202" s="220"/>
      <c r="K202" s="220"/>
      <c r="L202" s="220"/>
      <c r="M202" s="220"/>
      <c r="N202" s="220"/>
      <c r="O202" s="220"/>
      <c r="P202" s="220"/>
      <c r="Q202" s="220"/>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175"/>
      <c r="BI202" s="175"/>
      <c r="BJ202" s="175"/>
      <c r="BK202" s="175"/>
      <c r="BL202" s="175"/>
      <c r="BM202" s="23"/>
      <c r="BN202" s="23"/>
      <c r="BO202" s="23"/>
      <c r="BP202" s="23"/>
      <c r="BQ202" s="23"/>
      <c r="BR202" s="23"/>
      <c r="BS202" s="23"/>
      <c r="BT202" s="23"/>
      <c r="BU202" s="23"/>
      <c r="BV202" s="23"/>
      <c r="BW202" s="23"/>
      <c r="BX202" s="23"/>
      <c r="BY202" s="23"/>
      <c r="BZ202" s="23"/>
    </row>
    <row r="203">
      <c r="E203" s="174"/>
      <c r="F203" s="220"/>
      <c r="G203" s="220"/>
      <c r="H203" s="220"/>
      <c r="I203" s="220"/>
      <c r="J203" s="220"/>
      <c r="K203" s="220"/>
      <c r="L203" s="220"/>
      <c r="M203" s="220"/>
      <c r="N203" s="220"/>
      <c r="O203" s="220"/>
      <c r="P203" s="220"/>
      <c r="Q203" s="220"/>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175"/>
      <c r="BI203" s="175"/>
      <c r="BJ203" s="175"/>
      <c r="BK203" s="175"/>
      <c r="BL203" s="175"/>
      <c r="BM203" s="23"/>
      <c r="BN203" s="23"/>
      <c r="BO203" s="23"/>
      <c r="BP203" s="23"/>
      <c r="BQ203" s="23"/>
      <c r="BR203" s="23"/>
      <c r="BS203" s="23"/>
      <c r="BT203" s="23"/>
      <c r="BU203" s="23"/>
      <c r="BV203" s="23"/>
      <c r="BW203" s="23"/>
      <c r="BX203" s="23"/>
      <c r="BY203" s="23"/>
      <c r="BZ203" s="23"/>
    </row>
    <row r="204">
      <c r="E204" s="174"/>
      <c r="F204" s="220"/>
      <c r="G204" s="220"/>
      <c r="H204" s="220"/>
      <c r="I204" s="220"/>
      <c r="J204" s="220"/>
      <c r="K204" s="220"/>
      <c r="L204" s="220"/>
      <c r="M204" s="220"/>
      <c r="N204" s="220"/>
      <c r="O204" s="220"/>
      <c r="P204" s="220"/>
      <c r="Q204" s="220"/>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175"/>
      <c r="BI204" s="175"/>
      <c r="BJ204" s="175"/>
      <c r="BK204" s="175"/>
      <c r="BL204" s="175"/>
      <c r="BM204" s="23"/>
      <c r="BN204" s="23"/>
      <c r="BO204" s="23"/>
      <c r="BP204" s="23"/>
      <c r="BQ204" s="23"/>
      <c r="BR204" s="23"/>
      <c r="BS204" s="23"/>
      <c r="BT204" s="23"/>
      <c r="BU204" s="23"/>
      <c r="BV204" s="23"/>
      <c r="BW204" s="23"/>
      <c r="BX204" s="23"/>
      <c r="BY204" s="23"/>
      <c r="BZ204" s="23"/>
    </row>
    <row r="205">
      <c r="E205" s="174"/>
      <c r="F205" s="220"/>
      <c r="G205" s="220"/>
      <c r="H205" s="220"/>
      <c r="I205" s="220"/>
      <c r="J205" s="220"/>
      <c r="K205" s="220"/>
      <c r="L205" s="220"/>
      <c r="M205" s="220"/>
      <c r="N205" s="220"/>
      <c r="O205" s="220"/>
      <c r="P205" s="220"/>
      <c r="Q205" s="220"/>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175"/>
      <c r="BI205" s="175"/>
      <c r="BJ205" s="175"/>
      <c r="BK205" s="175"/>
      <c r="BL205" s="175"/>
      <c r="BM205" s="23"/>
      <c r="BN205" s="23"/>
      <c r="BO205" s="23"/>
      <c r="BP205" s="23"/>
      <c r="BQ205" s="23"/>
      <c r="BR205" s="23"/>
      <c r="BS205" s="23"/>
      <c r="BT205" s="23"/>
      <c r="BU205" s="23"/>
      <c r="BV205" s="23"/>
      <c r="BW205" s="23"/>
      <c r="BX205" s="23"/>
      <c r="BY205" s="23"/>
      <c r="BZ205" s="23"/>
    </row>
    <row r="206">
      <c r="E206" s="174"/>
      <c r="F206" s="220"/>
      <c r="G206" s="220"/>
      <c r="H206" s="220"/>
      <c r="I206" s="220"/>
      <c r="J206" s="220"/>
      <c r="K206" s="220"/>
      <c r="L206" s="220"/>
      <c r="M206" s="220"/>
      <c r="N206" s="220"/>
      <c r="O206" s="220"/>
      <c r="P206" s="220"/>
      <c r="Q206" s="220"/>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175"/>
      <c r="BI206" s="175"/>
      <c r="BJ206" s="175"/>
      <c r="BK206" s="175"/>
      <c r="BL206" s="175"/>
      <c r="BM206" s="23"/>
      <c r="BN206" s="23"/>
      <c r="BO206" s="23"/>
      <c r="BP206" s="23"/>
      <c r="BQ206" s="23"/>
      <c r="BR206" s="23"/>
      <c r="BS206" s="23"/>
      <c r="BT206" s="23"/>
      <c r="BU206" s="23"/>
      <c r="BV206" s="23"/>
      <c r="BW206" s="23"/>
      <c r="BX206" s="23"/>
      <c r="BY206" s="23"/>
      <c r="BZ206" s="23"/>
    </row>
    <row r="207">
      <c r="E207" s="174"/>
      <c r="F207" s="220"/>
      <c r="G207" s="220"/>
      <c r="H207" s="220"/>
      <c r="I207" s="220"/>
      <c r="J207" s="220"/>
      <c r="K207" s="220"/>
      <c r="L207" s="220"/>
      <c r="M207" s="220"/>
      <c r="N207" s="220"/>
      <c r="O207" s="220"/>
      <c r="P207" s="220"/>
      <c r="Q207" s="220"/>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23"/>
      <c r="BP207" s="23"/>
      <c r="BQ207" s="23"/>
      <c r="BR207" s="23"/>
      <c r="BS207" s="23"/>
      <c r="BT207" s="23"/>
      <c r="BU207" s="23"/>
      <c r="BV207" s="23"/>
      <c r="BW207" s="23"/>
      <c r="BX207" s="23"/>
      <c r="BY207" s="23"/>
      <c r="BZ207" s="23"/>
    </row>
    <row r="208">
      <c r="E208" s="174"/>
      <c r="F208" s="220"/>
      <c r="G208" s="220"/>
      <c r="H208" s="220"/>
      <c r="I208" s="220"/>
      <c r="J208" s="220"/>
      <c r="K208" s="220"/>
      <c r="L208" s="220"/>
      <c r="M208" s="220"/>
      <c r="N208" s="220"/>
      <c r="O208" s="220"/>
      <c r="P208" s="220"/>
      <c r="Q208" s="220"/>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row>
    <row r="209">
      <c r="E209" s="174"/>
      <c r="F209" s="220"/>
      <c r="G209" s="220"/>
      <c r="H209" s="220"/>
      <c r="I209" s="220"/>
      <c r="J209" s="220"/>
      <c r="K209" s="220"/>
      <c r="L209" s="220"/>
      <c r="M209" s="220"/>
      <c r="N209" s="220"/>
      <c r="O209" s="220"/>
      <c r="P209" s="220"/>
      <c r="Q209" s="220"/>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23"/>
      <c r="BP209" s="23"/>
      <c r="BQ209" s="23"/>
      <c r="BR209" s="23"/>
      <c r="BS209" s="23"/>
      <c r="BT209" s="23"/>
      <c r="BU209" s="23"/>
      <c r="BV209" s="23"/>
      <c r="BW209" s="23"/>
      <c r="BX209" s="23"/>
      <c r="BY209" s="23"/>
      <c r="BZ209" s="23"/>
    </row>
    <row r="210">
      <c r="E210" s="174"/>
      <c r="F210" s="220"/>
      <c r="G210" s="220"/>
      <c r="H210" s="220"/>
      <c r="I210" s="220"/>
      <c r="J210" s="220"/>
      <c r="K210" s="220"/>
      <c r="L210" s="220"/>
      <c r="M210" s="220"/>
      <c r="N210" s="220"/>
      <c r="O210" s="220"/>
      <c r="P210" s="220"/>
      <c r="Q210" s="220"/>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23"/>
      <c r="BP210" s="23"/>
      <c r="BQ210" s="23"/>
      <c r="BR210" s="23"/>
      <c r="BS210" s="23"/>
      <c r="BT210" s="23"/>
      <c r="BU210" s="23"/>
      <c r="BV210" s="23"/>
      <c r="BW210" s="23"/>
      <c r="BX210" s="23"/>
      <c r="BY210" s="23"/>
      <c r="BZ210" s="23"/>
    </row>
    <row r="211">
      <c r="E211" s="174"/>
      <c r="F211" s="220"/>
      <c r="G211" s="220"/>
      <c r="H211" s="220"/>
      <c r="I211" s="220"/>
      <c r="J211" s="220"/>
      <c r="K211" s="220"/>
      <c r="L211" s="220"/>
      <c r="M211" s="220"/>
      <c r="N211" s="220"/>
      <c r="O211" s="220"/>
      <c r="P211" s="220"/>
      <c r="Q211" s="220"/>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c r="BR211" s="23"/>
      <c r="BS211" s="23"/>
      <c r="BT211" s="23"/>
      <c r="BU211" s="23"/>
      <c r="BV211" s="23"/>
      <c r="BW211" s="23"/>
      <c r="BX211" s="23"/>
      <c r="BY211" s="23"/>
      <c r="BZ211" s="23"/>
    </row>
    <row r="212">
      <c r="E212" s="174"/>
      <c r="F212" s="220"/>
      <c r="G212" s="220"/>
      <c r="H212" s="220"/>
      <c r="I212" s="220"/>
      <c r="J212" s="220"/>
      <c r="K212" s="220"/>
      <c r="L212" s="220"/>
      <c r="M212" s="220"/>
      <c r="N212" s="220"/>
      <c r="O212" s="220"/>
      <c r="P212" s="220"/>
      <c r="Q212" s="220"/>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23"/>
      <c r="BP212" s="23"/>
      <c r="BQ212" s="23"/>
      <c r="BR212" s="23"/>
      <c r="BS212" s="23"/>
      <c r="BT212" s="23"/>
      <c r="BU212" s="23"/>
      <c r="BV212" s="23"/>
      <c r="BW212" s="23"/>
      <c r="BX212" s="23"/>
      <c r="BY212" s="23"/>
      <c r="BZ212" s="23"/>
    </row>
    <row r="213">
      <c r="E213" s="174"/>
      <c r="F213" s="220"/>
      <c r="G213" s="220"/>
      <c r="H213" s="220"/>
      <c r="I213" s="220"/>
      <c r="J213" s="220"/>
      <c r="K213" s="220"/>
      <c r="L213" s="220"/>
      <c r="M213" s="220"/>
      <c r="N213" s="220"/>
      <c r="O213" s="220"/>
      <c r="P213" s="220"/>
      <c r="Q213" s="220"/>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23"/>
      <c r="BP213" s="23"/>
      <c r="BQ213" s="23"/>
      <c r="BR213" s="23"/>
      <c r="BS213" s="23"/>
      <c r="BT213" s="23"/>
      <c r="BU213" s="23"/>
      <c r="BV213" s="23"/>
      <c r="BW213" s="23"/>
      <c r="BX213" s="23"/>
      <c r="BY213" s="23"/>
      <c r="BZ213" s="23"/>
    </row>
    <row r="214">
      <c r="E214" s="174"/>
      <c r="F214" s="220"/>
      <c r="G214" s="220"/>
      <c r="H214" s="220"/>
      <c r="I214" s="220"/>
      <c r="J214" s="220"/>
      <c r="K214" s="220"/>
      <c r="L214" s="220"/>
      <c r="M214" s="220"/>
      <c r="N214" s="220"/>
      <c r="O214" s="220"/>
      <c r="P214" s="220"/>
      <c r="Q214" s="220"/>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c r="BW214" s="23"/>
      <c r="BX214" s="23"/>
      <c r="BY214" s="23"/>
      <c r="BZ214" s="23"/>
    </row>
    <row r="215">
      <c r="E215" s="174"/>
      <c r="F215" s="220"/>
      <c r="G215" s="220"/>
      <c r="H215" s="220"/>
      <c r="I215" s="220"/>
      <c r="J215" s="220"/>
      <c r="K215" s="220"/>
      <c r="L215" s="220"/>
      <c r="M215" s="220"/>
      <c r="N215" s="220"/>
      <c r="O215" s="220"/>
      <c r="P215" s="220"/>
      <c r="Q215" s="220"/>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3"/>
      <c r="BV215" s="23"/>
      <c r="BW215" s="23"/>
      <c r="BX215" s="23"/>
      <c r="BY215" s="23"/>
      <c r="BZ215" s="23"/>
    </row>
    <row r="216">
      <c r="E216" s="174"/>
      <c r="F216" s="220"/>
      <c r="G216" s="220"/>
      <c r="H216" s="220"/>
      <c r="I216" s="220"/>
      <c r="J216" s="220"/>
      <c r="K216" s="220"/>
      <c r="L216" s="220"/>
      <c r="M216" s="220"/>
      <c r="N216" s="220"/>
      <c r="O216" s="220"/>
      <c r="P216" s="220"/>
      <c r="Q216" s="220"/>
      <c r="R216" s="23"/>
      <c r="S216" s="23"/>
      <c r="T216" s="23"/>
      <c r="U216" s="580"/>
      <c r="V216" s="569"/>
      <c r="W216" s="569"/>
      <c r="X216" s="569"/>
      <c r="Y216" s="569"/>
      <c r="Z216" s="569"/>
      <c r="AA216" s="569"/>
      <c r="AB216" s="569"/>
      <c r="AC216" s="569"/>
      <c r="AD216" s="569"/>
      <c r="AE216" s="580"/>
      <c r="AF216" s="569"/>
      <c r="AG216" s="569"/>
      <c r="AH216" s="569"/>
      <c r="AI216" s="569"/>
      <c r="AJ216" s="569"/>
      <c r="AK216" s="569"/>
      <c r="AL216" s="569"/>
      <c r="AM216" s="569"/>
      <c r="AN216" s="569"/>
      <c r="AO216" s="569"/>
      <c r="AP216" s="569"/>
      <c r="AQ216" s="569"/>
      <c r="AR216" s="580"/>
      <c r="AS216" s="569"/>
      <c r="AT216" s="569"/>
      <c r="AU216" s="569"/>
      <c r="AV216" s="569"/>
      <c r="AW216" s="569"/>
      <c r="AX216" s="569"/>
      <c r="AY216" s="569"/>
      <c r="AZ216" s="569"/>
      <c r="BA216" s="569"/>
      <c r="BB216" s="569"/>
      <c r="BC216" s="569"/>
      <c r="BD216" s="569"/>
      <c r="BE216" s="569"/>
      <c r="BF216" s="569"/>
      <c r="BG216" s="569"/>
      <c r="BH216" s="569"/>
      <c r="BI216" s="580"/>
      <c r="BJ216" s="569"/>
      <c r="BK216" s="569"/>
      <c r="BL216" s="569"/>
      <c r="BM216" s="569"/>
      <c r="BN216" s="569"/>
      <c r="BO216" s="569"/>
      <c r="BP216" s="569"/>
      <c r="BQ216" s="569"/>
      <c r="BR216" s="569"/>
      <c r="BS216" s="569"/>
      <c r="BT216" s="569"/>
      <c r="BU216" s="569"/>
      <c r="BV216" s="569"/>
      <c r="BW216" s="569"/>
      <c r="BX216" s="569"/>
      <c r="BY216" s="23"/>
      <c r="BZ216" s="23"/>
    </row>
    <row r="217">
      <c r="E217" s="174"/>
      <c r="F217" s="220"/>
      <c r="G217" s="220"/>
      <c r="H217" s="220"/>
      <c r="I217" s="220"/>
      <c r="J217" s="220"/>
      <c r="K217" s="220"/>
      <c r="L217" s="220"/>
      <c r="M217" s="220"/>
      <c r="N217" s="220"/>
      <c r="O217" s="220"/>
      <c r="P217" s="220"/>
      <c r="Q217" s="220"/>
      <c r="R217" s="23"/>
      <c r="S217" s="23"/>
      <c r="T217" s="23"/>
      <c r="U217" s="581"/>
      <c r="AD217" s="569"/>
      <c r="AE217" s="584"/>
      <c r="AF217" s="553"/>
      <c r="AG217" s="553"/>
      <c r="AH217" s="553"/>
      <c r="AI217" s="596"/>
      <c r="AJ217" s="596"/>
      <c r="AK217" s="596"/>
      <c r="AL217" s="596"/>
      <c r="AM217" s="596"/>
      <c r="AN217" s="596"/>
      <c r="AO217" s="596"/>
      <c r="AP217" s="596"/>
      <c r="AQ217" s="569"/>
      <c r="AR217" s="584"/>
      <c r="AS217" s="581"/>
      <c r="AT217" s="581"/>
      <c r="BH217" s="569"/>
      <c r="BI217" s="584"/>
      <c r="BJ217" s="581"/>
      <c r="BK217" s="581"/>
      <c r="BY217" s="23"/>
      <c r="BZ217" s="23"/>
    </row>
    <row r="218">
      <c r="E218" s="174"/>
      <c r="F218" s="220"/>
      <c r="G218" s="220"/>
      <c r="H218" s="220"/>
      <c r="I218" s="220"/>
      <c r="J218" s="220"/>
      <c r="K218" s="220"/>
      <c r="L218" s="220"/>
      <c r="M218" s="220"/>
      <c r="N218" s="220"/>
      <c r="O218" s="220"/>
      <c r="P218" s="220"/>
      <c r="Q218" s="220"/>
      <c r="R218" s="23"/>
      <c r="S218" s="23"/>
      <c r="T218" s="23"/>
      <c r="U218" s="553"/>
      <c r="V218" s="544"/>
      <c r="W218" s="543"/>
      <c r="X218" s="543"/>
      <c r="Y218" s="543"/>
      <c r="Z218" s="543"/>
      <c r="AA218" s="543"/>
      <c r="AB218" s="543"/>
      <c r="AC218" s="543"/>
      <c r="AD218" s="596"/>
      <c r="AE218" s="553"/>
      <c r="AF218" s="545"/>
      <c r="AG218" s="546"/>
      <c r="AH218" s="546"/>
      <c r="AI218" s="546"/>
      <c r="AJ218" s="546"/>
      <c r="AK218" s="546"/>
      <c r="AL218" s="546"/>
      <c r="AM218" s="546"/>
      <c r="AN218" s="546"/>
      <c r="AO218" s="546"/>
      <c r="AP218" s="546"/>
      <c r="AQ218" s="569"/>
      <c r="AR218" s="584"/>
      <c r="AS218" s="581"/>
      <c r="AT218" s="581"/>
      <c r="AU218" s="581"/>
      <c r="AV218" s="581"/>
      <c r="AW218" s="581"/>
      <c r="AX218" s="581"/>
      <c r="AY218" s="581"/>
      <c r="AZ218" s="581"/>
      <c r="BA218" s="581"/>
      <c r="BB218" s="581"/>
      <c r="BC218" s="581"/>
      <c r="BD218" s="581"/>
      <c r="BE218" s="581"/>
      <c r="BF218" s="581"/>
      <c r="BG218" s="581"/>
      <c r="BH218" s="569"/>
      <c r="BI218" s="584"/>
      <c r="BJ218" s="581"/>
      <c r="BK218" s="581"/>
      <c r="BL218" s="581"/>
      <c r="BM218" s="581"/>
      <c r="BN218" s="581"/>
      <c r="BO218" s="581"/>
      <c r="BP218" s="581"/>
      <c r="BQ218" s="581"/>
      <c r="BR218" s="581"/>
      <c r="BS218" s="581"/>
      <c r="BT218" s="581"/>
      <c r="BU218" s="581"/>
      <c r="BV218" s="581"/>
      <c r="BW218" s="581"/>
      <c r="BX218" s="581"/>
      <c r="BY218" s="23"/>
      <c r="BZ218" s="23"/>
    </row>
    <row r="219">
      <c r="E219" s="174"/>
      <c r="F219" s="220"/>
      <c r="G219" s="220"/>
      <c r="H219" s="220"/>
      <c r="I219" s="220"/>
      <c r="J219" s="220"/>
      <c r="K219" s="220"/>
      <c r="L219" s="220"/>
      <c r="M219" s="220"/>
      <c r="N219" s="220"/>
      <c r="O219" s="220"/>
      <c r="P219" s="220"/>
      <c r="Q219" s="220"/>
      <c r="R219" s="23"/>
      <c r="S219" s="23"/>
      <c r="T219" s="23"/>
      <c r="U219" s="588"/>
      <c r="V219" s="586"/>
      <c r="W219" s="590"/>
      <c r="X219" s="550"/>
      <c r="Y219" s="550"/>
      <c r="Z219" s="550"/>
      <c r="AA219" s="550"/>
      <c r="AB219" s="550"/>
      <c r="AC219" s="550"/>
      <c r="AD219" s="587"/>
      <c r="AE219" s="588"/>
      <c r="AF219" s="586"/>
      <c r="AG219" s="590"/>
      <c r="AH219" s="590"/>
      <c r="AI219" s="590"/>
      <c r="AJ219" s="590"/>
      <c r="AK219" s="590"/>
      <c r="AL219" s="590"/>
      <c r="AM219" s="590"/>
      <c r="AN219" s="590"/>
      <c r="AO219" s="590"/>
      <c r="AP219" s="590"/>
      <c r="AQ219" s="569"/>
      <c r="AR219" s="584"/>
      <c r="AS219" s="581"/>
      <c r="AT219" s="581"/>
      <c r="AU219" s="581"/>
      <c r="AV219" s="581"/>
      <c r="AW219" s="581"/>
      <c r="AX219" s="581"/>
      <c r="AY219" s="581"/>
      <c r="AZ219" s="581"/>
      <c r="BA219" s="581"/>
      <c r="BB219" s="581"/>
      <c r="BC219" s="581"/>
      <c r="BD219" s="581"/>
      <c r="BE219" s="581"/>
      <c r="BF219" s="581"/>
      <c r="BG219" s="581"/>
      <c r="BH219" s="569"/>
      <c r="BI219" s="584"/>
      <c r="BJ219" s="581"/>
      <c r="BK219" s="581"/>
      <c r="BL219" s="581"/>
      <c r="BM219" s="581"/>
      <c r="BN219" s="581"/>
      <c r="BO219" s="581"/>
      <c r="BP219" s="581"/>
      <c r="BQ219" s="581"/>
      <c r="BR219" s="581"/>
      <c r="BS219" s="581"/>
      <c r="BT219" s="581"/>
      <c r="BU219" s="581"/>
      <c r="BV219" s="581"/>
      <c r="BW219" s="581"/>
      <c r="BX219" s="581"/>
      <c r="BY219" s="23"/>
      <c r="BZ219" s="23"/>
    </row>
    <row r="220">
      <c r="E220" s="174"/>
      <c r="F220" s="220"/>
      <c r="G220" s="220"/>
      <c r="H220" s="220"/>
      <c r="I220" s="220"/>
      <c r="J220" s="220"/>
      <c r="K220" s="220"/>
      <c r="L220" s="220"/>
      <c r="M220" s="220"/>
      <c r="N220" s="220"/>
      <c r="O220" s="220"/>
      <c r="P220" s="220"/>
      <c r="Q220" s="220"/>
      <c r="R220" s="23"/>
      <c r="S220" s="23"/>
      <c r="T220" s="23"/>
      <c r="V220" s="586"/>
      <c r="W220" s="590"/>
      <c r="X220" s="550"/>
      <c r="Y220" s="550"/>
      <c r="Z220" s="550"/>
      <c r="AA220" s="550"/>
      <c r="AB220" s="550"/>
      <c r="AC220" s="550"/>
      <c r="AD220" s="577"/>
      <c r="AF220" s="586"/>
      <c r="AG220" s="591"/>
      <c r="AH220" s="591"/>
      <c r="AI220" s="591"/>
      <c r="AJ220" s="591"/>
      <c r="AK220" s="591"/>
      <c r="AL220" s="591"/>
      <c r="AM220" s="591"/>
      <c r="AN220" s="591"/>
      <c r="AO220" s="591"/>
      <c r="AP220" s="591"/>
      <c r="AQ220" s="569"/>
      <c r="AR220" s="553"/>
      <c r="AS220" s="597"/>
      <c r="AT220" s="586"/>
      <c r="AU220" s="587"/>
      <c r="AV220" s="587"/>
      <c r="AW220" s="587"/>
      <c r="AX220" s="587"/>
      <c r="AY220" s="586"/>
      <c r="AZ220" s="586"/>
      <c r="BA220" s="586"/>
      <c r="BB220" s="586"/>
      <c r="BC220" s="586"/>
      <c r="BD220" s="586"/>
      <c r="BE220" s="586"/>
      <c r="BF220" s="586"/>
      <c r="BG220" s="586"/>
      <c r="BH220" s="569"/>
      <c r="BI220" s="553"/>
      <c r="BJ220" s="597"/>
      <c r="BK220" s="586"/>
      <c r="BL220" s="587"/>
      <c r="BM220" s="587"/>
      <c r="BN220" s="587"/>
      <c r="BO220" s="587"/>
      <c r="BP220" s="586"/>
      <c r="BQ220" s="586"/>
      <c r="BR220" s="586"/>
      <c r="BS220" s="586"/>
      <c r="BT220" s="586"/>
      <c r="BU220" s="586"/>
      <c r="BV220" s="586"/>
      <c r="BW220" s="586"/>
      <c r="BX220" s="586"/>
      <c r="BY220" s="23"/>
      <c r="BZ220" s="23"/>
    </row>
    <row r="221">
      <c r="E221" s="174"/>
      <c r="F221" s="220"/>
      <c r="G221" s="220"/>
      <c r="H221" s="220"/>
      <c r="I221" s="220"/>
      <c r="J221" s="220"/>
      <c r="K221" s="220"/>
      <c r="L221" s="220"/>
      <c r="M221" s="220"/>
      <c r="N221" s="220"/>
      <c r="O221" s="220"/>
      <c r="P221" s="220"/>
      <c r="Q221" s="220"/>
      <c r="R221" s="23"/>
      <c r="S221" s="23"/>
      <c r="T221" s="23"/>
      <c r="V221" s="587"/>
      <c r="W221" s="590"/>
      <c r="X221" s="550"/>
      <c r="Y221" s="550"/>
      <c r="Z221" s="550"/>
      <c r="AA221" s="550"/>
      <c r="AB221" s="550"/>
      <c r="AC221" s="550"/>
      <c r="AD221" s="594"/>
      <c r="AF221" s="587"/>
      <c r="AG221" s="590"/>
      <c r="AH221" s="590"/>
      <c r="AI221" s="590"/>
      <c r="AJ221" s="590"/>
      <c r="AK221" s="590"/>
      <c r="AL221" s="590"/>
      <c r="AM221" s="590"/>
      <c r="AN221" s="590"/>
      <c r="AO221" s="590"/>
      <c r="AP221" s="590"/>
      <c r="AQ221" s="569"/>
      <c r="AR221" s="592"/>
      <c r="AS221" s="593"/>
      <c r="AT221" s="599"/>
      <c r="AU221" s="599"/>
      <c r="AV221" s="599"/>
      <c r="AW221" s="599"/>
      <c r="AX221" s="599"/>
      <c r="AY221" s="599"/>
      <c r="AZ221" s="599"/>
      <c r="BA221" s="599"/>
      <c r="BB221" s="599"/>
      <c r="BC221" s="599"/>
      <c r="BD221" s="599"/>
      <c r="BE221" s="599"/>
      <c r="BF221" s="599"/>
      <c r="BG221" s="599"/>
      <c r="BH221" s="569"/>
      <c r="BI221" s="588"/>
      <c r="BJ221" s="586"/>
      <c r="BK221" s="599"/>
      <c r="BL221" s="599"/>
      <c r="BM221" s="599"/>
      <c r="BN221" s="599"/>
      <c r="BO221" s="599"/>
      <c r="BP221" s="599"/>
      <c r="BQ221" s="599"/>
      <c r="BR221" s="599"/>
      <c r="BS221" s="599"/>
      <c r="BT221" s="599"/>
      <c r="BU221" s="599"/>
      <c r="BV221" s="599"/>
      <c r="BW221" s="599"/>
      <c r="BX221" s="599"/>
      <c r="BY221" s="23"/>
      <c r="BZ221" s="23"/>
    </row>
    <row r="222">
      <c r="E222" s="174"/>
      <c r="F222" s="220"/>
      <c r="G222" s="220"/>
      <c r="H222" s="220"/>
      <c r="I222" s="220"/>
      <c r="J222" s="220"/>
      <c r="K222" s="220"/>
      <c r="L222" s="220"/>
      <c r="M222" s="220"/>
      <c r="N222" s="220"/>
      <c r="O222" s="220"/>
      <c r="P222" s="220"/>
      <c r="Q222" s="220"/>
      <c r="R222" s="214"/>
      <c r="S222" s="214"/>
      <c r="T222" s="214"/>
      <c r="V222" s="587"/>
      <c r="W222" s="590"/>
      <c r="X222" s="550"/>
      <c r="Y222" s="550"/>
      <c r="Z222" s="550"/>
      <c r="AA222" s="550"/>
      <c r="AB222" s="550"/>
      <c r="AC222" s="550"/>
      <c r="AD222" s="577"/>
      <c r="AF222" s="587"/>
      <c r="AG222" s="590"/>
      <c r="AH222" s="590"/>
      <c r="AI222" s="590"/>
      <c r="AJ222" s="590"/>
      <c r="AK222" s="590"/>
      <c r="AL222" s="590"/>
      <c r="AM222" s="590"/>
      <c r="AN222" s="590"/>
      <c r="AO222" s="590"/>
      <c r="AP222" s="590"/>
      <c r="AQ222" s="569"/>
      <c r="AS222" s="593"/>
      <c r="AT222" s="600"/>
      <c r="AU222" s="600"/>
      <c r="AV222" s="600"/>
      <c r="AW222" s="600"/>
      <c r="AX222" s="600"/>
      <c r="AY222" s="600"/>
      <c r="AZ222" s="600"/>
      <c r="BA222" s="600"/>
      <c r="BB222" s="600"/>
      <c r="BC222" s="600"/>
      <c r="BD222" s="600"/>
      <c r="BE222" s="600"/>
      <c r="BF222" s="600"/>
      <c r="BG222" s="600"/>
      <c r="BH222" s="569"/>
      <c r="BJ222" s="586"/>
      <c r="BK222" s="600"/>
      <c r="BL222" s="600"/>
      <c r="BM222" s="600"/>
      <c r="BN222" s="600"/>
      <c r="BO222" s="600"/>
      <c r="BP222" s="600"/>
      <c r="BQ222" s="600"/>
      <c r="BR222" s="600"/>
      <c r="BS222" s="600"/>
      <c r="BT222" s="600"/>
      <c r="BU222" s="600"/>
      <c r="BV222" s="600"/>
      <c r="BW222" s="600"/>
      <c r="BX222" s="600"/>
      <c r="BY222" s="23"/>
      <c r="BZ222" s="23"/>
    </row>
    <row r="223">
      <c r="E223" s="174"/>
      <c r="F223" s="220"/>
      <c r="G223" s="220"/>
      <c r="H223" s="220"/>
      <c r="I223" s="220"/>
      <c r="J223" s="220"/>
      <c r="K223" s="220"/>
      <c r="L223" s="220"/>
      <c r="M223" s="220"/>
      <c r="N223" s="220"/>
      <c r="O223" s="220"/>
      <c r="P223" s="220"/>
      <c r="Q223" s="220"/>
      <c r="R223" s="214"/>
      <c r="S223" s="214"/>
      <c r="T223" s="214"/>
      <c r="V223" s="587"/>
      <c r="W223" s="590"/>
      <c r="X223" s="550"/>
      <c r="Y223" s="550"/>
      <c r="Z223" s="550"/>
      <c r="AA223" s="550"/>
      <c r="AB223" s="550"/>
      <c r="AC223" s="550"/>
      <c r="AD223" s="577"/>
      <c r="AF223" s="587"/>
      <c r="AG223" s="590"/>
      <c r="AH223" s="590"/>
      <c r="AI223" s="590"/>
      <c r="AJ223" s="590"/>
      <c r="AK223" s="590"/>
      <c r="AL223" s="590"/>
      <c r="AM223" s="590"/>
      <c r="AN223" s="590"/>
      <c r="AO223" s="590"/>
      <c r="AP223" s="590"/>
      <c r="AQ223" s="569"/>
      <c r="AS223" s="593"/>
      <c r="AT223" s="599"/>
      <c r="AU223" s="599"/>
      <c r="AV223" s="599"/>
      <c r="AW223" s="599"/>
      <c r="AX223" s="599"/>
      <c r="AY223" s="599"/>
      <c r="AZ223" s="599"/>
      <c r="BA223" s="599"/>
      <c r="BB223" s="599"/>
      <c r="BC223" s="599"/>
      <c r="BD223" s="599"/>
      <c r="BE223" s="599"/>
      <c r="BF223" s="599"/>
      <c r="BG223" s="599"/>
      <c r="BH223" s="569"/>
      <c r="BJ223" s="587"/>
      <c r="BK223" s="599"/>
      <c r="BL223" s="599"/>
      <c r="BM223" s="599"/>
      <c r="BN223" s="599"/>
      <c r="BO223" s="599"/>
      <c r="BP223" s="599"/>
      <c r="BQ223" s="599"/>
      <c r="BR223" s="599"/>
      <c r="BS223" s="599"/>
      <c r="BT223" s="599"/>
      <c r="BU223" s="599"/>
      <c r="BV223" s="599"/>
      <c r="BW223" s="599"/>
      <c r="BX223" s="599"/>
      <c r="BY223" s="23"/>
      <c r="BZ223" s="23"/>
    </row>
    <row r="224">
      <c r="E224" s="174"/>
      <c r="F224" s="220"/>
      <c r="G224" s="220"/>
      <c r="H224" s="220"/>
      <c r="I224" s="220"/>
      <c r="J224" s="220"/>
      <c r="K224" s="220"/>
      <c r="L224" s="220"/>
      <c r="M224" s="220"/>
      <c r="N224" s="220"/>
      <c r="O224" s="220"/>
      <c r="P224" s="220"/>
      <c r="Q224" s="220"/>
      <c r="R224" s="174"/>
      <c r="S224" s="174"/>
      <c r="T224" s="174"/>
      <c r="V224" s="587"/>
      <c r="W224" s="590"/>
      <c r="X224" s="550"/>
      <c r="Y224" s="550"/>
      <c r="Z224" s="550"/>
      <c r="AA224" s="550"/>
      <c r="AB224" s="550"/>
      <c r="AC224" s="550"/>
      <c r="AD224" s="577"/>
      <c r="AF224" s="587"/>
      <c r="AG224" s="590"/>
      <c r="AH224" s="590"/>
      <c r="AI224" s="590"/>
      <c r="AJ224" s="590"/>
      <c r="AK224" s="590"/>
      <c r="AL224" s="590"/>
      <c r="AM224" s="590"/>
      <c r="AN224" s="590"/>
      <c r="AO224" s="590"/>
      <c r="AP224" s="590"/>
      <c r="AQ224" s="569"/>
      <c r="AS224" s="593"/>
      <c r="AT224" s="599"/>
      <c r="AU224" s="599"/>
      <c r="AV224" s="599"/>
      <c r="AW224" s="599"/>
      <c r="AX224" s="599"/>
      <c r="AY224" s="599"/>
      <c r="AZ224" s="599"/>
      <c r="BA224" s="599"/>
      <c r="BB224" s="599"/>
      <c r="BC224" s="599"/>
      <c r="BD224" s="599"/>
      <c r="BE224" s="599"/>
      <c r="BF224" s="599"/>
      <c r="BG224" s="599"/>
      <c r="BH224" s="569"/>
      <c r="BJ224" s="587"/>
      <c r="BK224" s="599"/>
      <c r="BL224" s="599"/>
      <c r="BM224" s="599"/>
      <c r="BN224" s="599"/>
      <c r="BO224" s="599"/>
      <c r="BP224" s="599"/>
      <c r="BQ224" s="599"/>
      <c r="BR224" s="599"/>
      <c r="BS224" s="599"/>
      <c r="BT224" s="599"/>
      <c r="BU224" s="599"/>
      <c r="BV224" s="599"/>
      <c r="BW224" s="599"/>
      <c r="BX224" s="599"/>
      <c r="BY224" s="23"/>
      <c r="BZ224" s="23"/>
    </row>
    <row r="225">
      <c r="E225" s="174"/>
      <c r="F225" s="220"/>
      <c r="G225" s="220"/>
      <c r="H225" s="220"/>
      <c r="I225" s="220"/>
      <c r="J225" s="220"/>
      <c r="K225" s="220"/>
      <c r="L225" s="220"/>
      <c r="M225" s="220"/>
      <c r="N225" s="220"/>
      <c r="O225" s="220"/>
      <c r="P225" s="220"/>
      <c r="Q225" s="220"/>
      <c r="R225" s="220"/>
      <c r="S225" s="220"/>
      <c r="T225" s="220"/>
      <c r="V225" s="587"/>
      <c r="W225" s="590"/>
      <c r="X225" s="550"/>
      <c r="Y225" s="550"/>
      <c r="Z225" s="550"/>
      <c r="AA225" s="550"/>
      <c r="AB225" s="550"/>
      <c r="AC225" s="550"/>
      <c r="AD225" s="577"/>
      <c r="AF225" s="587"/>
      <c r="AG225" s="590"/>
      <c r="AH225" s="590"/>
      <c r="AI225" s="590"/>
      <c r="AJ225" s="590"/>
      <c r="AK225" s="590"/>
      <c r="AL225" s="590"/>
      <c r="AM225" s="590"/>
      <c r="AN225" s="590"/>
      <c r="AO225" s="590"/>
      <c r="AP225" s="590"/>
      <c r="AQ225" s="569"/>
      <c r="AS225" s="593"/>
      <c r="AT225" s="599"/>
      <c r="AU225" s="599"/>
      <c r="AV225" s="599"/>
      <c r="AW225" s="599"/>
      <c r="AX225" s="599"/>
      <c r="AY225" s="599"/>
      <c r="AZ225" s="599"/>
      <c r="BA225" s="599"/>
      <c r="BB225" s="599"/>
      <c r="BC225" s="599"/>
      <c r="BD225" s="599"/>
      <c r="BE225" s="599"/>
      <c r="BF225" s="599"/>
      <c r="BG225" s="599"/>
      <c r="BH225" s="569"/>
      <c r="BJ225" s="587"/>
      <c r="BK225" s="599"/>
      <c r="BL225" s="599"/>
      <c r="BM225" s="599"/>
      <c r="BN225" s="599"/>
      <c r="BO225" s="599"/>
      <c r="BP225" s="599"/>
      <c r="BQ225" s="599"/>
      <c r="BR225" s="599"/>
      <c r="BS225" s="599"/>
      <c r="BT225" s="599"/>
      <c r="BU225" s="599"/>
      <c r="BV225" s="599"/>
      <c r="BW225" s="599"/>
      <c r="BX225" s="599"/>
      <c r="BY225" s="23"/>
      <c r="BZ225" s="23"/>
    </row>
    <row r="226">
      <c r="E226" s="174"/>
      <c r="F226" s="220"/>
      <c r="G226" s="220"/>
      <c r="H226" s="220"/>
      <c r="I226" s="220"/>
      <c r="J226" s="220"/>
      <c r="K226" s="220"/>
      <c r="L226" s="220"/>
      <c r="M226" s="220"/>
      <c r="N226" s="220"/>
      <c r="O226" s="220"/>
      <c r="P226" s="220"/>
      <c r="Q226" s="220"/>
      <c r="R226" s="175"/>
      <c r="S226" s="175"/>
      <c r="T226" s="175"/>
      <c r="V226" s="587"/>
      <c r="W226" s="590"/>
      <c r="X226" s="550"/>
      <c r="Y226" s="550"/>
      <c r="Z226" s="550"/>
      <c r="AA226" s="550"/>
      <c r="AB226" s="550"/>
      <c r="AC226" s="550"/>
      <c r="AD226" s="577"/>
      <c r="AF226" s="587"/>
      <c r="AG226" s="590"/>
      <c r="AH226" s="590"/>
      <c r="AI226" s="590"/>
      <c r="AJ226" s="590"/>
      <c r="AK226" s="590"/>
      <c r="AL226" s="590"/>
      <c r="AM226" s="590"/>
      <c r="AN226" s="590"/>
      <c r="AO226" s="590"/>
      <c r="AP226" s="590"/>
      <c r="AQ226" s="569"/>
      <c r="AS226" s="593"/>
      <c r="AT226" s="599"/>
      <c r="AU226" s="599"/>
      <c r="AV226" s="599"/>
      <c r="AW226" s="599"/>
      <c r="AX226" s="599"/>
      <c r="AY226" s="599"/>
      <c r="AZ226" s="599"/>
      <c r="BA226" s="599"/>
      <c r="BB226" s="599"/>
      <c r="BC226" s="599"/>
      <c r="BD226" s="599"/>
      <c r="BE226" s="599"/>
      <c r="BF226" s="599"/>
      <c r="BG226" s="599"/>
      <c r="BH226" s="569"/>
      <c r="BJ226" s="587"/>
      <c r="BK226" s="599"/>
      <c r="BL226" s="599"/>
      <c r="BM226" s="599"/>
      <c r="BN226" s="599"/>
      <c r="BO226" s="599"/>
      <c r="BP226" s="599"/>
      <c r="BQ226" s="599"/>
      <c r="BR226" s="599"/>
      <c r="BS226" s="599"/>
      <c r="BT226" s="599"/>
      <c r="BU226" s="599"/>
      <c r="BV226" s="599"/>
      <c r="BW226" s="599"/>
      <c r="BX226" s="599"/>
      <c r="BY226" s="23"/>
      <c r="BZ226" s="23"/>
    </row>
    <row r="227">
      <c r="E227" s="174"/>
      <c r="F227" s="220"/>
      <c r="G227" s="220"/>
      <c r="H227" s="220"/>
      <c r="I227" s="220"/>
      <c r="J227" s="220"/>
      <c r="K227" s="220"/>
      <c r="L227" s="220"/>
      <c r="M227" s="220"/>
      <c r="N227" s="220"/>
      <c r="O227" s="220"/>
      <c r="P227" s="220"/>
      <c r="Q227" s="220"/>
      <c r="R227" s="220"/>
      <c r="S227" s="220"/>
      <c r="T227" s="220"/>
      <c r="V227" s="587"/>
      <c r="W227" s="590"/>
      <c r="X227" s="550"/>
      <c r="Y227" s="550"/>
      <c r="Z227" s="550"/>
      <c r="AA227" s="550"/>
      <c r="AB227" s="550"/>
      <c r="AC227" s="550"/>
      <c r="AD227" s="577"/>
      <c r="AF227" s="587"/>
      <c r="AG227" s="591"/>
      <c r="AH227" s="591"/>
      <c r="AI227" s="591"/>
      <c r="AJ227" s="591"/>
      <c r="AK227" s="591"/>
      <c r="AL227" s="591"/>
      <c r="AM227" s="591"/>
      <c r="AN227" s="591"/>
      <c r="AO227" s="591"/>
      <c r="AP227" s="591"/>
      <c r="AQ227" s="569"/>
      <c r="AS227" s="593"/>
      <c r="AT227" s="599"/>
      <c r="AU227" s="599"/>
      <c r="AV227" s="599"/>
      <c r="AW227" s="599"/>
      <c r="AX227" s="599"/>
      <c r="AY227" s="599"/>
      <c r="AZ227" s="599"/>
      <c r="BA227" s="599"/>
      <c r="BB227" s="599"/>
      <c r="BC227" s="599"/>
      <c r="BD227" s="599"/>
      <c r="BE227" s="599"/>
      <c r="BF227" s="599"/>
      <c r="BG227" s="599"/>
      <c r="BH227" s="569"/>
      <c r="BJ227" s="587"/>
      <c r="BK227" s="599"/>
      <c r="BL227" s="599"/>
      <c r="BM227" s="599"/>
      <c r="BN227" s="599"/>
      <c r="BO227" s="599"/>
      <c r="BP227" s="599"/>
      <c r="BQ227" s="599"/>
      <c r="BR227" s="599"/>
      <c r="BS227" s="599"/>
      <c r="BT227" s="599"/>
      <c r="BU227" s="599"/>
      <c r="BV227" s="599"/>
      <c r="BW227" s="599"/>
      <c r="BX227" s="599"/>
      <c r="BY227" s="23"/>
      <c r="BZ227" s="23"/>
    </row>
    <row r="228">
      <c r="E228" s="174"/>
      <c r="F228" s="220"/>
      <c r="G228" s="175"/>
      <c r="H228" s="175"/>
      <c r="I228" s="175"/>
      <c r="J228" s="175"/>
      <c r="K228" s="175"/>
      <c r="L228" s="175"/>
      <c r="M228" s="175"/>
      <c r="N228" s="175"/>
      <c r="O228" s="175"/>
      <c r="P228" s="175"/>
      <c r="Q228" s="175"/>
      <c r="R228" s="220"/>
      <c r="S228" s="220"/>
      <c r="T228" s="220"/>
      <c r="V228" s="587"/>
      <c r="W228" s="590"/>
      <c r="X228" s="550"/>
      <c r="Y228" s="550"/>
      <c r="Z228" s="550"/>
      <c r="AA228" s="550"/>
      <c r="AB228" s="550"/>
      <c r="AC228" s="550"/>
      <c r="AD228" s="594"/>
      <c r="AF228" s="587"/>
      <c r="AG228" s="590"/>
      <c r="AH228" s="590"/>
      <c r="AI228" s="590"/>
      <c r="AJ228" s="590"/>
      <c r="AK228" s="590"/>
      <c r="AL228" s="590"/>
      <c r="AM228" s="590"/>
      <c r="AN228" s="590"/>
      <c r="AO228" s="590"/>
      <c r="AP228" s="590"/>
      <c r="AQ228" s="569"/>
      <c r="AS228" s="593"/>
      <c r="AT228" s="599"/>
      <c r="AU228" s="599"/>
      <c r="AV228" s="599"/>
      <c r="AW228" s="599"/>
      <c r="AX228" s="599"/>
      <c r="AY228" s="599"/>
      <c r="AZ228" s="599"/>
      <c r="BA228" s="599"/>
      <c r="BB228" s="599"/>
      <c r="BC228" s="599"/>
      <c r="BD228" s="599"/>
      <c r="BE228" s="599"/>
      <c r="BF228" s="599"/>
      <c r="BG228" s="599"/>
      <c r="BH228" s="569"/>
      <c r="BJ228" s="587"/>
      <c r="BK228" s="599"/>
      <c r="BL228" s="599"/>
      <c r="BM228" s="599"/>
      <c r="BN228" s="599"/>
      <c r="BO228" s="599"/>
      <c r="BP228" s="599"/>
      <c r="BQ228" s="599"/>
      <c r="BR228" s="599"/>
      <c r="BS228" s="599"/>
      <c r="BT228" s="599"/>
      <c r="BU228" s="599"/>
      <c r="BV228" s="599"/>
      <c r="BW228" s="599"/>
      <c r="BX228" s="599"/>
      <c r="BY228" s="23"/>
      <c r="BZ228" s="23"/>
    </row>
    <row r="229">
      <c r="E229" s="174"/>
      <c r="F229" s="175"/>
      <c r="R229" s="220"/>
      <c r="S229" s="220"/>
      <c r="T229" s="220"/>
      <c r="V229" s="587"/>
      <c r="W229" s="590"/>
      <c r="X229" s="550"/>
      <c r="Y229" s="550"/>
      <c r="Z229" s="550"/>
      <c r="AA229" s="550"/>
      <c r="AB229" s="550"/>
      <c r="AC229" s="550"/>
      <c r="AD229" s="577"/>
      <c r="AF229" s="587"/>
      <c r="AG229" s="590"/>
      <c r="AH229" s="590"/>
      <c r="AI229" s="590"/>
      <c r="AJ229" s="590"/>
      <c r="AK229" s="590"/>
      <c r="AL229" s="590"/>
      <c r="AM229" s="590"/>
      <c r="AN229" s="590"/>
      <c r="AO229" s="590"/>
      <c r="AP229" s="590"/>
      <c r="AQ229" s="569"/>
      <c r="AS229" s="593"/>
      <c r="AT229" s="600"/>
      <c r="AU229" s="600"/>
      <c r="AV229" s="600"/>
      <c r="AW229" s="600"/>
      <c r="AX229" s="600"/>
      <c r="AY229" s="600"/>
      <c r="AZ229" s="600"/>
      <c r="BA229" s="600"/>
      <c r="BB229" s="600"/>
      <c r="BC229" s="600"/>
      <c r="BD229" s="600"/>
      <c r="BE229" s="600"/>
      <c r="BF229" s="600"/>
      <c r="BG229" s="600"/>
      <c r="BH229" s="569"/>
      <c r="BJ229" s="587"/>
      <c r="BK229" s="600"/>
      <c r="BL229" s="600"/>
      <c r="BM229" s="600"/>
      <c r="BN229" s="600"/>
      <c r="BO229" s="600"/>
      <c r="BP229" s="600"/>
      <c r="BQ229" s="600"/>
      <c r="BR229" s="600"/>
      <c r="BS229" s="600"/>
      <c r="BT229" s="600"/>
      <c r="BU229" s="600"/>
      <c r="BV229" s="600"/>
      <c r="BW229" s="600"/>
      <c r="BX229" s="600"/>
      <c r="BY229" s="23"/>
      <c r="BZ229" s="23"/>
    </row>
    <row r="230">
      <c r="R230" s="220"/>
      <c r="S230" s="220"/>
      <c r="T230" s="220"/>
      <c r="V230" s="587"/>
      <c r="W230" s="590"/>
      <c r="X230" s="550"/>
      <c r="Y230" s="550"/>
      <c r="Z230" s="550"/>
      <c r="AA230" s="550"/>
      <c r="AB230" s="550"/>
      <c r="AC230" s="550"/>
      <c r="AD230" s="577"/>
      <c r="AF230" s="587"/>
      <c r="AG230" s="590"/>
      <c r="AH230" s="590"/>
      <c r="AI230" s="590"/>
      <c r="AJ230" s="590"/>
      <c r="AK230" s="590"/>
      <c r="AL230" s="590"/>
      <c r="AM230" s="590"/>
      <c r="AN230" s="590"/>
      <c r="AO230" s="590"/>
      <c r="AP230" s="590"/>
      <c r="AQ230" s="569"/>
      <c r="AS230" s="593"/>
      <c r="AT230" s="599"/>
      <c r="AU230" s="599"/>
      <c r="AV230" s="599"/>
      <c r="AW230" s="599"/>
      <c r="AX230" s="599"/>
      <c r="AY230" s="599"/>
      <c r="AZ230" s="599"/>
      <c r="BA230" s="599"/>
      <c r="BB230" s="599"/>
      <c r="BC230" s="599"/>
      <c r="BD230" s="599"/>
      <c r="BE230" s="599"/>
      <c r="BF230" s="599"/>
      <c r="BG230" s="599"/>
      <c r="BH230" s="569"/>
      <c r="BJ230" s="587"/>
      <c r="BK230" s="599"/>
      <c r="BL230" s="599"/>
      <c r="BM230" s="599"/>
      <c r="BN230" s="599"/>
      <c r="BO230" s="599"/>
      <c r="BP230" s="599"/>
      <c r="BQ230" s="599"/>
      <c r="BR230" s="599"/>
      <c r="BS230" s="599"/>
      <c r="BT230" s="599"/>
      <c r="BU230" s="599"/>
      <c r="BV230" s="599"/>
      <c r="BW230" s="599"/>
      <c r="BX230" s="599"/>
      <c r="BY230" s="23"/>
      <c r="BZ230" s="23"/>
    </row>
    <row r="231">
      <c r="R231" s="220"/>
      <c r="S231" s="220"/>
      <c r="T231" s="220"/>
      <c r="V231" s="587"/>
      <c r="W231" s="590"/>
      <c r="X231" s="550"/>
      <c r="Y231" s="550"/>
      <c r="Z231" s="550"/>
      <c r="AA231" s="550"/>
      <c r="AB231" s="550"/>
      <c r="AC231" s="550"/>
      <c r="AD231" s="577"/>
      <c r="AF231" s="587"/>
      <c r="AG231" s="590"/>
      <c r="AH231" s="590"/>
      <c r="AI231" s="590"/>
      <c r="AJ231" s="590"/>
      <c r="AK231" s="590"/>
      <c r="AL231" s="590"/>
      <c r="AM231" s="590"/>
      <c r="AN231" s="590"/>
      <c r="AO231" s="590"/>
      <c r="AP231" s="590"/>
      <c r="AQ231" s="569"/>
      <c r="AR231" s="569"/>
      <c r="AS231" s="569"/>
      <c r="AT231" s="569"/>
      <c r="AU231" s="569"/>
      <c r="AV231" s="569"/>
      <c r="AW231" s="569"/>
      <c r="AX231" s="569"/>
      <c r="AY231" s="569"/>
      <c r="AZ231" s="569"/>
      <c r="BA231" s="569"/>
      <c r="BB231" s="569"/>
      <c r="BC231" s="569"/>
      <c r="BD231" s="569"/>
      <c r="BE231" s="569"/>
      <c r="BF231" s="569"/>
      <c r="BG231" s="569"/>
      <c r="BH231" s="569"/>
      <c r="BJ231" s="587"/>
      <c r="BK231" s="599"/>
      <c r="BL231" s="599"/>
      <c r="BM231" s="599"/>
      <c r="BN231" s="599"/>
      <c r="BO231" s="599"/>
      <c r="BP231" s="599"/>
      <c r="BQ231" s="599"/>
      <c r="BR231" s="599"/>
      <c r="BS231" s="599"/>
      <c r="BT231" s="599"/>
      <c r="BU231" s="599"/>
      <c r="BV231" s="599"/>
      <c r="BW231" s="599"/>
      <c r="BX231" s="599"/>
      <c r="BY231" s="23"/>
      <c r="BZ231" s="23"/>
    </row>
    <row r="232">
      <c r="R232" s="220"/>
      <c r="S232" s="220"/>
      <c r="T232" s="220"/>
      <c r="V232" s="587"/>
      <c r="W232" s="590"/>
      <c r="X232" s="550"/>
      <c r="Y232" s="550"/>
      <c r="Z232" s="550"/>
      <c r="AA232" s="550"/>
      <c r="AB232" s="550"/>
      <c r="AC232" s="550"/>
      <c r="AD232" s="577"/>
      <c r="AF232" s="587"/>
      <c r="AG232" s="590"/>
      <c r="AH232" s="590"/>
      <c r="AI232" s="590"/>
      <c r="AJ232" s="590"/>
      <c r="AK232" s="590"/>
      <c r="AL232" s="590"/>
      <c r="AM232" s="590"/>
      <c r="AN232" s="590"/>
      <c r="AO232" s="590"/>
      <c r="AP232" s="590"/>
      <c r="AQ232" s="569"/>
      <c r="AR232" s="569"/>
      <c r="AS232" s="569"/>
      <c r="AT232" s="569"/>
      <c r="AU232" s="569"/>
      <c r="AV232" s="569"/>
      <c r="AW232" s="569"/>
      <c r="AX232" s="569"/>
      <c r="AY232" s="569"/>
      <c r="AZ232" s="569"/>
      <c r="BA232" s="569"/>
      <c r="BB232" s="569"/>
      <c r="BC232" s="569"/>
      <c r="BD232" s="569"/>
      <c r="BE232" s="569"/>
      <c r="BF232" s="569"/>
      <c r="BG232" s="569"/>
      <c r="BH232" s="569"/>
      <c r="BJ232" s="587"/>
      <c r="BK232" s="599"/>
      <c r="BL232" s="599"/>
      <c r="BM232" s="599"/>
      <c r="BN232" s="599"/>
      <c r="BO232" s="599"/>
      <c r="BP232" s="599"/>
      <c r="BQ232" s="599"/>
      <c r="BR232" s="599"/>
      <c r="BS232" s="599"/>
      <c r="BT232" s="599"/>
      <c r="BU232" s="599"/>
      <c r="BV232" s="599"/>
      <c r="BW232" s="599"/>
      <c r="BX232" s="599"/>
      <c r="BY232" s="23"/>
      <c r="BZ232" s="23"/>
    </row>
    <row r="233">
      <c r="R233" s="175"/>
      <c r="S233" s="175"/>
      <c r="T233" s="175"/>
      <c r="V233" s="587"/>
      <c r="W233" s="590"/>
      <c r="X233" s="550"/>
      <c r="Y233" s="550"/>
      <c r="Z233" s="550"/>
      <c r="AA233" s="550"/>
      <c r="AB233" s="550"/>
      <c r="AC233" s="550"/>
      <c r="AD233" s="577"/>
      <c r="AF233" s="587"/>
      <c r="AG233" s="590"/>
      <c r="AH233" s="590"/>
      <c r="AI233" s="590"/>
      <c r="AJ233" s="590"/>
      <c r="AK233" s="590"/>
      <c r="AL233" s="590"/>
      <c r="AM233" s="590"/>
      <c r="AN233" s="590"/>
      <c r="AO233" s="590"/>
      <c r="AP233" s="590"/>
      <c r="AQ233" s="569"/>
      <c r="AR233" s="569"/>
      <c r="AS233" s="569"/>
      <c r="AT233" s="569"/>
      <c r="AU233" s="569"/>
      <c r="AV233" s="569"/>
      <c r="AW233" s="569"/>
      <c r="AX233" s="569"/>
      <c r="AY233" s="569"/>
      <c r="AZ233" s="569"/>
      <c r="BA233" s="569"/>
      <c r="BB233" s="569"/>
      <c r="BC233" s="569"/>
      <c r="BD233" s="569"/>
      <c r="BE233" s="569"/>
      <c r="BF233" s="569"/>
      <c r="BG233" s="569"/>
      <c r="BH233" s="569"/>
      <c r="BJ233" s="587"/>
      <c r="BK233" s="599"/>
      <c r="BL233" s="599"/>
      <c r="BM233" s="599"/>
      <c r="BN233" s="599"/>
      <c r="BO233" s="599"/>
      <c r="BP233" s="599"/>
      <c r="BQ233" s="599"/>
      <c r="BR233" s="599"/>
      <c r="BS233" s="599"/>
      <c r="BT233" s="599"/>
      <c r="BU233" s="599"/>
      <c r="BV233" s="599"/>
      <c r="BW233" s="599"/>
      <c r="BX233" s="599"/>
      <c r="BY233" s="23"/>
      <c r="BZ233" s="23"/>
    </row>
    <row r="234">
      <c r="R234" s="220"/>
      <c r="S234" s="220"/>
      <c r="T234" s="220"/>
      <c r="V234" s="587"/>
      <c r="W234" s="590"/>
      <c r="X234" s="550"/>
      <c r="Y234" s="550"/>
      <c r="Z234" s="550"/>
      <c r="AA234" s="550"/>
      <c r="AB234" s="550"/>
      <c r="AC234" s="550"/>
      <c r="AD234" s="577"/>
      <c r="AF234" s="587"/>
      <c r="AG234" s="590"/>
      <c r="AH234" s="590"/>
      <c r="AI234" s="590"/>
      <c r="AJ234" s="590"/>
      <c r="AK234" s="590"/>
      <c r="AL234" s="590"/>
      <c r="AM234" s="590"/>
      <c r="AN234" s="590"/>
      <c r="AO234" s="590"/>
      <c r="AP234" s="590"/>
      <c r="AQ234" s="569"/>
      <c r="AR234" s="569"/>
      <c r="AS234" s="569"/>
      <c r="AT234" s="569"/>
      <c r="AU234" s="569"/>
      <c r="AV234" s="569"/>
      <c r="AW234" s="569"/>
      <c r="AX234" s="569"/>
      <c r="AY234" s="569"/>
      <c r="AZ234" s="569"/>
      <c r="BA234" s="569"/>
      <c r="BB234" s="569"/>
      <c r="BC234" s="569"/>
      <c r="BD234" s="569"/>
      <c r="BE234" s="569"/>
      <c r="BF234" s="569"/>
      <c r="BG234" s="569"/>
      <c r="BH234" s="569"/>
      <c r="BJ234" s="587"/>
      <c r="BK234" s="599"/>
      <c r="BL234" s="599"/>
      <c r="BM234" s="599"/>
      <c r="BN234" s="599"/>
      <c r="BO234" s="599"/>
      <c r="BP234" s="599"/>
      <c r="BQ234" s="599"/>
      <c r="BR234" s="599"/>
      <c r="BS234" s="599"/>
      <c r="BT234" s="599"/>
      <c r="BU234" s="599"/>
      <c r="BV234" s="599"/>
      <c r="BW234" s="599"/>
      <c r="BX234" s="599"/>
      <c r="BY234" s="23"/>
      <c r="BZ234" s="23"/>
    </row>
    <row r="235">
      <c r="R235" s="220"/>
      <c r="S235" s="220"/>
      <c r="T235" s="220"/>
      <c r="V235" s="587"/>
      <c r="W235" s="590"/>
      <c r="X235" s="550"/>
      <c r="Y235" s="550"/>
      <c r="Z235" s="550"/>
      <c r="AA235" s="550"/>
      <c r="AB235" s="550"/>
      <c r="AC235" s="550"/>
      <c r="AD235" s="577"/>
      <c r="AF235" s="587"/>
      <c r="AG235" s="591"/>
      <c r="AH235" s="591"/>
      <c r="AI235" s="591"/>
      <c r="AJ235" s="591"/>
      <c r="AK235" s="591"/>
      <c r="AL235" s="591"/>
      <c r="AM235" s="591"/>
      <c r="AN235" s="591"/>
      <c r="AO235" s="591"/>
      <c r="AP235" s="591"/>
      <c r="AQ235" s="569"/>
      <c r="AR235" s="569"/>
      <c r="AS235" s="569"/>
      <c r="AT235" s="569"/>
      <c r="AU235" s="569"/>
      <c r="AV235" s="569"/>
      <c r="AW235" s="569"/>
      <c r="AX235" s="569"/>
      <c r="AY235" s="569"/>
      <c r="AZ235" s="569"/>
      <c r="BA235" s="569"/>
      <c r="BB235" s="569"/>
      <c r="BC235" s="569"/>
      <c r="BD235" s="569"/>
      <c r="BE235" s="569"/>
      <c r="BF235" s="569"/>
      <c r="BG235" s="569"/>
      <c r="BH235" s="569"/>
      <c r="BJ235" s="587"/>
      <c r="BK235" s="599"/>
      <c r="BL235" s="599"/>
      <c r="BM235" s="599"/>
      <c r="BN235" s="599"/>
      <c r="BO235" s="599"/>
      <c r="BP235" s="599"/>
      <c r="BQ235" s="599"/>
      <c r="BR235" s="599"/>
      <c r="BS235" s="599"/>
      <c r="BT235" s="599"/>
      <c r="BU235" s="599"/>
      <c r="BV235" s="599"/>
      <c r="BW235" s="599"/>
      <c r="BX235" s="599"/>
      <c r="BY235" s="23"/>
      <c r="BZ235" s="23"/>
    </row>
    <row r="236">
      <c r="R236" s="220"/>
      <c r="S236" s="220"/>
      <c r="T236" s="220"/>
      <c r="U236" s="569"/>
      <c r="V236" s="587"/>
      <c r="W236" s="590"/>
      <c r="X236" s="550"/>
      <c r="Y236" s="550"/>
      <c r="Z236" s="550"/>
      <c r="AA236" s="550"/>
      <c r="AB236" s="550"/>
      <c r="AC236" s="550"/>
      <c r="AD236" s="594"/>
      <c r="AE236" s="598"/>
      <c r="AF236" s="587"/>
      <c r="AG236" s="590"/>
      <c r="AH236" s="590"/>
      <c r="AI236" s="590"/>
      <c r="AJ236" s="590"/>
      <c r="AK236" s="590"/>
      <c r="AL236" s="590"/>
      <c r="AM236" s="590"/>
      <c r="AN236" s="590"/>
      <c r="AO236" s="590"/>
      <c r="AP236" s="590"/>
      <c r="AQ236" s="569"/>
      <c r="AR236" s="569"/>
      <c r="AS236" s="569"/>
      <c r="AT236" s="569"/>
      <c r="AU236" s="569"/>
      <c r="AV236" s="569"/>
      <c r="AW236" s="569"/>
      <c r="AX236" s="569"/>
      <c r="AY236" s="569"/>
      <c r="AZ236" s="569"/>
      <c r="BA236" s="569"/>
      <c r="BB236" s="569"/>
      <c r="BC236" s="569"/>
      <c r="BD236" s="569"/>
      <c r="BE236" s="569"/>
      <c r="BF236" s="569"/>
      <c r="BG236" s="569"/>
      <c r="BH236" s="569"/>
      <c r="BJ236" s="587"/>
      <c r="BK236" s="599"/>
      <c r="BL236" s="599"/>
      <c r="BM236" s="599"/>
      <c r="BN236" s="599"/>
      <c r="BO236" s="599"/>
      <c r="BP236" s="599"/>
      <c r="BQ236" s="599"/>
      <c r="BR236" s="599"/>
      <c r="BS236" s="599"/>
      <c r="BT236" s="599"/>
      <c r="BU236" s="599"/>
      <c r="BV236" s="599"/>
      <c r="BW236" s="599"/>
      <c r="BX236" s="599"/>
      <c r="BY236" s="23"/>
      <c r="BZ236" s="23"/>
    </row>
    <row r="237">
      <c r="R237" s="220"/>
      <c r="S237" s="220"/>
      <c r="T237" s="220"/>
      <c r="U237" s="569"/>
      <c r="V237" s="587"/>
      <c r="W237" s="590"/>
      <c r="X237" s="550"/>
      <c r="Y237" s="550"/>
      <c r="Z237" s="550"/>
      <c r="AA237" s="550"/>
      <c r="AB237" s="550"/>
      <c r="AC237" s="550"/>
      <c r="AD237" s="577"/>
      <c r="AE237" s="569"/>
      <c r="AF237" s="587"/>
      <c r="AG237" s="591"/>
      <c r="AH237" s="591"/>
      <c r="AI237" s="591"/>
      <c r="AJ237" s="591"/>
      <c r="AK237" s="591"/>
      <c r="AL237" s="591"/>
      <c r="AM237" s="591"/>
      <c r="AN237" s="591"/>
      <c r="AO237" s="591"/>
      <c r="AP237" s="591"/>
      <c r="AQ237" s="569"/>
      <c r="AR237" s="569"/>
      <c r="AS237" s="569"/>
      <c r="AT237" s="569"/>
      <c r="AU237" s="569"/>
      <c r="AV237" s="569"/>
      <c r="AW237" s="569"/>
      <c r="AX237" s="569"/>
      <c r="AY237" s="569"/>
      <c r="AZ237" s="569"/>
      <c r="BA237" s="569"/>
      <c r="BB237" s="569"/>
      <c r="BC237" s="569"/>
      <c r="BD237" s="569"/>
      <c r="BE237" s="569"/>
      <c r="BF237" s="569"/>
      <c r="BG237" s="569"/>
      <c r="BH237" s="569"/>
      <c r="BJ237" s="587"/>
      <c r="BK237" s="600"/>
      <c r="BL237" s="600"/>
      <c r="BM237" s="600"/>
      <c r="BN237" s="600"/>
      <c r="BO237" s="600"/>
      <c r="BP237" s="600"/>
      <c r="BQ237" s="600"/>
      <c r="BR237" s="600"/>
      <c r="BS237" s="600"/>
      <c r="BT237" s="600"/>
      <c r="BU237" s="600"/>
      <c r="BV237" s="600"/>
      <c r="BW237" s="600"/>
      <c r="BX237" s="600"/>
      <c r="BY237" s="23"/>
      <c r="BZ237" s="23"/>
    </row>
    <row r="238">
      <c r="R238" s="220"/>
      <c r="S238" s="220"/>
      <c r="T238" s="220"/>
      <c r="U238" s="569"/>
      <c r="V238" s="587"/>
      <c r="W238" s="590"/>
      <c r="X238" s="550"/>
      <c r="Y238" s="550"/>
      <c r="Z238" s="550"/>
      <c r="AA238" s="550"/>
      <c r="AB238" s="550"/>
      <c r="AC238" s="550"/>
      <c r="AD238" s="569"/>
      <c r="AE238" s="569"/>
      <c r="AF238" s="587"/>
      <c r="AG238" s="591"/>
      <c r="AH238" s="591"/>
      <c r="AI238" s="591"/>
      <c r="AJ238" s="591"/>
      <c r="AK238" s="591"/>
      <c r="AL238" s="591"/>
      <c r="AM238" s="591"/>
      <c r="AN238" s="591"/>
      <c r="AO238" s="591"/>
      <c r="AP238" s="591"/>
      <c r="AQ238" s="569"/>
      <c r="AR238" s="569"/>
      <c r="AS238" s="569"/>
      <c r="AT238" s="569"/>
      <c r="AU238" s="569"/>
      <c r="AV238" s="569"/>
      <c r="AW238" s="569"/>
      <c r="AX238" s="569"/>
      <c r="AY238" s="569"/>
      <c r="AZ238" s="569"/>
      <c r="BA238" s="569"/>
      <c r="BB238" s="569"/>
      <c r="BC238" s="569"/>
      <c r="BD238" s="569"/>
      <c r="BE238" s="569"/>
      <c r="BF238" s="569"/>
      <c r="BG238" s="569"/>
      <c r="BH238" s="569"/>
      <c r="BI238" s="589"/>
      <c r="BJ238" s="587"/>
      <c r="BK238" s="599"/>
      <c r="BL238" s="599"/>
      <c r="BM238" s="599"/>
      <c r="BN238" s="599"/>
      <c r="BO238" s="599"/>
      <c r="BP238" s="599"/>
      <c r="BQ238" s="599"/>
      <c r="BR238" s="599"/>
      <c r="BS238" s="599"/>
      <c r="BT238" s="599"/>
      <c r="BU238" s="599"/>
      <c r="BV238" s="599"/>
      <c r="BW238" s="599"/>
      <c r="BX238" s="599"/>
      <c r="BY238" s="23"/>
      <c r="BZ238" s="23"/>
    </row>
    <row r="239">
      <c r="R239" s="220"/>
      <c r="S239" s="220"/>
      <c r="T239" s="220"/>
      <c r="U239" s="569"/>
      <c r="V239" s="569"/>
      <c r="W239" s="569"/>
      <c r="X239" s="569"/>
      <c r="Y239" s="569"/>
      <c r="Z239" s="569"/>
      <c r="AA239" s="569"/>
      <c r="AB239" s="569"/>
      <c r="AC239" s="569"/>
      <c r="AD239" s="569"/>
      <c r="AE239" s="569"/>
      <c r="AF239" s="569"/>
      <c r="AG239" s="569"/>
      <c r="AH239" s="569"/>
      <c r="AI239" s="569"/>
      <c r="AJ239" s="569"/>
      <c r="AK239" s="569"/>
      <c r="AL239" s="569"/>
      <c r="AM239" s="569"/>
      <c r="AN239" s="569"/>
      <c r="AO239" s="569"/>
      <c r="AP239" s="569"/>
      <c r="AQ239" s="569"/>
      <c r="AR239" s="569"/>
      <c r="AS239" s="569"/>
      <c r="AT239" s="569"/>
      <c r="AU239" s="569"/>
      <c r="AV239" s="569"/>
      <c r="AW239" s="569"/>
      <c r="AX239" s="569"/>
      <c r="AY239" s="569"/>
      <c r="AZ239" s="569"/>
      <c r="BA239" s="569"/>
      <c r="BB239" s="569"/>
      <c r="BC239" s="569"/>
      <c r="BD239" s="569"/>
      <c r="BE239" s="569"/>
      <c r="BF239" s="569"/>
      <c r="BG239" s="569"/>
      <c r="BH239" s="569"/>
      <c r="BI239" s="589"/>
      <c r="BJ239" s="587"/>
      <c r="BK239" s="600"/>
      <c r="BL239" s="600"/>
      <c r="BM239" s="600"/>
      <c r="BN239" s="600"/>
      <c r="BO239" s="600"/>
      <c r="BP239" s="600"/>
      <c r="BQ239" s="600"/>
      <c r="BR239" s="600"/>
      <c r="BS239" s="600"/>
      <c r="BT239" s="600"/>
      <c r="BU239" s="600"/>
      <c r="BV239" s="600"/>
      <c r="BW239" s="600"/>
      <c r="BX239" s="600"/>
      <c r="BY239" s="23"/>
      <c r="BZ239" s="23"/>
    </row>
    <row r="240">
      <c r="R240" s="220"/>
      <c r="S240" s="220"/>
      <c r="T240" s="220"/>
      <c r="U240" s="569"/>
      <c r="V240" s="569"/>
      <c r="W240" s="569"/>
      <c r="X240" s="569"/>
      <c r="Y240" s="569"/>
      <c r="Z240" s="569"/>
      <c r="AA240" s="569"/>
      <c r="AB240" s="569"/>
      <c r="AC240" s="569"/>
      <c r="AD240" s="569"/>
      <c r="AE240" s="569"/>
      <c r="AF240" s="569"/>
      <c r="AG240" s="569"/>
      <c r="AH240" s="569"/>
      <c r="AI240" s="569"/>
      <c r="AJ240" s="569"/>
      <c r="AK240" s="569"/>
      <c r="AL240" s="569"/>
      <c r="AM240" s="569"/>
      <c r="AN240" s="569"/>
      <c r="AO240" s="569"/>
      <c r="AP240" s="569"/>
      <c r="AQ240" s="569"/>
      <c r="AR240" s="569"/>
      <c r="AS240" s="569"/>
      <c r="AT240" s="569"/>
      <c r="AU240" s="569"/>
      <c r="AV240" s="569"/>
      <c r="AW240" s="569"/>
      <c r="AX240" s="569"/>
      <c r="AY240" s="569"/>
      <c r="AZ240" s="569"/>
      <c r="BA240" s="569"/>
      <c r="BB240" s="569"/>
      <c r="BC240" s="569"/>
      <c r="BD240" s="569"/>
      <c r="BE240" s="569"/>
      <c r="BF240" s="569"/>
      <c r="BG240" s="569"/>
      <c r="BH240" s="569"/>
      <c r="BI240" s="569"/>
      <c r="BJ240" s="587"/>
      <c r="BK240" s="601"/>
      <c r="BL240" s="601"/>
      <c r="BM240" s="601"/>
      <c r="BN240" s="601"/>
      <c r="BO240" s="601"/>
      <c r="BP240" s="601"/>
      <c r="BQ240" s="601"/>
      <c r="BR240" s="601"/>
      <c r="BS240" s="601"/>
      <c r="BT240" s="601"/>
      <c r="BU240" s="601"/>
      <c r="BV240" s="601"/>
      <c r="BW240" s="601"/>
      <c r="BX240" s="601"/>
      <c r="BY240" s="23"/>
      <c r="BZ240" s="23"/>
    </row>
    <row r="241">
      <c r="R241" s="220"/>
      <c r="S241" s="220"/>
      <c r="T241" s="220"/>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c r="BR241" s="23"/>
      <c r="BS241" s="23"/>
      <c r="BT241" s="23"/>
      <c r="BU241" s="23"/>
      <c r="BV241" s="23"/>
      <c r="BW241" s="23"/>
      <c r="BX241" s="23"/>
      <c r="BY241" s="23"/>
      <c r="BZ241" s="23"/>
    </row>
    <row r="242">
      <c r="R242" s="23"/>
      <c r="S242" s="23"/>
      <c r="T242" s="23"/>
      <c r="U242" s="23"/>
      <c r="V242" s="23"/>
      <c r="W242" s="23"/>
      <c r="X242" s="23"/>
      <c r="Y242" s="23"/>
      <c r="Z242" s="23"/>
      <c r="AA242" s="23"/>
      <c r="AB242" s="23"/>
      <c r="AC242" s="23"/>
      <c r="AD242" s="23"/>
      <c r="AE242" s="23"/>
      <c r="AF242" s="23"/>
      <c r="AG242" s="23"/>
      <c r="AH242" s="23"/>
      <c r="AI242" s="23"/>
      <c r="AJ242" s="23"/>
      <c r="AK242" s="51"/>
      <c r="AL242" s="51"/>
      <c r="AM242" s="23"/>
      <c r="AN242" s="23"/>
      <c r="AO242" s="176"/>
      <c r="AP242" s="177"/>
      <c r="AQ242" s="178"/>
      <c r="AR242" s="178"/>
      <c r="AS242" s="178"/>
      <c r="AT242" s="178"/>
      <c r="AU242" s="178"/>
      <c r="AV242" s="178"/>
      <c r="AW242" s="178"/>
      <c r="AX242" s="178"/>
      <c r="AY242" s="178"/>
      <c r="AZ242" s="178"/>
      <c r="BA242" s="178"/>
      <c r="BB242" s="178"/>
      <c r="BC242" s="178"/>
      <c r="BD242" s="176"/>
      <c r="BE242" s="177"/>
      <c r="BF242" s="267"/>
      <c r="BG242" s="267"/>
      <c r="BH242" s="267"/>
      <c r="BI242" s="267"/>
      <c r="BJ242" s="267"/>
      <c r="BK242" s="267"/>
      <c r="BL242" s="267"/>
      <c r="BM242" s="267"/>
      <c r="BN242" s="267"/>
      <c r="BO242" s="267"/>
      <c r="BP242" s="23"/>
      <c r="BQ242" s="23"/>
      <c r="BR242" s="23"/>
      <c r="BS242" s="23"/>
      <c r="BT242" s="23"/>
      <c r="BU242" s="23"/>
      <c r="BV242" s="23"/>
      <c r="BW242" s="23"/>
      <c r="BX242" s="23"/>
      <c r="BY242" s="23"/>
      <c r="BZ242" s="23"/>
    </row>
    <row r="243">
      <c r="R243" s="23"/>
      <c r="S243" s="23"/>
      <c r="T243" s="23"/>
      <c r="U243" s="23"/>
      <c r="V243" s="23"/>
      <c r="W243" s="23"/>
      <c r="X243" s="23"/>
      <c r="Y243" s="23"/>
      <c r="Z243" s="23"/>
      <c r="AA243" s="23"/>
      <c r="AB243" s="23"/>
      <c r="AC243" s="23"/>
      <c r="AD243" s="23"/>
      <c r="AE243" s="23"/>
      <c r="AF243" s="23"/>
      <c r="AG243" s="23"/>
      <c r="AH243" s="23"/>
      <c r="AI243" s="23"/>
      <c r="AJ243" s="23"/>
      <c r="AK243" s="51"/>
      <c r="AL243" s="51"/>
      <c r="AM243" s="23"/>
      <c r="AN243" s="23"/>
      <c r="AO243" s="176"/>
      <c r="AP243" s="177"/>
      <c r="AQ243" s="178"/>
      <c r="AR243" s="178"/>
      <c r="AS243" s="178"/>
      <c r="AT243" s="178"/>
      <c r="AU243" s="178"/>
      <c r="AV243" s="178"/>
      <c r="AW243" s="178"/>
      <c r="AX243" s="178"/>
      <c r="AY243" s="178"/>
      <c r="AZ243" s="178"/>
      <c r="BA243" s="178"/>
      <c r="BB243" s="178"/>
      <c r="BC243" s="178"/>
      <c r="BD243" s="176"/>
      <c r="BE243" s="177"/>
      <c r="BF243" s="267"/>
      <c r="BG243" s="267"/>
      <c r="BH243" s="267"/>
      <c r="BI243" s="267"/>
      <c r="BJ243" s="267"/>
      <c r="BK243" s="267"/>
      <c r="BL243" s="267"/>
      <c r="BM243" s="267"/>
      <c r="BN243" s="267"/>
      <c r="BO243" s="267"/>
      <c r="BP243" s="23"/>
      <c r="BQ243" s="23"/>
      <c r="BR243" s="23"/>
      <c r="BS243" s="23"/>
      <c r="BT243" s="23"/>
      <c r="BU243" s="23"/>
      <c r="BV243" s="23"/>
      <c r="BW243" s="23"/>
      <c r="BX243" s="23"/>
      <c r="BY243" s="23"/>
      <c r="BZ243" s="23"/>
    </row>
    <row r="244">
      <c r="R244" s="23"/>
      <c r="S244" s="23"/>
      <c r="T244" s="23"/>
      <c r="U244" s="23"/>
      <c r="V244" s="23"/>
      <c r="W244" s="23"/>
      <c r="X244" s="23"/>
      <c r="Y244" s="23"/>
      <c r="Z244" s="23"/>
      <c r="AA244" s="23"/>
      <c r="AB244" s="23"/>
      <c r="AC244" s="23"/>
      <c r="AD244" s="23"/>
      <c r="AE244" s="23"/>
      <c r="AF244" s="23"/>
      <c r="AG244" s="23"/>
      <c r="AH244" s="23"/>
      <c r="AI244" s="23"/>
      <c r="AJ244" s="23"/>
      <c r="AK244" s="51"/>
      <c r="AL244" s="51"/>
      <c r="AM244" s="23"/>
      <c r="AN244" s="23"/>
      <c r="AO244" s="176"/>
      <c r="AP244" s="177"/>
      <c r="AQ244" s="178"/>
      <c r="AR244" s="178"/>
      <c r="AS244" s="178"/>
      <c r="AT244" s="178"/>
      <c r="AU244" s="178"/>
      <c r="AV244" s="178"/>
      <c r="AW244" s="178"/>
      <c r="AX244" s="251"/>
      <c r="AY244" s="251"/>
      <c r="AZ244" s="251"/>
      <c r="BA244" s="251"/>
      <c r="BB244" s="251"/>
      <c r="BC244" s="178"/>
      <c r="BD244" s="176"/>
      <c r="BE244" s="177"/>
      <c r="BF244" s="267"/>
      <c r="BG244" s="267"/>
      <c r="BH244" s="267"/>
      <c r="BI244" s="267"/>
      <c r="BJ244" s="267"/>
      <c r="BK244" s="267"/>
      <c r="BL244" s="267"/>
      <c r="BM244" s="267"/>
      <c r="BN244" s="267"/>
      <c r="BO244" s="267"/>
      <c r="BP244" s="23"/>
      <c r="BQ244" s="23"/>
      <c r="BR244" s="23"/>
      <c r="BS244" s="23"/>
      <c r="BT244" s="23"/>
      <c r="BU244" s="23"/>
      <c r="BV244" s="23"/>
      <c r="BW244" s="23"/>
      <c r="BX244" s="23"/>
      <c r="BY244" s="23"/>
      <c r="BZ244" s="23"/>
    </row>
    <row r="245">
      <c r="AK245" s="51"/>
      <c r="AL245" s="51"/>
      <c r="AO245" s="176"/>
      <c r="AP245" s="115"/>
      <c r="AQ245" s="251"/>
      <c r="AR245" s="251"/>
      <c r="AS245" s="251"/>
      <c r="AT245" s="251"/>
      <c r="AU245" s="251"/>
      <c r="AV245" s="251"/>
      <c r="AW245" s="251"/>
      <c r="AX245" s="23"/>
      <c r="AY245" s="23"/>
      <c r="AZ245" s="23"/>
      <c r="BA245" s="23"/>
      <c r="BB245" s="23"/>
      <c r="BC245" s="178"/>
      <c r="BD245" s="176"/>
      <c r="BE245" s="115"/>
      <c r="BF245" s="264"/>
      <c r="BG245" s="264"/>
      <c r="BH245" s="264"/>
      <c r="BI245" s="264"/>
      <c r="BJ245" s="264"/>
      <c r="BK245" s="264"/>
      <c r="BL245" s="264"/>
      <c r="BM245" s="264"/>
      <c r="BN245" s="264"/>
      <c r="BO245" s="264"/>
      <c r="BP245" s="23"/>
      <c r="BQ245" s="23"/>
      <c r="BR245" s="23"/>
    </row>
    <row r="246">
      <c r="AK246" s="144"/>
      <c r="AL246" s="144"/>
      <c r="BC246" s="178"/>
    </row>
    <row r="247">
      <c r="AK247" s="178"/>
      <c r="AL247" s="178"/>
      <c r="BC247" s="178"/>
    </row>
    <row r="248">
      <c r="AK248" s="178"/>
      <c r="AL248" s="178"/>
      <c r="BC248" s="178"/>
    </row>
    <row r="250">
      <c r="AK250" s="51"/>
      <c r="AL250" s="51"/>
      <c r="AM250" s="51"/>
      <c r="AN250" s="51"/>
      <c r="AO250" s="51"/>
      <c r="AP250" s="51"/>
    </row>
    <row r="251">
      <c r="AK251" s="51"/>
      <c r="AL251" s="51"/>
      <c r="AM251" s="51"/>
      <c r="AN251" s="51"/>
      <c r="AO251" s="51"/>
      <c r="AP251" s="51"/>
    </row>
    <row r="252">
      <c r="AK252" s="144"/>
      <c r="AL252" s="144"/>
      <c r="AM252" s="144"/>
      <c r="AN252" s="144"/>
      <c r="AO252" s="144"/>
      <c r="AP252" s="144"/>
    </row>
    <row r="253">
      <c r="AK253" s="51"/>
      <c r="AL253" s="51"/>
      <c r="AM253" s="51"/>
      <c r="AN253" s="51"/>
      <c r="AO253" s="51"/>
      <c r="AP253" s="51"/>
    </row>
    <row r="254">
      <c r="AK254" s="51"/>
      <c r="AL254" s="51"/>
      <c r="AM254" s="51"/>
      <c r="AN254" s="51"/>
      <c r="AO254" s="51"/>
      <c r="AP254" s="51"/>
    </row>
    <row r="255">
      <c r="AK255" s="51"/>
      <c r="AL255" s="51"/>
      <c r="AM255" s="51"/>
      <c r="AN255" s="51"/>
      <c r="AO255" s="51"/>
      <c r="AP255" s="51"/>
    </row>
    <row r="256">
      <c r="AK256" s="51"/>
      <c r="AL256" s="51"/>
      <c r="AM256" s="51"/>
      <c r="AN256" s="51"/>
      <c r="AO256" s="51"/>
      <c r="AP256" s="51"/>
    </row>
    <row r="257">
      <c r="AK257" s="51"/>
      <c r="AL257" s="51"/>
      <c r="AM257" s="51"/>
      <c r="AN257" s="51"/>
      <c r="AO257" s="51"/>
      <c r="AP257" s="51"/>
    </row>
    <row r="258">
      <c r="AK258" s="51"/>
      <c r="AL258" s="51"/>
      <c r="AM258" s="51"/>
      <c r="AN258" s="51"/>
      <c r="AO258" s="51"/>
      <c r="AP258" s="51"/>
    </row>
    <row r="259">
      <c r="AK259" s="51"/>
      <c r="AL259" s="51"/>
      <c r="AM259" s="51"/>
      <c r="AN259" s="51"/>
      <c r="AO259" s="51"/>
      <c r="AP259" s="51"/>
    </row>
    <row r="260">
      <c r="AK260" s="144"/>
      <c r="AL260" s="144"/>
      <c r="AM260" s="144"/>
      <c r="AN260" s="144"/>
      <c r="AO260" s="144"/>
      <c r="AP260" s="144"/>
    </row>
    <row r="263">
      <c r="AK263" s="23"/>
      <c r="AL263" s="23"/>
      <c r="AM263" s="23"/>
      <c r="AN263" s="23"/>
      <c r="AO263" s="23"/>
      <c r="AP263" s="23"/>
    </row>
    <row r="264">
      <c r="AK264" s="87"/>
      <c r="AL264" s="87"/>
      <c r="AM264" s="87"/>
      <c r="AN264" s="87"/>
      <c r="AO264" s="87"/>
      <c r="AP264" s="87"/>
    </row>
    <row r="265">
      <c r="AK265" s="51"/>
      <c r="AL265" s="51"/>
      <c r="AM265" s="51"/>
      <c r="AN265" s="51"/>
      <c r="AO265" s="51"/>
      <c r="AP265" s="51"/>
    </row>
    <row r="266">
      <c r="AK266" s="51"/>
      <c r="AL266" s="51"/>
      <c r="AM266" s="51"/>
      <c r="AN266" s="51"/>
      <c r="AO266" s="51"/>
      <c r="AP266" s="51"/>
    </row>
    <row r="267">
      <c r="AK267" s="51"/>
      <c r="AL267" s="51"/>
      <c r="AM267" s="51"/>
      <c r="AN267" s="51"/>
      <c r="AO267" s="51"/>
      <c r="AP267" s="51"/>
    </row>
    <row r="268">
      <c r="AK268" s="51"/>
      <c r="AL268" s="51"/>
      <c r="AM268" s="51"/>
      <c r="AN268" s="51"/>
      <c r="AO268" s="51"/>
      <c r="AP268" s="51"/>
    </row>
    <row r="269">
      <c r="AK269" s="51"/>
      <c r="AL269" s="51"/>
      <c r="AM269" s="51"/>
      <c r="AN269" s="51"/>
      <c r="AO269" s="51"/>
      <c r="AP269" s="51"/>
    </row>
    <row r="270">
      <c r="AK270" s="51"/>
      <c r="AL270" s="51"/>
      <c r="AM270" s="51"/>
      <c r="AN270" s="51"/>
      <c r="AO270" s="51"/>
      <c r="AP270" s="51"/>
    </row>
  </sheetData>
  <mergeCells count="53">
    <mergeCell ref="AT217:BG217"/>
    <mergeCell ref="BK217:BX217"/>
    <mergeCell ref="AT98:BG98"/>
    <mergeCell ref="AR102:AR111"/>
    <mergeCell ref="BI102:BI118"/>
    <mergeCell ref="AT158:BG158"/>
    <mergeCell ref="BK158:BX158"/>
    <mergeCell ref="AR162:AR171"/>
    <mergeCell ref="BI162:BI178"/>
    <mergeCell ref="B26:F28"/>
    <mergeCell ref="B29:F31"/>
    <mergeCell ref="B32:F34"/>
    <mergeCell ref="B104:F108"/>
    <mergeCell ref="F127:F149"/>
    <mergeCell ref="D190:D228"/>
    <mergeCell ref="B6:F14"/>
    <mergeCell ref="K6:O9"/>
    <mergeCell ref="K11:O22"/>
    <mergeCell ref="B17:F18"/>
    <mergeCell ref="B19:F22"/>
    <mergeCell ref="B23:F25"/>
    <mergeCell ref="K24:O31"/>
    <mergeCell ref="K41:O47"/>
    <mergeCell ref="B35:F38"/>
    <mergeCell ref="B39:F41"/>
    <mergeCell ref="AE40:AM40"/>
    <mergeCell ref="AE42:AE58"/>
    <mergeCell ref="AO42:AO58"/>
    <mergeCell ref="B44:F45"/>
    <mergeCell ref="B46:F49"/>
    <mergeCell ref="B56:F58"/>
    <mergeCell ref="B50:F52"/>
    <mergeCell ref="B53:F55"/>
    <mergeCell ref="B59:F61"/>
    <mergeCell ref="B62:F65"/>
    <mergeCell ref="B66:F68"/>
    <mergeCell ref="B69:F71"/>
    <mergeCell ref="BK98:BX98"/>
    <mergeCell ref="U100:U116"/>
    <mergeCell ref="U160:U176"/>
    <mergeCell ref="U219:U235"/>
    <mergeCell ref="U158:AC158"/>
    <mergeCell ref="U217:AC217"/>
    <mergeCell ref="AE219:AE235"/>
    <mergeCell ref="AR221:AR230"/>
    <mergeCell ref="BI221:BI237"/>
    <mergeCell ref="K33:O39"/>
    <mergeCell ref="K49:O58"/>
    <mergeCell ref="K60:O69"/>
    <mergeCell ref="K71:O76"/>
    <mergeCell ref="K78:O84"/>
    <mergeCell ref="AE100:AE116"/>
    <mergeCell ref="AE160:AE176"/>
  </mergeCells>
  <conditionalFormatting sqref="CE67:DH85 AT102:BG111 BK102:BX121 AY139:BL147 AG160:AP179 AT162:BG171 BK162:BX181 W178:W179 AG219:AP238 AT221:BG230 BK221:BX239">
    <cfRule type="colorScale" priority="1">
      <colorScale>
        <cfvo type="min"/>
        <cfvo type="formula" val="0"/>
        <cfvo type="max"/>
        <color rgb="FFE67C73"/>
        <color rgb="FFFFFFFF"/>
        <color rgb="FF57BB8A"/>
      </colorScale>
    </cfRule>
  </conditionalFormatting>
  <conditionalFormatting sqref="CE62:DH62 Z97:AC97 AR97:BG97 BI97:BX97 X157:AC157 AR157:BG157 BI157:BX157 X216:AC216 AR216:BG216 BI216:BX216">
    <cfRule type="colorScale" priority="2">
      <colorScale>
        <cfvo type="min"/>
        <cfvo type="percentile" val="50"/>
        <cfvo type="max"/>
        <color rgb="FFE67C73"/>
        <color rgb="FFFFFFFF"/>
        <color rgb="FF57BB8A"/>
      </colorScale>
    </cfRule>
  </conditionalFormatting>
  <conditionalFormatting sqref="AT97 AV97 BK97 BM97 W157 AG157 AT157 AV157 BK157 BM157 BK177 W216 AG216 AT216 AV216 BK216 BM216 BK236">
    <cfRule type="colorScale" priority="3">
      <colorScale>
        <cfvo type="min"/>
        <cfvo type="percentile" val="50"/>
        <cfvo type="max"/>
        <color rgb="FF57BB8A"/>
        <color rgb="FFFFFFFF"/>
        <color rgb="FFE67C73"/>
      </colorScale>
    </cfRule>
  </conditionalFormatting>
  <conditionalFormatting sqref="P58:P59">
    <cfRule type="cellIs" dxfId="0" priority="4" operator="greaterThan">
      <formula>0</formula>
    </cfRule>
  </conditionalFormatting>
  <conditionalFormatting sqref="P58:P59">
    <cfRule type="cellIs" dxfId="1" priority="5" operator="lessThan">
      <formula>0</formula>
    </cfRule>
  </conditionalFormatting>
  <conditionalFormatting sqref="W160:AC178 W219:AC238">
    <cfRule type="colorScale" priority="6">
      <colorScale>
        <cfvo type="min"/>
        <cfvo type="max"/>
        <color rgb="FFFFFFFF"/>
        <color rgb="FF57BB8A"/>
      </colorScale>
    </cfRule>
  </conditionalFormatting>
  <conditionalFormatting sqref="AG160:AP179 W178:W179 AG219:AP238">
    <cfRule type="colorScale" priority="7">
      <colorScale>
        <cfvo type="min"/>
        <cfvo type="percentile" val="5"/>
        <cfvo type="max"/>
        <color rgb="FFE67C73"/>
        <color rgb="FFFFFFFF"/>
        <color rgb="FF57BB8A"/>
      </colorScale>
    </cfRule>
  </conditionalFormatting>
  <conditionalFormatting sqref="W160:AC176 W219:AC235">
    <cfRule type="colorScale" priority="8">
      <colorScale>
        <cfvo type="min"/>
        <cfvo type="max"/>
        <color rgb="FFFFFFFF"/>
        <color rgb="FF57BB8A"/>
      </colorScale>
    </cfRule>
  </conditionalFormatting>
  <conditionalFormatting sqref="AG100:AP119 AG160:AP179 W178:W179 AG219:AP238">
    <cfRule type="colorScale" priority="9">
      <colorScale>
        <cfvo type="min"/>
        <cfvo type="max"/>
        <color rgb="FFFFFFFF"/>
        <color rgb="FF57BB8A"/>
      </colorScale>
    </cfRule>
  </conditionalFormatting>
  <conditionalFormatting sqref="W100:AC119 W160:AC178 W219:AC238">
    <cfRule type="colorScale" priority="10">
      <colorScale>
        <cfvo type="min"/>
        <cfvo type="max"/>
        <color rgb="FFFFFFFF"/>
        <color rgb="FF57BB8A"/>
      </colorScale>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38"/>
    <col customWidth="1" min="2" max="2" width="40.13"/>
    <col customWidth="1" min="4" max="4" width="2.25"/>
    <col customWidth="1" min="5" max="5" width="35.88"/>
    <col customWidth="1" min="6" max="6" width="16.88"/>
    <col customWidth="1" min="7" max="8" width="2.38"/>
    <col customWidth="1" min="9" max="9" width="6.25"/>
    <col customWidth="1" min="10" max="20" width="2.38"/>
    <col customWidth="1" min="21" max="21" width="3.63"/>
    <col customWidth="1" min="22" max="22" width="10.75"/>
    <col customWidth="1" min="23" max="23" width="6.5"/>
    <col customWidth="1" min="24" max="24" width="8.13"/>
    <col customWidth="1" min="25" max="26" width="6.75"/>
    <col customWidth="1" min="27" max="27" width="7.5"/>
    <col customWidth="1" min="28" max="31" width="6.75"/>
    <col customWidth="1" min="32" max="32" width="9.38"/>
    <col customWidth="1" min="33" max="33" width="7.63"/>
    <col customWidth="1" min="34" max="34" width="6.75"/>
    <col customWidth="1" min="35" max="35" width="10.0"/>
    <col customWidth="1" min="36" max="36" width="6.75"/>
    <col customWidth="1" min="37" max="37" width="10.75"/>
    <col customWidth="1" min="38" max="38" width="7.63"/>
    <col customWidth="1" min="39" max="39" width="6.75"/>
    <col customWidth="1" min="40" max="40" width="9.13"/>
    <col customWidth="1" min="41" max="41" width="6.75"/>
    <col customWidth="1" min="42" max="43" width="9.0"/>
    <col customWidth="1" min="44" max="44" width="6.75"/>
    <col customWidth="1" min="45" max="45" width="8.13"/>
    <col customWidth="1" min="46" max="47" width="6.75"/>
    <col customWidth="1" min="48" max="48" width="10.0"/>
    <col customWidth="1" min="49" max="49" width="6.75"/>
    <col customWidth="1" min="50" max="50" width="8.5"/>
    <col customWidth="1" min="51" max="53" width="6.75"/>
    <col customWidth="1" min="54" max="54" width="10.0"/>
    <col customWidth="1" min="55" max="61" width="6.75"/>
    <col customWidth="1" min="62" max="62" width="8.63"/>
    <col customWidth="1" min="63" max="112" width="6.75"/>
  </cols>
  <sheetData>
    <row r="1">
      <c r="A1" s="1"/>
      <c r="B1" s="1"/>
      <c r="C1" s="1"/>
      <c r="D1" s="1"/>
      <c r="F1" s="1"/>
    </row>
    <row r="2">
      <c r="D2" s="2"/>
      <c r="E2" s="3" t="str">
        <f>HYPERLINK("https://activate.codefi.network/","Check out Activate!")</f>
        <v>Check out Activate!</v>
      </c>
      <c r="F2" s="2"/>
    </row>
    <row r="3">
      <c r="D3" s="2"/>
      <c r="E3" s="4" t="s">
        <v>0</v>
      </c>
    </row>
    <row r="4">
      <c r="D4" s="2"/>
      <c r="E4" s="4" t="s">
        <v>111</v>
      </c>
      <c r="F4" s="2"/>
    </row>
    <row r="5">
      <c r="D5" s="2"/>
    </row>
    <row r="6">
      <c r="B6" s="602" t="s">
        <v>131</v>
      </c>
      <c r="C6" s="526"/>
      <c r="D6" s="526"/>
      <c r="E6" s="526"/>
      <c r="F6" s="527"/>
      <c r="R6" s="603" t="s">
        <v>132</v>
      </c>
      <c r="S6" s="526"/>
      <c r="T6" s="526"/>
      <c r="U6" s="526"/>
      <c r="V6" s="526"/>
      <c r="W6" s="526"/>
      <c r="X6" s="526"/>
      <c r="Y6" s="526"/>
      <c r="Z6" s="526"/>
      <c r="AA6" s="526"/>
      <c r="AB6" s="526"/>
      <c r="AC6" s="526"/>
      <c r="AD6" s="526"/>
      <c r="AE6" s="526"/>
      <c r="AF6" s="526"/>
      <c r="AG6" s="526"/>
      <c r="AH6" s="526"/>
      <c r="AI6" s="526"/>
      <c r="AJ6" s="526"/>
      <c r="AK6" s="526"/>
      <c r="AL6" s="526"/>
      <c r="AM6" s="526"/>
      <c r="AN6" s="526"/>
      <c r="AO6" s="526"/>
      <c r="AP6" s="526"/>
      <c r="AQ6" s="526"/>
      <c r="AR6" s="526"/>
      <c r="AS6" s="526"/>
      <c r="AT6" s="526"/>
      <c r="AU6" s="526"/>
      <c r="AV6" s="526"/>
      <c r="AW6" s="526"/>
      <c r="AX6" s="526"/>
      <c r="AY6" s="526"/>
      <c r="AZ6" s="526"/>
      <c r="BA6" s="526"/>
      <c r="BB6" s="526"/>
      <c r="BC6" s="527"/>
    </row>
    <row r="7">
      <c r="B7" s="110"/>
      <c r="F7" s="78"/>
      <c r="R7" s="110"/>
      <c r="BC7" s="78"/>
    </row>
    <row r="8">
      <c r="B8" s="110"/>
      <c r="F8" s="78"/>
      <c r="R8" s="110"/>
      <c r="BC8" s="78"/>
    </row>
    <row r="9">
      <c r="B9" s="110"/>
      <c r="F9" s="78"/>
      <c r="R9" s="110"/>
      <c r="BC9" s="78"/>
    </row>
    <row r="10">
      <c r="B10" s="110"/>
      <c r="F10" s="78"/>
      <c r="R10" s="110"/>
      <c r="BC10" s="78"/>
    </row>
    <row r="11">
      <c r="B11" s="146"/>
      <c r="C11" s="528"/>
      <c r="D11" s="528"/>
      <c r="E11" s="528"/>
      <c r="F11" s="529"/>
      <c r="R11" s="146"/>
      <c r="S11" s="528"/>
      <c r="T11" s="528"/>
      <c r="U11" s="528"/>
      <c r="V11" s="528"/>
      <c r="W11" s="528"/>
      <c r="X11" s="528"/>
      <c r="Y11" s="528"/>
      <c r="Z11" s="528"/>
      <c r="AA11" s="528"/>
      <c r="AB11" s="528"/>
      <c r="AC11" s="528"/>
      <c r="AD11" s="528"/>
      <c r="AE11" s="528"/>
      <c r="AF11" s="528"/>
      <c r="AG11" s="528"/>
      <c r="AH11" s="528"/>
      <c r="AI11" s="528"/>
      <c r="AJ11" s="528"/>
      <c r="AK11" s="528"/>
      <c r="AL11" s="528"/>
      <c r="AM11" s="528"/>
      <c r="AN11" s="528"/>
      <c r="AO11" s="528"/>
      <c r="AP11" s="528"/>
      <c r="AQ11" s="528"/>
      <c r="AR11" s="528"/>
      <c r="AS11" s="528"/>
      <c r="AT11" s="528"/>
      <c r="AU11" s="528"/>
      <c r="AV11" s="528"/>
      <c r="AW11" s="528"/>
      <c r="AX11" s="528"/>
      <c r="AY11" s="528"/>
      <c r="AZ11" s="528"/>
      <c r="BA11" s="528"/>
      <c r="BB11" s="528"/>
      <c r="BC11" s="529"/>
    </row>
    <row r="13">
      <c r="B13" s="604" t="s">
        <v>133</v>
      </c>
      <c r="C13" s="526"/>
      <c r="D13" s="526"/>
      <c r="E13" s="526"/>
      <c r="F13" s="527"/>
    </row>
    <row r="14">
      <c r="B14" s="110"/>
      <c r="F14" s="78"/>
    </row>
    <row r="15">
      <c r="B15" s="605">
        <f>C24*32</f>
        <v>104037.44</v>
      </c>
      <c r="F15" s="78"/>
    </row>
    <row r="16">
      <c r="B16" s="146"/>
      <c r="C16" s="528"/>
      <c r="D16" s="528"/>
      <c r="E16" s="528"/>
      <c r="F16" s="529"/>
    </row>
    <row r="19">
      <c r="B19" s="606" t="s">
        <v>134</v>
      </c>
      <c r="C19" s="526"/>
      <c r="D19" s="526"/>
      <c r="E19" s="526"/>
      <c r="F19" s="527"/>
    </row>
    <row r="20">
      <c r="B20" s="110"/>
      <c r="F20" s="78"/>
    </row>
    <row r="21">
      <c r="B21" s="146"/>
      <c r="C21" s="528"/>
      <c r="D21" s="528"/>
      <c r="E21" s="528"/>
      <c r="F21" s="529"/>
    </row>
    <row r="22">
      <c r="B22" s="607"/>
      <c r="C22" s="23"/>
    </row>
    <row r="23">
      <c r="B23" s="608" t="s">
        <v>6</v>
      </c>
      <c r="C23" s="609"/>
      <c r="D23" s="610"/>
      <c r="E23" s="611" t="s">
        <v>2</v>
      </c>
      <c r="F23" s="612"/>
    </row>
    <row r="24">
      <c r="B24" s="613" t="s">
        <v>8</v>
      </c>
      <c r="C24" s="614">
        <f>'Coin Market Cap'!D3</f>
        <v>3251.17</v>
      </c>
      <c r="D24" s="569"/>
      <c r="E24" s="615" t="s">
        <v>135</v>
      </c>
      <c r="F24" s="616">
        <f>(C26/C25)</f>
        <v>312500</v>
      </c>
    </row>
    <row r="25">
      <c r="B25" s="613" t="s">
        <v>10</v>
      </c>
      <c r="C25" s="617">
        <v>32.0</v>
      </c>
      <c r="D25" s="610"/>
      <c r="E25" s="613" t="s">
        <v>5</v>
      </c>
      <c r="F25" s="618">
        <f>C26/C25/C29</f>
        <v>4882.8125</v>
      </c>
    </row>
    <row r="26">
      <c r="B26" s="613" t="s">
        <v>12</v>
      </c>
      <c r="C26" s="619">
        <v>1.0E7</v>
      </c>
      <c r="D26" s="610"/>
      <c r="E26" s="613" t="s">
        <v>7</v>
      </c>
      <c r="F26" s="620">
        <f>(60*60*24*365.242)/(C30*C31)</f>
        <v>82179.45</v>
      </c>
    </row>
    <row r="27">
      <c r="B27" s="613" t="s">
        <v>14</v>
      </c>
      <c r="C27" s="621">
        <v>0.9</v>
      </c>
      <c r="D27" s="610"/>
      <c r="E27" s="613" t="s">
        <v>9</v>
      </c>
      <c r="F27" s="620">
        <f>32 * 10^9 * C32/ sqrt(C26 * 10^9) / C35</f>
        <v>5120</v>
      </c>
    </row>
    <row r="28">
      <c r="B28" s="613" t="s">
        <v>20</v>
      </c>
      <c r="C28" s="622">
        <v>1.1E8</v>
      </c>
      <c r="D28" s="610"/>
      <c r="E28" s="613" t="s">
        <v>11</v>
      </c>
      <c r="F28" s="620">
        <f>F27*C36*C27 + 1*(0.125*F27*C27 + 0.875*F27*(C27+C27*(1 - C27)*(1 - C37)+C27*(1 - C27)^2*(1 - 2*C37)))</f>
        <v>18867.96</v>
      </c>
    </row>
    <row r="29">
      <c r="B29" s="613" t="s">
        <v>21</v>
      </c>
      <c r="C29" s="617">
        <v>64.0</v>
      </c>
      <c r="D29" s="610"/>
      <c r="E29" s="613" t="s">
        <v>13</v>
      </c>
      <c r="F29" s="620">
        <f>F27*4</f>
        <v>20480</v>
      </c>
    </row>
    <row r="30">
      <c r="B30" s="613" t="s">
        <v>22</v>
      </c>
      <c r="C30" s="617">
        <v>12.0</v>
      </c>
      <c r="D30" s="610"/>
      <c r="E30" s="613" t="s">
        <v>15</v>
      </c>
      <c r="F30" s="620">
        <f>(F28*F24*C27 - F29*F24*(1-C27)) *F26  / 10^9</f>
        <v>383499.7513</v>
      </c>
    </row>
    <row r="31" ht="17.25" customHeight="1">
      <c r="B31" s="613" t="s">
        <v>24</v>
      </c>
      <c r="C31" s="617">
        <v>32.0</v>
      </c>
      <c r="D31" s="610"/>
      <c r="E31" s="613" t="s">
        <v>17</v>
      </c>
      <c r="F31" s="620">
        <f>F30/365</f>
        <v>1050.68425</v>
      </c>
    </row>
    <row r="32" ht="13.5" customHeight="1">
      <c r="B32" s="623" t="s">
        <v>26</v>
      </c>
      <c r="C32" s="624">
        <v>64.0</v>
      </c>
      <c r="D32" s="610"/>
      <c r="E32" s="623" t="s">
        <v>19</v>
      </c>
      <c r="F32" s="625">
        <f>F30/C28</f>
        <v>0.003486361376</v>
      </c>
    </row>
    <row r="33">
      <c r="B33" s="610"/>
      <c r="C33" s="610"/>
      <c r="D33" s="610"/>
      <c r="E33" s="610"/>
      <c r="F33" s="610"/>
    </row>
    <row r="34">
      <c r="B34" s="611" t="s">
        <v>32</v>
      </c>
      <c r="C34" s="626"/>
      <c r="D34" s="610"/>
      <c r="E34" s="627" t="s">
        <v>136</v>
      </c>
      <c r="F34" s="628"/>
    </row>
    <row r="35">
      <c r="B35" s="613" t="s">
        <v>35</v>
      </c>
      <c r="C35" s="629">
        <v>4.0</v>
      </c>
      <c r="D35" s="610"/>
      <c r="E35" s="613" t="s">
        <v>16</v>
      </c>
      <c r="F35" s="619">
        <v>0.0</v>
      </c>
    </row>
    <row r="36">
      <c r="B36" s="613" t="s">
        <v>37</v>
      </c>
      <c r="C36" s="629">
        <v>3.0</v>
      </c>
      <c r="D36" s="610"/>
      <c r="E36" s="613" t="s">
        <v>18</v>
      </c>
      <c r="F36" s="619">
        <v>0.0</v>
      </c>
    </row>
    <row r="37">
      <c r="B37" s="623" t="s">
        <v>39</v>
      </c>
      <c r="C37" s="630">
        <f>1/64</f>
        <v>0.015625</v>
      </c>
      <c r="D37" s="610"/>
      <c r="E37" s="613" t="s">
        <v>25</v>
      </c>
      <c r="F37" s="631">
        <f>F36*365.24</f>
        <v>0</v>
      </c>
    </row>
    <row r="38">
      <c r="B38" s="610"/>
      <c r="C38" s="610"/>
      <c r="D38" s="610"/>
      <c r="E38" s="613" t="s">
        <v>27</v>
      </c>
      <c r="F38" s="622">
        <f>F30-F37</f>
        <v>383499.7513</v>
      </c>
    </row>
    <row r="39">
      <c r="B39" s="610"/>
      <c r="C39" s="610"/>
      <c r="D39" s="610"/>
      <c r="E39" s="613" t="s">
        <v>28</v>
      </c>
      <c r="F39" s="632">
        <f>F38/C28</f>
        <v>0.003486361376</v>
      </c>
    </row>
    <row r="40">
      <c r="B40" s="610"/>
      <c r="C40" s="610"/>
      <c r="D40" s="610"/>
      <c r="E40" s="633" t="s">
        <v>29</v>
      </c>
      <c r="F40" s="634">
        <f>F37/F38</f>
        <v>0</v>
      </c>
    </row>
    <row r="41">
      <c r="B41" s="610"/>
      <c r="C41" s="610"/>
      <c r="D41" s="610"/>
      <c r="E41" s="635" t="s">
        <v>30</v>
      </c>
      <c r="F41" s="636" t="str">
        <f>F38/F37</f>
        <v>#DIV/0!</v>
      </c>
    </row>
    <row r="45">
      <c r="B45" s="606" t="s">
        <v>137</v>
      </c>
      <c r="C45" s="526"/>
      <c r="D45" s="526"/>
      <c r="E45" s="526"/>
      <c r="F45" s="527"/>
    </row>
    <row r="46">
      <c r="B46" s="110"/>
      <c r="F46" s="78"/>
      <c r="M46" s="38"/>
    </row>
    <row r="47">
      <c r="B47" s="146"/>
      <c r="C47" s="528"/>
      <c r="D47" s="528"/>
      <c r="E47" s="528"/>
      <c r="F47" s="529"/>
    </row>
    <row r="49">
      <c r="B49" s="637" t="s">
        <v>138</v>
      </c>
      <c r="C49" s="638"/>
      <c r="D49" s="610"/>
      <c r="E49" s="608" t="s">
        <v>41</v>
      </c>
      <c r="F49" s="639"/>
    </row>
    <row r="50">
      <c r="B50" s="613" t="s">
        <v>33</v>
      </c>
      <c r="C50" s="640" t="s">
        <v>34</v>
      </c>
      <c r="D50" s="610"/>
      <c r="E50" s="641" t="s">
        <v>43</v>
      </c>
      <c r="F50" s="642">
        <f>C25*C56</f>
        <v>32</v>
      </c>
    </row>
    <row r="51">
      <c r="B51" s="613" t="s">
        <v>36</v>
      </c>
      <c r="C51" s="640" t="s">
        <v>34</v>
      </c>
      <c r="D51" s="610"/>
      <c r="E51" s="641" t="s">
        <v>45</v>
      </c>
      <c r="F51" s="643">
        <f>(F28*C55-F29*(1-C55))*F26/10^9/C25</f>
        <v>0.04744445745</v>
      </c>
    </row>
    <row r="52">
      <c r="B52" s="623" t="s">
        <v>38</v>
      </c>
      <c r="C52" s="644" t="s">
        <v>34</v>
      </c>
      <c r="D52" s="610"/>
      <c r="E52" s="641" t="s">
        <v>47</v>
      </c>
      <c r="F52" s="645">
        <f>F50*C24*F51</f>
        <v>4935.999895</v>
      </c>
    </row>
    <row r="53">
      <c r="B53" s="610"/>
      <c r="C53" s="610"/>
      <c r="D53" s="610"/>
      <c r="E53" s="641" t="s">
        <v>49</v>
      </c>
      <c r="F53" s="646">
        <f>F35*365.24/C26</f>
        <v>0</v>
      </c>
    </row>
    <row r="54">
      <c r="B54" s="637" t="s">
        <v>40</v>
      </c>
      <c r="C54" s="638"/>
      <c r="D54" s="610"/>
      <c r="E54" s="641" t="s">
        <v>51</v>
      </c>
      <c r="F54" s="645">
        <f>F53*F50*C24</f>
        <v>0</v>
      </c>
      <c r="G54" s="52"/>
      <c r="H54" s="52"/>
      <c r="I54" s="52"/>
      <c r="J54" s="52"/>
      <c r="K54" s="52"/>
      <c r="L54" s="52"/>
      <c r="M54" s="52"/>
      <c r="N54" s="52"/>
      <c r="O54" s="52"/>
      <c r="P54" s="52"/>
      <c r="Q54" s="52"/>
      <c r="CF54" s="52"/>
      <c r="CG54" s="52"/>
      <c r="CH54" s="52"/>
      <c r="CI54" s="52"/>
      <c r="CJ54" s="52"/>
      <c r="CK54" s="52"/>
      <c r="CL54" s="52"/>
      <c r="CM54" s="52"/>
      <c r="CN54" s="52"/>
      <c r="CO54" s="52"/>
      <c r="CP54" s="52"/>
      <c r="CQ54" s="52"/>
      <c r="CR54" s="52"/>
      <c r="CS54" s="52"/>
      <c r="CT54" s="52"/>
      <c r="CU54" s="52"/>
      <c r="CV54" s="52"/>
      <c r="CW54" s="52"/>
      <c r="CX54" s="52"/>
      <c r="CY54" s="52"/>
      <c r="CZ54" s="52"/>
      <c r="DA54" s="52"/>
      <c r="DB54" s="52"/>
      <c r="DC54" s="52"/>
      <c r="DD54" s="52"/>
      <c r="DE54" s="52"/>
      <c r="DF54" s="52"/>
      <c r="DG54" s="52"/>
      <c r="DH54" s="52"/>
    </row>
    <row r="55">
      <c r="B55" s="613" t="s">
        <v>42</v>
      </c>
      <c r="C55" s="621">
        <v>0.99</v>
      </c>
      <c r="D55" s="610"/>
      <c r="E55" s="647" t="s">
        <v>53</v>
      </c>
      <c r="F55" s="648">
        <f>sum(F52+F54)</f>
        <v>4935.999895</v>
      </c>
    </row>
    <row r="56">
      <c r="B56" s="613" t="s">
        <v>44</v>
      </c>
      <c r="C56" s="629">
        <v>1.0</v>
      </c>
      <c r="D56" s="610"/>
      <c r="E56" s="649" t="s">
        <v>56</v>
      </c>
      <c r="F56" s="650">
        <f>(F55)/((C25*C24)*C56)</f>
        <v>0.04744445745</v>
      </c>
    </row>
    <row r="57">
      <c r="B57" s="613" t="s">
        <v>46</v>
      </c>
      <c r="C57" s="651">
        <v>225.0</v>
      </c>
      <c r="D57" s="610"/>
      <c r="E57" s="652" t="s">
        <v>61</v>
      </c>
      <c r="F57" s="653">
        <f>IF(C52="Yes",0,C67*8760/1000*C59)</f>
        <v>0</v>
      </c>
      <c r="I57" s="63"/>
    </row>
    <row r="58">
      <c r="B58" s="613" t="s">
        <v>48</v>
      </c>
      <c r="C58" s="629">
        <v>2.5</v>
      </c>
      <c r="D58" s="610"/>
      <c r="E58" s="652" t="s">
        <v>65</v>
      </c>
      <c r="F58" s="654">
        <f>if(C52="Yes",0,C57/C58*C66)</f>
        <v>0</v>
      </c>
    </row>
    <row r="59">
      <c r="B59" s="613" t="s">
        <v>50</v>
      </c>
      <c r="C59" s="655">
        <f>average(0.15,0.19,0.22,0.22,0.33,0.1936,0.11,0.2)</f>
        <v>0.2017</v>
      </c>
      <c r="D59" s="610"/>
      <c r="E59" s="652" t="s">
        <v>70</v>
      </c>
      <c r="F59" s="653">
        <f>IF(C50="Yes",0,C62*12)</f>
        <v>0</v>
      </c>
    </row>
    <row r="60">
      <c r="B60" s="613" t="s">
        <v>52</v>
      </c>
      <c r="C60" s="629">
        <v>10.0</v>
      </c>
      <c r="D60" s="610"/>
      <c r="E60" s="656" t="s">
        <v>72</v>
      </c>
      <c r="F60" s="657">
        <f>if(C51="yes",0,C63)</f>
        <v>0</v>
      </c>
    </row>
    <row r="61">
      <c r="B61" s="613" t="s">
        <v>55</v>
      </c>
      <c r="C61" s="629">
        <v>40.0</v>
      </c>
      <c r="D61" s="610"/>
      <c r="E61" s="656" t="s">
        <v>75</v>
      </c>
      <c r="F61" s="657">
        <f>if(C52="Yes",12*C64*C66,0)</f>
        <v>240</v>
      </c>
      <c r="CF61" s="23"/>
      <c r="CG61" s="23"/>
      <c r="CH61" s="23"/>
      <c r="CI61" s="23"/>
      <c r="CJ61" s="23"/>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row>
    <row r="62">
      <c r="B62" s="613" t="s">
        <v>60</v>
      </c>
      <c r="C62" s="655">
        <f>average(31.14,36.68,37.15,39.58,67.69,72.68,57.66, 68.78)</f>
        <v>51.42</v>
      </c>
      <c r="D62" s="610"/>
      <c r="E62" s="656" t="s">
        <v>77</v>
      </c>
      <c r="F62" s="657">
        <f>C65*C66</f>
        <v>25</v>
      </c>
      <c r="CF62" s="87"/>
      <c r="CG62" s="87"/>
      <c r="CH62" s="87"/>
      <c r="CI62" s="87"/>
      <c r="CJ62" s="87"/>
      <c r="CK62" s="87"/>
      <c r="CL62" s="87"/>
      <c r="CM62" s="87"/>
      <c r="CN62" s="87"/>
      <c r="CO62" s="87"/>
      <c r="CP62" s="87"/>
      <c r="CQ62" s="87"/>
      <c r="CR62" s="87"/>
      <c r="CS62" s="87"/>
      <c r="CT62" s="87"/>
      <c r="CU62" s="87"/>
      <c r="CV62" s="87"/>
      <c r="CW62" s="87"/>
      <c r="CX62" s="87"/>
      <c r="CY62" s="87"/>
      <c r="CZ62" s="87"/>
      <c r="DA62" s="87"/>
      <c r="DB62" s="87"/>
      <c r="DC62" s="87"/>
      <c r="DD62" s="87"/>
      <c r="DE62" s="87"/>
      <c r="DF62" s="87"/>
      <c r="DG62" s="87"/>
      <c r="DH62" s="87"/>
    </row>
    <row r="63">
      <c r="B63" s="613" t="s">
        <v>64</v>
      </c>
      <c r="C63" s="651">
        <v>90.0</v>
      </c>
      <c r="D63" s="610"/>
      <c r="E63" s="658" t="s">
        <v>79</v>
      </c>
      <c r="F63" s="659">
        <f>sum(F57:F62)</f>
        <v>265</v>
      </c>
      <c r="I63" s="9" t="s">
        <v>62</v>
      </c>
      <c r="CF63" s="87"/>
      <c r="CG63" s="87"/>
      <c r="CH63" s="87"/>
      <c r="CI63" s="87"/>
      <c r="CJ63" s="87"/>
      <c r="CK63" s="87"/>
      <c r="CL63" s="87"/>
      <c r="CM63" s="87"/>
      <c r="CN63" s="87"/>
      <c r="CO63" s="87"/>
      <c r="CP63" s="87"/>
      <c r="CQ63" s="87"/>
      <c r="CR63" s="87"/>
      <c r="CS63" s="87"/>
      <c r="CT63" s="87"/>
      <c r="CU63" s="87"/>
      <c r="CV63" s="87"/>
      <c r="CW63" s="87"/>
      <c r="CX63" s="87"/>
      <c r="CY63" s="87"/>
      <c r="CZ63" s="87"/>
      <c r="DA63" s="87"/>
      <c r="DB63" s="87"/>
      <c r="DC63" s="87"/>
      <c r="DD63" s="87"/>
      <c r="DE63" s="87"/>
      <c r="DF63" s="87"/>
      <c r="DG63" s="87"/>
      <c r="DH63" s="87"/>
    </row>
    <row r="64">
      <c r="B64" s="613" t="s">
        <v>69</v>
      </c>
      <c r="C64" s="651">
        <v>20.0</v>
      </c>
      <c r="D64" s="610"/>
      <c r="E64" s="660" t="s">
        <v>81</v>
      </c>
      <c r="F64" s="661">
        <f>F55-F63</f>
        <v>4670.999895</v>
      </c>
      <c r="R64" s="5" t="s">
        <v>19</v>
      </c>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7"/>
      <c r="CF64" s="87"/>
      <c r="CG64" s="87"/>
      <c r="CH64" s="87"/>
      <c r="CI64" s="87"/>
      <c r="CJ64" s="87"/>
      <c r="CK64" s="87"/>
      <c r="CL64" s="87"/>
      <c r="CM64" s="87"/>
      <c r="CN64" s="87"/>
      <c r="CO64" s="87"/>
      <c r="CP64" s="87"/>
      <c r="CQ64" s="87"/>
      <c r="CR64" s="87"/>
      <c r="CS64" s="87"/>
      <c r="CT64" s="87"/>
      <c r="CU64" s="87"/>
      <c r="CV64" s="87"/>
      <c r="CW64" s="87"/>
      <c r="CX64" s="87"/>
      <c r="CY64" s="87"/>
      <c r="CZ64" s="87"/>
      <c r="DA64" s="87"/>
      <c r="DB64" s="87"/>
      <c r="DC64" s="87"/>
      <c r="DD64" s="87"/>
      <c r="DE64" s="87"/>
      <c r="DF64" s="87"/>
      <c r="DG64" s="87"/>
      <c r="DH64" s="87"/>
    </row>
    <row r="65">
      <c r="B65" s="613" t="s">
        <v>71</v>
      </c>
      <c r="C65" s="651">
        <v>25.0</v>
      </c>
      <c r="D65" s="610"/>
      <c r="E65" s="662" t="s">
        <v>82</v>
      </c>
      <c r="F65" s="663">
        <f>F64/(F50*C24)</f>
        <v>0.0448972975</v>
      </c>
      <c r="R65" s="10"/>
      <c r="BB65" s="11"/>
      <c r="CF65" s="115"/>
      <c r="CG65" s="115"/>
      <c r="CH65" s="115"/>
      <c r="CI65" s="115"/>
      <c r="CJ65" s="115"/>
      <c r="CK65" s="115"/>
      <c r="CL65" s="115"/>
      <c r="CM65" s="115"/>
      <c r="CN65" s="115"/>
      <c r="CO65" s="115"/>
      <c r="CP65" s="115"/>
      <c r="CQ65" s="115"/>
      <c r="CR65" s="115"/>
      <c r="CS65" s="115"/>
      <c r="CT65" s="115"/>
      <c r="CU65" s="115"/>
      <c r="CV65" s="115"/>
      <c r="CW65" s="115"/>
      <c r="CX65" s="115"/>
      <c r="CY65" s="115"/>
      <c r="CZ65" s="115"/>
      <c r="DA65" s="115"/>
      <c r="DB65" s="115"/>
      <c r="DC65" s="115"/>
      <c r="DD65" s="115"/>
      <c r="DE65" s="115"/>
      <c r="DF65" s="115"/>
      <c r="DG65" s="115"/>
      <c r="DH65" s="115"/>
    </row>
    <row r="66">
      <c r="B66" s="664" t="s">
        <v>74</v>
      </c>
      <c r="C66" s="665">
        <v>1.0</v>
      </c>
      <c r="D66" s="610"/>
      <c r="E66" s="610"/>
      <c r="F66" s="610"/>
      <c r="R66" s="10"/>
      <c r="BB66" s="11"/>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row>
    <row r="67">
      <c r="B67" s="613" t="s">
        <v>76</v>
      </c>
      <c r="C67" s="618">
        <f>C66*C61+1024*(1-(1023/1024)^C56)*C60</f>
        <v>50</v>
      </c>
      <c r="D67" s="610"/>
      <c r="E67" s="610"/>
      <c r="F67" s="610"/>
      <c r="R67" s="10"/>
      <c r="BB67" s="11"/>
      <c r="CF67" s="123"/>
      <c r="CG67" s="123"/>
      <c r="CH67" s="123"/>
      <c r="CI67" s="123"/>
      <c r="CJ67" s="123"/>
      <c r="CK67" s="123"/>
      <c r="CL67" s="123"/>
      <c r="CM67" s="123"/>
      <c r="CN67" s="123"/>
      <c r="CO67" s="123"/>
      <c r="CP67" s="123"/>
      <c r="CQ67" s="123"/>
      <c r="CR67" s="123"/>
      <c r="CS67" s="123"/>
      <c r="CT67" s="123"/>
      <c r="CU67" s="123"/>
      <c r="CV67" s="123"/>
      <c r="CW67" s="123"/>
      <c r="CX67" s="123"/>
      <c r="CY67" s="123"/>
      <c r="CZ67" s="123"/>
      <c r="DA67" s="123"/>
      <c r="DB67" s="123"/>
      <c r="DC67" s="123"/>
      <c r="DD67" s="123"/>
      <c r="DE67" s="123"/>
      <c r="DF67" s="123"/>
      <c r="DG67" s="123"/>
      <c r="DH67" s="123"/>
    </row>
    <row r="68" ht="19.5" customHeight="1">
      <c r="B68" s="666" t="s">
        <v>78</v>
      </c>
      <c r="C68" s="667">
        <f>F50*C24</f>
        <v>104037.44</v>
      </c>
      <c r="D68" s="610"/>
      <c r="E68" s="610"/>
      <c r="F68" s="610"/>
      <c r="R68" s="10"/>
      <c r="BB68" s="11"/>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row>
    <row r="69">
      <c r="B69" s="668" t="s">
        <v>80</v>
      </c>
      <c r="C69" s="669">
        <f>(C57*C66)+C63+(F50*C24)+(C65*C56)</f>
        <v>104377.44</v>
      </c>
      <c r="D69" s="610"/>
      <c r="E69" s="610"/>
      <c r="F69" s="610"/>
      <c r="R69" s="10"/>
      <c r="BB69" s="11"/>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row>
    <row r="70" ht="18.0" customHeight="1">
      <c r="R70" s="10"/>
      <c r="BB70" s="11"/>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row>
    <row r="71">
      <c r="R71" s="10"/>
      <c r="BB71" s="11"/>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row>
    <row r="72">
      <c r="R72" s="10"/>
      <c r="BB72" s="11"/>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row>
    <row r="73">
      <c r="R73" s="10"/>
      <c r="BB73" s="11"/>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row>
    <row r="74">
      <c r="R74" s="10"/>
      <c r="BB74" s="11"/>
      <c r="CF74" s="144"/>
      <c r="CG74" s="144"/>
      <c r="CH74" s="144"/>
      <c r="CI74" s="144"/>
      <c r="CJ74" s="144"/>
      <c r="CK74" s="144"/>
      <c r="CL74" s="144"/>
      <c r="CM74" s="144"/>
      <c r="CN74" s="144"/>
      <c r="CO74" s="144"/>
      <c r="CP74" s="144"/>
      <c r="CQ74" s="144"/>
      <c r="CR74" s="144"/>
      <c r="CS74" s="144"/>
      <c r="CT74" s="144"/>
      <c r="CU74" s="144"/>
      <c r="CV74" s="144"/>
      <c r="CW74" s="144"/>
      <c r="CX74" s="144"/>
      <c r="CY74" s="144"/>
      <c r="CZ74" s="144"/>
      <c r="DA74" s="144"/>
      <c r="DB74" s="144"/>
      <c r="DC74" s="144"/>
      <c r="DD74" s="144"/>
      <c r="DE74" s="144"/>
      <c r="DF74" s="144"/>
      <c r="DG74" s="144"/>
      <c r="DH74" s="144"/>
    </row>
    <row r="75">
      <c r="R75" s="10"/>
      <c r="BB75" s="1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row>
    <row r="76">
      <c r="R76" s="10"/>
      <c r="BB76" s="1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row>
    <row r="77">
      <c r="R77" s="10"/>
      <c r="BB77" s="1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row>
    <row r="78">
      <c r="R78" s="10"/>
      <c r="BB78" s="1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row>
    <row r="79">
      <c r="R79" s="10"/>
      <c r="BB79" s="1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row>
    <row r="80">
      <c r="R80" s="10"/>
      <c r="BB80" s="1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row>
    <row r="81">
      <c r="R81" s="10"/>
      <c r="BB81" s="1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row>
    <row r="82">
      <c r="B82" s="152"/>
      <c r="C82" s="23"/>
      <c r="R82" s="10"/>
      <c r="BB82" s="11"/>
      <c r="CF82" s="144"/>
      <c r="CG82" s="144"/>
      <c r="CH82" s="144"/>
      <c r="CI82" s="144"/>
      <c r="CJ82" s="144"/>
      <c r="CK82" s="144"/>
      <c r="CL82" s="144"/>
      <c r="CM82" s="144"/>
      <c r="CN82" s="144"/>
      <c r="CO82" s="144"/>
      <c r="CP82" s="144"/>
      <c r="CQ82" s="144"/>
      <c r="CR82" s="144"/>
      <c r="CS82" s="144"/>
      <c r="CT82" s="144"/>
      <c r="CU82" s="144"/>
      <c r="CV82" s="144"/>
      <c r="CW82" s="144"/>
      <c r="CX82" s="144"/>
      <c r="CY82" s="144"/>
      <c r="CZ82" s="144"/>
      <c r="DA82" s="144"/>
      <c r="DB82" s="144"/>
      <c r="DC82" s="144"/>
      <c r="DD82" s="144"/>
      <c r="DE82" s="144"/>
      <c r="DF82" s="144"/>
      <c r="DG82" s="144"/>
      <c r="DH82" s="144"/>
    </row>
    <row r="83">
      <c r="B83" s="152"/>
      <c r="C83" s="23"/>
      <c r="R83" s="10"/>
      <c r="BB83" s="1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row>
    <row r="84">
      <c r="B84" s="152"/>
      <c r="C84" s="23"/>
      <c r="R84" s="10"/>
      <c r="BB84" s="11"/>
      <c r="CF84" s="144"/>
      <c r="CG84" s="144"/>
      <c r="CH84" s="144"/>
      <c r="CI84" s="144"/>
      <c r="CJ84" s="144"/>
      <c r="CK84" s="144"/>
      <c r="CL84" s="144"/>
      <c r="CM84" s="144"/>
      <c r="CN84" s="144"/>
      <c r="CO84" s="144"/>
      <c r="CP84" s="144"/>
      <c r="CQ84" s="144"/>
      <c r="CR84" s="144"/>
      <c r="CS84" s="144"/>
      <c r="CT84" s="144"/>
      <c r="CU84" s="144"/>
      <c r="CV84" s="144"/>
      <c r="CW84" s="144"/>
      <c r="CX84" s="144"/>
      <c r="CY84" s="144"/>
      <c r="CZ84" s="144"/>
      <c r="DA84" s="144"/>
      <c r="DB84" s="144"/>
      <c r="DC84" s="144"/>
      <c r="DD84" s="144"/>
      <c r="DE84" s="144"/>
      <c r="DF84" s="144"/>
      <c r="DG84" s="144"/>
      <c r="DH84" s="144"/>
    </row>
    <row r="85">
      <c r="B85" s="23"/>
      <c r="C85" s="23"/>
      <c r="R85" s="10"/>
      <c r="BB85" s="11"/>
    </row>
    <row r="86">
      <c r="B86" s="23"/>
      <c r="C86" s="23"/>
      <c r="R86" s="10"/>
      <c r="BB86" s="11"/>
    </row>
    <row r="87">
      <c r="B87" s="23"/>
      <c r="C87" s="298"/>
      <c r="R87" s="10"/>
      <c r="BB87" s="11"/>
    </row>
    <row r="88">
      <c r="B88" s="23"/>
      <c r="C88" s="23"/>
      <c r="R88" s="10"/>
      <c r="BB88" s="11"/>
    </row>
    <row r="89">
      <c r="B89" s="23"/>
      <c r="C89" s="23"/>
      <c r="R89" s="10"/>
      <c r="BB89" s="11"/>
    </row>
    <row r="90">
      <c r="B90" s="151"/>
      <c r="C90" s="23"/>
      <c r="R90" s="10"/>
      <c r="BB90" s="11"/>
    </row>
    <row r="91">
      <c r="B91" s="152"/>
      <c r="C91" s="153"/>
      <c r="R91" s="10"/>
      <c r="BB91" s="11"/>
    </row>
    <row r="92">
      <c r="B92" s="152"/>
      <c r="C92" s="153"/>
      <c r="R92" s="10"/>
      <c r="BB92" s="11"/>
    </row>
    <row r="93">
      <c r="B93" s="152"/>
      <c r="C93" s="153"/>
      <c r="R93" s="10"/>
      <c r="BB93" s="11"/>
    </row>
    <row r="94">
      <c r="B94" s="152"/>
      <c r="C94" s="153"/>
      <c r="R94" s="10"/>
      <c r="AM94" s="670"/>
      <c r="BB94" s="11"/>
    </row>
    <row r="95">
      <c r="B95" s="152"/>
      <c r="C95" s="153"/>
      <c r="R95" s="10"/>
      <c r="BB95" s="11"/>
    </row>
    <row r="96">
      <c r="B96" s="152"/>
      <c r="C96" s="153"/>
      <c r="R96" s="10"/>
      <c r="BB96" s="11"/>
    </row>
    <row r="97">
      <c r="B97" s="152"/>
      <c r="C97" s="153"/>
      <c r="R97" s="10"/>
      <c r="BB97" s="11"/>
    </row>
    <row r="98">
      <c r="B98" s="152"/>
      <c r="C98" s="153"/>
      <c r="R98" s="10"/>
      <c r="U98" s="671" t="s">
        <v>88</v>
      </c>
      <c r="V98" s="492"/>
      <c r="W98" s="492"/>
      <c r="X98" s="492"/>
      <c r="Y98" s="492"/>
      <c r="Z98" s="74"/>
      <c r="AA98" s="74"/>
      <c r="AB98" s="74"/>
      <c r="AC98" s="75"/>
      <c r="AD98" s="505"/>
      <c r="AE98" s="671" t="s">
        <v>139</v>
      </c>
      <c r="AF98" s="492"/>
      <c r="AG98" s="492"/>
      <c r="AH98" s="492"/>
      <c r="AI98" s="492"/>
      <c r="AJ98" s="74"/>
      <c r="AK98" s="74"/>
      <c r="AL98" s="74"/>
      <c r="AM98" s="75"/>
      <c r="AO98" s="672" t="s">
        <v>54</v>
      </c>
      <c r="AP98" s="434"/>
      <c r="AQ98" s="434"/>
      <c r="AR98" s="434"/>
      <c r="AS98" s="73"/>
      <c r="AT98" s="73"/>
      <c r="AU98" s="73"/>
      <c r="AV98" s="74"/>
      <c r="AW98" s="74"/>
      <c r="AX98" s="74"/>
      <c r="AY98" s="74"/>
      <c r="AZ98" s="75"/>
      <c r="BB98" s="11"/>
    </row>
    <row r="99">
      <c r="B99" s="152"/>
      <c r="C99" s="153"/>
      <c r="R99" s="10"/>
      <c r="U99" s="673" t="s">
        <v>57</v>
      </c>
      <c r="AC99" s="78"/>
      <c r="AD99" s="505"/>
      <c r="AE99" s="673" t="s">
        <v>57</v>
      </c>
      <c r="AM99" s="78"/>
      <c r="AO99" s="674" t="s">
        <v>58</v>
      </c>
      <c r="AP99" s="80"/>
      <c r="AQ99" s="80"/>
      <c r="AR99" s="80"/>
      <c r="AS99" s="675" t="s">
        <v>59</v>
      </c>
      <c r="AT99" s="676"/>
      <c r="AU99" s="677"/>
      <c r="AV99" s="678"/>
      <c r="AW99" s="498"/>
      <c r="AX99" s="498"/>
      <c r="AY99" s="498"/>
      <c r="AZ99" s="84"/>
      <c r="BB99" s="11"/>
    </row>
    <row r="100">
      <c r="B100" s="152"/>
      <c r="C100" s="153"/>
      <c r="R100" s="10"/>
      <c r="U100" s="506"/>
      <c r="V100" s="679">
        <f>F32</f>
        <v>0.003486361376</v>
      </c>
      <c r="W100" s="680">
        <v>64.0</v>
      </c>
      <c r="X100" s="681">
        <f t="shared" ref="X100:AC100" si="1">W100+10</f>
        <v>74</v>
      </c>
      <c r="Y100" s="681">
        <f t="shared" si="1"/>
        <v>84</v>
      </c>
      <c r="Z100" s="681">
        <f t="shared" si="1"/>
        <v>94</v>
      </c>
      <c r="AA100" s="681">
        <f t="shared" si="1"/>
        <v>104</v>
      </c>
      <c r="AB100" s="681">
        <f t="shared" si="1"/>
        <v>114</v>
      </c>
      <c r="AC100" s="682">
        <f t="shared" si="1"/>
        <v>124</v>
      </c>
      <c r="AD100" s="505"/>
      <c r="AE100" s="506"/>
      <c r="AF100" s="679">
        <f>F31</f>
        <v>1050.68425</v>
      </c>
      <c r="AG100" s="680">
        <v>64.0</v>
      </c>
      <c r="AH100" s="681">
        <f t="shared" ref="AH100:AM100" si="2">AG100+10</f>
        <v>74</v>
      </c>
      <c r="AI100" s="681">
        <f t="shared" si="2"/>
        <v>84</v>
      </c>
      <c r="AJ100" s="681">
        <f t="shared" si="2"/>
        <v>94</v>
      </c>
      <c r="AK100" s="681">
        <f t="shared" si="2"/>
        <v>104</v>
      </c>
      <c r="AL100" s="681">
        <f t="shared" si="2"/>
        <v>114</v>
      </c>
      <c r="AM100" s="682">
        <f t="shared" si="2"/>
        <v>124</v>
      </c>
      <c r="AO100" s="80"/>
      <c r="AP100" s="683">
        <f>F32</f>
        <v>0.003486361376</v>
      </c>
      <c r="AQ100" s="684">
        <f t="shared" ref="AQ100:AS100" si="3">AR100-0.05</f>
        <v>0.7</v>
      </c>
      <c r="AR100" s="684">
        <f t="shared" si="3"/>
        <v>0.75</v>
      </c>
      <c r="AS100" s="684">
        <f t="shared" si="3"/>
        <v>0.8</v>
      </c>
      <c r="AT100" s="685">
        <v>0.85</v>
      </c>
      <c r="AU100" s="685">
        <v>0.9</v>
      </c>
      <c r="AV100" s="684">
        <f t="shared" ref="AV100:AZ100" si="4">AU100+0.02</f>
        <v>0.92</v>
      </c>
      <c r="AW100" s="684">
        <f t="shared" si="4"/>
        <v>0.94</v>
      </c>
      <c r="AX100" s="684">
        <f t="shared" si="4"/>
        <v>0.96</v>
      </c>
      <c r="AY100" s="684">
        <f t="shared" si="4"/>
        <v>0.98</v>
      </c>
      <c r="AZ100" s="686">
        <f t="shared" si="4"/>
        <v>1</v>
      </c>
      <c r="BB100" s="11"/>
    </row>
    <row r="101">
      <c r="B101" s="152"/>
      <c r="C101" s="153"/>
      <c r="R101" s="10"/>
      <c r="U101" s="687" t="s">
        <v>66</v>
      </c>
      <c r="V101" s="688">
        <v>524288.0</v>
      </c>
      <c r="W101" s="689">
        <v>7.982838815136826E-4</v>
      </c>
      <c r="X101" s="690">
        <v>9.230157380001956E-4</v>
      </c>
      <c r="Y101" s="691">
        <v>0.0010477475944867083</v>
      </c>
      <c r="Z101" s="692">
        <v>0.0011724794509732211</v>
      </c>
      <c r="AA101" s="693">
        <v>0.0012972113074597336</v>
      </c>
      <c r="AB101" s="694">
        <v>0.0014219431639462472</v>
      </c>
      <c r="AC101" s="695">
        <v>0.0015466750204327596</v>
      </c>
      <c r="AD101" s="505"/>
      <c r="AE101" s="687" t="s">
        <v>66</v>
      </c>
      <c r="AF101" s="688">
        <v>524288.0</v>
      </c>
      <c r="AG101" s="696">
        <v>240.57870401782216</v>
      </c>
      <c r="AH101" s="697">
        <v>278.1691265206069</v>
      </c>
      <c r="AI101" s="698">
        <v>315.7595490233915</v>
      </c>
      <c r="AJ101" s="699">
        <v>353.34997152617626</v>
      </c>
      <c r="AK101" s="700">
        <v>390.94039402896084</v>
      </c>
      <c r="AL101" s="701">
        <v>428.5308165317457</v>
      </c>
      <c r="AM101" s="702">
        <v>466.1212390345303</v>
      </c>
      <c r="AO101" s="703" t="s">
        <v>66</v>
      </c>
      <c r="AP101" s="681">
        <v>525288.0</v>
      </c>
      <c r="AQ101" s="704">
        <v>2.531394138079573E-4</v>
      </c>
      <c r="AR101" s="705">
        <v>3.837991908217371E-4</v>
      </c>
      <c r="AS101" s="706">
        <v>5.183211403761138E-4</v>
      </c>
      <c r="AT101" s="707">
        <v>6.567198701748745E-4</v>
      </c>
      <c r="AU101" s="708">
        <v>7.990448216769913E-4</v>
      </c>
      <c r="AV101" s="709">
        <v>8.570918515885744E-4</v>
      </c>
      <c r="AW101" s="710">
        <v>9.157871250348404E-4</v>
      </c>
      <c r="AX101" s="711">
        <v>9.751384879258595E-4</v>
      </c>
      <c r="AY101" s="712">
        <v>0.001035154677915836</v>
      </c>
      <c r="AZ101" s="695">
        <v>0.0010958453244031055</v>
      </c>
      <c r="BB101" s="11"/>
    </row>
    <row r="102">
      <c r="B102" s="152"/>
      <c r="C102" s="153"/>
      <c r="R102" s="10"/>
      <c r="U102" s="110"/>
      <c r="V102" s="688">
        <v>1000000.0</v>
      </c>
      <c r="W102" s="713">
        <v>0.0011024842693950069</v>
      </c>
      <c r="X102" s="714">
        <v>0.0012747474364879763</v>
      </c>
      <c r="Y102" s="715">
        <v>0.0014470106035809464</v>
      </c>
      <c r="Z102" s="716">
        <v>0.0016192737706739158</v>
      </c>
      <c r="AA102" s="717">
        <v>0.0017915369377668855</v>
      </c>
      <c r="AB102" s="718">
        <v>0.0019638001048598555</v>
      </c>
      <c r="AC102" s="719">
        <v>0.002136063271952825</v>
      </c>
      <c r="AD102" s="505"/>
      <c r="AE102" s="110"/>
      <c r="AF102" s="688">
        <v>1000000.0</v>
      </c>
      <c r="AG102" s="720">
        <v>332.25553324233084</v>
      </c>
      <c r="AH102" s="721">
        <v>384.1704603114449</v>
      </c>
      <c r="AI102" s="722">
        <v>436.0853873805592</v>
      </c>
      <c r="AJ102" s="723">
        <v>488.0003144496733</v>
      </c>
      <c r="AK102" s="724">
        <v>539.9152415187874</v>
      </c>
      <c r="AL102" s="725">
        <v>591.8301685879017</v>
      </c>
      <c r="AM102" s="726">
        <v>643.7450956570158</v>
      </c>
      <c r="AP102" s="681">
        <v>1000000.0</v>
      </c>
      <c r="AQ102" s="727">
        <v>3.492697957811976E-4</v>
      </c>
      <c r="AR102" s="728">
        <v>5.295479790475963E-4</v>
      </c>
      <c r="AS102" s="729">
        <v>7.151550053978672E-4</v>
      </c>
      <c r="AT102" s="730">
        <v>9.061110298511036E-4</v>
      </c>
      <c r="AU102" s="731">
        <v>0.0011024842693950069</v>
      </c>
      <c r="AV102" s="732">
        <v>0.0011825748170420224</v>
      </c>
      <c r="AW102" s="733">
        <v>0.0012635597804719024</v>
      </c>
      <c r="AX102" s="734">
        <v>0.0013454499851004414</v>
      </c>
      <c r="AY102" s="735">
        <v>0.0014282574867298286</v>
      </c>
      <c r="AZ102" s="736">
        <v>0.0015119955715486506</v>
      </c>
      <c r="BB102" s="11"/>
    </row>
    <row r="103">
      <c r="B103" s="152"/>
      <c r="C103" s="153"/>
      <c r="R103" s="10"/>
      <c r="U103" s="110"/>
      <c r="V103" s="688">
        <f t="shared" ref="V103:V120" si="5">V102+500000</f>
        <v>1500000</v>
      </c>
      <c r="W103" s="737">
        <v>0.0013502619547314375</v>
      </c>
      <c r="X103" s="738">
        <v>0.0015612403851582245</v>
      </c>
      <c r="Y103" s="739">
        <v>0.001772218815585011</v>
      </c>
      <c r="Z103" s="740">
        <v>0.001983197246011799</v>
      </c>
      <c r="AA103" s="741">
        <v>0.002194175676438586</v>
      </c>
      <c r="AB103" s="742">
        <v>0.0024051541068653725</v>
      </c>
      <c r="AC103" s="743">
        <v>0.0026161325372921606</v>
      </c>
      <c r="AD103" s="505"/>
      <c r="AE103" s="110"/>
      <c r="AF103" s="688">
        <f t="shared" ref="AF103:AF120" si="6">AF102+500000</f>
        <v>1500000</v>
      </c>
      <c r="AG103" s="744">
        <v>406.9282603300223</v>
      </c>
      <c r="AH103" s="745">
        <v>470.5108010065882</v>
      </c>
      <c r="AI103" s="746">
        <v>534.093341683154</v>
      </c>
      <c r="AJ103" s="747">
        <v>597.6758823597202</v>
      </c>
      <c r="AK103" s="748">
        <v>661.2584230362862</v>
      </c>
      <c r="AL103" s="749">
        <v>724.8409637128519</v>
      </c>
      <c r="AM103" s="750">
        <v>788.4235043894182</v>
      </c>
      <c r="AP103" s="681">
        <f t="shared" ref="AP103:AP120" si="7">AP102+500000</f>
        <v>1500000</v>
      </c>
      <c r="AQ103" s="751">
        <v>4.277663911150091E-4</v>
      </c>
      <c r="AR103" s="752">
        <v>6.48561171494324E-4</v>
      </c>
      <c r="AS103" s="753">
        <v>8.758824251110619E-4</v>
      </c>
      <c r="AT103" s="754">
        <v>0.0011097548367214902</v>
      </c>
      <c r="AU103" s="755">
        <v>0.0013502619547314375</v>
      </c>
      <c r="AV103" s="756">
        <v>0.0014483524422090634</v>
      </c>
      <c r="AW103" s="757">
        <v>0.0015475383608296444</v>
      </c>
      <c r="AX103" s="758">
        <v>0.0016478329689656554</v>
      </c>
      <c r="AY103" s="759">
        <v>0.0017492510318989976</v>
      </c>
      <c r="AZ103" s="760">
        <v>0.0018518088218210046</v>
      </c>
      <c r="BB103" s="11"/>
    </row>
    <row r="104">
      <c r="B104" s="152"/>
      <c r="C104" s="153"/>
      <c r="R104" s="10"/>
      <c r="U104" s="110"/>
      <c r="V104" s="688">
        <f t="shared" si="5"/>
        <v>2000000</v>
      </c>
      <c r="W104" s="761">
        <v>0.0015591482060814117</v>
      </c>
      <c r="X104" s="762">
        <v>0.0018027651132816321</v>
      </c>
      <c r="Y104" s="763">
        <v>0.0020463820204818526</v>
      </c>
      <c r="Z104" s="764">
        <v>0.0022899989276820728</v>
      </c>
      <c r="AA104" s="765">
        <v>0.002533615834882293</v>
      </c>
      <c r="AB104" s="766">
        <v>0.002777232742082514</v>
      </c>
      <c r="AC104" s="767">
        <v>0.003020849649282734</v>
      </c>
      <c r="AD104" s="505"/>
      <c r="AE104" s="110"/>
      <c r="AF104" s="688">
        <f t="shared" si="6"/>
        <v>2000000</v>
      </c>
      <c r="AG104" s="768">
        <v>469.88028128480903</v>
      </c>
      <c r="AH104" s="769">
        <v>543.2990752355604</v>
      </c>
      <c r="AI104" s="770">
        <v>616.7178691863118</v>
      </c>
      <c r="AJ104" s="771">
        <v>690.136663137063</v>
      </c>
      <c r="AK104" s="772">
        <v>763.5554570878143</v>
      </c>
      <c r="AL104" s="773">
        <v>836.9742510385659</v>
      </c>
      <c r="AM104" s="774">
        <v>910.393044989317</v>
      </c>
      <c r="AP104" s="681">
        <f t="shared" si="7"/>
        <v>2000000</v>
      </c>
      <c r="AQ104" s="740">
        <v>4.939420821210506E-4</v>
      </c>
      <c r="AR104" s="766">
        <v>7.488939338963743E-4</v>
      </c>
      <c r="AS104" s="775">
        <v>0.001011381907832668</v>
      </c>
      <c r="AT104" s="776">
        <v>0.0012814345074312833</v>
      </c>
      <c r="AU104" s="777">
        <v>0.0015591482060814117</v>
      </c>
      <c r="AV104" s="778">
        <v>0.0016724133447817099</v>
      </c>
      <c r="AW104" s="779">
        <v>0.001786943378412535</v>
      </c>
      <c r="AX104" s="780">
        <v>0.0019027536164237231</v>
      </c>
      <c r="AY104" s="781">
        <v>0.002019861108294235</v>
      </c>
      <c r="AZ104" s="782">
        <v>0.002138284643532161</v>
      </c>
      <c r="BB104" s="11"/>
    </row>
    <row r="105">
      <c r="B105" s="152"/>
      <c r="C105" s="153"/>
      <c r="R105" s="10"/>
      <c r="U105" s="110"/>
      <c r="V105" s="688">
        <f t="shared" si="5"/>
        <v>2500000</v>
      </c>
      <c r="W105" s="783">
        <v>0.0017431806878974432</v>
      </c>
      <c r="X105" s="784">
        <v>0.0020155526703814187</v>
      </c>
      <c r="Y105" s="785">
        <v>0.0022879246528653943</v>
      </c>
      <c r="Z105" s="763">
        <v>0.0025602966353493696</v>
      </c>
      <c r="AA105" s="786">
        <v>0.002832668617833345</v>
      </c>
      <c r="AB105" s="787">
        <v>0.00310504060031732</v>
      </c>
      <c r="AC105" s="788">
        <v>0.003377412582801296</v>
      </c>
      <c r="AD105" s="505"/>
      <c r="AE105" s="110"/>
      <c r="AF105" s="688">
        <f t="shared" si="6"/>
        <v>2500000</v>
      </c>
      <c r="AG105" s="789">
        <v>525.3421251197774</v>
      </c>
      <c r="AH105" s="790">
        <v>607.4268321697425</v>
      </c>
      <c r="AI105" s="791">
        <v>689.5115392197079</v>
      </c>
      <c r="AJ105" s="770">
        <v>771.596246269673</v>
      </c>
      <c r="AK105" s="792">
        <v>853.6809533196382</v>
      </c>
      <c r="AL105" s="793">
        <v>935.7656603696033</v>
      </c>
      <c r="AM105" s="794">
        <v>1017.8503674195687</v>
      </c>
      <c r="AP105" s="681">
        <f t="shared" si="7"/>
        <v>2500000</v>
      </c>
      <c r="AQ105" s="795">
        <v>5.522440362852266E-4</v>
      </c>
      <c r="AR105" s="714">
        <v>8.372888720647634E-4</v>
      </c>
      <c r="AS105" s="740">
        <v>0.0011307593485636361</v>
      </c>
      <c r="AT105" s="796">
        <v>0.0014326873336651545</v>
      </c>
      <c r="AU105" s="797">
        <v>0.0017431806878974432</v>
      </c>
      <c r="AV105" s="798">
        <v>0.0018698149627048475</v>
      </c>
      <c r="AW105" s="715">
        <v>0.0019978634330367786</v>
      </c>
      <c r="AX105" s="751">
        <v>0.0021273432153785018</v>
      </c>
      <c r="AY105" s="799">
        <v>0.002258273371626987</v>
      </c>
      <c r="AZ105" s="800">
        <v>0.002390674909090909</v>
      </c>
      <c r="BB105" s="11"/>
    </row>
    <row r="106">
      <c r="B106" s="152"/>
      <c r="C106" s="153"/>
      <c r="R106" s="10"/>
      <c r="U106" s="110"/>
      <c r="V106" s="688">
        <f t="shared" si="5"/>
        <v>3000000</v>
      </c>
      <c r="W106" s="801">
        <v>0.001909558769137605</v>
      </c>
      <c r="X106" s="802">
        <v>0.0022079273268153553</v>
      </c>
      <c r="Y106" s="803">
        <v>0.002506295884493106</v>
      </c>
      <c r="Z106" s="804">
        <v>0.0028046644421708573</v>
      </c>
      <c r="AA106" s="763">
        <v>0.0031030329998486083</v>
      </c>
      <c r="AB106" s="786">
        <v>0.0034014015575263585</v>
      </c>
      <c r="AC106" s="805">
        <v>0.0036997701152041095</v>
      </c>
      <c r="AD106" s="505"/>
      <c r="AE106" s="110"/>
      <c r="AF106" s="688">
        <f t="shared" si="6"/>
        <v>3000000</v>
      </c>
      <c r="AG106" s="806">
        <v>575.483464671607</v>
      </c>
      <c r="AH106" s="807">
        <v>665.4027560265455</v>
      </c>
      <c r="AI106" s="808">
        <v>755.322047381484</v>
      </c>
      <c r="AJ106" s="809">
        <v>845.2413387364228</v>
      </c>
      <c r="AK106" s="770">
        <v>935.1606300913614</v>
      </c>
      <c r="AL106" s="792">
        <v>1025.0799214462997</v>
      </c>
      <c r="AM106" s="810">
        <v>1114.9992128012384</v>
      </c>
      <c r="AP106" s="681">
        <f t="shared" si="7"/>
        <v>3000000</v>
      </c>
      <c r="AQ106" s="764">
        <v>6.049530318422395E-4</v>
      </c>
      <c r="AR106" s="739">
        <v>9.17204004755856E-4</v>
      </c>
      <c r="AS106" s="795">
        <v>0.0012386848046363008</v>
      </c>
      <c r="AT106" s="811">
        <v>0.0015694303410006712</v>
      </c>
      <c r="AU106" s="812">
        <v>0.001909558769137605</v>
      </c>
      <c r="AV106" s="813">
        <v>0.0020482796668682517</v>
      </c>
      <c r="AW106" s="814">
        <v>0.002188549738177912</v>
      </c>
      <c r="AX106" s="766">
        <v>0.002330387733236753</v>
      </c>
      <c r="AY106" s="815">
        <v>0.0024738145333066943</v>
      </c>
      <c r="AZ106" s="816">
        <v>0.0026188531507414063</v>
      </c>
      <c r="BB106" s="11"/>
    </row>
    <row r="107">
      <c r="B107" s="152"/>
      <c r="C107" s="153"/>
      <c r="R107" s="10"/>
      <c r="U107" s="110"/>
      <c r="V107" s="688">
        <f t="shared" si="5"/>
        <v>3500000</v>
      </c>
      <c r="W107" s="817">
        <v>0.0020625592051919488</v>
      </c>
      <c r="X107" s="818">
        <v>0.002384834081003191</v>
      </c>
      <c r="Y107" s="819">
        <v>0.0027071089568144334</v>
      </c>
      <c r="Z107" s="820">
        <v>0.003029383832625674</v>
      </c>
      <c r="AA107" s="821">
        <v>0.003351658708436917</v>
      </c>
      <c r="AB107" s="822">
        <v>0.0036739335842481597</v>
      </c>
      <c r="AC107" s="823">
        <v>0.003996208460059401</v>
      </c>
      <c r="AD107" s="505"/>
      <c r="AE107" s="110"/>
      <c r="AF107" s="688">
        <f t="shared" si="6"/>
        <v>3500000</v>
      </c>
      <c r="AG107" s="824">
        <v>621.5931851263408</v>
      </c>
      <c r="AH107" s="825">
        <v>718.7171203023315</v>
      </c>
      <c r="AI107" s="826">
        <v>815.8410554783225</v>
      </c>
      <c r="AJ107" s="827">
        <v>912.9649906543128</v>
      </c>
      <c r="AK107" s="828">
        <v>1010.0889258303039</v>
      </c>
      <c r="AL107" s="829">
        <v>1107.2128610062948</v>
      </c>
      <c r="AM107" s="830">
        <v>1204.3367961822853</v>
      </c>
      <c r="AP107" s="681">
        <f t="shared" si="7"/>
        <v>3500000</v>
      </c>
      <c r="AQ107" s="831">
        <v>6.534239556808718E-4</v>
      </c>
      <c r="AR107" s="832">
        <v>9.90693553727325E-4</v>
      </c>
      <c r="AS107" s="833">
        <v>0.0013379325043176436</v>
      </c>
      <c r="AT107" s="834">
        <v>0.0016951785140398622</v>
      </c>
      <c r="AU107" s="835">
        <v>0.0020625592051919488</v>
      </c>
      <c r="AV107" s="836">
        <v>0.0022123948997990624</v>
      </c>
      <c r="AW107" s="714">
        <v>0.0023639038931165765</v>
      </c>
      <c r="AX107" s="837">
        <v>0.0025171064376429773</v>
      </c>
      <c r="AY107" s="838">
        <v>0.002672025087718924</v>
      </c>
      <c r="AZ107" s="839">
        <v>0.002828684699527248</v>
      </c>
      <c r="BB107" s="11"/>
    </row>
    <row r="108">
      <c r="B108" s="152"/>
      <c r="C108" s="153"/>
      <c r="R108" s="10"/>
      <c r="U108" s="110"/>
      <c r="V108" s="688">
        <f t="shared" si="5"/>
        <v>4000000</v>
      </c>
      <c r="W108" s="840">
        <v>0.0022049685387900138</v>
      </c>
      <c r="X108" s="841">
        <v>0.0025494948729759526</v>
      </c>
      <c r="Y108" s="842">
        <v>0.0028940212071618928</v>
      </c>
      <c r="Z108" s="784">
        <v>0.0032385475413478316</v>
      </c>
      <c r="AA108" s="843">
        <v>0.003583073875533771</v>
      </c>
      <c r="AB108" s="844">
        <v>0.003927600209719711</v>
      </c>
      <c r="AC108" s="845">
        <v>0.00427212654390565</v>
      </c>
      <c r="AD108" s="505"/>
      <c r="AE108" s="110"/>
      <c r="AF108" s="688">
        <f t="shared" si="6"/>
        <v>4000000</v>
      </c>
      <c r="AG108" s="846">
        <v>664.5110664846617</v>
      </c>
      <c r="AH108" s="847">
        <v>768.3409206228898</v>
      </c>
      <c r="AI108" s="848">
        <v>872.1707747611184</v>
      </c>
      <c r="AJ108" s="790">
        <v>976.0006288993466</v>
      </c>
      <c r="AK108" s="849">
        <v>1079.8304830375748</v>
      </c>
      <c r="AL108" s="850">
        <v>1183.6603371758033</v>
      </c>
      <c r="AM108" s="851">
        <v>1287.4901913140316</v>
      </c>
      <c r="AP108" s="681">
        <f t="shared" si="7"/>
        <v>4000000</v>
      </c>
      <c r="AQ108" s="763">
        <v>6.985395915623952E-4</v>
      </c>
      <c r="AR108" s="852">
        <v>0.0010590959580951925</v>
      </c>
      <c r="AS108" s="853">
        <v>0.0014303100107957345</v>
      </c>
      <c r="AT108" s="854">
        <v>0.0018122220597022072</v>
      </c>
      <c r="AU108" s="855">
        <v>0.0022049685387900138</v>
      </c>
      <c r="AV108" s="856">
        <v>0.002365149634084045</v>
      </c>
      <c r="AW108" s="857">
        <v>0.002527119560943805</v>
      </c>
      <c r="AX108" s="795">
        <v>0.002690899970200883</v>
      </c>
      <c r="AY108" s="787">
        <v>0.002856514973459657</v>
      </c>
      <c r="AZ108" s="858">
        <v>0.003023991143097301</v>
      </c>
      <c r="BB108" s="11"/>
    </row>
    <row r="109">
      <c r="B109" s="152"/>
      <c r="C109" s="153"/>
      <c r="R109" s="10"/>
      <c r="U109" s="110"/>
      <c r="V109" s="688">
        <f t="shared" si="5"/>
        <v>4500000</v>
      </c>
      <c r="W109" s="859">
        <v>0.002338722309122117</v>
      </c>
      <c r="X109" s="860">
        <v>0.002704147669922447</v>
      </c>
      <c r="Y109" s="818">
        <v>0.0030695730307227784</v>
      </c>
      <c r="Z109" s="819">
        <v>0.003434998391523109</v>
      </c>
      <c r="AA109" s="861">
        <v>0.0038004237523234395</v>
      </c>
      <c r="AB109" s="804">
        <v>0.004165849113123771</v>
      </c>
      <c r="AC109" s="862">
        <v>0.0045312744739241006</v>
      </c>
      <c r="AD109" s="505"/>
      <c r="AE109" s="110"/>
      <c r="AF109" s="688">
        <f t="shared" si="6"/>
        <v>4500000</v>
      </c>
      <c r="AG109" s="863">
        <v>704.8204219272133</v>
      </c>
      <c r="AH109" s="864">
        <v>814.9486128533403</v>
      </c>
      <c r="AI109" s="825">
        <v>925.0768037794675</v>
      </c>
      <c r="AJ109" s="826">
        <v>1035.2049947055946</v>
      </c>
      <c r="AK109" s="865">
        <v>1145.3331856317216</v>
      </c>
      <c r="AL109" s="809">
        <v>1255.4613765578488</v>
      </c>
      <c r="AM109" s="866">
        <v>1365.5895674839755</v>
      </c>
      <c r="AP109" s="681">
        <f t="shared" si="7"/>
        <v>4500000</v>
      </c>
      <c r="AQ109" s="867">
        <v>7.409131231815758E-4</v>
      </c>
      <c r="AR109" s="868">
        <v>0.0011233409008445613</v>
      </c>
      <c r="AS109" s="869">
        <v>0.0015170728617490018</v>
      </c>
      <c r="AT109" s="870">
        <v>0.0019221517611469248</v>
      </c>
      <c r="AU109" s="871">
        <v>0.002338722309122117</v>
      </c>
      <c r="AV109" s="872">
        <v>0.0025086200171725638</v>
      </c>
      <c r="AW109" s="873">
        <v>0.0026804150676188027</v>
      </c>
      <c r="AX109" s="874">
        <v>0.0028541304246355844</v>
      </c>
      <c r="AY109" s="875">
        <v>0.0030297916624413518</v>
      </c>
      <c r="AZ109" s="876">
        <v>0.0032074269652982417</v>
      </c>
      <c r="BB109" s="11"/>
    </row>
    <row r="110">
      <c r="B110" s="152"/>
      <c r="C110" s="153"/>
      <c r="R110" s="10"/>
      <c r="U110" s="110"/>
      <c r="V110" s="688">
        <f t="shared" si="5"/>
        <v>5000000</v>
      </c>
      <c r="W110" s="877">
        <v>0.0024652297704914256</v>
      </c>
      <c r="X110" s="878">
        <v>0.0028504219221307104</v>
      </c>
      <c r="Y110" s="879">
        <v>0.0032356140737699957</v>
      </c>
      <c r="Z110" s="842">
        <v>0.0036208062254092814</v>
      </c>
      <c r="AA110" s="784">
        <v>0.004005998377048565</v>
      </c>
      <c r="AB110" s="880">
        <v>0.004391190528687852</v>
      </c>
      <c r="AC110" s="881">
        <v>0.004776382680327137</v>
      </c>
      <c r="AD110" s="505"/>
      <c r="AE110" s="110"/>
      <c r="AF110" s="688">
        <f t="shared" si="6"/>
        <v>5000000</v>
      </c>
      <c r="AG110" s="882">
        <v>742.9459582302927</v>
      </c>
      <c r="AH110" s="883">
        <v>859.0312642037757</v>
      </c>
      <c r="AI110" s="884">
        <v>975.1165701772591</v>
      </c>
      <c r="AJ110" s="848">
        <v>1091.2018761507425</v>
      </c>
      <c r="AK110" s="790">
        <v>1207.287182124225</v>
      </c>
      <c r="AL110" s="885">
        <v>1323.3724880977088</v>
      </c>
      <c r="AM110" s="886">
        <v>1439.4577940711918</v>
      </c>
      <c r="AP110" s="681">
        <f t="shared" si="7"/>
        <v>5000000</v>
      </c>
      <c r="AQ110" s="887">
        <v>7.809910058542267E-4</v>
      </c>
      <c r="AR110" s="844">
        <v>0.0011841052784980592</v>
      </c>
      <c r="AS110" s="763">
        <v>0.0015991352065188593</v>
      </c>
      <c r="AT110" s="888">
        <v>0.002026125857909409</v>
      </c>
      <c r="AU110" s="889">
        <v>0.0024652297704914256</v>
      </c>
      <c r="AV110" s="853">
        <v>0.002644317679385338</v>
      </c>
      <c r="AW110" s="832">
        <v>0.002825405562769885</v>
      </c>
      <c r="AX110" s="786">
        <v>0.0030085176270106652</v>
      </c>
      <c r="AY110" s="890">
        <v>0.003193680829700901</v>
      </c>
      <c r="AZ110" s="891">
        <v>0.0033809248796614288</v>
      </c>
      <c r="BB110" s="11"/>
    </row>
    <row r="111">
      <c r="B111" s="152"/>
      <c r="C111" s="153"/>
      <c r="R111" s="10"/>
      <c r="U111" s="110"/>
      <c r="V111" s="688">
        <f t="shared" si="5"/>
        <v>5500000</v>
      </c>
      <c r="W111" s="892">
        <v>0.0025855547960638788</v>
      </c>
      <c r="X111" s="893">
        <v>0.0029895477329488604</v>
      </c>
      <c r="Y111" s="894">
        <v>0.003393540669833841</v>
      </c>
      <c r="Z111" s="895">
        <v>0.003797533606718823</v>
      </c>
      <c r="AA111" s="819">
        <v>0.004201526543603804</v>
      </c>
      <c r="AB111" s="861">
        <v>0.004605519480488786</v>
      </c>
      <c r="AC111" s="896">
        <v>0.0050095124173737664</v>
      </c>
      <c r="AD111" s="505"/>
      <c r="AE111" s="110"/>
      <c r="AF111" s="688">
        <f t="shared" si="6"/>
        <v>5500000</v>
      </c>
      <c r="AG111" s="897">
        <v>779.2082947041827</v>
      </c>
      <c r="AH111" s="898">
        <v>900.9595907517114</v>
      </c>
      <c r="AI111" s="899">
        <v>1022.7108867992398</v>
      </c>
      <c r="AJ111" s="900">
        <v>1144.4621828467687</v>
      </c>
      <c r="AK111" s="826">
        <v>1266.2134788942972</v>
      </c>
      <c r="AL111" s="865">
        <v>1387.9647749418257</v>
      </c>
      <c r="AM111" s="901">
        <v>1509.7160709893542</v>
      </c>
      <c r="AP111" s="681">
        <f t="shared" si="7"/>
        <v>5500000</v>
      </c>
      <c r="AQ111" s="804">
        <v>8.191102772812199E-4</v>
      </c>
      <c r="AR111" s="821">
        <v>0.0012419000932537459</v>
      </c>
      <c r="AS111" s="902">
        <v>0.0016771871540173827</v>
      </c>
      <c r="AT111" s="903">
        <v>0.002125018727281727</v>
      </c>
      <c r="AU111" s="904">
        <v>0.0025855547960638788</v>
      </c>
      <c r="AV111" s="852">
        <v>0.0027733837795121045</v>
      </c>
      <c r="AW111" s="831">
        <v>0.002963310353902222</v>
      </c>
      <c r="AX111" s="853">
        <v>0.0031553599070846547</v>
      </c>
      <c r="AY111" s="853">
        <v>0.003349560712421695</v>
      </c>
      <c r="AZ111" s="905">
        <v>0.003545943928787512</v>
      </c>
      <c r="BB111" s="11"/>
    </row>
    <row r="112">
      <c r="B112" s="152"/>
      <c r="C112" s="153"/>
      <c r="R112" s="10"/>
      <c r="U112" s="110"/>
      <c r="V112" s="688">
        <f t="shared" si="5"/>
        <v>6000000</v>
      </c>
      <c r="W112" s="906">
        <v>0.002700523909462875</v>
      </c>
      <c r="X112" s="907">
        <v>0.003122480770316449</v>
      </c>
      <c r="Y112" s="860">
        <v>0.003544437631170022</v>
      </c>
      <c r="Z112" s="908">
        <v>0.003966394492023598</v>
      </c>
      <c r="AA112" s="802">
        <v>0.004388351352877172</v>
      </c>
      <c r="AB112" s="784">
        <v>0.004810308213730745</v>
      </c>
      <c r="AC112" s="909">
        <v>0.005232265074584321</v>
      </c>
      <c r="AD112" s="505"/>
      <c r="AE112" s="110"/>
      <c r="AF112" s="688">
        <f t="shared" si="6"/>
        <v>6000000</v>
      </c>
      <c r="AG112" s="910">
        <v>813.8565206600446</v>
      </c>
      <c r="AH112" s="911">
        <v>941.0216020131764</v>
      </c>
      <c r="AI112" s="864">
        <v>1068.186683366308</v>
      </c>
      <c r="AJ112" s="912">
        <v>1195.3517647194403</v>
      </c>
      <c r="AK112" s="807">
        <v>1322.5168460725724</v>
      </c>
      <c r="AL112" s="790">
        <v>1449.6819274257039</v>
      </c>
      <c r="AM112" s="913">
        <v>1576.8470087788364</v>
      </c>
      <c r="AP112" s="681">
        <f t="shared" si="7"/>
        <v>6000000</v>
      </c>
      <c r="AQ112" s="843">
        <v>8.555327822300182E-4</v>
      </c>
      <c r="AR112" s="804">
        <v>0.001297122342988648</v>
      </c>
      <c r="AS112" s="914">
        <v>0.0017517648502221239</v>
      </c>
      <c r="AT112" s="915">
        <v>0.0022195096734429804</v>
      </c>
      <c r="AU112" s="903">
        <v>0.002700523909462875</v>
      </c>
      <c r="AV112" s="763">
        <v>0.002896704884418127</v>
      </c>
      <c r="AW112" s="822">
        <v>0.0030950767216592887</v>
      </c>
      <c r="AX112" s="916">
        <v>0.003295665937931311</v>
      </c>
      <c r="AY112" s="852">
        <v>0.0034985020637979952</v>
      </c>
      <c r="AZ112" s="917">
        <v>0.0037036176436420092</v>
      </c>
      <c r="BB112" s="11"/>
    </row>
    <row r="113">
      <c r="B113" s="152"/>
      <c r="C113" s="153"/>
      <c r="R113" s="10"/>
      <c r="U113" s="110"/>
      <c r="V113" s="688">
        <f t="shared" si="5"/>
        <v>6500000</v>
      </c>
      <c r="W113" s="918">
        <v>0.0028107944015371123</v>
      </c>
      <c r="X113" s="919">
        <v>0.0032499810267772856</v>
      </c>
      <c r="Y113" s="920">
        <v>0.0036891676520174597</v>
      </c>
      <c r="Z113" s="921">
        <v>0.0041283542772576325</v>
      </c>
      <c r="AA113" s="922">
        <v>0.004567540902497806</v>
      </c>
      <c r="AB113" s="819">
        <v>0.005006727527737979</v>
      </c>
      <c r="AC113" s="923">
        <v>0.005445914152978154</v>
      </c>
      <c r="AD113" s="505"/>
      <c r="AE113" s="110"/>
      <c r="AF113" s="688">
        <f t="shared" si="6"/>
        <v>6500000</v>
      </c>
      <c r="AG113" s="924">
        <v>847.0887237509105</v>
      </c>
      <c r="AH113" s="925">
        <v>979.4463368369901</v>
      </c>
      <c r="AI113" s="926">
        <v>1111.8039499230701</v>
      </c>
      <c r="AJ113" s="927">
        <v>1244.1615630091494</v>
      </c>
      <c r="AK113" s="928">
        <v>1376.519176095229</v>
      </c>
      <c r="AL113" s="826">
        <v>1508.8767891813088</v>
      </c>
      <c r="AM113" s="929">
        <v>1641.234402267389</v>
      </c>
      <c r="AP113" s="681">
        <f t="shared" si="7"/>
        <v>6500000</v>
      </c>
      <c r="AQ113" s="820">
        <v>8.904667520984465E-4</v>
      </c>
      <c r="AR113" s="762">
        <v>0.0013500877392736586</v>
      </c>
      <c r="AS113" s="804">
        <v>0.001823294663883639</v>
      </c>
      <c r="AT113" s="930">
        <v>0.002310138911346216</v>
      </c>
      <c r="AU113" s="915">
        <v>0.0028107944015371123</v>
      </c>
      <c r="AV113" s="931">
        <v>0.003014986034190345</v>
      </c>
      <c r="AW113" s="932">
        <v>0.003221457988608624</v>
      </c>
      <c r="AX113" s="763">
        <v>0.003430237864295136</v>
      </c>
      <c r="AY113" s="738">
        <v>0.0036413563976351927</v>
      </c>
      <c r="AZ113" s="933">
        <v>0.003854847461896222</v>
      </c>
      <c r="BB113" s="11"/>
    </row>
    <row r="114">
      <c r="R114" s="10"/>
      <c r="U114" s="110"/>
      <c r="V114" s="688">
        <f t="shared" si="5"/>
        <v>7000000</v>
      </c>
      <c r="W114" s="934">
        <v>0.0029168992011799266</v>
      </c>
      <c r="X114" s="935">
        <v>0.0033726647013642887</v>
      </c>
      <c r="Y114" s="893">
        <v>0.0038284302015486535</v>
      </c>
      <c r="Z114" s="936">
        <v>0.004284195701733015</v>
      </c>
      <c r="AA114" s="818">
        <v>0.0047399612019173795</v>
      </c>
      <c r="AB114" s="937">
        <v>0.005195726702101743</v>
      </c>
      <c r="AC114" s="938">
        <v>0.005651492202286107</v>
      </c>
      <c r="AD114" s="505"/>
      <c r="AE114" s="110"/>
      <c r="AF114" s="688">
        <f t="shared" si="6"/>
        <v>7000000</v>
      </c>
      <c r="AG114" s="939">
        <v>879.0655126843615</v>
      </c>
      <c r="AH114" s="940">
        <v>1016.4194990412925</v>
      </c>
      <c r="AI114" s="898">
        <v>1153.7734853982242</v>
      </c>
      <c r="AJ114" s="941">
        <v>1291.1274717551553</v>
      </c>
      <c r="AK114" s="825">
        <v>1428.481458112087</v>
      </c>
      <c r="AL114" s="942">
        <v>1565.8354444690185</v>
      </c>
      <c r="AM114" s="943">
        <v>1703.18943082595</v>
      </c>
      <c r="AP114" s="681">
        <f t="shared" si="7"/>
        <v>7000000</v>
      </c>
      <c r="AQ114" s="944">
        <v>9.240810201033649E-4</v>
      </c>
      <c r="AR114" s="880">
        <v>0.001401052259836782</v>
      </c>
      <c r="AS114" s="762">
        <v>0.0018921222931458112</v>
      </c>
      <c r="AT114" s="945">
        <v>0.002397344445198644</v>
      </c>
      <c r="AU114" s="946">
        <v>0.0029168992011799266</v>
      </c>
      <c r="AV114" s="844">
        <v>0.0031287988726208978</v>
      </c>
      <c r="AW114" s="902">
        <v>0.0033430649457920217</v>
      </c>
      <c r="AX114" s="931">
        <v>0.003559726062051326</v>
      </c>
      <c r="AY114" s="932">
        <v>0.0037788141180532613</v>
      </c>
      <c r="AZ114" s="947">
        <v>0.004000364265748697</v>
      </c>
      <c r="BB114" s="11"/>
      <c r="BZ114" s="52"/>
      <c r="CA114" s="52"/>
      <c r="CB114" s="52"/>
      <c r="CC114" s="52"/>
      <c r="CD114" s="52"/>
      <c r="CE114" s="52"/>
    </row>
    <row r="115" ht="24.0" customHeight="1">
      <c r="R115" s="10"/>
      <c r="U115" s="110"/>
      <c r="V115" s="688">
        <f t="shared" si="5"/>
        <v>7500000</v>
      </c>
      <c r="W115" s="948">
        <v>0.0030192775182112373</v>
      </c>
      <c r="X115" s="949">
        <v>0.0034910396304317437</v>
      </c>
      <c r="Y115" s="950">
        <v>0.00396280174265225</v>
      </c>
      <c r="Z115" s="860">
        <v>0.004434563854872755</v>
      </c>
      <c r="AA115" s="879">
        <v>0.004906325967093263</v>
      </c>
      <c r="AB115" s="842">
        <v>0.005378088079313768</v>
      </c>
      <c r="AC115" s="951">
        <v>0.005849850191534272</v>
      </c>
      <c r="AD115" s="505"/>
      <c r="AE115" s="110"/>
      <c r="AF115" s="688">
        <f t="shared" si="6"/>
        <v>7500000</v>
      </c>
      <c r="AG115" s="952">
        <v>909.9192520636606</v>
      </c>
      <c r="AH115" s="953">
        <v>1052.0941351986078</v>
      </c>
      <c r="AI115" s="954">
        <v>1194.2690183335546</v>
      </c>
      <c r="AJ115" s="864">
        <v>1336.4439014685015</v>
      </c>
      <c r="AK115" s="884">
        <v>1478.618784603449</v>
      </c>
      <c r="AL115" s="848">
        <v>1620.7936677383957</v>
      </c>
      <c r="AM115" s="955">
        <v>1762.9685508733423</v>
      </c>
      <c r="AP115" s="681">
        <f t="shared" si="7"/>
        <v>7500000</v>
      </c>
      <c r="AQ115" s="803">
        <v>9.565147290229223E-4</v>
      </c>
      <c r="AR115" s="956">
        <v>0.0014502268670282068</v>
      </c>
      <c r="AS115" s="843">
        <v>0.0019585326428457036</v>
      </c>
      <c r="AT115" s="957">
        <v>0.002481487253268432</v>
      </c>
      <c r="AU115" s="945">
        <v>0.0030192775182112373</v>
      </c>
      <c r="AV115" s="914">
        <v>0.0032386145161573013</v>
      </c>
      <c r="AW115" s="844">
        <v>0.003460400972603683</v>
      </c>
      <c r="AX115" s="844">
        <v>0.0036846665341725075</v>
      </c>
      <c r="AY115" s="902">
        <v>0.003911444217037814</v>
      </c>
      <c r="AZ115" s="958">
        <v>0.004140770406925561</v>
      </c>
      <c r="BB115" s="11"/>
    </row>
    <row r="116">
      <c r="R116" s="10"/>
      <c r="U116" s="110"/>
      <c r="V116" s="688">
        <f t="shared" si="5"/>
        <v>8000000</v>
      </c>
      <c r="W116" s="959">
        <v>0.0031182964121628234</v>
      </c>
      <c r="X116" s="960">
        <v>0.0036055302265632643</v>
      </c>
      <c r="Y116" s="961">
        <v>0.004092764040963705</v>
      </c>
      <c r="Z116" s="878">
        <v>0.0045799978553641455</v>
      </c>
      <c r="AA116" s="921">
        <v>0.005067231669764586</v>
      </c>
      <c r="AB116" s="895">
        <v>0.005554465484165028</v>
      </c>
      <c r="AC116" s="962">
        <v>0.006041699298565468</v>
      </c>
      <c r="AD116" s="505"/>
      <c r="AE116" s="110"/>
      <c r="AF116" s="688">
        <f t="shared" si="6"/>
        <v>8000000</v>
      </c>
      <c r="AG116" s="963">
        <v>939.7605625696181</v>
      </c>
      <c r="AH116" s="964">
        <v>1086.5981504711208</v>
      </c>
      <c r="AI116" s="965">
        <v>1233.4357383726235</v>
      </c>
      <c r="AJ116" s="883">
        <v>1380.273326274126</v>
      </c>
      <c r="AK116" s="927">
        <v>1527.1109141756285</v>
      </c>
      <c r="AL116" s="900">
        <v>1673.9485020771317</v>
      </c>
      <c r="AM116" s="966">
        <v>1820.786089978634</v>
      </c>
      <c r="AP116" s="681">
        <f t="shared" si="7"/>
        <v>8000000</v>
      </c>
      <c r="AQ116" s="967">
        <v>9.878841642421011E-4</v>
      </c>
      <c r="AR116" s="861">
        <v>0.0014977878677927487</v>
      </c>
      <c r="AS116" s="880">
        <v>0.002022763815665336</v>
      </c>
      <c r="AT116" s="968">
        <v>0.0025628690148625666</v>
      </c>
      <c r="AU116" s="957">
        <v>0.0031182964121628234</v>
      </c>
      <c r="AV116" s="887">
        <v>0.0033448266895634198</v>
      </c>
      <c r="AW116" s="887">
        <v>0.00357388675682507</v>
      </c>
      <c r="AX116" s="914">
        <v>0.0038055072328474463</v>
      </c>
      <c r="AY116" s="844">
        <v>0.00403972221658847</v>
      </c>
      <c r="AZ116" s="969">
        <v>0.004276569287064322</v>
      </c>
      <c r="BB116" s="11"/>
      <c r="CF116" s="179"/>
      <c r="CG116" s="179"/>
      <c r="CH116" s="179"/>
      <c r="CI116" s="179"/>
      <c r="CJ116" s="179"/>
      <c r="CK116" s="179"/>
      <c r="CL116" s="179"/>
      <c r="CM116" s="179"/>
      <c r="CN116" s="179"/>
      <c r="CO116" s="179"/>
      <c r="CP116" s="179"/>
      <c r="CQ116" s="179"/>
      <c r="CR116" s="179"/>
      <c r="CS116" s="179"/>
      <c r="CT116" s="179"/>
      <c r="CU116" s="179"/>
      <c r="CV116" s="179"/>
      <c r="CW116" s="179"/>
      <c r="CX116" s="179"/>
      <c r="CY116" s="179"/>
      <c r="CZ116" s="179"/>
      <c r="DA116" s="179"/>
      <c r="DB116" s="179"/>
      <c r="DC116" s="179"/>
      <c r="DD116" s="179"/>
      <c r="DE116" s="179"/>
      <c r="DF116" s="179"/>
      <c r="DG116" s="179"/>
      <c r="DH116" s="179"/>
    </row>
    <row r="117">
      <c r="R117" s="10"/>
      <c r="U117" s="110"/>
      <c r="V117" s="688">
        <f t="shared" si="5"/>
        <v>8500000</v>
      </c>
      <c r="W117" s="970">
        <v>0.003214266369832975</v>
      </c>
      <c r="X117" s="971">
        <v>0.0037164954901193776</v>
      </c>
      <c r="Y117" s="972">
        <v>0.004218724610405779</v>
      </c>
      <c r="Z117" s="973">
        <v>0.004720953730692181</v>
      </c>
      <c r="AA117" s="894">
        <v>0.005223182850978583</v>
      </c>
      <c r="AB117" s="818">
        <v>0.005725411971264988</v>
      </c>
      <c r="AC117" s="974">
        <v>0.00622764109155139</v>
      </c>
      <c r="AD117" s="505"/>
      <c r="AE117" s="110"/>
      <c r="AF117" s="688">
        <f t="shared" si="6"/>
        <v>8500000</v>
      </c>
      <c r="AG117" s="975">
        <v>968.683015566102</v>
      </c>
      <c r="AH117" s="976">
        <v>1120.0397367483056</v>
      </c>
      <c r="AI117" s="977">
        <v>1271.3964579305089</v>
      </c>
      <c r="AJ117" s="978">
        <v>1422.7531791127124</v>
      </c>
      <c r="AK117" s="899">
        <v>1574.1099002949156</v>
      </c>
      <c r="AL117" s="825">
        <v>1725.4666214771198</v>
      </c>
      <c r="AM117" s="979">
        <v>1876.8233426593229</v>
      </c>
      <c r="AP117" s="681">
        <f t="shared" si="7"/>
        <v>8500000</v>
      </c>
      <c r="AQ117" s="980">
        <v>0.0010182876887613024</v>
      </c>
      <c r="AR117" s="981">
        <v>0.0015438843959195401</v>
      </c>
      <c r="AS117" s="982">
        <v>0.002085017216916397</v>
      </c>
      <c r="AT117" s="983">
        <v>0.0026417449132252603</v>
      </c>
      <c r="AU117" s="984">
        <v>0.003214266369832975</v>
      </c>
      <c r="AV117" s="985">
        <v>0.0034477684351137566</v>
      </c>
      <c r="AW117" s="985">
        <v>0.0036838781480964754</v>
      </c>
      <c r="AX117" s="986">
        <v>0.0039226270700205</v>
      </c>
      <c r="AY117" s="986">
        <v>0.00416405034928714</v>
      </c>
      <c r="AZ117" s="987">
        <v>0.004408186721459653</v>
      </c>
      <c r="BB117" s="11"/>
    </row>
    <row r="118">
      <c r="R118" s="10"/>
      <c r="U118" s="506"/>
      <c r="V118" s="688">
        <f t="shared" si="5"/>
        <v>9000000</v>
      </c>
      <c r="W118" s="988">
        <v>0.003307452808185021</v>
      </c>
      <c r="X118" s="989">
        <v>0.003824242309463929</v>
      </c>
      <c r="Y118" s="935">
        <v>0.004341031810742838</v>
      </c>
      <c r="Z118" s="893">
        <v>0.004857821312021747</v>
      </c>
      <c r="AA118" s="860">
        <v>0.005374610813300658</v>
      </c>
      <c r="AB118" s="879">
        <v>0.005891400314579565</v>
      </c>
      <c r="AC118" s="990">
        <v>0.006408189815858476</v>
      </c>
      <c r="AD118" s="505"/>
      <c r="AE118" s="506"/>
      <c r="AF118" s="688">
        <f t="shared" si="6"/>
        <v>9000000</v>
      </c>
      <c r="AG118" s="991">
        <v>996.7665997269926</v>
      </c>
      <c r="AH118" s="992">
        <v>1152.5113809343347</v>
      </c>
      <c r="AI118" s="940">
        <v>1308.2561621416771</v>
      </c>
      <c r="AJ118" s="898">
        <v>1464.0009433490195</v>
      </c>
      <c r="AK118" s="864">
        <v>1619.7457245563626</v>
      </c>
      <c r="AL118" s="884">
        <v>1775.4905057637047</v>
      </c>
      <c r="AM118" s="993">
        <v>1931.2352869710476</v>
      </c>
      <c r="AO118" s="498"/>
      <c r="AP118" s="681">
        <f t="shared" si="7"/>
        <v>9000000</v>
      </c>
      <c r="AQ118" s="994">
        <v>0.0010478093873435923</v>
      </c>
      <c r="AR118" s="967">
        <v>0.0015886439371427883</v>
      </c>
      <c r="AS118" s="861">
        <v>0.002145465016193601</v>
      </c>
      <c r="AT118" s="995">
        <v>0.0027183330895533112</v>
      </c>
      <c r="AU118" s="996">
        <v>0.003307452808185021</v>
      </c>
      <c r="AV118" s="762">
        <v>0.003547724451126066</v>
      </c>
      <c r="AW118" s="785">
        <v>0.0037906793414157073</v>
      </c>
      <c r="AX118" s="804">
        <v>0.004036349955301324</v>
      </c>
      <c r="AY118" s="804">
        <v>0.004284772460189487</v>
      </c>
      <c r="AZ118" s="997">
        <v>0.0045359867146459515</v>
      </c>
      <c r="BB118" s="11"/>
    </row>
    <row r="119">
      <c r="R119" s="10"/>
      <c r="U119" s="506"/>
      <c r="V119" s="688">
        <f t="shared" si="5"/>
        <v>9500000</v>
      </c>
      <c r="W119" s="998">
        <v>0.003398084734155799</v>
      </c>
      <c r="X119" s="989">
        <v>0.003929035473867644</v>
      </c>
      <c r="Y119" s="949">
        <v>0.004459986213579487</v>
      </c>
      <c r="Z119" s="907">
        <v>0.004990936953291332</v>
      </c>
      <c r="AA119" s="878">
        <v>0.0055218876930031744</v>
      </c>
      <c r="AB119" s="841">
        <v>0.006052838432715017</v>
      </c>
      <c r="AC119" s="999">
        <v>0.00658378917242686</v>
      </c>
      <c r="AD119" s="505"/>
      <c r="AE119" s="506"/>
      <c r="AF119" s="688">
        <f t="shared" si="6"/>
        <v>9500000</v>
      </c>
      <c r="AG119" s="1000">
        <v>1024.0803308414736</v>
      </c>
      <c r="AH119" s="992">
        <v>1184.0928825354542</v>
      </c>
      <c r="AI119" s="953">
        <v>1344.1054342294344</v>
      </c>
      <c r="AJ119" s="911">
        <v>1504.117985923415</v>
      </c>
      <c r="AK119" s="883">
        <v>1664.130537617395</v>
      </c>
      <c r="AL119" s="847">
        <v>1824.143089311375</v>
      </c>
      <c r="AM119" s="1001">
        <v>1984.155641005355</v>
      </c>
      <c r="AO119" s="498"/>
      <c r="AP119" s="681">
        <f t="shared" si="7"/>
        <v>9500000</v>
      </c>
      <c r="AQ119" s="1002">
        <v>0.0010765218099638638</v>
      </c>
      <c r="AR119" s="980">
        <v>0.001632176488642462</v>
      </c>
      <c r="AS119" s="981">
        <v>0.0022042557647839827</v>
      </c>
      <c r="AT119" s="1003">
        <v>0.0027928217603293915</v>
      </c>
      <c r="AU119" s="1004">
        <v>0.003398084734155799</v>
      </c>
      <c r="AV119" s="1005">
        <v>0.0036449403808661573</v>
      </c>
      <c r="AW119" s="1006">
        <v>0.0038945528021647</v>
      </c>
      <c r="AX119" s="1007">
        <v>0.00414695536422378</v>
      </c>
      <c r="AY119" s="1008">
        <v>0.0044021852255213155</v>
      </c>
      <c r="AZ119" s="1009">
        <v>0.004660283336840791</v>
      </c>
      <c r="BB119" s="11"/>
    </row>
    <row r="120">
      <c r="R120" s="10"/>
      <c r="U120" s="1010"/>
      <c r="V120" s="1011">
        <f t="shared" si="5"/>
        <v>10000000</v>
      </c>
      <c r="W120" s="1012">
        <v>0.0034863613757948864</v>
      </c>
      <c r="X120" s="1013">
        <v>0.004031105340762837</v>
      </c>
      <c r="Y120" s="1014">
        <v>0.004575849305730789</v>
      </c>
      <c r="Z120" s="1015">
        <v>0.005120593270698739</v>
      </c>
      <c r="AA120" s="1016">
        <v>0.00566533723566669</v>
      </c>
      <c r="AB120" s="1017">
        <v>0.00621008120063464</v>
      </c>
      <c r="AC120" s="1018">
        <v>0.006754825165602592</v>
      </c>
      <c r="AD120" s="508"/>
      <c r="AE120" s="1010"/>
      <c r="AF120" s="1011">
        <f t="shared" si="6"/>
        <v>10000000</v>
      </c>
      <c r="AG120" s="1019">
        <v>1050.6842502395548</v>
      </c>
      <c r="AH120" s="1020">
        <v>1214.853664339485</v>
      </c>
      <c r="AI120" s="1021">
        <v>1379.0230784394157</v>
      </c>
      <c r="AJ120" s="1022">
        <v>1543.192492539346</v>
      </c>
      <c r="AK120" s="1023">
        <v>1707.3619066392764</v>
      </c>
      <c r="AL120" s="1024">
        <v>1871.5313207392066</v>
      </c>
      <c r="AM120" s="1025">
        <v>2035.7007348391373</v>
      </c>
      <c r="AO120" s="1026"/>
      <c r="AP120" s="1027">
        <f t="shared" si="7"/>
        <v>10000000</v>
      </c>
      <c r="AQ120" s="1028">
        <v>0.0011044880725704532</v>
      </c>
      <c r="AR120" s="1029">
        <v>0.0016745777441295269</v>
      </c>
      <c r="AS120" s="1030">
        <v>0.0022615186971272723</v>
      </c>
      <c r="AT120" s="1031">
        <v>0.002865374667330309</v>
      </c>
      <c r="AU120" s="1032">
        <v>0.0034863613757948864</v>
      </c>
      <c r="AV120" s="1033">
        <v>0.003739629925409695</v>
      </c>
      <c r="AW120" s="1033">
        <v>0.003995726866073557</v>
      </c>
      <c r="AX120" s="1034">
        <v>0.0042546864307570036</v>
      </c>
      <c r="AY120" s="1035">
        <v>0.004516546743253974</v>
      </c>
      <c r="AZ120" s="1036">
        <v>0.004781349818181818</v>
      </c>
      <c r="BB120" s="11"/>
    </row>
    <row r="121">
      <c r="R121" s="168"/>
      <c r="S121" s="169"/>
      <c r="T121" s="169"/>
      <c r="U121" s="169"/>
      <c r="V121" s="169"/>
      <c r="W121" s="169"/>
      <c r="X121" s="169"/>
      <c r="Y121" s="169"/>
      <c r="Z121" s="169"/>
      <c r="AA121" s="169"/>
      <c r="AB121" s="169"/>
      <c r="AC121" s="169"/>
      <c r="AD121" s="169"/>
      <c r="AE121" s="169"/>
      <c r="AF121" s="169"/>
      <c r="AG121" s="169"/>
      <c r="AH121" s="169"/>
      <c r="AI121" s="169"/>
      <c r="AJ121" s="169"/>
      <c r="AK121" s="169"/>
      <c r="AL121" s="169"/>
      <c r="AM121" s="169"/>
      <c r="AN121" s="169"/>
      <c r="AO121" s="169"/>
      <c r="AP121" s="169"/>
      <c r="AQ121" s="169"/>
      <c r="AR121" s="169"/>
      <c r="AS121" s="169"/>
      <c r="AT121" s="169"/>
      <c r="AU121" s="169"/>
      <c r="AV121" s="169"/>
      <c r="AW121" s="169"/>
      <c r="AX121" s="169"/>
      <c r="AY121" s="169"/>
      <c r="AZ121" s="169"/>
      <c r="BA121" s="169"/>
      <c r="BB121" s="170"/>
      <c r="CE121" s="23"/>
    </row>
    <row r="122">
      <c r="CE122" s="87"/>
    </row>
    <row r="123">
      <c r="CE123" s="87"/>
    </row>
    <row r="124">
      <c r="R124" s="5" t="s">
        <v>140</v>
      </c>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7"/>
      <c r="CE124" s="87"/>
    </row>
    <row r="125">
      <c r="R125" s="10"/>
      <c r="BY125" s="11"/>
      <c r="CE125" s="115"/>
    </row>
    <row r="126">
      <c r="F126" s="191"/>
      <c r="R126" s="10"/>
      <c r="BA126" s="14"/>
      <c r="BB126" s="14"/>
      <c r="BC126" s="14"/>
      <c r="BD126" s="14"/>
      <c r="BE126" s="14"/>
      <c r="BF126" s="14"/>
      <c r="BG126" s="14"/>
      <c r="BH126" s="14"/>
      <c r="BI126" s="14"/>
      <c r="BJ126" s="14"/>
      <c r="BK126" s="14"/>
      <c r="BL126" s="14"/>
      <c r="BM126" s="14"/>
      <c r="BY126" s="11"/>
      <c r="CE126" s="14"/>
    </row>
    <row r="127">
      <c r="R127" s="10"/>
      <c r="BA127" s="14"/>
      <c r="BB127" s="14"/>
      <c r="BC127" s="14"/>
      <c r="BD127" s="14"/>
      <c r="BE127" s="14"/>
      <c r="BF127" s="14"/>
      <c r="BG127" s="14"/>
      <c r="BH127" s="14"/>
      <c r="BI127" s="14"/>
      <c r="BJ127" s="14"/>
      <c r="BK127" s="14"/>
      <c r="BL127" s="14"/>
      <c r="BM127" s="14"/>
      <c r="BY127" s="11"/>
      <c r="CE127" s="123"/>
    </row>
    <row r="128">
      <c r="R128" s="10"/>
      <c r="BA128" s="14"/>
      <c r="BB128" s="14"/>
      <c r="BC128" s="14"/>
      <c r="BD128" s="14"/>
      <c r="BE128" s="14"/>
      <c r="BF128" s="14"/>
      <c r="BG128" s="14"/>
      <c r="BH128" s="14"/>
      <c r="BI128" s="14"/>
      <c r="BJ128" s="14"/>
      <c r="BK128" s="14"/>
      <c r="BL128" s="14"/>
      <c r="BM128" s="14"/>
      <c r="BY128" s="11"/>
      <c r="CE128" s="14"/>
    </row>
    <row r="129">
      <c r="R129" s="10"/>
      <c r="BA129" s="14"/>
      <c r="BB129" s="14"/>
      <c r="BC129" s="14"/>
      <c r="BD129" s="14"/>
      <c r="BE129" s="14"/>
      <c r="BF129" s="14"/>
      <c r="BG129" s="14"/>
      <c r="BH129" s="14"/>
      <c r="BI129" s="14"/>
      <c r="BJ129" s="14"/>
      <c r="BK129" s="14"/>
      <c r="BL129" s="14"/>
      <c r="BM129" s="14"/>
      <c r="BY129" s="11"/>
      <c r="CE129" s="14"/>
    </row>
    <row r="130">
      <c r="R130" s="10"/>
      <c r="BA130" s="14"/>
      <c r="BB130" s="14"/>
      <c r="BC130" s="14"/>
      <c r="BD130" s="14"/>
      <c r="BE130" s="14"/>
      <c r="BF130" s="14"/>
      <c r="BG130" s="14"/>
      <c r="BH130" s="14"/>
      <c r="BI130" s="14"/>
      <c r="BJ130" s="14"/>
      <c r="BK130" s="14"/>
      <c r="BL130" s="14"/>
      <c r="BM130" s="14"/>
      <c r="BY130" s="11"/>
      <c r="CE130" s="14"/>
    </row>
    <row r="131">
      <c r="R131" s="10"/>
      <c r="BA131" s="14"/>
      <c r="BB131" s="14"/>
      <c r="BC131" s="14"/>
      <c r="BD131" s="14"/>
      <c r="BE131" s="14"/>
      <c r="BF131" s="14"/>
      <c r="BG131" s="14"/>
      <c r="BH131" s="14"/>
      <c r="BI131" s="14"/>
      <c r="BJ131" s="14"/>
      <c r="BK131" s="14"/>
      <c r="BL131" s="14"/>
      <c r="BM131" s="14"/>
      <c r="BY131" s="11"/>
      <c r="CE131" s="14"/>
    </row>
    <row r="132">
      <c r="R132" s="10"/>
      <c r="BA132" s="14"/>
      <c r="BB132" s="14"/>
      <c r="BC132" s="14"/>
      <c r="BD132" s="14"/>
      <c r="BE132" s="14"/>
      <c r="BF132" s="14"/>
      <c r="BG132" s="14"/>
      <c r="BH132" s="14"/>
      <c r="BI132" s="14"/>
      <c r="BJ132" s="14"/>
      <c r="BK132" s="14"/>
      <c r="BL132" s="14"/>
      <c r="BM132" s="14"/>
      <c r="BY132" s="11"/>
      <c r="CE132" s="14"/>
    </row>
    <row r="133">
      <c r="R133" s="10"/>
      <c r="BA133" s="14"/>
      <c r="BB133" s="14"/>
      <c r="BC133" s="14"/>
      <c r="BD133" s="14"/>
      <c r="BE133" s="14"/>
      <c r="BF133" s="14"/>
      <c r="BG133" s="14"/>
      <c r="BH133" s="14"/>
      <c r="BI133" s="14"/>
      <c r="BJ133" s="14"/>
      <c r="BK133" s="14"/>
      <c r="BL133" s="14"/>
      <c r="BM133" s="14"/>
      <c r="BY133" s="11"/>
      <c r="CE133" s="14"/>
    </row>
    <row r="134">
      <c r="R134" s="10"/>
      <c r="BA134" s="14"/>
      <c r="BB134" s="14"/>
      <c r="BC134" s="14"/>
      <c r="BD134" s="14"/>
      <c r="BE134" s="14"/>
      <c r="BF134" s="14"/>
      <c r="BG134" s="14"/>
      <c r="BH134" s="14"/>
      <c r="BI134" s="14"/>
      <c r="BJ134" s="14"/>
      <c r="BK134" s="14"/>
      <c r="BL134" s="14"/>
      <c r="BM134" s="14"/>
      <c r="BY134" s="11"/>
      <c r="CE134" s="144"/>
    </row>
    <row r="135">
      <c r="R135" s="10"/>
      <c r="BA135" s="14"/>
      <c r="BB135" s="14"/>
      <c r="BC135" s="14"/>
      <c r="BD135" s="14"/>
      <c r="BE135" s="14"/>
      <c r="BF135" s="14"/>
      <c r="BG135" s="14"/>
      <c r="BH135" s="14"/>
      <c r="BI135" s="14"/>
      <c r="BJ135" s="14"/>
      <c r="BK135" s="14"/>
      <c r="BL135" s="14"/>
      <c r="BM135" s="14"/>
      <c r="BY135" s="11"/>
      <c r="CE135" s="51"/>
    </row>
    <row r="136">
      <c r="R136" s="10"/>
      <c r="BA136" s="14"/>
      <c r="BB136" s="14"/>
      <c r="BC136" s="14"/>
      <c r="BD136" s="14"/>
      <c r="BE136" s="14"/>
      <c r="BF136" s="14"/>
      <c r="BG136" s="14"/>
      <c r="BH136" s="14"/>
      <c r="BI136" s="14"/>
      <c r="BJ136" s="14"/>
      <c r="BK136" s="14"/>
      <c r="BL136" s="14"/>
      <c r="BM136" s="14"/>
      <c r="BY136" s="11"/>
      <c r="CE136" s="51"/>
    </row>
    <row r="137">
      <c r="R137" s="10"/>
      <c r="BA137" s="14"/>
      <c r="BB137" s="14"/>
      <c r="BC137" s="14"/>
      <c r="BD137" s="14"/>
      <c r="BE137" s="14"/>
      <c r="BF137" s="14"/>
      <c r="BG137" s="14"/>
      <c r="BH137" s="14"/>
      <c r="BI137" s="14"/>
      <c r="BJ137" s="14"/>
      <c r="BK137" s="14"/>
      <c r="BL137" s="14"/>
      <c r="BM137" s="14"/>
      <c r="BY137" s="11"/>
      <c r="CE137" s="51"/>
    </row>
    <row r="138">
      <c r="R138" s="10"/>
      <c r="BA138" s="14"/>
      <c r="BB138" s="14"/>
      <c r="BC138" s="14"/>
      <c r="BD138" s="14"/>
      <c r="BE138" s="14"/>
      <c r="BF138" s="14"/>
      <c r="BG138" s="14"/>
      <c r="BH138" s="14"/>
      <c r="BI138" s="14"/>
      <c r="BJ138" s="14"/>
      <c r="BK138" s="14"/>
      <c r="BL138" s="14"/>
      <c r="BM138" s="14"/>
      <c r="BY138" s="11"/>
      <c r="CE138" s="51"/>
    </row>
    <row r="139">
      <c r="R139" s="10"/>
      <c r="BA139" s="14"/>
      <c r="BB139" s="14"/>
      <c r="BC139" s="14"/>
      <c r="BD139" s="14"/>
      <c r="BE139" s="14"/>
      <c r="BF139" s="14"/>
      <c r="BG139" s="14"/>
      <c r="BH139" s="14"/>
      <c r="BI139" s="14"/>
      <c r="BJ139" s="14"/>
      <c r="BK139" s="14"/>
      <c r="BL139" s="14"/>
      <c r="BM139" s="14"/>
      <c r="BY139" s="11"/>
      <c r="CE139" s="51"/>
    </row>
    <row r="140">
      <c r="R140" s="10"/>
      <c r="BA140" s="14"/>
      <c r="BB140" s="14"/>
      <c r="BC140" s="14"/>
      <c r="BD140" s="14"/>
      <c r="BE140" s="14"/>
      <c r="BF140" s="14"/>
      <c r="BG140" s="14"/>
      <c r="BH140" s="14"/>
      <c r="BI140" s="14"/>
      <c r="BJ140" s="14"/>
      <c r="BK140" s="14"/>
      <c r="BL140" s="14"/>
      <c r="BM140" s="14"/>
      <c r="BY140" s="11"/>
      <c r="CE140" s="51"/>
    </row>
    <row r="141">
      <c r="R141" s="10"/>
      <c r="BA141" s="14"/>
      <c r="BB141" s="14"/>
      <c r="BC141" s="14"/>
      <c r="BD141" s="14"/>
      <c r="BE141" s="14"/>
      <c r="BF141" s="14"/>
      <c r="BG141" s="14"/>
      <c r="BH141" s="14"/>
      <c r="BI141" s="14"/>
      <c r="BJ141" s="14"/>
      <c r="BK141" s="14"/>
      <c r="BL141" s="14"/>
      <c r="BM141" s="14"/>
      <c r="BY141" s="11"/>
      <c r="CE141" s="51"/>
    </row>
    <row r="142">
      <c r="R142" s="10"/>
      <c r="BA142" s="14"/>
      <c r="BB142" s="14"/>
      <c r="BC142" s="14"/>
      <c r="BD142" s="14"/>
      <c r="BE142" s="14"/>
      <c r="BF142" s="14"/>
      <c r="BG142" s="14"/>
      <c r="BH142" s="14"/>
      <c r="BI142" s="14"/>
      <c r="BJ142" s="14"/>
      <c r="BK142" s="14"/>
      <c r="BL142" s="14"/>
      <c r="BM142" s="14"/>
      <c r="BY142" s="11"/>
      <c r="CE142" s="144"/>
    </row>
    <row r="143">
      <c r="R143" s="10"/>
      <c r="BA143" s="14"/>
      <c r="BB143" s="14"/>
      <c r="BC143" s="14"/>
      <c r="BD143" s="14"/>
      <c r="BE143" s="14"/>
      <c r="BF143" s="14"/>
      <c r="BG143" s="14"/>
      <c r="BH143" s="14"/>
      <c r="BI143" s="14"/>
      <c r="BJ143" s="14"/>
      <c r="BK143" s="14"/>
      <c r="BL143" s="14"/>
      <c r="BM143" s="14"/>
      <c r="BY143" s="11"/>
      <c r="CE143" s="51"/>
    </row>
    <row r="144">
      <c r="R144" s="10"/>
      <c r="BA144" s="14"/>
      <c r="BB144" s="14"/>
      <c r="BC144" s="14"/>
      <c r="BD144" s="14"/>
      <c r="BE144" s="14"/>
      <c r="BF144" s="14"/>
      <c r="BG144" s="14"/>
      <c r="BH144" s="14"/>
      <c r="BI144" s="14"/>
      <c r="BJ144" s="14"/>
      <c r="BK144" s="14"/>
      <c r="BL144" s="14"/>
      <c r="BM144" s="14"/>
      <c r="BY144" s="11"/>
      <c r="CE144" s="144"/>
    </row>
    <row r="145">
      <c r="R145" s="10"/>
      <c r="BA145" s="14"/>
      <c r="BB145" s="14"/>
      <c r="BC145" s="14"/>
      <c r="BD145" s="14"/>
      <c r="BE145" s="14"/>
      <c r="BF145" s="14"/>
      <c r="BG145" s="14"/>
      <c r="BH145" s="14"/>
      <c r="BI145" s="14"/>
      <c r="BJ145" s="14"/>
      <c r="BK145" s="14"/>
      <c r="BL145" s="14"/>
      <c r="BM145" s="14"/>
      <c r="BY145" s="11"/>
    </row>
    <row r="146">
      <c r="R146" s="10"/>
      <c r="BA146" s="14"/>
      <c r="BB146" s="14"/>
      <c r="BC146" s="14"/>
      <c r="BD146" s="14"/>
      <c r="BE146" s="14"/>
      <c r="BF146" s="14"/>
      <c r="BG146" s="14"/>
      <c r="BH146" s="14"/>
      <c r="BI146" s="14"/>
      <c r="BJ146" s="14"/>
      <c r="BK146" s="14"/>
      <c r="BL146" s="14"/>
      <c r="BM146" s="14"/>
      <c r="BY146" s="11"/>
    </row>
    <row r="147" ht="37.5" customHeight="1">
      <c r="R147" s="10"/>
      <c r="BA147" s="14"/>
      <c r="BB147" s="14"/>
      <c r="BC147" s="14"/>
      <c r="BD147" s="14"/>
      <c r="BE147" s="14"/>
      <c r="BF147" s="14"/>
      <c r="BG147" s="14"/>
      <c r="BH147" s="14"/>
      <c r="BI147" s="14"/>
      <c r="BJ147" s="14"/>
      <c r="BK147" s="14"/>
      <c r="BL147" s="14"/>
      <c r="BM147" s="14"/>
      <c r="BY147" s="11"/>
    </row>
    <row r="148">
      <c r="R148" s="10"/>
      <c r="AD148" s="51"/>
      <c r="AE148" s="51"/>
      <c r="AF148" s="51"/>
      <c r="AG148" s="51"/>
      <c r="AH148" s="51"/>
      <c r="AI148" s="51"/>
      <c r="AJ148" s="51"/>
      <c r="AK148" s="51"/>
      <c r="AL148" s="51"/>
      <c r="AM148" s="51"/>
      <c r="AN148" s="51"/>
      <c r="AO148" s="51"/>
      <c r="AP148" s="51"/>
      <c r="BA148" s="14"/>
      <c r="BB148" s="14"/>
      <c r="BC148" s="14"/>
      <c r="BD148" s="14"/>
      <c r="BE148" s="14"/>
      <c r="BF148" s="14"/>
      <c r="BG148" s="14"/>
      <c r="BH148" s="14"/>
      <c r="BI148" s="14"/>
      <c r="BJ148" s="14"/>
      <c r="BK148" s="14"/>
      <c r="BL148" s="14"/>
      <c r="BM148" s="14"/>
      <c r="BY148" s="11"/>
    </row>
    <row r="149">
      <c r="R149" s="53"/>
      <c r="S149" s="52"/>
      <c r="T149" s="52"/>
      <c r="BU149" s="52"/>
      <c r="BV149" s="52"/>
      <c r="BW149" s="52"/>
      <c r="BX149" s="52"/>
      <c r="BY149" s="54"/>
    </row>
    <row r="150">
      <c r="R150" s="10"/>
      <c r="BY150" s="11"/>
    </row>
    <row r="151">
      <c r="R151" s="10"/>
      <c r="BY151" s="11"/>
    </row>
    <row r="152">
      <c r="R152" s="10"/>
      <c r="BY152" s="11"/>
    </row>
    <row r="153">
      <c r="R153" s="10"/>
      <c r="BY153" s="11"/>
    </row>
    <row r="154">
      <c r="R154" s="10"/>
      <c r="BY154" s="11"/>
    </row>
    <row r="155">
      <c r="R155" s="10"/>
      <c r="BY155" s="11"/>
    </row>
    <row r="156">
      <c r="R156" s="10"/>
      <c r="U156" s="1037" t="s">
        <v>54</v>
      </c>
      <c r="V156" s="1038"/>
      <c r="W156" s="1038"/>
      <c r="X156" s="1038"/>
      <c r="Y156" s="1038"/>
      <c r="Z156" s="1038"/>
      <c r="AA156" s="1038"/>
      <c r="AB156" s="1038"/>
      <c r="AC156" s="1039"/>
      <c r="AD156" s="577"/>
      <c r="AE156" s="1040" t="s">
        <v>54</v>
      </c>
      <c r="AF156" s="1041"/>
      <c r="AG156" s="1041"/>
      <c r="AH156" s="1041"/>
      <c r="AI156" s="1041"/>
      <c r="AJ156" s="1041"/>
      <c r="AK156" s="1041"/>
      <c r="AL156" s="1042"/>
      <c r="AM156" s="1042"/>
      <c r="AN156" s="1042"/>
      <c r="AO156" s="1042"/>
      <c r="AP156" s="1043"/>
      <c r="AQ156" s="610"/>
      <c r="AR156" s="1037" t="s">
        <v>54</v>
      </c>
      <c r="AS156" s="1038"/>
      <c r="AT156" s="1038"/>
      <c r="AU156" s="1038"/>
      <c r="AV156" s="1038"/>
      <c r="AW156" s="1038"/>
      <c r="AX156" s="1038"/>
      <c r="AY156" s="1038"/>
      <c r="AZ156" s="1038"/>
      <c r="BA156" s="1038"/>
      <c r="BB156" s="1038"/>
      <c r="BC156" s="1038"/>
      <c r="BD156" s="1038"/>
      <c r="BE156" s="1038"/>
      <c r="BF156" s="1038"/>
      <c r="BG156" s="1039"/>
      <c r="BH156" s="610"/>
      <c r="BI156" s="1037" t="s">
        <v>54</v>
      </c>
      <c r="BJ156" s="1038"/>
      <c r="BK156" s="1038"/>
      <c r="BL156" s="1038"/>
      <c r="BM156" s="1038"/>
      <c r="BN156" s="1038"/>
      <c r="BO156" s="1038"/>
      <c r="BP156" s="1038"/>
      <c r="BQ156" s="1038"/>
      <c r="BR156" s="1038"/>
      <c r="BS156" s="1038"/>
      <c r="BT156" s="1038"/>
      <c r="BU156" s="1038"/>
      <c r="BV156" s="1038"/>
      <c r="BW156" s="1038"/>
      <c r="BX156" s="1039"/>
      <c r="BY156" s="11"/>
    </row>
    <row r="157">
      <c r="R157" s="10"/>
      <c r="U157" s="1044" t="s">
        <v>57</v>
      </c>
      <c r="AC157" s="78"/>
      <c r="AD157" s="577"/>
      <c r="AE157" s="1045" t="s">
        <v>58</v>
      </c>
      <c r="AF157" s="1046"/>
      <c r="AG157" s="1046"/>
      <c r="AH157" s="1046"/>
      <c r="AI157" s="1047" t="s">
        <v>59</v>
      </c>
      <c r="AJ157" s="1048"/>
      <c r="AK157" s="1048"/>
      <c r="AL157" s="1049"/>
      <c r="AM157" s="1049"/>
      <c r="AN157" s="1049"/>
      <c r="AO157" s="1049"/>
      <c r="AP157" s="1050"/>
      <c r="AQ157" s="610"/>
      <c r="AR157" s="1051" t="s">
        <v>58</v>
      </c>
      <c r="AS157" s="1052"/>
      <c r="AT157" s="1052" t="s">
        <v>44</v>
      </c>
      <c r="BG157" s="78"/>
      <c r="BH157" s="610"/>
      <c r="BI157" s="1051" t="s">
        <v>58</v>
      </c>
      <c r="BJ157" s="1052"/>
      <c r="BK157" s="1052" t="s">
        <v>44</v>
      </c>
      <c r="BX157" s="78"/>
      <c r="BY157" s="11"/>
    </row>
    <row r="158">
      <c r="R158" s="10"/>
      <c r="U158" s="1053"/>
      <c r="V158" s="1054">
        <f>$F$56</f>
        <v>0.04744445745</v>
      </c>
      <c r="W158" s="1055">
        <v>64.0</v>
      </c>
      <c r="X158" s="1056">
        <f t="shared" ref="X158:AC158" si="8">W158+10</f>
        <v>74</v>
      </c>
      <c r="Y158" s="1056">
        <f t="shared" si="8"/>
        <v>84</v>
      </c>
      <c r="Z158" s="1056">
        <f t="shared" si="8"/>
        <v>94</v>
      </c>
      <c r="AA158" s="1056">
        <f t="shared" si="8"/>
        <v>104</v>
      </c>
      <c r="AB158" s="1056">
        <f t="shared" si="8"/>
        <v>114</v>
      </c>
      <c r="AC158" s="1057">
        <f t="shared" si="8"/>
        <v>124</v>
      </c>
      <c r="AD158" s="577"/>
      <c r="AE158" s="1058"/>
      <c r="AF158" s="683">
        <f>$F$56</f>
        <v>0.04744445745</v>
      </c>
      <c r="AG158" s="684">
        <f t="shared" ref="AG158:AI158" si="9">AH158-0.05</f>
        <v>0.7</v>
      </c>
      <c r="AH158" s="684">
        <f t="shared" si="9"/>
        <v>0.75</v>
      </c>
      <c r="AI158" s="684">
        <f t="shared" si="9"/>
        <v>0.8</v>
      </c>
      <c r="AJ158" s="684">
        <v>0.85</v>
      </c>
      <c r="AK158" s="1059">
        <v>0.9</v>
      </c>
      <c r="AL158" s="684">
        <f t="shared" ref="AL158:AP158" si="10">AK158+0.02</f>
        <v>0.92</v>
      </c>
      <c r="AM158" s="684">
        <f t="shared" si="10"/>
        <v>0.94</v>
      </c>
      <c r="AN158" s="684">
        <f t="shared" si="10"/>
        <v>0.96</v>
      </c>
      <c r="AO158" s="684">
        <f t="shared" si="10"/>
        <v>0.98</v>
      </c>
      <c r="AP158" s="686">
        <f t="shared" si="10"/>
        <v>1</v>
      </c>
      <c r="AQ158" s="610"/>
      <c r="AR158" s="1051" t="s">
        <v>63</v>
      </c>
      <c r="AS158" s="1052"/>
      <c r="AT158" s="1052"/>
      <c r="AU158" s="1052"/>
      <c r="AV158" s="1052"/>
      <c r="AW158" s="1052"/>
      <c r="AX158" s="1052"/>
      <c r="AY158" s="1052"/>
      <c r="AZ158" s="1052"/>
      <c r="BA158" s="1052"/>
      <c r="BB158" s="1052"/>
      <c r="BC158" s="1052"/>
      <c r="BD158" s="1052"/>
      <c r="BE158" s="1052"/>
      <c r="BF158" s="1052"/>
      <c r="BG158" s="1060"/>
      <c r="BH158" s="610"/>
      <c r="BI158" s="1051" t="s">
        <v>63</v>
      </c>
      <c r="BJ158" s="1052"/>
      <c r="BK158" s="1052"/>
      <c r="BL158" s="1052"/>
      <c r="BM158" s="1052"/>
      <c r="BN158" s="1052"/>
      <c r="BO158" s="1052"/>
      <c r="BP158" s="1052"/>
      <c r="BQ158" s="1052"/>
      <c r="BR158" s="1052"/>
      <c r="BS158" s="1052"/>
      <c r="BT158" s="1052"/>
      <c r="BU158" s="1052"/>
      <c r="BV158" s="1052"/>
      <c r="BW158" s="1052"/>
      <c r="BX158" s="1060"/>
      <c r="BY158" s="11"/>
    </row>
    <row r="159">
      <c r="R159" s="10"/>
      <c r="U159" s="1061" t="s">
        <v>66</v>
      </c>
      <c r="V159" s="1062">
        <v>524288.0</v>
      </c>
      <c r="W159" s="1063">
        <v>0.20259885081353673</v>
      </c>
      <c r="X159" s="1064">
        <v>0.2342549212531518</v>
      </c>
      <c r="Y159" s="1064">
        <v>0.265910991692767</v>
      </c>
      <c r="Z159" s="1064">
        <v>0.29756706213238204</v>
      </c>
      <c r="AA159" s="1064">
        <v>0.3292231325719972</v>
      </c>
      <c r="AB159" s="1064">
        <v>0.36087920301161236</v>
      </c>
      <c r="AC159" s="1065">
        <v>0.39253527345122746</v>
      </c>
      <c r="AD159" s="577"/>
      <c r="AE159" s="1061" t="s">
        <v>66</v>
      </c>
      <c r="AF159" s="1062">
        <v>525288.0</v>
      </c>
      <c r="AG159" s="590">
        <v>0.16600543701771622</v>
      </c>
      <c r="AH159" s="590">
        <v>0.17539188528447083</v>
      </c>
      <c r="AI159" s="590">
        <v>0.18459577497422022</v>
      </c>
      <c r="AJ159" s="590">
        <v>0.19365284913467273</v>
      </c>
      <c r="AK159" s="1066">
        <v>0.20259885081353673</v>
      </c>
      <c r="AL159" s="590">
        <v>0.20615415763292416</v>
      </c>
      <c r="AM159" s="590">
        <v>0.20969969929794424</v>
      </c>
      <c r="AN159" s="590">
        <v>0.2132377633636501</v>
      </c>
      <c r="AO159" s="590">
        <v>0.21677063738509528</v>
      </c>
      <c r="AP159" s="1067">
        <v>0.22030060891733286</v>
      </c>
      <c r="AQ159" s="610"/>
      <c r="AR159" s="1051" t="s">
        <v>67</v>
      </c>
      <c r="AS159" s="1052"/>
      <c r="AT159" s="1052"/>
      <c r="AU159" s="1052"/>
      <c r="AV159" s="1052"/>
      <c r="AW159" s="1052"/>
      <c r="AX159" s="1052"/>
      <c r="AY159" s="1052"/>
      <c r="AZ159" s="1052"/>
      <c r="BA159" s="1052"/>
      <c r="BB159" s="1052"/>
      <c r="BC159" s="1052"/>
      <c r="BD159" s="1052"/>
      <c r="BE159" s="1052"/>
      <c r="BF159" s="1052"/>
      <c r="BG159" s="1060"/>
      <c r="BH159" s="610"/>
      <c r="BI159" s="1051" t="s">
        <v>68</v>
      </c>
      <c r="BJ159" s="1052"/>
      <c r="BK159" s="1052"/>
      <c r="BL159" s="1052"/>
      <c r="BM159" s="1052"/>
      <c r="BN159" s="1052"/>
      <c r="BO159" s="1052"/>
      <c r="BP159" s="1052"/>
      <c r="BQ159" s="1052"/>
      <c r="BR159" s="1052"/>
      <c r="BS159" s="1052"/>
      <c r="BT159" s="1052"/>
      <c r="BU159" s="1052"/>
      <c r="BV159" s="1052"/>
      <c r="BW159" s="1052"/>
      <c r="BX159" s="1060"/>
      <c r="BY159" s="11"/>
    </row>
    <row r="160">
      <c r="R160" s="10"/>
      <c r="U160" s="110"/>
      <c r="V160" s="1062">
        <v>1000000.0</v>
      </c>
      <c r="W160" s="1063">
        <v>0.14683707252267758</v>
      </c>
      <c r="X160" s="1064">
        <v>0.16978036510434594</v>
      </c>
      <c r="Y160" s="1064">
        <v>0.1927236576860143</v>
      </c>
      <c r="Z160" s="1064">
        <v>0.2156669502676827</v>
      </c>
      <c r="AA160" s="1064">
        <v>0.23861024284935103</v>
      </c>
      <c r="AB160" s="1064">
        <v>0.2615535354310194</v>
      </c>
      <c r="AC160" s="1065">
        <v>0.2844968280126878</v>
      </c>
      <c r="AD160" s="577"/>
      <c r="AE160" s="110"/>
      <c r="AF160" s="1062">
        <v>1000000.0</v>
      </c>
      <c r="AG160" s="591">
        <v>0.12031535369844511</v>
      </c>
      <c r="AH160" s="591">
        <v>0.12711834680201567</v>
      </c>
      <c r="AI160" s="591">
        <v>0.1337890273731917</v>
      </c>
      <c r="AJ160" s="591">
        <v>0.14035330081305256</v>
      </c>
      <c r="AK160" s="1068">
        <v>0.14683707252267758</v>
      </c>
      <c r="AL160" s="591">
        <v>0.14941384353190332</v>
      </c>
      <c r="AM160" s="591">
        <v>0.15198353707413312</v>
      </c>
      <c r="AN160" s="591">
        <v>0.15454781109503604</v>
      </c>
      <c r="AO160" s="591">
        <v>0.15710832354028112</v>
      </c>
      <c r="AP160" s="1069">
        <v>0.1596667323555375</v>
      </c>
      <c r="AQ160" s="610"/>
      <c r="AR160" s="1053"/>
      <c r="AS160" s="1054">
        <f>$F$56</f>
        <v>0.04744445745</v>
      </c>
      <c r="AT160" s="1062">
        <v>1.0</v>
      </c>
      <c r="AU160" s="1056">
        <f t="shared" ref="AU160:AX160" si="11">AT160+1</f>
        <v>2</v>
      </c>
      <c r="AV160" s="1056">
        <f t="shared" si="11"/>
        <v>3</v>
      </c>
      <c r="AW160" s="1056">
        <f t="shared" si="11"/>
        <v>4</v>
      </c>
      <c r="AX160" s="1056">
        <f t="shared" si="11"/>
        <v>5</v>
      </c>
      <c r="AY160" s="1062">
        <v>10.0</v>
      </c>
      <c r="AZ160" s="1062">
        <v>15.0</v>
      </c>
      <c r="BA160" s="1062">
        <v>20.0</v>
      </c>
      <c r="BB160" s="1062">
        <v>25.0</v>
      </c>
      <c r="BC160" s="1062">
        <v>30.0</v>
      </c>
      <c r="BD160" s="1062">
        <v>35.0</v>
      </c>
      <c r="BE160" s="1062">
        <v>40.0</v>
      </c>
      <c r="BF160" s="1062">
        <v>45.0</v>
      </c>
      <c r="BG160" s="1070">
        <v>50.0</v>
      </c>
      <c r="BH160" s="610"/>
      <c r="BI160" s="1053"/>
      <c r="BJ160" s="1054">
        <f>$F$56</f>
        <v>0.04744445745</v>
      </c>
      <c r="BK160" s="1062">
        <v>1.0</v>
      </c>
      <c r="BL160" s="1056">
        <f t="shared" ref="BL160:BO160" si="12">BK160+1</f>
        <v>2</v>
      </c>
      <c r="BM160" s="1056">
        <f t="shared" si="12"/>
        <v>3</v>
      </c>
      <c r="BN160" s="1056">
        <f t="shared" si="12"/>
        <v>4</v>
      </c>
      <c r="BO160" s="1056">
        <f t="shared" si="12"/>
        <v>5</v>
      </c>
      <c r="BP160" s="1062">
        <v>10.0</v>
      </c>
      <c r="BQ160" s="1062">
        <v>15.0</v>
      </c>
      <c r="BR160" s="1062">
        <v>20.0</v>
      </c>
      <c r="BS160" s="1062">
        <v>25.0</v>
      </c>
      <c r="BT160" s="1062">
        <v>30.0</v>
      </c>
      <c r="BU160" s="1062">
        <v>35.0</v>
      </c>
      <c r="BV160" s="1062">
        <v>40.0</v>
      </c>
      <c r="BW160" s="1062">
        <v>45.0</v>
      </c>
      <c r="BX160" s="1070">
        <v>50.0</v>
      </c>
      <c r="BY160" s="11"/>
    </row>
    <row r="161">
      <c r="R161" s="10"/>
      <c r="U161" s="110"/>
      <c r="V161" s="1056">
        <f t="shared" ref="V161:V178" si="13">V160+500000</f>
        <v>1500000</v>
      </c>
      <c r="W161" s="1063">
        <v>0.1198919676682028</v>
      </c>
      <c r="X161" s="1064">
        <v>0.13862508761635947</v>
      </c>
      <c r="Y161" s="1064">
        <v>0.15735820756451616</v>
      </c>
      <c r="Z161" s="1064">
        <v>0.17609132751267287</v>
      </c>
      <c r="AA161" s="1064">
        <v>0.19482444746082955</v>
      </c>
      <c r="AB161" s="1064">
        <v>0.21355756740898624</v>
      </c>
      <c r="AC161" s="1065">
        <v>0.23229068735714295</v>
      </c>
      <c r="AD161" s="577"/>
      <c r="AE161" s="110"/>
      <c r="AF161" s="1056">
        <f t="shared" ref="AF161:AF178" si="14">AF160+500000</f>
        <v>1500000</v>
      </c>
      <c r="AG161" s="590">
        <v>0.09823707492789045</v>
      </c>
      <c r="AH161" s="590">
        <v>0.10379169553703073</v>
      </c>
      <c r="AI161" s="590">
        <v>0.10923828341585701</v>
      </c>
      <c r="AJ161" s="590">
        <v>0.11459799023577803</v>
      </c>
      <c r="AK161" s="1066">
        <v>0.1198919676682028</v>
      </c>
      <c r="AL161" s="590">
        <v>0.12199589238706932</v>
      </c>
      <c r="AM161" s="590">
        <v>0.12409403837833198</v>
      </c>
      <c r="AN161" s="590">
        <v>0.12618775934896098</v>
      </c>
      <c r="AO161" s="590">
        <v>0.1282784090059265</v>
      </c>
      <c r="AP161" s="1067">
        <v>0.1303673410561987</v>
      </c>
      <c r="AQ161" s="610"/>
      <c r="AR161" s="1071" t="s">
        <v>73</v>
      </c>
      <c r="AS161" s="1072">
        <f>AG158</f>
        <v>0.7</v>
      </c>
      <c r="AT161" s="1073">
        <v>0.1203153536984451</v>
      </c>
      <c r="AU161" s="1073">
        <v>0.1203153536984451</v>
      </c>
      <c r="AV161" s="1073">
        <v>0.12031535369844511</v>
      </c>
      <c r="AW161" s="1073">
        <v>0.1203153536984451</v>
      </c>
      <c r="AX161" s="1073">
        <v>0.12031535369844511</v>
      </c>
      <c r="AY161" s="1073">
        <v>0.12031535369844511</v>
      </c>
      <c r="AZ161" s="1073">
        <v>0.12031535369844511</v>
      </c>
      <c r="BA161" s="1073">
        <v>0.12031535369844511</v>
      </c>
      <c r="BB161" s="1073">
        <v>0.1203153536984451</v>
      </c>
      <c r="BC161" s="1073">
        <v>0.12031535369844511</v>
      </c>
      <c r="BD161" s="1073">
        <v>0.12031535369844511</v>
      </c>
      <c r="BE161" s="1073">
        <v>0.12031535369844511</v>
      </c>
      <c r="BF161" s="1073">
        <v>0.12031535369844512</v>
      </c>
      <c r="BG161" s="1074">
        <v>0.1203153536984451</v>
      </c>
      <c r="BH161" s="610"/>
      <c r="BI161" s="1061" t="s">
        <v>66</v>
      </c>
      <c r="BJ161" s="1062">
        <v>525288.0</v>
      </c>
      <c r="BK161" s="1073">
        <v>0.20259885081353673</v>
      </c>
      <c r="BL161" s="1073">
        <v>0.20259885081353673</v>
      </c>
      <c r="BM161" s="1073">
        <v>0.20259885081353673</v>
      </c>
      <c r="BN161" s="1073">
        <v>0.20259885081353673</v>
      </c>
      <c r="BO161" s="1073">
        <v>0.20259885081353673</v>
      </c>
      <c r="BP161" s="1073">
        <v>0.20259885081353673</v>
      </c>
      <c r="BQ161" s="1073">
        <v>0.20259885081353673</v>
      </c>
      <c r="BR161" s="1073">
        <v>0.20259885081353673</v>
      </c>
      <c r="BS161" s="1073">
        <v>0.20259885081353673</v>
      </c>
      <c r="BT161" s="1073">
        <v>0.20259885081353673</v>
      </c>
      <c r="BU161" s="1073">
        <v>0.20259885081353673</v>
      </c>
      <c r="BV161" s="1073">
        <v>0.20259885081353673</v>
      </c>
      <c r="BW161" s="1073">
        <v>0.20259885081353673</v>
      </c>
      <c r="BX161" s="1074">
        <v>0.20259885081353673</v>
      </c>
      <c r="BY161" s="11"/>
    </row>
    <row r="162">
      <c r="R162" s="10"/>
      <c r="U162" s="110"/>
      <c r="V162" s="1056">
        <f t="shared" si="13"/>
        <v>2000000</v>
      </c>
      <c r="W162" s="1063">
        <v>0.10382948971036621</v>
      </c>
      <c r="X162" s="1064">
        <v>0.12005284747761093</v>
      </c>
      <c r="Y162" s="1064">
        <v>0.13627620524485562</v>
      </c>
      <c r="Z162" s="1064">
        <v>0.1524995630121003</v>
      </c>
      <c r="AA162" s="1064">
        <v>0.16872292077934503</v>
      </c>
      <c r="AB162" s="1064">
        <v>0.18494627854658977</v>
      </c>
      <c r="AC162" s="1065">
        <v>0.20116963631383442</v>
      </c>
      <c r="AD162" s="577"/>
      <c r="AE162" s="110"/>
      <c r="AF162" s="1056">
        <f t="shared" si="14"/>
        <v>2000000</v>
      </c>
      <c r="AG162" s="590">
        <v>0.08507580248102849</v>
      </c>
      <c r="AH162" s="590">
        <v>0.08988624503692856</v>
      </c>
      <c r="AI162" s="590">
        <v>0.0946031285039365</v>
      </c>
      <c r="AJ162" s="590">
        <v>0.09924477076682484</v>
      </c>
      <c r="AK162" s="1066">
        <v>0.10382948971036621</v>
      </c>
      <c r="AL162" s="590">
        <v>0.10565154196455462</v>
      </c>
      <c r="AM162" s="590">
        <v>0.10746858969383657</v>
      </c>
      <c r="AN162" s="590">
        <v>0.10928180524283752</v>
      </c>
      <c r="AO162" s="590">
        <v>0.11109236095618287</v>
      </c>
      <c r="AP162" s="1067">
        <v>0.11290142917849809</v>
      </c>
      <c r="AQ162" s="610"/>
      <c r="AR162" s="110"/>
      <c r="AS162" s="1072">
        <v>0.75</v>
      </c>
      <c r="AT162" s="1075">
        <v>0.12711834680201567</v>
      </c>
      <c r="AU162" s="1075">
        <v>0.12711834680201567</v>
      </c>
      <c r="AV162" s="1075">
        <v>0.12711834680201567</v>
      </c>
      <c r="AW162" s="1075">
        <v>0.12711834680201567</v>
      </c>
      <c r="AX162" s="1075">
        <v>0.12711834680201567</v>
      </c>
      <c r="AY162" s="1075">
        <v>0.12711834680201567</v>
      </c>
      <c r="AZ162" s="1075">
        <v>0.12711834680201567</v>
      </c>
      <c r="BA162" s="1075">
        <v>0.12711834680201567</v>
      </c>
      <c r="BB162" s="1075">
        <v>0.12711834680201567</v>
      </c>
      <c r="BC162" s="1075">
        <v>0.12711834680201567</v>
      </c>
      <c r="BD162" s="1075">
        <v>0.12711834680201567</v>
      </c>
      <c r="BE162" s="1075">
        <v>0.12711834680201567</v>
      </c>
      <c r="BF162" s="1075">
        <v>0.12711834680201567</v>
      </c>
      <c r="BG162" s="1076">
        <v>0.12711834680201567</v>
      </c>
      <c r="BH162" s="610"/>
      <c r="BI162" s="110"/>
      <c r="BJ162" s="1077">
        <v>1000000.0</v>
      </c>
      <c r="BK162" s="1078">
        <v>0.14683707252267758</v>
      </c>
      <c r="BL162" s="1078">
        <v>0.14683707252267758</v>
      </c>
      <c r="BM162" s="1078">
        <v>0.14683707252267758</v>
      </c>
      <c r="BN162" s="1078">
        <v>0.14683707252267758</v>
      </c>
      <c r="BO162" s="1078">
        <v>0.14683707252267758</v>
      </c>
      <c r="BP162" s="1078">
        <v>0.14683707252267758</v>
      </c>
      <c r="BQ162" s="1078">
        <v>0.14683707252267758</v>
      </c>
      <c r="BR162" s="1078">
        <v>0.14683707252267758</v>
      </c>
      <c r="BS162" s="1078">
        <v>0.14683707252267758</v>
      </c>
      <c r="BT162" s="1078">
        <v>0.14683707252267758</v>
      </c>
      <c r="BU162" s="1078">
        <v>0.14683707252267758</v>
      </c>
      <c r="BV162" s="1078">
        <v>0.14683707252267758</v>
      </c>
      <c r="BW162" s="1078">
        <v>0.14683707252267758</v>
      </c>
      <c r="BX162" s="1079">
        <v>0.14683707252267758</v>
      </c>
      <c r="BY162" s="11"/>
    </row>
    <row r="163">
      <c r="R163" s="10"/>
      <c r="U163" s="110"/>
      <c r="V163" s="1056">
        <f t="shared" si="13"/>
        <v>2500000</v>
      </c>
      <c r="W163" s="1063">
        <v>0.09286791882459751</v>
      </c>
      <c r="X163" s="1064">
        <v>0.10737853114094084</v>
      </c>
      <c r="Y163" s="1064">
        <v>0.1218891434572842</v>
      </c>
      <c r="Z163" s="1064">
        <v>0.13639975577362756</v>
      </c>
      <c r="AA163" s="1064">
        <v>0.15091036808997094</v>
      </c>
      <c r="AB163" s="1064">
        <v>0.16542098040631428</v>
      </c>
      <c r="AC163" s="1065">
        <v>0.17993159272265766</v>
      </c>
      <c r="AD163" s="577"/>
      <c r="AE163" s="110"/>
      <c r="AF163" s="1056">
        <f t="shared" si="14"/>
        <v>2500000</v>
      </c>
      <c r="AG163" s="590">
        <v>0.07609411103516998</v>
      </c>
      <c r="AH163" s="590">
        <v>0.08039670165791016</v>
      </c>
      <c r="AI163" s="590">
        <v>0.08461561048758</v>
      </c>
      <c r="AJ163" s="590">
        <v>0.0887672215384017</v>
      </c>
      <c r="AK163" s="1066">
        <v>0.09286791882459751</v>
      </c>
      <c r="AL163" s="590">
        <v>0.09449761190416632</v>
      </c>
      <c r="AM163" s="590">
        <v>0.09612282880058075</v>
      </c>
      <c r="AN163" s="590">
        <v>0.09774461809075104</v>
      </c>
      <c r="AO163" s="590">
        <v>0.09936402835158736</v>
      </c>
      <c r="AP163" s="1067">
        <v>0.10098210816000001</v>
      </c>
      <c r="AQ163" s="610"/>
      <c r="AR163" s="110"/>
      <c r="AS163" s="1072">
        <v>0.8</v>
      </c>
      <c r="AT163" s="1073">
        <v>0.13378902737319173</v>
      </c>
      <c r="AU163" s="1073">
        <v>0.13378902737319173</v>
      </c>
      <c r="AV163" s="1073">
        <v>0.13378902737319173</v>
      </c>
      <c r="AW163" s="1073">
        <v>0.13378902737319173</v>
      </c>
      <c r="AX163" s="1073">
        <v>0.13378902737319173</v>
      </c>
      <c r="AY163" s="1073">
        <v>0.13378902737319173</v>
      </c>
      <c r="AZ163" s="1073">
        <v>0.13378902737319173</v>
      </c>
      <c r="BA163" s="1073">
        <v>0.13378902737319173</v>
      </c>
      <c r="BB163" s="1073">
        <v>0.13378902737319173</v>
      </c>
      <c r="BC163" s="1073">
        <v>0.13378902737319173</v>
      </c>
      <c r="BD163" s="1073">
        <v>0.13378902737319173</v>
      </c>
      <c r="BE163" s="1073">
        <v>0.13378902737319173</v>
      </c>
      <c r="BF163" s="1073">
        <v>0.13378902737319173</v>
      </c>
      <c r="BG163" s="1074">
        <v>0.13378902737319173</v>
      </c>
      <c r="BH163" s="610"/>
      <c r="BI163" s="110"/>
      <c r="BJ163" s="1056">
        <f t="shared" ref="BJ163:BJ180" si="15">BJ162+500000</f>
        <v>1500000</v>
      </c>
      <c r="BK163" s="1073">
        <v>0.1198919676682028</v>
      </c>
      <c r="BL163" s="1073">
        <v>0.1198919676682028</v>
      </c>
      <c r="BM163" s="1073">
        <v>0.1198919676682028</v>
      </c>
      <c r="BN163" s="1073">
        <v>0.1198919676682028</v>
      </c>
      <c r="BO163" s="1073">
        <v>0.11989196766820279</v>
      </c>
      <c r="BP163" s="1073">
        <v>0.11989196766820279</v>
      </c>
      <c r="BQ163" s="1073">
        <v>0.1198919676682028</v>
      </c>
      <c r="BR163" s="1073">
        <v>0.11989196766820279</v>
      </c>
      <c r="BS163" s="1073">
        <v>0.1198919676682028</v>
      </c>
      <c r="BT163" s="1073">
        <v>0.1198919676682028</v>
      </c>
      <c r="BU163" s="1073">
        <v>0.11989196766820281</v>
      </c>
      <c r="BV163" s="1073">
        <v>0.11989196766820279</v>
      </c>
      <c r="BW163" s="1073">
        <v>0.1198919676682028</v>
      </c>
      <c r="BX163" s="1074">
        <v>0.1198919676682028</v>
      </c>
      <c r="BY163" s="11"/>
    </row>
    <row r="164">
      <c r="R164" s="10"/>
      <c r="U164" s="110"/>
      <c r="V164" s="1056">
        <f t="shared" si="13"/>
        <v>3000000</v>
      </c>
      <c r="W164" s="1063">
        <v>0.08477642334798449</v>
      </c>
      <c r="X164" s="1064">
        <v>0.09802273949610707</v>
      </c>
      <c r="Y164" s="1064">
        <v>0.11126905564422965</v>
      </c>
      <c r="Z164" s="1064">
        <v>0.12451537179235221</v>
      </c>
      <c r="AA164" s="1064">
        <v>0.13776168794047486</v>
      </c>
      <c r="AB164" s="1064">
        <v>0.15100800408859738</v>
      </c>
      <c r="AC164" s="1065">
        <v>0.16425432023672</v>
      </c>
      <c r="AD164" s="577"/>
      <c r="AE164" s="110"/>
      <c r="AF164" s="1056">
        <f t="shared" si="14"/>
        <v>3000000</v>
      </c>
      <c r="AG164" s="590">
        <v>0.0694641018454423</v>
      </c>
      <c r="AH164" s="590">
        <v>0.07339181174508395</v>
      </c>
      <c r="AI164" s="590">
        <v>0.07724313096853044</v>
      </c>
      <c r="AJ164" s="590">
        <v>0.08103301600606841</v>
      </c>
      <c r="AK164" s="1066">
        <v>0.08477642334798449</v>
      </c>
      <c r="AL164" s="590">
        <v>0.08626412278380102</v>
      </c>
      <c r="AM164" s="590">
        <v>0.08774773604214223</v>
      </c>
      <c r="AN164" s="590">
        <v>0.08922822033838645</v>
      </c>
      <c r="AO164" s="590">
        <v>0.09070653288791211</v>
      </c>
      <c r="AP164" s="1067">
        <v>0.09218363090609752</v>
      </c>
      <c r="AQ164" s="610"/>
      <c r="AR164" s="110"/>
      <c r="AS164" s="1072">
        <v>0.85</v>
      </c>
      <c r="AT164" s="1073">
        <v>0.14035330081305256</v>
      </c>
      <c r="AU164" s="1073">
        <v>0.14035330081305256</v>
      </c>
      <c r="AV164" s="1073">
        <v>0.14035330081305256</v>
      </c>
      <c r="AW164" s="1073">
        <v>0.14035330081305256</v>
      </c>
      <c r="AX164" s="1073">
        <v>0.14035330081305256</v>
      </c>
      <c r="AY164" s="1073">
        <v>0.14035330081305256</v>
      </c>
      <c r="AZ164" s="1073">
        <v>0.14035330081305256</v>
      </c>
      <c r="BA164" s="1073">
        <v>0.14035330081305256</v>
      </c>
      <c r="BB164" s="1073">
        <v>0.14035330081305256</v>
      </c>
      <c r="BC164" s="1073">
        <v>0.14035330081305256</v>
      </c>
      <c r="BD164" s="1073">
        <v>0.14035330081305256</v>
      </c>
      <c r="BE164" s="1073">
        <v>0.14035330081305256</v>
      </c>
      <c r="BF164" s="1073">
        <v>0.14035330081305256</v>
      </c>
      <c r="BG164" s="1074">
        <v>0.14035330081305256</v>
      </c>
      <c r="BH164" s="610"/>
      <c r="BI164" s="110"/>
      <c r="BJ164" s="1056">
        <f t="shared" si="15"/>
        <v>2000000</v>
      </c>
      <c r="BK164" s="1073">
        <v>0.10382948971036621</v>
      </c>
      <c r="BL164" s="1073">
        <v>0.10382948971036621</v>
      </c>
      <c r="BM164" s="1073">
        <v>0.10382948971036621</v>
      </c>
      <c r="BN164" s="1073">
        <v>0.10382948971036621</v>
      </c>
      <c r="BO164" s="1073">
        <v>0.10382948971036621</v>
      </c>
      <c r="BP164" s="1073">
        <v>0.10382948971036621</v>
      </c>
      <c r="BQ164" s="1073">
        <v>0.10382948971036621</v>
      </c>
      <c r="BR164" s="1073">
        <v>0.10382948971036621</v>
      </c>
      <c r="BS164" s="1073">
        <v>0.1038294897103662</v>
      </c>
      <c r="BT164" s="1073">
        <v>0.10382948971036621</v>
      </c>
      <c r="BU164" s="1073">
        <v>0.10382948971036621</v>
      </c>
      <c r="BV164" s="1073">
        <v>0.10382948971036621</v>
      </c>
      <c r="BW164" s="1073">
        <v>0.10382948971036621</v>
      </c>
      <c r="BX164" s="1074">
        <v>0.1038294897103662</v>
      </c>
      <c r="BY164" s="11"/>
    </row>
    <row r="165">
      <c r="R165" s="10"/>
      <c r="U165" s="110"/>
      <c r="V165" s="1056">
        <f t="shared" si="13"/>
        <v>3500000</v>
      </c>
      <c r="W165" s="1063">
        <v>0.07848771672239105</v>
      </c>
      <c r="X165" s="1064">
        <v>0.09075142246026469</v>
      </c>
      <c r="Y165" s="1064">
        <v>0.1030151281981383</v>
      </c>
      <c r="Z165" s="1064">
        <v>0.11527883393601185</v>
      </c>
      <c r="AA165" s="1064">
        <v>0.12754253967388546</v>
      </c>
      <c r="AB165" s="1064">
        <v>0.1398062454117591</v>
      </c>
      <c r="AC165" s="1065">
        <v>0.15206995114963273</v>
      </c>
      <c r="AD165" s="577"/>
      <c r="AE165" s="110"/>
      <c r="AF165" s="1056">
        <f t="shared" si="14"/>
        <v>3500000</v>
      </c>
      <c r="AG165" s="590">
        <v>0.06431126170115807</v>
      </c>
      <c r="AH165" s="590">
        <v>0.06794761447232192</v>
      </c>
      <c r="AI165" s="590">
        <v>0.0715132432200291</v>
      </c>
      <c r="AJ165" s="590">
        <v>0.075021994963609</v>
      </c>
      <c r="AK165" s="1066">
        <v>0.07848771672239105</v>
      </c>
      <c r="AL165" s="590">
        <v>0.07986505876249027</v>
      </c>
      <c r="AM165" s="590">
        <v>0.08123861773735161</v>
      </c>
      <c r="AN165" s="590">
        <v>0.08260927985621216</v>
      </c>
      <c r="AO165" s="590">
        <v>0.08397793132830901</v>
      </c>
      <c r="AP165" s="1067">
        <v>0.08534545836287924</v>
      </c>
      <c r="AQ165" s="610"/>
      <c r="AR165" s="110"/>
      <c r="AS165" s="1080">
        <v>0.9</v>
      </c>
      <c r="AT165" s="1081">
        <v>0.14683707252267758</v>
      </c>
      <c r="AU165" s="1081">
        <v>0.14683707252267758</v>
      </c>
      <c r="AV165" s="1081">
        <v>0.14683707252267758</v>
      </c>
      <c r="AW165" s="1081">
        <v>0.14683707252267758</v>
      </c>
      <c r="AX165" s="1081">
        <v>0.14683707252267758</v>
      </c>
      <c r="AY165" s="1081">
        <v>0.14683707252267758</v>
      </c>
      <c r="AZ165" s="1081">
        <v>0.14683707252267758</v>
      </c>
      <c r="BA165" s="1081">
        <v>0.14683707252267758</v>
      </c>
      <c r="BB165" s="1081">
        <v>0.14683707252267758</v>
      </c>
      <c r="BC165" s="1081">
        <v>0.14683707252267758</v>
      </c>
      <c r="BD165" s="1081">
        <v>0.14683707252267758</v>
      </c>
      <c r="BE165" s="1081">
        <v>0.14683707252267758</v>
      </c>
      <c r="BF165" s="1081">
        <v>0.14683707252267758</v>
      </c>
      <c r="BG165" s="1082">
        <v>0.14683707252267758</v>
      </c>
      <c r="BH165" s="610"/>
      <c r="BI165" s="110"/>
      <c r="BJ165" s="1056">
        <f t="shared" si="15"/>
        <v>2500000</v>
      </c>
      <c r="BK165" s="1073">
        <v>0.09286791882459751</v>
      </c>
      <c r="BL165" s="1073">
        <v>0.09286791882459751</v>
      </c>
      <c r="BM165" s="1073">
        <v>0.09286791882459751</v>
      </c>
      <c r="BN165" s="1073">
        <v>0.09286791882459751</v>
      </c>
      <c r="BO165" s="1073">
        <v>0.09286791882459751</v>
      </c>
      <c r="BP165" s="1073">
        <v>0.09286791882459751</v>
      </c>
      <c r="BQ165" s="1073">
        <v>0.09286791882459751</v>
      </c>
      <c r="BR165" s="1073">
        <v>0.09286791882459751</v>
      </c>
      <c r="BS165" s="1073">
        <v>0.09286791882459751</v>
      </c>
      <c r="BT165" s="1073">
        <v>0.09286791882459751</v>
      </c>
      <c r="BU165" s="1073">
        <v>0.09286791882459751</v>
      </c>
      <c r="BV165" s="1073">
        <v>0.09286791882459751</v>
      </c>
      <c r="BW165" s="1073">
        <v>0.09286791882459751</v>
      </c>
      <c r="BX165" s="1074">
        <v>0.09286791882459751</v>
      </c>
      <c r="BY165" s="11"/>
    </row>
    <row r="166">
      <c r="R166" s="10"/>
      <c r="U166" s="110"/>
      <c r="V166" s="1056">
        <f t="shared" si="13"/>
        <v>4000000</v>
      </c>
      <c r="W166" s="1063">
        <v>0.07341853626133879</v>
      </c>
      <c r="X166" s="1064">
        <v>0.08489018255217297</v>
      </c>
      <c r="Y166" s="1064">
        <v>0.09636182884300715</v>
      </c>
      <c r="Z166" s="1064">
        <v>0.10783347513384135</v>
      </c>
      <c r="AA166" s="1064">
        <v>0.11930512142467552</v>
      </c>
      <c r="AB166" s="1064">
        <v>0.1307767677155097</v>
      </c>
      <c r="AC166" s="1065">
        <v>0.1422484140063439</v>
      </c>
      <c r="AD166" s="577"/>
      <c r="AE166" s="110"/>
      <c r="AF166" s="1056">
        <f t="shared" si="14"/>
        <v>4000000</v>
      </c>
      <c r="AG166" s="590">
        <v>0.060157676849222554</v>
      </c>
      <c r="AH166" s="590">
        <v>0.06355917340100783</v>
      </c>
      <c r="AI166" s="590">
        <v>0.06689451368659585</v>
      </c>
      <c r="AJ166" s="590">
        <v>0.07017665040652628</v>
      </c>
      <c r="AK166" s="1066">
        <v>0.07341853626133879</v>
      </c>
      <c r="AL166" s="590">
        <v>0.07470692176595166</v>
      </c>
      <c r="AM166" s="590">
        <v>0.07599176853706656</v>
      </c>
      <c r="AN166" s="590">
        <v>0.07727390554751802</v>
      </c>
      <c r="AO166" s="590">
        <v>0.07855416177014056</v>
      </c>
      <c r="AP166" s="1067">
        <v>0.07983336617776875</v>
      </c>
      <c r="AQ166" s="610"/>
      <c r="AR166" s="110"/>
      <c r="AS166" s="1072">
        <v>0.92</v>
      </c>
      <c r="AT166" s="1073">
        <v>0.14941384353190332</v>
      </c>
      <c r="AU166" s="1073">
        <v>0.14941384353190332</v>
      </c>
      <c r="AV166" s="1073">
        <v>0.14941384353190332</v>
      </c>
      <c r="AW166" s="1073">
        <v>0.14941384353190332</v>
      </c>
      <c r="AX166" s="1073">
        <v>0.14941384353190332</v>
      </c>
      <c r="AY166" s="1073">
        <v>0.14941384353190332</v>
      </c>
      <c r="AZ166" s="1073">
        <v>0.14941384353190332</v>
      </c>
      <c r="BA166" s="1073">
        <v>0.14941384353190332</v>
      </c>
      <c r="BB166" s="1073">
        <v>0.14941384353190332</v>
      </c>
      <c r="BC166" s="1073">
        <v>0.14941384353190332</v>
      </c>
      <c r="BD166" s="1073">
        <v>0.14941384353190332</v>
      </c>
      <c r="BE166" s="1073">
        <v>0.14941384353190332</v>
      </c>
      <c r="BF166" s="1073">
        <v>0.14941384353190332</v>
      </c>
      <c r="BG166" s="1074">
        <v>0.14941384353190332</v>
      </c>
      <c r="BH166" s="610"/>
      <c r="BI166" s="110"/>
      <c r="BJ166" s="1056">
        <f t="shared" si="15"/>
        <v>3000000</v>
      </c>
      <c r="BK166" s="1073">
        <v>0.08477642334798449</v>
      </c>
      <c r="BL166" s="1073">
        <v>0.08477642334798449</v>
      </c>
      <c r="BM166" s="1073">
        <v>0.08477642334798449</v>
      </c>
      <c r="BN166" s="1073">
        <v>0.08477642334798449</v>
      </c>
      <c r="BO166" s="1073">
        <v>0.08477642334798449</v>
      </c>
      <c r="BP166" s="1073">
        <v>0.08477642334798449</v>
      </c>
      <c r="BQ166" s="1073">
        <v>0.08477642334798449</v>
      </c>
      <c r="BR166" s="1073">
        <v>0.08477642334798449</v>
      </c>
      <c r="BS166" s="1073">
        <v>0.08477642334798449</v>
      </c>
      <c r="BT166" s="1073">
        <v>0.08477642334798449</v>
      </c>
      <c r="BU166" s="1073">
        <v>0.08477642334798449</v>
      </c>
      <c r="BV166" s="1073">
        <v>0.08477642334798449</v>
      </c>
      <c r="BW166" s="1073">
        <v>0.08477642334798449</v>
      </c>
      <c r="BX166" s="1074">
        <v>0.08477642334798449</v>
      </c>
      <c r="BY166" s="11"/>
    </row>
    <row r="167">
      <c r="R167" s="10"/>
      <c r="U167" s="110"/>
      <c r="V167" s="1056">
        <f t="shared" si="13"/>
        <v>4500000</v>
      </c>
      <c r="W167" s="1063">
        <v>0.06921965980691078</v>
      </c>
      <c r="X167" s="1064">
        <v>0.08003523165174059</v>
      </c>
      <c r="Y167" s="1064">
        <v>0.0908508034965704</v>
      </c>
      <c r="Z167" s="1064">
        <v>0.10166637534140022</v>
      </c>
      <c r="AA167" s="1064">
        <v>0.11248194718623002</v>
      </c>
      <c r="AB167" s="1064">
        <v>0.12329751903105982</v>
      </c>
      <c r="AC167" s="1065">
        <v>0.13411309087588966</v>
      </c>
      <c r="AD167" s="577"/>
      <c r="AE167" s="110"/>
      <c r="AF167" s="1056">
        <f t="shared" si="14"/>
        <v>4500000</v>
      </c>
      <c r="AG167" s="591">
        <v>0.056717201654018994</v>
      </c>
      <c r="AH167" s="591">
        <v>0.05992416335795237</v>
      </c>
      <c r="AI167" s="591">
        <v>0.06306875233595767</v>
      </c>
      <c r="AJ167" s="591">
        <v>0.06616318051121656</v>
      </c>
      <c r="AK167" s="1068">
        <v>0.06921965980691078</v>
      </c>
      <c r="AL167" s="591">
        <v>0.07043436130970308</v>
      </c>
      <c r="AM167" s="591">
        <v>0.07164572646255772</v>
      </c>
      <c r="AN167" s="591">
        <v>0.07285453682855834</v>
      </c>
      <c r="AO167" s="591">
        <v>0.07406157397078858</v>
      </c>
      <c r="AP167" s="1069">
        <v>0.07526761945233205</v>
      </c>
      <c r="AQ167" s="610"/>
      <c r="AR167" s="110"/>
      <c r="AS167" s="1072">
        <v>0.94</v>
      </c>
      <c r="AT167" s="1073">
        <v>0.15198353707413312</v>
      </c>
      <c r="AU167" s="1073">
        <v>0.15198353707413312</v>
      </c>
      <c r="AV167" s="1073">
        <v>0.15198353707413312</v>
      </c>
      <c r="AW167" s="1073">
        <v>0.15198353707413312</v>
      </c>
      <c r="AX167" s="1073">
        <v>0.15198353707413312</v>
      </c>
      <c r="AY167" s="1073">
        <v>0.15198353707413312</v>
      </c>
      <c r="AZ167" s="1073">
        <v>0.15198353707413312</v>
      </c>
      <c r="BA167" s="1073">
        <v>0.15198353707413312</v>
      </c>
      <c r="BB167" s="1073">
        <v>0.15198353707413312</v>
      </c>
      <c r="BC167" s="1073">
        <v>0.15198353707413312</v>
      </c>
      <c r="BD167" s="1073">
        <v>0.15198353707413312</v>
      </c>
      <c r="BE167" s="1073">
        <v>0.15198353707413312</v>
      </c>
      <c r="BF167" s="1073">
        <v>0.15198353707413312</v>
      </c>
      <c r="BG167" s="1074">
        <v>0.15198353707413312</v>
      </c>
      <c r="BH167" s="610"/>
      <c r="BI167" s="110"/>
      <c r="BJ167" s="1056">
        <f t="shared" si="15"/>
        <v>3500000</v>
      </c>
      <c r="BK167" s="1073">
        <v>0.07848771672239105</v>
      </c>
      <c r="BL167" s="1073">
        <v>0.07848771672239105</v>
      </c>
      <c r="BM167" s="1073">
        <v>0.07848771672239105</v>
      </c>
      <c r="BN167" s="1073">
        <v>0.07848771672239105</v>
      </c>
      <c r="BO167" s="1073">
        <v>0.07848771672239105</v>
      </c>
      <c r="BP167" s="1073">
        <v>0.07848771672239105</v>
      </c>
      <c r="BQ167" s="1073">
        <v>0.07848771672239105</v>
      </c>
      <c r="BR167" s="1073">
        <v>0.07848771672239105</v>
      </c>
      <c r="BS167" s="1073">
        <v>0.07848771672239105</v>
      </c>
      <c r="BT167" s="1073">
        <v>0.07848771672239105</v>
      </c>
      <c r="BU167" s="1073">
        <v>0.07848771672239105</v>
      </c>
      <c r="BV167" s="1073">
        <v>0.07848771672239105</v>
      </c>
      <c r="BW167" s="1073">
        <v>0.07848771672239105</v>
      </c>
      <c r="BX167" s="1074">
        <v>0.07848771672239105</v>
      </c>
      <c r="BY167" s="11"/>
    </row>
    <row r="168">
      <c r="R168" s="10"/>
      <c r="U168" s="110"/>
      <c r="V168" s="1056">
        <f t="shared" si="13"/>
        <v>5000000</v>
      </c>
      <c r="W168" s="1063">
        <v>0.06566753515555472</v>
      </c>
      <c r="X168" s="1064">
        <v>0.07592808752361013</v>
      </c>
      <c r="Y168" s="1064">
        <v>0.08618863989166557</v>
      </c>
      <c r="Z168" s="1064">
        <v>0.096449192259721</v>
      </c>
      <c r="AA168" s="1064">
        <v>0.10670974462777638</v>
      </c>
      <c r="AB168" s="1064">
        <v>0.11697029699583184</v>
      </c>
      <c r="AC168" s="1065">
        <v>0.12723084936388726</v>
      </c>
      <c r="AD168" s="577"/>
      <c r="AE168" s="110"/>
      <c r="AF168" s="1056">
        <f t="shared" si="14"/>
        <v>5000000</v>
      </c>
      <c r="AG168" s="590">
        <v>0.05380666192133079</v>
      </c>
      <c r="AH168" s="590">
        <v>0.05684905292734001</v>
      </c>
      <c r="AI168" s="590">
        <v>0.059832271970007345</v>
      </c>
      <c r="AJ168" s="590">
        <v>0.0627679042968924</v>
      </c>
      <c r="AK168" s="1066">
        <v>0.06566753515555472</v>
      </c>
      <c r="AL168" s="590">
        <v>0.06681990218337061</v>
      </c>
      <c r="AM168" s="590">
        <v>0.06796910407172424</v>
      </c>
      <c r="AN168" s="590">
        <v>0.06911588227645933</v>
      </c>
      <c r="AO168" s="590">
        <v>0.0702609782534198</v>
      </c>
      <c r="AP168" s="1067">
        <v>0.0714051334584494</v>
      </c>
      <c r="AQ168" s="610"/>
      <c r="AR168" s="110"/>
      <c r="AS168" s="1072">
        <v>0.96</v>
      </c>
      <c r="AT168" s="1073">
        <v>0.154547811095036</v>
      </c>
      <c r="AU168" s="1073">
        <v>0.154547811095036</v>
      </c>
      <c r="AV168" s="1073">
        <v>0.154547811095036</v>
      </c>
      <c r="AW168" s="1073">
        <v>0.154547811095036</v>
      </c>
      <c r="AX168" s="1073">
        <v>0.154547811095036</v>
      </c>
      <c r="AY168" s="1073">
        <v>0.154547811095036</v>
      </c>
      <c r="AZ168" s="1073">
        <v>0.154547811095036</v>
      </c>
      <c r="BA168" s="1073">
        <v>0.154547811095036</v>
      </c>
      <c r="BB168" s="1073">
        <v>0.154547811095036</v>
      </c>
      <c r="BC168" s="1073">
        <v>0.154547811095036</v>
      </c>
      <c r="BD168" s="1073">
        <v>0.15454781109503596</v>
      </c>
      <c r="BE168" s="1073">
        <v>0.154547811095036</v>
      </c>
      <c r="BF168" s="1073">
        <v>0.154547811095036</v>
      </c>
      <c r="BG168" s="1074">
        <v>0.154547811095036</v>
      </c>
      <c r="BH168" s="610"/>
      <c r="BI168" s="110"/>
      <c r="BJ168" s="1056">
        <f t="shared" si="15"/>
        <v>4000000</v>
      </c>
      <c r="BK168" s="1073">
        <v>0.07341853626133879</v>
      </c>
      <c r="BL168" s="1073">
        <v>0.07341853626133879</v>
      </c>
      <c r="BM168" s="1073">
        <v>0.07341853626133879</v>
      </c>
      <c r="BN168" s="1073">
        <v>0.07341853626133879</v>
      </c>
      <c r="BO168" s="1073">
        <v>0.07341853626133879</v>
      </c>
      <c r="BP168" s="1073">
        <v>0.07341853626133879</v>
      </c>
      <c r="BQ168" s="1073">
        <v>0.07341853626133879</v>
      </c>
      <c r="BR168" s="1073">
        <v>0.07341853626133879</v>
      </c>
      <c r="BS168" s="1073">
        <v>0.07341853626133879</v>
      </c>
      <c r="BT168" s="1073">
        <v>0.07341853626133879</v>
      </c>
      <c r="BU168" s="1073">
        <v>0.07341853626133879</v>
      </c>
      <c r="BV168" s="1073">
        <v>0.07341853626133879</v>
      </c>
      <c r="BW168" s="1073">
        <v>0.07341853626133879</v>
      </c>
      <c r="BX168" s="1074">
        <v>0.07341853626133879</v>
      </c>
      <c r="BY168" s="11"/>
    </row>
    <row r="169">
      <c r="R169" s="10"/>
      <c r="U169" s="110"/>
      <c r="V169" s="1056">
        <f t="shared" si="13"/>
        <v>5500000</v>
      </c>
      <c r="W169" s="1063">
        <v>0.06261153809879116</v>
      </c>
      <c r="X169" s="1064">
        <v>0.07239459092672729</v>
      </c>
      <c r="Y169" s="1064">
        <v>0.0821776437546634</v>
      </c>
      <c r="Z169" s="1064">
        <v>0.0919606965825995</v>
      </c>
      <c r="AA169" s="1064">
        <v>0.10174374941053561</v>
      </c>
      <c r="AB169" s="1064">
        <v>0.11152680223847176</v>
      </c>
      <c r="AC169" s="1065">
        <v>0.12130985506640789</v>
      </c>
      <c r="AD169" s="577"/>
      <c r="AE169" s="110"/>
      <c r="AF169" s="1056">
        <f t="shared" si="14"/>
        <v>5500000</v>
      </c>
      <c r="AG169" s="590">
        <v>0.05130263919417428</v>
      </c>
      <c r="AH169" s="590">
        <v>0.05420344520026132</v>
      </c>
      <c r="AI169" s="590">
        <v>0.057047832952969696</v>
      </c>
      <c r="AJ169" s="590">
        <v>0.059846848552434564</v>
      </c>
      <c r="AK169" s="1066">
        <v>0.06261153809879116</v>
      </c>
      <c r="AL169" s="590">
        <v>0.06371027694889377</v>
      </c>
      <c r="AM169" s="590">
        <v>0.06480599795692932</v>
      </c>
      <c r="AN169" s="590">
        <v>0.06589940807330646</v>
      </c>
      <c r="AO169" s="590">
        <v>0.06699121424843389</v>
      </c>
      <c r="AP169" s="1067">
        <v>0.06808212343272023</v>
      </c>
      <c r="AQ169" s="610"/>
      <c r="AR169" s="110"/>
      <c r="AS169" s="1072">
        <v>0.98</v>
      </c>
      <c r="AT169" s="594">
        <v>0.15710832354028112</v>
      </c>
      <c r="AU169" s="594">
        <v>0.15710832354028112</v>
      </c>
      <c r="AV169" s="594">
        <v>0.15710832354028112</v>
      </c>
      <c r="AW169" s="594">
        <v>0.15710832354028112</v>
      </c>
      <c r="AX169" s="594">
        <v>0.15710832354028112</v>
      </c>
      <c r="AY169" s="594">
        <v>0.15710832354028112</v>
      </c>
      <c r="AZ169" s="594">
        <v>0.15710832354028112</v>
      </c>
      <c r="BA169" s="594">
        <v>0.15710832354028112</v>
      </c>
      <c r="BB169" s="594">
        <v>0.15710832354028112</v>
      </c>
      <c r="BC169" s="594">
        <v>0.15710832354028112</v>
      </c>
      <c r="BD169" s="594">
        <v>0.15710832354028115</v>
      </c>
      <c r="BE169" s="594">
        <v>0.15710832354028112</v>
      </c>
      <c r="BF169" s="594">
        <v>0.15710832354028112</v>
      </c>
      <c r="BG169" s="1083">
        <v>0.15710832354028112</v>
      </c>
      <c r="BH169" s="610"/>
      <c r="BI169" s="110"/>
      <c r="BJ169" s="1056">
        <f t="shared" si="15"/>
        <v>4500000</v>
      </c>
      <c r="BK169" s="594">
        <v>0.06921965980691078</v>
      </c>
      <c r="BL169" s="594">
        <v>0.06921965980691078</v>
      </c>
      <c r="BM169" s="594">
        <v>0.06921965980691078</v>
      </c>
      <c r="BN169" s="594">
        <v>0.06921965980691078</v>
      </c>
      <c r="BO169" s="594">
        <v>0.06921965980691078</v>
      </c>
      <c r="BP169" s="594">
        <v>0.06921965980691078</v>
      </c>
      <c r="BQ169" s="594">
        <v>0.06921965980691078</v>
      </c>
      <c r="BR169" s="594">
        <v>0.06921965980691078</v>
      </c>
      <c r="BS169" s="594">
        <v>0.06921965980691078</v>
      </c>
      <c r="BT169" s="594">
        <v>0.06921965980691078</v>
      </c>
      <c r="BU169" s="594">
        <v>0.06921965980691078</v>
      </c>
      <c r="BV169" s="594">
        <v>0.06921965980691078</v>
      </c>
      <c r="BW169" s="594">
        <v>0.06921965980691078</v>
      </c>
      <c r="BX169" s="1083">
        <v>0.06921965980691078</v>
      </c>
      <c r="BY169" s="11"/>
    </row>
    <row r="170">
      <c r="R170" s="10"/>
      <c r="U170" s="110"/>
      <c r="V170" s="1056">
        <f t="shared" si="13"/>
        <v>6000000</v>
      </c>
      <c r="W170" s="1063">
        <v>0.0599459838341014</v>
      </c>
      <c r="X170" s="1064">
        <v>0.06931254380817974</v>
      </c>
      <c r="Y170" s="1064">
        <v>0.07867910378225808</v>
      </c>
      <c r="Z170" s="1064">
        <v>0.08804566375633643</v>
      </c>
      <c r="AA170" s="1064">
        <v>0.09741222373041478</v>
      </c>
      <c r="AB170" s="1064">
        <v>0.10677878370449312</v>
      </c>
      <c r="AC170" s="1065">
        <v>0.11614534367857147</v>
      </c>
      <c r="AD170" s="577"/>
      <c r="AE170" s="110"/>
      <c r="AF170" s="1056">
        <f t="shared" si="14"/>
        <v>6000000</v>
      </c>
      <c r="AG170" s="590">
        <v>0.049118537463945226</v>
      </c>
      <c r="AH170" s="590">
        <v>0.051895847768515364</v>
      </c>
      <c r="AI170" s="590">
        <v>0.054619141707928504</v>
      </c>
      <c r="AJ170" s="590">
        <v>0.057298995117889016</v>
      </c>
      <c r="AK170" s="1066">
        <v>0.0599459838341014</v>
      </c>
      <c r="AL170" s="590">
        <v>0.06099794619353466</v>
      </c>
      <c r="AM170" s="590">
        <v>0.06204701918916599</v>
      </c>
      <c r="AN170" s="590">
        <v>0.06309387967448049</v>
      </c>
      <c r="AO170" s="590">
        <v>0.06413920450296325</v>
      </c>
      <c r="AP170" s="1067">
        <v>0.06518367052809936</v>
      </c>
      <c r="AQ170" s="610"/>
      <c r="AR170" s="146"/>
      <c r="AS170" s="1084">
        <v>1.0</v>
      </c>
      <c r="AT170" s="1085">
        <v>0.1596667323555375</v>
      </c>
      <c r="AU170" s="1085">
        <v>0.1596667323555375</v>
      </c>
      <c r="AV170" s="1085">
        <v>0.1596667323555375</v>
      </c>
      <c r="AW170" s="1085">
        <v>0.1596667323555375</v>
      </c>
      <c r="AX170" s="1085">
        <v>0.15966673235553747</v>
      </c>
      <c r="AY170" s="1085">
        <v>0.15966673235553747</v>
      </c>
      <c r="AZ170" s="1085">
        <v>0.1596667323555375</v>
      </c>
      <c r="BA170" s="1085">
        <v>0.15966673235553747</v>
      </c>
      <c r="BB170" s="1085">
        <v>0.1596667323555375</v>
      </c>
      <c r="BC170" s="1085">
        <v>0.1596667323555375</v>
      </c>
      <c r="BD170" s="1085">
        <v>0.1596667323555375</v>
      </c>
      <c r="BE170" s="1085">
        <v>0.15966673235553747</v>
      </c>
      <c r="BF170" s="1085">
        <v>0.1596667323555375</v>
      </c>
      <c r="BG170" s="1086">
        <v>0.1596667323555375</v>
      </c>
      <c r="BH170" s="610"/>
      <c r="BI170" s="110"/>
      <c r="BJ170" s="1056">
        <f t="shared" si="15"/>
        <v>5000000</v>
      </c>
      <c r="BK170" s="577">
        <v>0.06566753515555472</v>
      </c>
      <c r="BL170" s="577">
        <v>0.06566753515555472</v>
      </c>
      <c r="BM170" s="577">
        <v>0.06566753515555472</v>
      </c>
      <c r="BN170" s="577">
        <v>0.06566753515555472</v>
      </c>
      <c r="BO170" s="577">
        <v>0.06566753515555472</v>
      </c>
      <c r="BP170" s="577">
        <v>0.06566753515555472</v>
      </c>
      <c r="BQ170" s="577">
        <v>0.06566753515555472</v>
      </c>
      <c r="BR170" s="577">
        <v>0.06566753515555472</v>
      </c>
      <c r="BS170" s="577">
        <v>0.06566753515555472</v>
      </c>
      <c r="BT170" s="577">
        <v>0.06566753515555472</v>
      </c>
      <c r="BU170" s="577">
        <v>0.06566753515555472</v>
      </c>
      <c r="BV170" s="577">
        <v>0.06566753515555472</v>
      </c>
      <c r="BW170" s="577">
        <v>0.06566753515555472</v>
      </c>
      <c r="BX170" s="1087">
        <v>0.06566753515555472</v>
      </c>
      <c r="BY170" s="11"/>
    </row>
    <row r="171">
      <c r="R171" s="10"/>
      <c r="U171" s="110"/>
      <c r="V171" s="1056">
        <f t="shared" si="13"/>
        <v>6500000</v>
      </c>
      <c r="W171" s="1063">
        <v>0.05759423831630552</v>
      </c>
      <c r="X171" s="1064">
        <v>0.06659333805322826</v>
      </c>
      <c r="Y171" s="1064">
        <v>0.07559243779015101</v>
      </c>
      <c r="Z171" s="1064">
        <v>0.08459153752707374</v>
      </c>
      <c r="AA171" s="1064">
        <v>0.09359063726399648</v>
      </c>
      <c r="AB171" s="1064">
        <v>0.10258973700091921</v>
      </c>
      <c r="AC171" s="1065">
        <v>0.11158883673784198</v>
      </c>
      <c r="AD171" s="577"/>
      <c r="AE171" s="110"/>
      <c r="AF171" s="1056">
        <f t="shared" si="14"/>
        <v>6500000</v>
      </c>
      <c r="AG171" s="590">
        <v>0.047191564330245336</v>
      </c>
      <c r="AH171" s="590">
        <v>0.0498599177599333</v>
      </c>
      <c r="AI171" s="590">
        <v>0.052476373944654146</v>
      </c>
      <c r="AJ171" s="590">
        <v>0.05505109381868562</v>
      </c>
      <c r="AK171" s="1066">
        <v>0.05759423831630552</v>
      </c>
      <c r="AL171" s="590">
        <v>0.05860493105923649</v>
      </c>
      <c r="AM171" s="590">
        <v>0.05961284779121979</v>
      </c>
      <c r="AN171" s="590">
        <v>0.06061863881204924</v>
      </c>
      <c r="AO171" s="590">
        <v>0.061622954421518626</v>
      </c>
      <c r="AP171" s="1067">
        <v>0.0626264449194217</v>
      </c>
      <c r="AQ171" s="610"/>
      <c r="AR171" s="610"/>
      <c r="AS171" s="610"/>
      <c r="AT171" s="610"/>
      <c r="AU171" s="610"/>
      <c r="AV171" s="610"/>
      <c r="AW171" s="610"/>
      <c r="AX171" s="610"/>
      <c r="AY171" s="610"/>
      <c r="AZ171" s="610"/>
      <c r="BA171" s="610"/>
      <c r="BB171" s="610"/>
      <c r="BC171" s="610"/>
      <c r="BD171" s="610"/>
      <c r="BE171" s="610"/>
      <c r="BF171" s="610"/>
      <c r="BG171" s="610"/>
      <c r="BH171" s="610"/>
      <c r="BI171" s="110"/>
      <c r="BJ171" s="1056">
        <f t="shared" si="15"/>
        <v>5500000</v>
      </c>
      <c r="BK171" s="577">
        <v>0.06261153809879116</v>
      </c>
      <c r="BL171" s="577">
        <v>0.06261153809879116</v>
      </c>
      <c r="BM171" s="577">
        <v>0.06261153809879116</v>
      </c>
      <c r="BN171" s="577">
        <v>0.06261153809879116</v>
      </c>
      <c r="BO171" s="577">
        <v>0.06261153809879116</v>
      </c>
      <c r="BP171" s="577">
        <v>0.06261153809879116</v>
      </c>
      <c r="BQ171" s="577">
        <v>0.06261153809879116</v>
      </c>
      <c r="BR171" s="577">
        <v>0.06261153809879116</v>
      </c>
      <c r="BS171" s="577">
        <v>0.06261153809879116</v>
      </c>
      <c r="BT171" s="577">
        <v>0.06261153809879116</v>
      </c>
      <c r="BU171" s="577">
        <v>0.06261153809879116</v>
      </c>
      <c r="BV171" s="577">
        <v>0.06261153809879116</v>
      </c>
      <c r="BW171" s="577">
        <v>0.06261153809879116</v>
      </c>
      <c r="BX171" s="1087">
        <v>0.06261153809879116</v>
      </c>
      <c r="BY171" s="11"/>
    </row>
    <row r="172">
      <c r="R172" s="10"/>
      <c r="U172" s="110"/>
      <c r="V172" s="1056">
        <f t="shared" si="13"/>
        <v>7000000</v>
      </c>
      <c r="W172" s="1063">
        <v>0.05549919673425152</v>
      </c>
      <c r="X172" s="1064">
        <v>0.0641709462239783</v>
      </c>
      <c r="Y172" s="1064">
        <v>0.07284269571370511</v>
      </c>
      <c r="Z172" s="1064">
        <v>0.08151444520343189</v>
      </c>
      <c r="AA172" s="1064">
        <v>0.0901861946931587</v>
      </c>
      <c r="AB172" s="1064">
        <v>0.0988579441828855</v>
      </c>
      <c r="AC172" s="1065">
        <v>0.10752969367261228</v>
      </c>
      <c r="AD172" s="577"/>
      <c r="AE172" s="110"/>
      <c r="AF172" s="1056">
        <f t="shared" si="14"/>
        <v>7000000</v>
      </c>
      <c r="AG172" s="590">
        <v>0.04547492925555159</v>
      </c>
      <c r="AH172" s="590">
        <v>0.048046218958828046</v>
      </c>
      <c r="AI172" s="590">
        <v>0.05056749922552548</v>
      </c>
      <c r="AJ172" s="590">
        <v>0.053048561376910955</v>
      </c>
      <c r="AK172" s="1066">
        <v>0.05549919673425152</v>
      </c>
      <c r="AL172" s="590">
        <v>0.05647312463081898</v>
      </c>
      <c r="AM172" s="590">
        <v>0.05744437749630307</v>
      </c>
      <c r="AN172" s="590">
        <v>0.05841358197526488</v>
      </c>
      <c r="AO172" s="590">
        <v>0.05938136471226553</v>
      </c>
      <c r="AP172" s="1067">
        <v>0.060348352351866065</v>
      </c>
      <c r="AQ172" s="610"/>
      <c r="AR172" s="610"/>
      <c r="AS172" s="610"/>
      <c r="AT172" s="610"/>
      <c r="AU172" s="610"/>
      <c r="AV172" s="610"/>
      <c r="AW172" s="610"/>
      <c r="AX172" s="610"/>
      <c r="AY172" s="610"/>
      <c r="AZ172" s="610"/>
      <c r="BA172" s="610"/>
      <c r="BB172" s="610"/>
      <c r="BC172" s="610"/>
      <c r="BD172" s="610"/>
      <c r="BE172" s="610"/>
      <c r="BF172" s="610"/>
      <c r="BG172" s="610"/>
      <c r="BH172" s="610"/>
      <c r="BI172" s="110"/>
      <c r="BJ172" s="1056">
        <f t="shared" si="15"/>
        <v>6000000</v>
      </c>
      <c r="BK172" s="577">
        <v>0.0599459838341014</v>
      </c>
      <c r="BL172" s="577">
        <v>0.0599459838341014</v>
      </c>
      <c r="BM172" s="577">
        <v>0.0599459838341014</v>
      </c>
      <c r="BN172" s="577">
        <v>0.0599459838341014</v>
      </c>
      <c r="BO172" s="577">
        <v>0.05994598383410139</v>
      </c>
      <c r="BP172" s="577">
        <v>0.05994598383410139</v>
      </c>
      <c r="BQ172" s="577">
        <v>0.0599459838341014</v>
      </c>
      <c r="BR172" s="577">
        <v>0.05994598383410139</v>
      </c>
      <c r="BS172" s="577">
        <v>0.0599459838341014</v>
      </c>
      <c r="BT172" s="577">
        <v>0.0599459838341014</v>
      </c>
      <c r="BU172" s="577">
        <v>0.05994598383410141</v>
      </c>
      <c r="BV172" s="577">
        <v>0.05994598383410139</v>
      </c>
      <c r="BW172" s="577">
        <v>0.0599459838341014</v>
      </c>
      <c r="BX172" s="1087">
        <v>0.0599459838341014</v>
      </c>
      <c r="BY172" s="11"/>
    </row>
    <row r="173">
      <c r="R173" s="10"/>
      <c r="U173" s="110"/>
      <c r="V173" s="1056">
        <f t="shared" si="13"/>
        <v>7500000</v>
      </c>
      <c r="W173" s="1063">
        <v>0.05361731793246166</v>
      </c>
      <c r="X173" s="1064">
        <v>0.06199502385940882</v>
      </c>
      <c r="Y173" s="1064">
        <v>0.07037272978635595</v>
      </c>
      <c r="Z173" s="1064">
        <v>0.07875043571330309</v>
      </c>
      <c r="AA173" s="1064">
        <v>0.08712814164025023</v>
      </c>
      <c r="AB173" s="1064">
        <v>0.09550584756719736</v>
      </c>
      <c r="AC173" s="1065">
        <v>0.10388355349414449</v>
      </c>
      <c r="AD173" s="577"/>
      <c r="AE173" s="110"/>
      <c r="AF173" s="1056">
        <f t="shared" si="14"/>
        <v>7500000</v>
      </c>
      <c r="AG173" s="590">
        <v>0.04393295548990065</v>
      </c>
      <c r="AH173" s="590">
        <v>0.04641705734415244</v>
      </c>
      <c r="AI173" s="590">
        <v>0.04885284549264882</v>
      </c>
      <c r="AJ173" s="590">
        <v>0.05124977925041137</v>
      </c>
      <c r="AK173" s="1066">
        <v>0.05361731793246166</v>
      </c>
      <c r="AL173" s="590">
        <v>0.054558221670647195</v>
      </c>
      <c r="AM173" s="590">
        <v>0.055496541083283606</v>
      </c>
      <c r="AN173" s="590">
        <v>0.05643288156653228</v>
      </c>
      <c r="AO173" s="590">
        <v>0.057367848516554576</v>
      </c>
      <c r="AP173" s="1067">
        <v>0.05830204732951189</v>
      </c>
      <c r="AQ173" s="610"/>
      <c r="AR173" s="610"/>
      <c r="AS173" s="610"/>
      <c r="AT173" s="610"/>
      <c r="AU173" s="610"/>
      <c r="AV173" s="610"/>
      <c r="AW173" s="610"/>
      <c r="AX173" s="610"/>
      <c r="AY173" s="610"/>
      <c r="AZ173" s="610"/>
      <c r="BA173" s="610"/>
      <c r="BB173" s="610"/>
      <c r="BC173" s="610"/>
      <c r="BD173" s="610"/>
      <c r="BE173" s="610"/>
      <c r="BF173" s="610"/>
      <c r="BG173" s="610"/>
      <c r="BH173" s="610"/>
      <c r="BI173" s="110"/>
      <c r="BJ173" s="1056">
        <f t="shared" si="15"/>
        <v>6500000</v>
      </c>
      <c r="BK173" s="577">
        <v>0.05759423831630552</v>
      </c>
      <c r="BL173" s="577">
        <v>0.05759423831630552</v>
      </c>
      <c r="BM173" s="577">
        <v>0.05759423831630552</v>
      </c>
      <c r="BN173" s="577">
        <v>0.05759423831630552</v>
      </c>
      <c r="BO173" s="577">
        <v>0.057594238316305515</v>
      </c>
      <c r="BP173" s="577">
        <v>0.057594238316305515</v>
      </c>
      <c r="BQ173" s="577">
        <v>0.05759423831630552</v>
      </c>
      <c r="BR173" s="577">
        <v>0.057594238316305515</v>
      </c>
      <c r="BS173" s="577">
        <v>0.05759423831630552</v>
      </c>
      <c r="BT173" s="577">
        <v>0.05759423831630552</v>
      </c>
      <c r="BU173" s="577">
        <v>0.05759423831630553</v>
      </c>
      <c r="BV173" s="577">
        <v>0.057594238316305515</v>
      </c>
      <c r="BW173" s="577">
        <v>0.057594238316305515</v>
      </c>
      <c r="BX173" s="1087">
        <v>0.05759423831630552</v>
      </c>
      <c r="BY173" s="11"/>
    </row>
    <row r="174">
      <c r="R174" s="10"/>
      <c r="U174" s="110"/>
      <c r="V174" s="1056">
        <f t="shared" si="13"/>
        <v>8000000</v>
      </c>
      <c r="W174" s="1063">
        <v>0.051914744855183104</v>
      </c>
      <c r="X174" s="1064">
        <v>0.060026423738805464</v>
      </c>
      <c r="Y174" s="1064">
        <v>0.06813810262242781</v>
      </c>
      <c r="Z174" s="1064">
        <v>0.07624978150605015</v>
      </c>
      <c r="AA174" s="1064">
        <v>0.08436146038967252</v>
      </c>
      <c r="AB174" s="1064">
        <v>0.09247313927329488</v>
      </c>
      <c r="AC174" s="1065">
        <v>0.10058481815691721</v>
      </c>
      <c r="AD174" s="577"/>
      <c r="AE174" s="110"/>
      <c r="AF174" s="1056">
        <f t="shared" si="14"/>
        <v>8000000</v>
      </c>
      <c r="AG174" s="590">
        <v>0.04253790124051424</v>
      </c>
      <c r="AH174" s="590">
        <v>0.04494312251846428</v>
      </c>
      <c r="AI174" s="590">
        <v>0.04730156425196825</v>
      </c>
      <c r="AJ174" s="590">
        <v>0.04962238538341242</v>
      </c>
      <c r="AK174" s="1066">
        <v>0.051914744855183104</v>
      </c>
      <c r="AL174" s="590">
        <v>0.05282577098227731</v>
      </c>
      <c r="AM174" s="590">
        <v>0.05373429484691829</v>
      </c>
      <c r="AN174" s="590">
        <v>0.05464090262141876</v>
      </c>
      <c r="AO174" s="590">
        <v>0.055546180478091435</v>
      </c>
      <c r="AP174" s="1067">
        <v>0.056450714589249044</v>
      </c>
      <c r="AQ174" s="610"/>
      <c r="AR174" s="610"/>
      <c r="AS174" s="610"/>
      <c r="AT174" s="610"/>
      <c r="AU174" s="610"/>
      <c r="AV174" s="610"/>
      <c r="AW174" s="610"/>
      <c r="AX174" s="610"/>
      <c r="AY174" s="610"/>
      <c r="AZ174" s="610"/>
      <c r="BA174" s="610"/>
      <c r="BB174" s="610"/>
      <c r="BC174" s="610"/>
      <c r="BD174" s="610"/>
      <c r="BE174" s="610"/>
      <c r="BF174" s="610"/>
      <c r="BG174" s="610"/>
      <c r="BH174" s="610"/>
      <c r="BI174" s="110"/>
      <c r="BJ174" s="1056">
        <f t="shared" si="15"/>
        <v>7000000</v>
      </c>
      <c r="BK174" s="577">
        <v>0.05549919673425152</v>
      </c>
      <c r="BL174" s="577">
        <v>0.05549919673425152</v>
      </c>
      <c r="BM174" s="577">
        <v>0.05549919673425152</v>
      </c>
      <c r="BN174" s="577">
        <v>0.05549919673425152</v>
      </c>
      <c r="BO174" s="577">
        <v>0.055499196734251514</v>
      </c>
      <c r="BP174" s="577">
        <v>0.055499196734251514</v>
      </c>
      <c r="BQ174" s="577">
        <v>0.05549919673425152</v>
      </c>
      <c r="BR174" s="577">
        <v>0.055499196734251514</v>
      </c>
      <c r="BS174" s="577">
        <v>0.05549919673425152</v>
      </c>
      <c r="BT174" s="577">
        <v>0.05549919673425152</v>
      </c>
      <c r="BU174" s="577">
        <v>0.055499196734251514</v>
      </c>
      <c r="BV174" s="577">
        <v>0.055499196734251514</v>
      </c>
      <c r="BW174" s="577">
        <v>0.05549919673425152</v>
      </c>
      <c r="BX174" s="1087">
        <v>0.05549919673425152</v>
      </c>
      <c r="BY174" s="11"/>
    </row>
    <row r="175">
      <c r="R175" s="10"/>
      <c r="U175" s="110"/>
      <c r="V175" s="1056">
        <f t="shared" si="13"/>
        <v>8500000</v>
      </c>
      <c r="W175" s="1063">
        <v>0.05036470036821433</v>
      </c>
      <c r="X175" s="1064">
        <v>0.058234184800747824</v>
      </c>
      <c r="Y175" s="1064">
        <v>0.0661036692332813</v>
      </c>
      <c r="Z175" s="1064">
        <v>0.07397315366581479</v>
      </c>
      <c r="AA175" s="1064">
        <v>0.08184263809834828</v>
      </c>
      <c r="AB175" s="1064">
        <v>0.08971212253088179</v>
      </c>
      <c r="AC175" s="1065">
        <v>0.09758160696341528</v>
      </c>
      <c r="AD175" s="577"/>
      <c r="AE175" s="110"/>
      <c r="AF175" s="1056">
        <f t="shared" si="14"/>
        <v>8500000</v>
      </c>
      <c r="AG175" s="591">
        <v>0.041267825860407704</v>
      </c>
      <c r="AH175" s="591">
        <v>0.04360123324440091</v>
      </c>
      <c r="AI175" s="591">
        <v>0.04588925780418953</v>
      </c>
      <c r="AJ175" s="591">
        <v>0.0481407850190389</v>
      </c>
      <c r="AK175" s="1068">
        <v>0.05036470036821433</v>
      </c>
      <c r="AL175" s="591">
        <v>0.05124852553285123</v>
      </c>
      <c r="AM175" s="591">
        <v>0.05212992314633573</v>
      </c>
      <c r="AN175" s="591">
        <v>0.05300946187934081</v>
      </c>
      <c r="AO175" s="591">
        <v>0.05388771040253945</v>
      </c>
      <c r="AP175" s="1069">
        <v>0.054765237386604645</v>
      </c>
      <c r="AQ175" s="610"/>
      <c r="AR175" s="610"/>
      <c r="AS175" s="610"/>
      <c r="AT175" s="610"/>
      <c r="AU175" s="610"/>
      <c r="AV175" s="610"/>
      <c r="AW175" s="610"/>
      <c r="AX175" s="610"/>
      <c r="AY175" s="610"/>
      <c r="AZ175" s="610"/>
      <c r="BA175" s="610"/>
      <c r="BB175" s="610"/>
      <c r="BC175" s="610"/>
      <c r="BD175" s="610"/>
      <c r="BE175" s="610"/>
      <c r="BF175" s="610"/>
      <c r="BG175" s="610"/>
      <c r="BH175" s="610"/>
      <c r="BI175" s="110"/>
      <c r="BJ175" s="1056">
        <f t="shared" si="15"/>
        <v>7500000</v>
      </c>
      <c r="BK175" s="577">
        <v>0.05361731793246166</v>
      </c>
      <c r="BL175" s="577">
        <v>0.05361731793246166</v>
      </c>
      <c r="BM175" s="577">
        <v>0.05361731793246166</v>
      </c>
      <c r="BN175" s="577">
        <v>0.05361731793246166</v>
      </c>
      <c r="BO175" s="577">
        <v>0.05361731793246166</v>
      </c>
      <c r="BP175" s="577">
        <v>0.05361731793246166</v>
      </c>
      <c r="BQ175" s="577">
        <v>0.05361731793246166</v>
      </c>
      <c r="BR175" s="577">
        <v>0.05361731793246166</v>
      </c>
      <c r="BS175" s="577">
        <v>0.05361731793246167</v>
      </c>
      <c r="BT175" s="577">
        <v>0.05361731793246166</v>
      </c>
      <c r="BU175" s="577">
        <v>0.05361731793246166</v>
      </c>
      <c r="BV175" s="577">
        <v>0.05361731793246166</v>
      </c>
      <c r="BW175" s="577">
        <v>0.05361731793246166</v>
      </c>
      <c r="BX175" s="1087">
        <v>0.05361731793246167</v>
      </c>
      <c r="BY175" s="11"/>
    </row>
    <row r="176">
      <c r="R176" s="10"/>
      <c r="U176" s="1088"/>
      <c r="V176" s="1056">
        <f t="shared" si="13"/>
        <v>9000000</v>
      </c>
      <c r="W176" s="1063">
        <v>0.04894569084089253</v>
      </c>
      <c r="X176" s="1064">
        <v>0.05659345503478197</v>
      </c>
      <c r="Y176" s="1064">
        <v>0.06424121922867145</v>
      </c>
      <c r="Z176" s="1064">
        <v>0.0718889834225609</v>
      </c>
      <c r="AA176" s="1064">
        <v>0.07953674761645037</v>
      </c>
      <c r="AB176" s="1064">
        <v>0.08718451181033982</v>
      </c>
      <c r="AC176" s="1065">
        <v>0.09483227600422925</v>
      </c>
      <c r="AD176" s="577"/>
      <c r="AE176" s="1088"/>
      <c r="AF176" s="1056">
        <f t="shared" si="14"/>
        <v>9000000</v>
      </c>
      <c r="AG176" s="590">
        <v>0.0401051178994817</v>
      </c>
      <c r="AH176" s="590">
        <v>0.04237278226733856</v>
      </c>
      <c r="AI176" s="590">
        <v>0.044596342457730566</v>
      </c>
      <c r="AJ176" s="590">
        <v>0.04678443360435084</v>
      </c>
      <c r="AK176" s="1066">
        <v>0.04894569084089253</v>
      </c>
      <c r="AL176" s="590">
        <v>0.049804614510634435</v>
      </c>
      <c r="AM176" s="590">
        <v>0.05066117902471102</v>
      </c>
      <c r="AN176" s="590">
        <v>0.05151593703167867</v>
      </c>
      <c r="AO176" s="590">
        <v>0.052369441180093707</v>
      </c>
      <c r="AP176" s="1067">
        <v>0.053222244118512486</v>
      </c>
      <c r="AQ176" s="610"/>
      <c r="AR176" s="610"/>
      <c r="AS176" s="610"/>
      <c r="AT176" s="610"/>
      <c r="AU176" s="610"/>
      <c r="AV176" s="610"/>
      <c r="AW176" s="610"/>
      <c r="AX176" s="610"/>
      <c r="AY176" s="610"/>
      <c r="AZ176" s="610"/>
      <c r="BA176" s="610"/>
      <c r="BB176" s="610"/>
      <c r="BC176" s="610"/>
      <c r="BD176" s="610"/>
      <c r="BE176" s="610"/>
      <c r="BF176" s="610"/>
      <c r="BG176" s="610"/>
      <c r="BH176" s="610"/>
      <c r="BI176" s="110"/>
      <c r="BJ176" s="1056">
        <f t="shared" si="15"/>
        <v>8000000</v>
      </c>
      <c r="BK176" s="577">
        <v>0.051914744855183104</v>
      </c>
      <c r="BL176" s="577">
        <v>0.051914744855183104</v>
      </c>
      <c r="BM176" s="577">
        <v>0.051914744855183104</v>
      </c>
      <c r="BN176" s="577">
        <v>0.051914744855183104</v>
      </c>
      <c r="BO176" s="577">
        <v>0.051914744855183104</v>
      </c>
      <c r="BP176" s="577">
        <v>0.051914744855183104</v>
      </c>
      <c r="BQ176" s="577">
        <v>0.051914744855183104</v>
      </c>
      <c r="BR176" s="577">
        <v>0.051914744855183104</v>
      </c>
      <c r="BS176" s="577">
        <v>0.0519147448551831</v>
      </c>
      <c r="BT176" s="577">
        <v>0.051914744855183104</v>
      </c>
      <c r="BU176" s="577">
        <v>0.051914744855183104</v>
      </c>
      <c r="BV176" s="577">
        <v>0.051914744855183104</v>
      </c>
      <c r="BW176" s="577">
        <v>0.051914744855183104</v>
      </c>
      <c r="BX176" s="1087">
        <v>0.0519147448551831</v>
      </c>
      <c r="BY176" s="11"/>
      <c r="BZ176" s="179"/>
      <c r="CA176" s="179"/>
      <c r="CB176" s="179"/>
      <c r="CC176" s="179"/>
      <c r="CD176" s="179"/>
      <c r="CE176" s="179"/>
    </row>
    <row r="177">
      <c r="R177" s="10"/>
      <c r="U177" s="1088"/>
      <c r="V177" s="1056">
        <f t="shared" si="13"/>
        <v>9500000</v>
      </c>
      <c r="W177" s="1063">
        <v>0.047640237158619196</v>
      </c>
      <c r="X177" s="1064">
        <v>0.05508402421465345</v>
      </c>
      <c r="Y177" s="1064">
        <v>0.0625278112706877</v>
      </c>
      <c r="Z177" s="1064">
        <v>0.06997159832672195</v>
      </c>
      <c r="AA177" s="1064">
        <v>0.0774153853827562</v>
      </c>
      <c r="AB177" s="1064">
        <v>0.08485917243879045</v>
      </c>
      <c r="AC177" s="1065">
        <v>0.0923029594948247</v>
      </c>
      <c r="AD177" s="577"/>
      <c r="AE177" s="1088"/>
      <c r="AF177" s="1056">
        <f t="shared" si="14"/>
        <v>9500000</v>
      </c>
      <c r="AG177" s="591">
        <v>0.03903545532162421</v>
      </c>
      <c r="AH177" s="591">
        <v>0.04124263774003221</v>
      </c>
      <c r="AI177" s="591">
        <v>0.0434068923043633</v>
      </c>
      <c r="AJ177" s="591">
        <v>0.04553662383657359</v>
      </c>
      <c r="AK177" s="1068">
        <v>0.047640237158619196</v>
      </c>
      <c r="AL177" s="591">
        <v>0.048476252068709494</v>
      </c>
      <c r="AM177" s="591">
        <v>0.049309970745291615</v>
      </c>
      <c r="AN177" s="591">
        <v>0.050141931096970745</v>
      </c>
      <c r="AO177" s="591">
        <v>0.05097267103235207</v>
      </c>
      <c r="AP177" s="1069">
        <v>0.0518027284600408</v>
      </c>
      <c r="AQ177" s="610"/>
      <c r="AR177" s="610"/>
      <c r="AS177" s="610"/>
      <c r="AT177" s="610"/>
      <c r="AU177" s="610"/>
      <c r="AV177" s="610"/>
      <c r="AW177" s="610"/>
      <c r="AX177" s="610"/>
      <c r="AY177" s="610"/>
      <c r="AZ177" s="610"/>
      <c r="BA177" s="610"/>
      <c r="BB177" s="610"/>
      <c r="BC177" s="610"/>
      <c r="BD177" s="610"/>
      <c r="BE177" s="610"/>
      <c r="BF177" s="610"/>
      <c r="BG177" s="610"/>
      <c r="BH177" s="610"/>
      <c r="BI177" s="110"/>
      <c r="BJ177" s="1056">
        <f t="shared" si="15"/>
        <v>8500000</v>
      </c>
      <c r="BK177" s="594">
        <v>0.05036470036821433</v>
      </c>
      <c r="BL177" s="594">
        <v>0.05036470036821433</v>
      </c>
      <c r="BM177" s="594">
        <v>0.05036470036821433</v>
      </c>
      <c r="BN177" s="594">
        <v>0.05036470036821433</v>
      </c>
      <c r="BO177" s="594">
        <v>0.05036470036821433</v>
      </c>
      <c r="BP177" s="594">
        <v>0.05036470036821433</v>
      </c>
      <c r="BQ177" s="594">
        <v>0.05036470036821433</v>
      </c>
      <c r="BR177" s="594">
        <v>0.05036470036821433</v>
      </c>
      <c r="BS177" s="594">
        <v>0.05036470036821434</v>
      </c>
      <c r="BT177" s="594">
        <v>0.05036470036821433</v>
      </c>
      <c r="BU177" s="594">
        <v>0.05036470036821433</v>
      </c>
      <c r="BV177" s="594">
        <v>0.05036470036821433</v>
      </c>
      <c r="BW177" s="594">
        <v>0.05036470036821433</v>
      </c>
      <c r="BX177" s="1083">
        <v>0.05036470036821434</v>
      </c>
      <c r="BY177" s="11"/>
    </row>
    <row r="178">
      <c r="R178" s="10"/>
      <c r="U178" s="1089"/>
      <c r="V178" s="1090">
        <f t="shared" si="13"/>
        <v>10000000</v>
      </c>
      <c r="W178" s="1091">
        <v>0.046433959412298755</v>
      </c>
      <c r="X178" s="1092">
        <v>0.05368926557047042</v>
      </c>
      <c r="Y178" s="1092">
        <v>0.0609445717286421</v>
      </c>
      <c r="Z178" s="1092">
        <v>0.06819987788681378</v>
      </c>
      <c r="AA178" s="1092">
        <v>0.07545518404498547</v>
      </c>
      <c r="AB178" s="1092">
        <v>0.08271049020315714</v>
      </c>
      <c r="AC178" s="1093">
        <v>0.08996579636132883</v>
      </c>
      <c r="AD178" s="610"/>
      <c r="AE178" s="1089"/>
      <c r="AF178" s="1090">
        <f t="shared" si="14"/>
        <v>10000000</v>
      </c>
      <c r="AG178" s="1094">
        <v>0.03804705551758499</v>
      </c>
      <c r="AH178" s="1094">
        <v>0.04019835082895508</v>
      </c>
      <c r="AI178" s="1094">
        <v>0.04230780524379</v>
      </c>
      <c r="AJ178" s="1094">
        <v>0.04438361076920085</v>
      </c>
      <c r="AK178" s="1095">
        <v>0.046433959412298755</v>
      </c>
      <c r="AL178" s="1094">
        <v>0.04724880595208316</v>
      </c>
      <c r="AM178" s="1094">
        <v>0.048061414400290374</v>
      </c>
      <c r="AN178" s="1094">
        <v>0.04887230904537552</v>
      </c>
      <c r="AO178" s="1094">
        <v>0.04968201417579368</v>
      </c>
      <c r="AP178" s="1096">
        <v>0.05049105408000001</v>
      </c>
      <c r="AQ178" s="610"/>
      <c r="AR178" s="610"/>
      <c r="AS178" s="610"/>
      <c r="AT178" s="610"/>
      <c r="AU178" s="610"/>
      <c r="AV178" s="610"/>
      <c r="AW178" s="610"/>
      <c r="AX178" s="610"/>
      <c r="AY178" s="610"/>
      <c r="AZ178" s="610"/>
      <c r="BA178" s="610"/>
      <c r="BB178" s="610"/>
      <c r="BC178" s="610"/>
      <c r="BD178" s="610"/>
      <c r="BE178" s="610"/>
      <c r="BF178" s="610"/>
      <c r="BG178" s="610"/>
      <c r="BH178" s="610"/>
      <c r="BI178" s="1097"/>
      <c r="BJ178" s="1056">
        <f t="shared" si="15"/>
        <v>9000000</v>
      </c>
      <c r="BK178" s="577">
        <v>0.04894569084089253</v>
      </c>
      <c r="BL178" s="577">
        <v>0.04894569084089253</v>
      </c>
      <c r="BM178" s="577">
        <v>0.04894569084089253</v>
      </c>
      <c r="BN178" s="577">
        <v>0.04894569084089253</v>
      </c>
      <c r="BO178" s="577">
        <v>0.04894569084089253</v>
      </c>
      <c r="BP178" s="577">
        <v>0.04894569084089253</v>
      </c>
      <c r="BQ178" s="577">
        <v>0.04894569084089253</v>
      </c>
      <c r="BR178" s="577">
        <v>0.04894569084089253</v>
      </c>
      <c r="BS178" s="577">
        <v>0.04894569084089253</v>
      </c>
      <c r="BT178" s="577">
        <v>0.04894569084089253</v>
      </c>
      <c r="BU178" s="577">
        <v>0.04894569084089253</v>
      </c>
      <c r="BV178" s="577">
        <v>0.04894569084089253</v>
      </c>
      <c r="BW178" s="577">
        <v>0.04894569084089253</v>
      </c>
      <c r="BX178" s="1087">
        <v>0.04894569084089253</v>
      </c>
      <c r="BY178" s="11"/>
    </row>
    <row r="179">
      <c r="R179" s="10"/>
      <c r="U179" s="610"/>
      <c r="V179" s="610"/>
      <c r="W179" s="610"/>
      <c r="X179" s="610"/>
      <c r="Y179" s="610"/>
      <c r="Z179" s="610"/>
      <c r="AA179" s="610"/>
      <c r="AB179" s="610"/>
      <c r="AC179" s="610"/>
      <c r="AD179" s="610"/>
      <c r="AE179" s="610"/>
      <c r="AF179" s="610"/>
      <c r="AG179" s="610"/>
      <c r="AH179" s="610"/>
      <c r="AI179" s="610"/>
      <c r="AJ179" s="610"/>
      <c r="AK179" s="610"/>
      <c r="AL179" s="610"/>
      <c r="AM179" s="610"/>
      <c r="AN179" s="610"/>
      <c r="AO179" s="610"/>
      <c r="AP179" s="610"/>
      <c r="AQ179" s="610"/>
      <c r="AR179" s="610"/>
      <c r="AS179" s="610"/>
      <c r="AT179" s="610"/>
      <c r="AU179" s="610"/>
      <c r="AV179" s="610"/>
      <c r="AW179" s="610"/>
      <c r="AX179" s="610"/>
      <c r="AY179" s="610"/>
      <c r="AZ179" s="610"/>
      <c r="BA179" s="610"/>
      <c r="BB179" s="610"/>
      <c r="BC179" s="610"/>
      <c r="BD179" s="610"/>
      <c r="BE179" s="610"/>
      <c r="BF179" s="610"/>
      <c r="BG179" s="610"/>
      <c r="BH179" s="610"/>
      <c r="BI179" s="1097"/>
      <c r="BJ179" s="1056">
        <f t="shared" si="15"/>
        <v>9500000</v>
      </c>
      <c r="BK179" s="594">
        <v>0.047640237158619196</v>
      </c>
      <c r="BL179" s="594">
        <v>0.047640237158619196</v>
      </c>
      <c r="BM179" s="594">
        <v>0.04764023715861919</v>
      </c>
      <c r="BN179" s="594">
        <v>0.047640237158619196</v>
      </c>
      <c r="BO179" s="594">
        <v>0.047640237158619196</v>
      </c>
      <c r="BP179" s="594">
        <v>0.047640237158619196</v>
      </c>
      <c r="BQ179" s="594">
        <v>0.047640237158619196</v>
      </c>
      <c r="BR179" s="594">
        <v>0.047640237158619196</v>
      </c>
      <c r="BS179" s="594">
        <v>0.047640237158619196</v>
      </c>
      <c r="BT179" s="594">
        <v>0.047640237158619196</v>
      </c>
      <c r="BU179" s="594">
        <v>0.047640237158619196</v>
      </c>
      <c r="BV179" s="594">
        <v>0.047640237158619196</v>
      </c>
      <c r="BW179" s="594">
        <v>0.047640237158619196</v>
      </c>
      <c r="BX179" s="1083">
        <v>0.047640237158619196</v>
      </c>
      <c r="BY179" s="11"/>
    </row>
    <row r="180">
      <c r="R180" s="10"/>
      <c r="U180" s="610"/>
      <c r="V180" s="610"/>
      <c r="W180" s="610"/>
      <c r="X180" s="610"/>
      <c r="Y180" s="610"/>
      <c r="Z180" s="610"/>
      <c r="AA180" s="610"/>
      <c r="AB180" s="610"/>
      <c r="AC180" s="610"/>
      <c r="AD180" s="610"/>
      <c r="AE180" s="610"/>
      <c r="AF180" s="610"/>
      <c r="AG180" s="610"/>
      <c r="AH180" s="610"/>
      <c r="AI180" s="610"/>
      <c r="AJ180" s="610"/>
      <c r="AK180" s="610"/>
      <c r="AL180" s="610"/>
      <c r="AM180" s="610"/>
      <c r="AN180" s="610"/>
      <c r="AO180" s="610"/>
      <c r="AP180" s="610"/>
      <c r="AQ180" s="610"/>
      <c r="AR180" s="610"/>
      <c r="AS180" s="610"/>
      <c r="AT180" s="610"/>
      <c r="AU180" s="610"/>
      <c r="AV180" s="610"/>
      <c r="AW180" s="610"/>
      <c r="AX180" s="610"/>
      <c r="AY180" s="610"/>
      <c r="AZ180" s="610"/>
      <c r="BA180" s="610"/>
      <c r="BB180" s="610"/>
      <c r="BC180" s="610"/>
      <c r="BD180" s="610"/>
      <c r="BE180" s="610"/>
      <c r="BF180" s="610"/>
      <c r="BG180" s="610"/>
      <c r="BH180" s="610"/>
      <c r="BI180" s="1089"/>
      <c r="BJ180" s="1090">
        <f t="shared" si="15"/>
        <v>10000000</v>
      </c>
      <c r="BK180" s="1098">
        <v>0.046433959412298755</v>
      </c>
      <c r="BL180" s="1098">
        <v>0.046433959412298755</v>
      </c>
      <c r="BM180" s="1098">
        <v>0.046433959412298755</v>
      </c>
      <c r="BN180" s="1098">
        <v>0.046433959412298755</v>
      </c>
      <c r="BO180" s="1098">
        <v>0.046433959412298755</v>
      </c>
      <c r="BP180" s="1098">
        <v>0.046433959412298755</v>
      </c>
      <c r="BQ180" s="1098">
        <v>0.046433959412298755</v>
      </c>
      <c r="BR180" s="1098">
        <v>0.046433959412298755</v>
      </c>
      <c r="BS180" s="1098">
        <v>0.046433959412298755</v>
      </c>
      <c r="BT180" s="1098">
        <v>0.046433959412298755</v>
      </c>
      <c r="BU180" s="1098">
        <v>0.046433959412298755</v>
      </c>
      <c r="BV180" s="1098">
        <v>0.046433959412298755</v>
      </c>
      <c r="BW180" s="1098">
        <v>0.046433959412298755</v>
      </c>
      <c r="BX180" s="1099">
        <v>0.046433959412298755</v>
      </c>
      <c r="BY180" s="11"/>
    </row>
    <row r="181">
      <c r="R181" s="168"/>
      <c r="S181" s="169"/>
      <c r="T181" s="169"/>
      <c r="U181" s="169"/>
      <c r="V181" s="169"/>
      <c r="W181" s="169"/>
      <c r="X181" s="169"/>
      <c r="Y181" s="169"/>
      <c r="Z181" s="169"/>
      <c r="AA181" s="169"/>
      <c r="AB181" s="169"/>
      <c r="AC181" s="169"/>
      <c r="AD181" s="169"/>
      <c r="AE181" s="169"/>
      <c r="AF181" s="169"/>
      <c r="AG181" s="169"/>
      <c r="AH181" s="169"/>
      <c r="AI181" s="169"/>
      <c r="AJ181" s="169"/>
      <c r="AK181" s="169"/>
      <c r="AL181" s="169"/>
      <c r="AM181" s="169"/>
      <c r="AN181" s="169"/>
      <c r="AO181" s="169"/>
      <c r="AP181" s="169"/>
      <c r="AQ181" s="169"/>
      <c r="AR181" s="169"/>
      <c r="AS181" s="169"/>
      <c r="AT181" s="169"/>
      <c r="AU181" s="169"/>
      <c r="AV181" s="169"/>
      <c r="AW181" s="169"/>
      <c r="AX181" s="169"/>
      <c r="AY181" s="169"/>
      <c r="AZ181" s="169"/>
      <c r="BA181" s="169"/>
      <c r="BB181" s="169"/>
      <c r="BC181" s="169"/>
      <c r="BD181" s="169"/>
      <c r="BE181" s="169"/>
      <c r="BF181" s="169"/>
      <c r="BG181" s="169"/>
      <c r="BH181" s="169"/>
      <c r="BI181" s="169"/>
      <c r="BJ181" s="169"/>
      <c r="BK181" s="169"/>
      <c r="BL181" s="169"/>
      <c r="BM181" s="169"/>
      <c r="BN181" s="169"/>
      <c r="BO181" s="169"/>
      <c r="BP181" s="169"/>
      <c r="BQ181" s="169"/>
      <c r="BR181" s="169"/>
      <c r="BS181" s="169"/>
      <c r="BT181" s="169"/>
      <c r="BU181" s="169"/>
      <c r="BV181" s="169"/>
      <c r="BW181" s="169"/>
      <c r="BX181" s="169"/>
      <c r="BY181" s="170"/>
    </row>
    <row r="185">
      <c r="R185" s="5" t="s">
        <v>141</v>
      </c>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7"/>
    </row>
    <row r="186">
      <c r="D186" s="213"/>
      <c r="G186" s="214"/>
      <c r="H186" s="214"/>
      <c r="I186" s="214"/>
      <c r="J186" s="214"/>
      <c r="K186" s="214"/>
      <c r="L186" s="214"/>
      <c r="M186" s="214"/>
      <c r="N186" s="214"/>
      <c r="O186" s="214"/>
      <c r="P186" s="214"/>
      <c r="Q186" s="214"/>
      <c r="R186" s="10"/>
      <c r="BY186" s="11"/>
    </row>
    <row r="187">
      <c r="D187" s="173"/>
      <c r="E187" s="216"/>
      <c r="F187" s="214"/>
      <c r="G187" s="214"/>
      <c r="H187" s="214"/>
      <c r="I187" s="214"/>
      <c r="J187" s="214"/>
      <c r="K187" s="214"/>
      <c r="L187" s="214"/>
      <c r="M187" s="214"/>
      <c r="N187" s="214"/>
      <c r="O187" s="214"/>
      <c r="P187" s="214"/>
      <c r="Q187" s="214"/>
      <c r="R187" s="10"/>
      <c r="BY187" s="11"/>
    </row>
    <row r="188">
      <c r="D188" s="173"/>
      <c r="E188" s="216"/>
      <c r="F188" s="214"/>
      <c r="G188" s="174"/>
      <c r="H188" s="174"/>
      <c r="I188" s="174"/>
      <c r="J188" s="174"/>
      <c r="K188" s="174"/>
      <c r="L188" s="174"/>
      <c r="M188" s="174"/>
      <c r="N188" s="174"/>
      <c r="O188" s="174"/>
      <c r="P188" s="174"/>
      <c r="Q188" s="174"/>
      <c r="R188" s="10"/>
      <c r="BY188" s="11"/>
    </row>
    <row r="189">
      <c r="D189" s="218"/>
      <c r="E189" s="219"/>
      <c r="F189" s="174"/>
      <c r="G189" s="220"/>
      <c r="H189" s="220"/>
      <c r="I189" s="220"/>
      <c r="J189" s="220"/>
      <c r="K189" s="220"/>
      <c r="L189" s="220"/>
      <c r="M189" s="220"/>
      <c r="N189" s="220"/>
      <c r="O189" s="220"/>
      <c r="P189" s="220"/>
      <c r="Q189" s="220"/>
      <c r="R189" s="10"/>
      <c r="BY189" s="11"/>
    </row>
    <row r="190">
      <c r="E190" s="174"/>
      <c r="F190" s="220"/>
      <c r="G190" s="175"/>
      <c r="H190" s="175"/>
      <c r="I190" s="175"/>
      <c r="J190" s="175"/>
      <c r="K190" s="175"/>
      <c r="L190" s="175"/>
      <c r="M190" s="175"/>
      <c r="N190" s="175"/>
      <c r="O190" s="175"/>
      <c r="P190" s="175"/>
      <c r="Q190" s="175"/>
      <c r="R190" s="10"/>
      <c r="BY190" s="11"/>
    </row>
    <row r="191">
      <c r="E191" s="174"/>
      <c r="F191" s="175"/>
      <c r="G191" s="220"/>
      <c r="H191" s="220"/>
      <c r="I191" s="220"/>
      <c r="J191" s="220"/>
      <c r="K191" s="220"/>
      <c r="L191" s="220"/>
      <c r="M191" s="220"/>
      <c r="N191" s="220"/>
      <c r="O191" s="220"/>
      <c r="P191" s="220"/>
      <c r="Q191" s="220"/>
      <c r="R191" s="10"/>
      <c r="BY191" s="11"/>
    </row>
    <row r="192">
      <c r="E192" s="174"/>
      <c r="F192" s="220"/>
      <c r="G192" s="220"/>
      <c r="H192" s="220"/>
      <c r="I192" s="220"/>
      <c r="J192" s="220"/>
      <c r="K192" s="220"/>
      <c r="L192" s="220"/>
      <c r="M192" s="220"/>
      <c r="N192" s="220"/>
      <c r="O192" s="220"/>
      <c r="P192" s="220"/>
      <c r="Q192" s="220"/>
      <c r="R192" s="10"/>
      <c r="BM192" s="171"/>
      <c r="BY192" s="11"/>
    </row>
    <row r="193">
      <c r="E193" s="174"/>
      <c r="F193" s="220"/>
      <c r="G193" s="220"/>
      <c r="H193" s="220"/>
      <c r="I193" s="220"/>
      <c r="J193" s="220"/>
      <c r="K193" s="220"/>
      <c r="L193" s="220"/>
      <c r="M193" s="220"/>
      <c r="N193" s="220"/>
      <c r="O193" s="220"/>
      <c r="P193" s="220"/>
      <c r="Q193" s="220"/>
      <c r="R193" s="10"/>
      <c r="BM193" s="172"/>
      <c r="BY193" s="11"/>
    </row>
    <row r="194">
      <c r="E194" s="174"/>
      <c r="F194" s="220"/>
      <c r="G194" s="220"/>
      <c r="H194" s="220"/>
      <c r="I194" s="220"/>
      <c r="J194" s="220"/>
      <c r="K194" s="220"/>
      <c r="L194" s="220"/>
      <c r="M194" s="220"/>
      <c r="N194" s="220"/>
      <c r="O194" s="220"/>
      <c r="P194" s="220"/>
      <c r="Q194" s="220"/>
      <c r="R194" s="10"/>
      <c r="BM194" s="173"/>
      <c r="BY194" s="11"/>
    </row>
    <row r="195">
      <c r="E195" s="174"/>
      <c r="F195" s="220"/>
      <c r="G195" s="220"/>
      <c r="H195" s="220"/>
      <c r="I195" s="220"/>
      <c r="J195" s="220"/>
      <c r="K195" s="220"/>
      <c r="L195" s="220"/>
      <c r="M195" s="220"/>
      <c r="N195" s="220"/>
      <c r="O195" s="220"/>
      <c r="P195" s="220"/>
      <c r="Q195" s="220"/>
      <c r="R195" s="10"/>
      <c r="BM195" s="174"/>
      <c r="BY195" s="11"/>
    </row>
    <row r="196">
      <c r="E196" s="174"/>
      <c r="F196" s="220"/>
      <c r="G196" s="220"/>
      <c r="H196" s="220"/>
      <c r="I196" s="220"/>
      <c r="J196" s="220"/>
      <c r="K196" s="220"/>
      <c r="L196" s="220"/>
      <c r="M196" s="220"/>
      <c r="N196" s="220"/>
      <c r="O196" s="220"/>
      <c r="P196" s="220"/>
      <c r="Q196" s="220"/>
      <c r="R196" s="10"/>
      <c r="BM196" s="175"/>
      <c r="BY196" s="11"/>
    </row>
    <row r="197">
      <c r="E197" s="174"/>
      <c r="F197" s="220"/>
      <c r="G197" s="175"/>
      <c r="H197" s="175"/>
      <c r="I197" s="175"/>
      <c r="J197" s="175"/>
      <c r="K197" s="175"/>
      <c r="L197" s="175"/>
      <c r="M197" s="175"/>
      <c r="N197" s="175"/>
      <c r="O197" s="175"/>
      <c r="P197" s="175"/>
      <c r="Q197" s="175"/>
      <c r="R197" s="10"/>
      <c r="BM197" s="175"/>
      <c r="BY197" s="11"/>
    </row>
    <row r="198">
      <c r="E198" s="174"/>
      <c r="F198" s="175"/>
      <c r="G198" s="220"/>
      <c r="H198" s="220"/>
      <c r="I198" s="220"/>
      <c r="J198" s="220"/>
      <c r="K198" s="220"/>
      <c r="L198" s="220"/>
      <c r="M198" s="220"/>
      <c r="N198" s="220"/>
      <c r="O198" s="220"/>
      <c r="P198" s="220"/>
      <c r="Q198" s="220"/>
      <c r="R198" s="10"/>
      <c r="AW198" s="176"/>
      <c r="AX198" s="177"/>
      <c r="AY198" s="51"/>
      <c r="AZ198" s="51"/>
      <c r="BA198" s="51"/>
      <c r="BB198" s="51"/>
      <c r="BC198" s="51"/>
      <c r="BD198" s="51"/>
      <c r="BE198" s="51"/>
      <c r="BF198" s="51"/>
      <c r="BG198" s="51"/>
      <c r="BH198" s="51"/>
      <c r="BI198" s="51"/>
      <c r="BJ198" s="51"/>
      <c r="BK198" s="51"/>
      <c r="BL198" s="51"/>
      <c r="BM198" s="175"/>
      <c r="BY198" s="11"/>
    </row>
    <row r="199">
      <c r="E199" s="174"/>
      <c r="F199" s="220"/>
      <c r="G199" s="220"/>
      <c r="H199" s="220"/>
      <c r="I199" s="220"/>
      <c r="J199" s="220"/>
      <c r="K199" s="220"/>
      <c r="L199" s="220"/>
      <c r="M199" s="220"/>
      <c r="N199" s="220"/>
      <c r="O199" s="220"/>
      <c r="P199" s="220"/>
      <c r="Q199" s="220"/>
      <c r="R199" s="10"/>
      <c r="AW199" s="176"/>
      <c r="AX199" s="177"/>
      <c r="AY199" s="51"/>
      <c r="AZ199" s="51"/>
      <c r="BA199" s="51"/>
      <c r="BB199" s="51"/>
      <c r="BC199" s="51"/>
      <c r="BD199" s="51"/>
      <c r="BE199" s="51"/>
      <c r="BF199" s="51"/>
      <c r="BG199" s="51"/>
      <c r="BH199" s="51"/>
      <c r="BI199" s="51"/>
      <c r="BJ199" s="51"/>
      <c r="BK199" s="51"/>
      <c r="BL199" s="51"/>
      <c r="BM199" s="175"/>
      <c r="BY199" s="11"/>
    </row>
    <row r="200">
      <c r="E200" s="174"/>
      <c r="F200" s="220"/>
      <c r="G200" s="220"/>
      <c r="H200" s="220"/>
      <c r="I200" s="220"/>
      <c r="J200" s="220"/>
      <c r="K200" s="220"/>
      <c r="L200" s="220"/>
      <c r="M200" s="220"/>
      <c r="N200" s="220"/>
      <c r="O200" s="220"/>
      <c r="P200" s="220"/>
      <c r="Q200" s="220"/>
      <c r="R200" s="10"/>
      <c r="AW200" s="176"/>
      <c r="AX200" s="177"/>
      <c r="AY200" s="51"/>
      <c r="AZ200" s="51"/>
      <c r="BA200" s="51"/>
      <c r="BB200" s="51"/>
      <c r="BC200" s="51"/>
      <c r="BD200" s="51"/>
      <c r="BE200" s="51"/>
      <c r="BF200" s="51"/>
      <c r="BG200" s="51"/>
      <c r="BH200" s="51"/>
      <c r="BI200" s="51"/>
      <c r="BJ200" s="51"/>
      <c r="BK200" s="51"/>
      <c r="BL200" s="51"/>
      <c r="BM200" s="175"/>
      <c r="BY200" s="11"/>
    </row>
    <row r="201">
      <c r="E201" s="174"/>
      <c r="F201" s="220"/>
      <c r="G201" s="220"/>
      <c r="H201" s="220"/>
      <c r="I201" s="220"/>
      <c r="J201" s="220"/>
      <c r="K201" s="220"/>
      <c r="L201" s="220"/>
      <c r="M201" s="220"/>
      <c r="N201" s="220"/>
      <c r="O201" s="220"/>
      <c r="P201" s="220"/>
      <c r="Q201" s="220"/>
      <c r="R201" s="10"/>
      <c r="AW201" s="176"/>
      <c r="AX201" s="177"/>
      <c r="AY201" s="51"/>
      <c r="AZ201" s="51"/>
      <c r="BA201" s="51"/>
      <c r="BB201" s="51"/>
      <c r="BC201" s="51"/>
      <c r="BD201" s="51"/>
      <c r="BE201" s="51"/>
      <c r="BF201" s="51"/>
      <c r="BG201" s="51"/>
      <c r="BH201" s="51"/>
      <c r="BI201" s="51"/>
      <c r="BJ201" s="51"/>
      <c r="BK201" s="51"/>
      <c r="BL201" s="51"/>
      <c r="BM201" s="175"/>
      <c r="BY201" s="11"/>
    </row>
    <row r="202">
      <c r="E202" s="174"/>
      <c r="F202" s="220"/>
      <c r="G202" s="220"/>
      <c r="H202" s="220"/>
      <c r="I202" s="220"/>
      <c r="J202" s="220"/>
      <c r="K202" s="220"/>
      <c r="L202" s="220"/>
      <c r="M202" s="220"/>
      <c r="N202" s="220"/>
      <c r="O202" s="220"/>
      <c r="P202" s="220"/>
      <c r="Q202" s="220"/>
      <c r="R202" s="10"/>
      <c r="AW202" s="176"/>
      <c r="AX202" s="177"/>
      <c r="AY202" s="51"/>
      <c r="AZ202" s="51"/>
      <c r="BA202" s="51"/>
      <c r="BB202" s="51"/>
      <c r="BC202" s="51"/>
      <c r="BD202" s="51"/>
      <c r="BE202" s="51"/>
      <c r="BF202" s="51"/>
      <c r="BG202" s="51"/>
      <c r="BH202" s="51"/>
      <c r="BI202" s="51"/>
      <c r="BJ202" s="51"/>
      <c r="BK202" s="51"/>
      <c r="BL202" s="51"/>
      <c r="BM202" s="175"/>
      <c r="BY202" s="11"/>
    </row>
    <row r="203">
      <c r="E203" s="174"/>
      <c r="F203" s="220"/>
      <c r="G203" s="220"/>
      <c r="H203" s="220"/>
      <c r="I203" s="220"/>
      <c r="J203" s="220"/>
      <c r="K203" s="220"/>
      <c r="L203" s="220"/>
      <c r="M203" s="220"/>
      <c r="N203" s="220"/>
      <c r="O203" s="220"/>
      <c r="P203" s="220"/>
      <c r="Q203" s="220"/>
      <c r="R203" s="10"/>
      <c r="AW203" s="176"/>
      <c r="AX203" s="177"/>
      <c r="AY203" s="51"/>
      <c r="AZ203" s="51"/>
      <c r="BA203" s="51"/>
      <c r="BB203" s="51"/>
      <c r="BC203" s="51"/>
      <c r="BD203" s="51"/>
      <c r="BE203" s="51"/>
      <c r="BF203" s="51"/>
      <c r="BG203" s="51"/>
      <c r="BH203" s="51"/>
      <c r="BI203" s="51"/>
      <c r="BJ203" s="51"/>
      <c r="BK203" s="51"/>
      <c r="BL203" s="51"/>
      <c r="BM203" s="175"/>
      <c r="BN203" s="178"/>
      <c r="BO203" s="178"/>
      <c r="BY203" s="11"/>
    </row>
    <row r="204">
      <c r="E204" s="174"/>
      <c r="F204" s="220"/>
      <c r="G204" s="220"/>
      <c r="H204" s="220"/>
      <c r="I204" s="220"/>
      <c r="J204" s="220"/>
      <c r="K204" s="220"/>
      <c r="L204" s="220"/>
      <c r="M204" s="220"/>
      <c r="N204" s="220"/>
      <c r="O204" s="220"/>
      <c r="P204" s="220"/>
      <c r="Q204" s="220"/>
      <c r="R204" s="10"/>
      <c r="AW204" s="176"/>
      <c r="AX204" s="177"/>
      <c r="AY204" s="144"/>
      <c r="AZ204" s="144"/>
      <c r="BA204" s="144"/>
      <c r="BB204" s="144"/>
      <c r="BC204" s="144"/>
      <c r="BD204" s="144"/>
      <c r="BE204" s="144"/>
      <c r="BF204" s="144"/>
      <c r="BG204" s="144"/>
      <c r="BH204" s="144"/>
      <c r="BI204" s="144"/>
      <c r="BJ204" s="144"/>
      <c r="BK204" s="144"/>
      <c r="BL204" s="144"/>
      <c r="BM204" s="175"/>
      <c r="BN204" s="178"/>
      <c r="BO204" s="178"/>
      <c r="BY204" s="11"/>
    </row>
    <row r="205">
      <c r="E205" s="174"/>
      <c r="F205" s="220"/>
      <c r="G205" s="220"/>
      <c r="H205" s="220"/>
      <c r="I205" s="220"/>
      <c r="J205" s="220"/>
      <c r="K205" s="220"/>
      <c r="L205" s="220"/>
      <c r="M205" s="220"/>
      <c r="N205" s="220"/>
      <c r="O205" s="220"/>
      <c r="P205" s="220"/>
      <c r="Q205" s="220"/>
      <c r="R205" s="10"/>
      <c r="AW205" s="178"/>
      <c r="AX205" s="177"/>
      <c r="AY205" s="51"/>
      <c r="AZ205" s="51"/>
      <c r="BA205" s="51"/>
      <c r="BB205" s="51"/>
      <c r="BC205" s="51"/>
      <c r="BD205" s="51"/>
      <c r="BE205" s="51"/>
      <c r="BF205" s="51"/>
      <c r="BG205" s="51"/>
      <c r="BH205" s="51"/>
      <c r="BI205" s="51"/>
      <c r="BJ205" s="51"/>
      <c r="BK205" s="51"/>
      <c r="BL205" s="51"/>
      <c r="BM205" s="175"/>
      <c r="BY205" s="11"/>
    </row>
    <row r="206">
      <c r="E206" s="174"/>
      <c r="F206" s="220"/>
      <c r="G206" s="220"/>
      <c r="H206" s="220"/>
      <c r="I206" s="220"/>
      <c r="J206" s="220"/>
      <c r="K206" s="220"/>
      <c r="L206" s="220"/>
      <c r="M206" s="220"/>
      <c r="N206" s="220"/>
      <c r="O206" s="220"/>
      <c r="P206" s="220"/>
      <c r="Q206" s="220"/>
      <c r="R206" s="10"/>
      <c r="AW206" s="178"/>
      <c r="AX206" s="177"/>
      <c r="AY206" s="144"/>
      <c r="AZ206" s="144"/>
      <c r="BA206" s="144"/>
      <c r="BB206" s="144"/>
      <c r="BC206" s="144"/>
      <c r="BD206" s="144"/>
      <c r="BE206" s="144"/>
      <c r="BF206" s="144"/>
      <c r="BG206" s="144"/>
      <c r="BH206" s="144"/>
      <c r="BI206" s="144"/>
      <c r="BJ206" s="144"/>
      <c r="BK206" s="144"/>
      <c r="BL206" s="144"/>
      <c r="BM206" s="175"/>
      <c r="BY206" s="11"/>
    </row>
    <row r="207">
      <c r="E207" s="174"/>
      <c r="F207" s="220"/>
      <c r="G207" s="220"/>
      <c r="H207" s="220"/>
      <c r="I207" s="220"/>
      <c r="J207" s="220"/>
      <c r="K207" s="220"/>
      <c r="L207" s="220"/>
      <c r="M207" s="220"/>
      <c r="N207" s="220"/>
      <c r="O207" s="220"/>
      <c r="P207" s="220"/>
      <c r="Q207" s="220"/>
      <c r="R207" s="10"/>
      <c r="BM207" s="175"/>
      <c r="BY207" s="11"/>
    </row>
    <row r="208">
      <c r="E208" s="174"/>
      <c r="F208" s="220"/>
      <c r="G208" s="220"/>
      <c r="H208" s="220"/>
      <c r="I208" s="220"/>
      <c r="J208" s="220"/>
      <c r="K208" s="220"/>
      <c r="L208" s="220"/>
      <c r="M208" s="220"/>
      <c r="N208" s="220"/>
      <c r="O208" s="220"/>
      <c r="P208" s="220"/>
      <c r="Q208" s="220"/>
      <c r="R208" s="10"/>
      <c r="BM208" s="175"/>
      <c r="BY208" s="11"/>
    </row>
    <row r="209">
      <c r="E209" s="174"/>
      <c r="F209" s="220"/>
      <c r="G209" s="220"/>
      <c r="H209" s="220"/>
      <c r="I209" s="220"/>
      <c r="J209" s="220"/>
      <c r="K209" s="220"/>
      <c r="L209" s="220"/>
      <c r="M209" s="220"/>
      <c r="N209" s="220"/>
      <c r="O209" s="220"/>
      <c r="P209" s="220"/>
      <c r="Q209" s="220"/>
      <c r="R209" s="10"/>
      <c r="BM209" s="175"/>
      <c r="BN209" s="23"/>
      <c r="BO209" s="23"/>
      <c r="BY209" s="11"/>
    </row>
    <row r="210">
      <c r="E210" s="174"/>
      <c r="F210" s="220"/>
      <c r="G210" s="220"/>
      <c r="H210" s="220"/>
      <c r="I210" s="220"/>
      <c r="J210" s="220"/>
      <c r="K210" s="220"/>
      <c r="L210" s="220"/>
      <c r="M210" s="220"/>
      <c r="N210" s="220"/>
      <c r="O210" s="220"/>
      <c r="P210" s="220"/>
      <c r="Q210" s="220"/>
      <c r="R210" s="10"/>
      <c r="BM210" s="175"/>
      <c r="BN210" s="23"/>
      <c r="BO210" s="23"/>
      <c r="BY210" s="11"/>
    </row>
    <row r="211">
      <c r="E211" s="174"/>
      <c r="F211" s="220"/>
      <c r="G211" s="220"/>
      <c r="H211" s="220"/>
      <c r="I211" s="220"/>
      <c r="J211" s="220"/>
      <c r="K211" s="220"/>
      <c r="L211" s="220"/>
      <c r="M211" s="220"/>
      <c r="N211" s="220"/>
      <c r="O211" s="220"/>
      <c r="P211" s="220"/>
      <c r="Q211" s="220"/>
      <c r="R211" s="10"/>
      <c r="BM211" s="175"/>
      <c r="BN211" s="23"/>
      <c r="BO211" s="23"/>
      <c r="BT211" s="179"/>
      <c r="BU211" s="179"/>
      <c r="BV211" s="179"/>
      <c r="BW211" s="179"/>
      <c r="BX211" s="179"/>
      <c r="BY211" s="180"/>
    </row>
    <row r="212">
      <c r="E212" s="174"/>
      <c r="F212" s="220"/>
      <c r="G212" s="220"/>
      <c r="H212" s="220"/>
      <c r="I212" s="220"/>
      <c r="J212" s="220"/>
      <c r="K212" s="220"/>
      <c r="L212" s="220"/>
      <c r="M212" s="220"/>
      <c r="N212" s="220"/>
      <c r="O212" s="220"/>
      <c r="P212" s="220"/>
      <c r="Q212" s="220"/>
      <c r="R212" s="10"/>
      <c r="BM212" s="175"/>
      <c r="BN212" s="23"/>
      <c r="BO212" s="23"/>
      <c r="BY212" s="11"/>
    </row>
    <row r="213">
      <c r="E213" s="174"/>
      <c r="F213" s="220"/>
      <c r="G213" s="220"/>
      <c r="H213" s="220"/>
      <c r="I213" s="220"/>
      <c r="J213" s="220"/>
      <c r="K213" s="220"/>
      <c r="L213" s="220"/>
      <c r="M213" s="220"/>
      <c r="N213" s="220"/>
      <c r="O213" s="220"/>
      <c r="P213" s="220"/>
      <c r="Q213" s="220"/>
      <c r="R213" s="10"/>
      <c r="BN213" s="23"/>
      <c r="BO213" s="23"/>
      <c r="BY213" s="11"/>
    </row>
    <row r="214">
      <c r="E214" s="174"/>
      <c r="F214" s="220"/>
      <c r="G214" s="220"/>
      <c r="H214" s="220"/>
      <c r="I214" s="220"/>
      <c r="J214" s="220"/>
      <c r="K214" s="220"/>
      <c r="L214" s="220"/>
      <c r="M214" s="220"/>
      <c r="N214" s="220"/>
      <c r="O214" s="220"/>
      <c r="P214" s="220"/>
      <c r="Q214" s="220"/>
      <c r="R214" s="10"/>
      <c r="BN214" s="23"/>
      <c r="BO214" s="23"/>
      <c r="BY214" s="11"/>
    </row>
    <row r="215">
      <c r="E215" s="174"/>
      <c r="F215" s="220"/>
      <c r="G215" s="220"/>
      <c r="H215" s="220"/>
      <c r="I215" s="220"/>
      <c r="J215" s="220"/>
      <c r="K215" s="220"/>
      <c r="L215" s="220"/>
      <c r="M215" s="220"/>
      <c r="N215" s="220"/>
      <c r="O215" s="220"/>
      <c r="P215" s="220"/>
      <c r="Q215" s="220"/>
      <c r="R215" s="10"/>
      <c r="BN215" s="181"/>
      <c r="BO215" s="23"/>
      <c r="BY215" s="11"/>
    </row>
    <row r="216">
      <c r="E216" s="174"/>
      <c r="F216" s="220"/>
      <c r="G216" s="220"/>
      <c r="H216" s="220"/>
      <c r="I216" s="220"/>
      <c r="J216" s="220"/>
      <c r="K216" s="220"/>
      <c r="L216" s="220"/>
      <c r="M216" s="220"/>
      <c r="N216" s="220"/>
      <c r="O216" s="220"/>
      <c r="P216" s="220"/>
      <c r="Q216" s="220"/>
      <c r="R216" s="10"/>
      <c r="U216" s="1037" t="s">
        <v>84</v>
      </c>
      <c r="V216" s="1038"/>
      <c r="W216" s="1038"/>
      <c r="X216" s="1038"/>
      <c r="Y216" s="1038"/>
      <c r="Z216" s="1038"/>
      <c r="AA216" s="1038"/>
      <c r="AB216" s="1038"/>
      <c r="AC216" s="1039"/>
      <c r="AD216" s="610"/>
      <c r="AE216" s="1037" t="s">
        <v>84</v>
      </c>
      <c r="AF216" s="1038"/>
      <c r="AG216" s="1038"/>
      <c r="AH216" s="1038"/>
      <c r="AI216" s="1038"/>
      <c r="AJ216" s="1038"/>
      <c r="AK216" s="1038"/>
      <c r="AL216" s="1038"/>
      <c r="AM216" s="1038"/>
      <c r="AN216" s="1038"/>
      <c r="AO216" s="1038"/>
      <c r="AP216" s="1039"/>
      <c r="AQ216" s="610"/>
      <c r="AR216" s="1037" t="s">
        <v>84</v>
      </c>
      <c r="AS216" s="1038"/>
      <c r="AT216" s="1038"/>
      <c r="AU216" s="1038"/>
      <c r="AV216" s="1038"/>
      <c r="AW216" s="1038"/>
      <c r="AX216" s="1038"/>
      <c r="AY216" s="1038"/>
      <c r="AZ216" s="1038"/>
      <c r="BA216" s="1038"/>
      <c r="BB216" s="1038"/>
      <c r="BC216" s="1038"/>
      <c r="BD216" s="1038"/>
      <c r="BE216" s="1038"/>
      <c r="BF216" s="1038"/>
      <c r="BG216" s="1039"/>
      <c r="BH216" s="610"/>
      <c r="BI216" s="1037" t="s">
        <v>84</v>
      </c>
      <c r="BJ216" s="1038"/>
      <c r="BK216" s="1038"/>
      <c r="BL216" s="1038"/>
      <c r="BM216" s="1038"/>
      <c r="BN216" s="1038"/>
      <c r="BO216" s="1038"/>
      <c r="BP216" s="1038"/>
      <c r="BQ216" s="1038"/>
      <c r="BR216" s="1038"/>
      <c r="BS216" s="1038"/>
      <c r="BT216" s="1038"/>
      <c r="BU216" s="1038"/>
      <c r="BV216" s="1038"/>
      <c r="BW216" s="1038"/>
      <c r="BX216" s="1039"/>
      <c r="BY216" s="11"/>
    </row>
    <row r="217">
      <c r="E217" s="174"/>
      <c r="F217" s="220"/>
      <c r="G217" s="220"/>
      <c r="H217" s="220"/>
      <c r="I217" s="220"/>
      <c r="J217" s="220"/>
      <c r="K217" s="220"/>
      <c r="L217" s="220"/>
      <c r="M217" s="220"/>
      <c r="N217" s="220"/>
      <c r="O217" s="220"/>
      <c r="P217" s="220"/>
      <c r="Q217" s="220"/>
      <c r="R217" s="10"/>
      <c r="U217" s="1044" t="s">
        <v>57</v>
      </c>
      <c r="AC217" s="78"/>
      <c r="AD217" s="610"/>
      <c r="AE217" s="1051" t="s">
        <v>58</v>
      </c>
      <c r="AF217" s="1100"/>
      <c r="AG217" s="1100"/>
      <c r="AH217" s="1100"/>
      <c r="AI217" s="1101" t="s">
        <v>59</v>
      </c>
      <c r="AJ217" s="1101"/>
      <c r="AK217" s="1101"/>
      <c r="AL217" s="1101"/>
      <c r="AM217" s="1101"/>
      <c r="AN217" s="1101"/>
      <c r="AO217" s="1101"/>
      <c r="AP217" s="1102"/>
      <c r="AQ217" s="610"/>
      <c r="AR217" s="1051" t="s">
        <v>58</v>
      </c>
      <c r="AS217" s="1052"/>
      <c r="AT217" s="1052" t="s">
        <v>44</v>
      </c>
      <c r="BG217" s="78"/>
      <c r="BH217" s="610"/>
      <c r="BI217" s="1051" t="s">
        <v>58</v>
      </c>
      <c r="BJ217" s="1052"/>
      <c r="BK217" s="1052" t="s">
        <v>44</v>
      </c>
      <c r="BX217" s="78"/>
      <c r="BY217" s="11"/>
    </row>
    <row r="218">
      <c r="E218" s="174"/>
      <c r="F218" s="220"/>
      <c r="G218" s="220"/>
      <c r="H218" s="220"/>
      <c r="I218" s="220"/>
      <c r="J218" s="220"/>
      <c r="K218" s="220"/>
      <c r="L218" s="220"/>
      <c r="M218" s="220"/>
      <c r="N218" s="220"/>
      <c r="O218" s="220"/>
      <c r="P218" s="220"/>
      <c r="Q218" s="220"/>
      <c r="R218" s="10"/>
      <c r="U218" s="1053"/>
      <c r="V218" s="1103">
        <f>$F$65</f>
        <v>0.0448972975</v>
      </c>
      <c r="W218" s="680">
        <v>64.0</v>
      </c>
      <c r="X218" s="681">
        <f t="shared" ref="X218:AC218" si="16">W218+10</f>
        <v>74</v>
      </c>
      <c r="Y218" s="681">
        <f t="shared" si="16"/>
        <v>84</v>
      </c>
      <c r="Z218" s="681">
        <f t="shared" si="16"/>
        <v>94</v>
      </c>
      <c r="AA218" s="681">
        <f t="shared" si="16"/>
        <v>104</v>
      </c>
      <c r="AB218" s="681">
        <f t="shared" si="16"/>
        <v>114</v>
      </c>
      <c r="AC218" s="682">
        <f t="shared" si="16"/>
        <v>124</v>
      </c>
      <c r="AD218" s="610"/>
      <c r="AE218" s="1053"/>
      <c r="AF218" s="683">
        <f>$F$65</f>
        <v>0.0448972975</v>
      </c>
      <c r="AG218" s="684">
        <f t="shared" ref="AG218:AI218" si="17">AH218-0.05</f>
        <v>0.7</v>
      </c>
      <c r="AH218" s="684">
        <f t="shared" si="17"/>
        <v>0.75</v>
      </c>
      <c r="AI218" s="684">
        <f t="shared" si="17"/>
        <v>0.8</v>
      </c>
      <c r="AJ218" s="684">
        <v>0.85</v>
      </c>
      <c r="AK218" s="1059">
        <v>0.9</v>
      </c>
      <c r="AL218" s="684">
        <f t="shared" ref="AL218:AP218" si="18">AK218+0.02</f>
        <v>0.92</v>
      </c>
      <c r="AM218" s="684">
        <f t="shared" si="18"/>
        <v>0.94</v>
      </c>
      <c r="AN218" s="684">
        <f t="shared" si="18"/>
        <v>0.96</v>
      </c>
      <c r="AO218" s="684">
        <f t="shared" si="18"/>
        <v>0.98</v>
      </c>
      <c r="AP218" s="686">
        <f t="shared" si="18"/>
        <v>1</v>
      </c>
      <c r="AQ218" s="610"/>
      <c r="AR218" s="1051" t="s">
        <v>63</v>
      </c>
      <c r="AS218" s="1052"/>
      <c r="AT218" s="1052"/>
      <c r="AU218" s="1052"/>
      <c r="AV218" s="1052"/>
      <c r="AW218" s="1052"/>
      <c r="AX218" s="1052"/>
      <c r="AY218" s="1052"/>
      <c r="AZ218" s="1052"/>
      <c r="BA218" s="1052"/>
      <c r="BB218" s="1052"/>
      <c r="BC218" s="1052"/>
      <c r="BD218" s="1052"/>
      <c r="BE218" s="1052"/>
      <c r="BF218" s="1052"/>
      <c r="BG218" s="1060"/>
      <c r="BH218" s="610"/>
      <c r="BI218" s="1051" t="s">
        <v>63</v>
      </c>
      <c r="BJ218" s="1052"/>
      <c r="BK218" s="1052"/>
      <c r="BL218" s="1052"/>
      <c r="BM218" s="1052"/>
      <c r="BN218" s="1052"/>
      <c r="BO218" s="1052"/>
      <c r="BP218" s="1052"/>
      <c r="BQ218" s="1052"/>
      <c r="BR218" s="1052"/>
      <c r="BS218" s="1052"/>
      <c r="BT218" s="1052"/>
      <c r="BU218" s="1052"/>
      <c r="BV218" s="1052"/>
      <c r="BW218" s="1052"/>
      <c r="BX218" s="1060"/>
      <c r="BY218" s="11"/>
    </row>
    <row r="219">
      <c r="E219" s="174"/>
      <c r="F219" s="220"/>
      <c r="G219" s="220"/>
      <c r="H219" s="220"/>
      <c r="I219" s="220"/>
      <c r="J219" s="220"/>
      <c r="K219" s="220"/>
      <c r="L219" s="220"/>
      <c r="M219" s="220"/>
      <c r="N219" s="220"/>
      <c r="O219" s="220"/>
      <c r="P219" s="220"/>
      <c r="Q219" s="220"/>
      <c r="R219" s="10"/>
      <c r="U219" s="1061" t="s">
        <v>66</v>
      </c>
      <c r="V219" s="1062">
        <v>524288.0</v>
      </c>
      <c r="W219" s="1066">
        <v>0.1592465085638881</v>
      </c>
      <c r="X219" s="590">
        <v>0.19162231178878822</v>
      </c>
      <c r="Y219" s="590">
        <v>0.2239981150136881</v>
      </c>
      <c r="Z219" s="590">
        <v>0.25637391823858807</v>
      </c>
      <c r="AA219" s="590">
        <v>0.28874972146348804</v>
      </c>
      <c r="AB219" s="590">
        <v>0.32112552468838806</v>
      </c>
      <c r="AC219" s="1067">
        <v>0.3535013279132879</v>
      </c>
      <c r="AD219" s="610"/>
      <c r="AE219" s="1061" t="s">
        <v>66</v>
      </c>
      <c r="AF219" s="1062">
        <v>524288.0</v>
      </c>
      <c r="AG219" s="590">
        <v>0.12094325188222346</v>
      </c>
      <c r="AH219" s="590">
        <v>0.13043451888306268</v>
      </c>
      <c r="AI219" s="590">
        <v>0.13974118867008806</v>
      </c>
      <c r="AJ219" s="590">
        <v>0.14889940343463576</v>
      </c>
      <c r="AK219" s="1066">
        <v>0.157945305368042</v>
      </c>
      <c r="AL219" s="590">
        <v>0.16154031439954425</v>
      </c>
      <c r="AM219" s="590">
        <v>0.16512544922892314</v>
      </c>
      <c r="AN219" s="590">
        <v>0.1687030229564242</v>
      </c>
      <c r="AO219" s="590">
        <v>0.1722753486822929</v>
      </c>
      <c r="AP219" s="1067">
        <v>0.17584473950677487</v>
      </c>
      <c r="AQ219" s="610"/>
      <c r="AR219" s="1051" t="s">
        <v>67</v>
      </c>
      <c r="AS219" s="1052"/>
      <c r="AT219" s="1052"/>
      <c r="AU219" s="1052"/>
      <c r="AV219" s="1052"/>
      <c r="AW219" s="1052"/>
      <c r="AX219" s="1052"/>
      <c r="AY219" s="1052"/>
      <c r="AZ219" s="1052"/>
      <c r="BA219" s="1052"/>
      <c r="BB219" s="1052"/>
      <c r="BC219" s="1052"/>
      <c r="BD219" s="1052"/>
      <c r="BE219" s="1052"/>
      <c r="BF219" s="1052"/>
      <c r="BG219" s="1060"/>
      <c r="BH219" s="610"/>
      <c r="BI219" s="1051" t="s">
        <v>68</v>
      </c>
      <c r="BJ219" s="1052"/>
      <c r="BK219" s="1052"/>
      <c r="BL219" s="1052"/>
      <c r="BM219" s="1052"/>
      <c r="BN219" s="1052"/>
      <c r="BO219" s="1052"/>
      <c r="BP219" s="1052"/>
      <c r="BQ219" s="1052"/>
      <c r="BR219" s="1052"/>
      <c r="BS219" s="1052"/>
      <c r="BT219" s="1052"/>
      <c r="BU219" s="1052"/>
      <c r="BV219" s="1052"/>
      <c r="BW219" s="1052"/>
      <c r="BX219" s="1060"/>
      <c r="BY219" s="11"/>
    </row>
    <row r="220">
      <c r="E220" s="174"/>
      <c r="F220" s="220"/>
      <c r="G220" s="220"/>
      <c r="H220" s="220"/>
      <c r="I220" s="220"/>
      <c r="J220" s="220"/>
      <c r="K220" s="220"/>
      <c r="L220" s="220"/>
      <c r="M220" s="220"/>
      <c r="N220" s="220"/>
      <c r="O220" s="220"/>
      <c r="P220" s="220"/>
      <c r="Q220" s="220"/>
      <c r="R220" s="10"/>
      <c r="U220" s="110"/>
      <c r="V220" s="1062">
        <v>1000000.0</v>
      </c>
      <c r="W220" s="1068">
        <v>0.10207391580835928</v>
      </c>
      <c r="X220" s="591">
        <v>0.1255165014152078</v>
      </c>
      <c r="Y220" s="591">
        <v>0.14895908702205637</v>
      </c>
      <c r="Z220" s="591">
        <v>0.172401672628905</v>
      </c>
      <c r="AA220" s="591">
        <v>0.19584425823575355</v>
      </c>
      <c r="AB220" s="591">
        <v>0.21928684384260214</v>
      </c>
      <c r="AC220" s="1069">
        <v>0.24272942944945083</v>
      </c>
      <c r="AD220" s="610"/>
      <c r="AE220" s="110"/>
      <c r="AF220" s="1062">
        <v>1000000.0</v>
      </c>
      <c r="AG220" s="591">
        <v>0.07398036400435991</v>
      </c>
      <c r="AH220" s="591">
        <v>0.0808527754049057</v>
      </c>
      <c r="AI220" s="591">
        <v>0.08759152414517538</v>
      </c>
      <c r="AJ220" s="591">
        <v>0.09422277996707559</v>
      </c>
      <c r="AK220" s="1068">
        <v>0.10077271261251314</v>
      </c>
      <c r="AL220" s="591">
        <v>0.10337577720346568</v>
      </c>
      <c r="AM220" s="591">
        <v>0.10597169210837128</v>
      </c>
      <c r="AN220" s="591">
        <v>0.10856213219071198</v>
      </c>
      <c r="AO220" s="591">
        <v>0.11114877231396979</v>
      </c>
      <c r="AP220" s="1069">
        <v>0.11373328734162673</v>
      </c>
      <c r="AQ220" s="610"/>
      <c r="AR220" s="1053"/>
      <c r="AS220" s="1054">
        <f>$F$65</f>
        <v>0.0448972975</v>
      </c>
      <c r="AT220" s="1062">
        <v>1.0</v>
      </c>
      <c r="AU220" s="1056">
        <f t="shared" ref="AU220:AX220" si="19">AT220+1</f>
        <v>2</v>
      </c>
      <c r="AV220" s="1056">
        <f t="shared" si="19"/>
        <v>3</v>
      </c>
      <c r="AW220" s="1056">
        <f t="shared" si="19"/>
        <v>4</v>
      </c>
      <c r="AX220" s="1056">
        <f t="shared" si="19"/>
        <v>5</v>
      </c>
      <c r="AY220" s="1062">
        <v>10.0</v>
      </c>
      <c r="AZ220" s="1062">
        <v>15.0</v>
      </c>
      <c r="BA220" s="1062">
        <v>20.0</v>
      </c>
      <c r="BB220" s="1062">
        <v>25.0</v>
      </c>
      <c r="BC220" s="1062">
        <v>30.0</v>
      </c>
      <c r="BD220" s="1062">
        <v>35.0</v>
      </c>
      <c r="BE220" s="1062">
        <v>40.0</v>
      </c>
      <c r="BF220" s="1062">
        <v>45.0</v>
      </c>
      <c r="BG220" s="1070">
        <v>50.0</v>
      </c>
      <c r="BH220" s="610"/>
      <c r="BI220" s="1053"/>
      <c r="BJ220" s="1054">
        <f>$F$65</f>
        <v>0.0448972975</v>
      </c>
      <c r="BK220" s="1062">
        <v>1.0</v>
      </c>
      <c r="BL220" s="1056">
        <f t="shared" ref="BL220:BO220" si="20">BK220+1</f>
        <v>2</v>
      </c>
      <c r="BM220" s="1056">
        <f t="shared" si="20"/>
        <v>3</v>
      </c>
      <c r="BN220" s="1056">
        <f t="shared" si="20"/>
        <v>4</v>
      </c>
      <c r="BO220" s="1056">
        <f t="shared" si="20"/>
        <v>5</v>
      </c>
      <c r="BP220" s="1062">
        <v>10.0</v>
      </c>
      <c r="BQ220" s="1062">
        <v>15.0</v>
      </c>
      <c r="BR220" s="1062">
        <v>20.0</v>
      </c>
      <c r="BS220" s="1062">
        <v>25.0</v>
      </c>
      <c r="BT220" s="1062">
        <v>30.0</v>
      </c>
      <c r="BU220" s="1062">
        <v>35.0</v>
      </c>
      <c r="BV220" s="1062">
        <v>40.0</v>
      </c>
      <c r="BW220" s="1062">
        <v>45.0</v>
      </c>
      <c r="BX220" s="1070">
        <v>50.0</v>
      </c>
      <c r="BY220" s="11"/>
    </row>
    <row r="221">
      <c r="E221" s="174"/>
      <c r="F221" s="220"/>
      <c r="G221" s="220"/>
      <c r="H221" s="220"/>
      <c r="I221" s="220"/>
      <c r="J221" s="220"/>
      <c r="K221" s="220"/>
      <c r="L221" s="220"/>
      <c r="M221" s="220"/>
      <c r="N221" s="220"/>
      <c r="O221" s="220"/>
      <c r="P221" s="220"/>
      <c r="Q221" s="220"/>
      <c r="R221" s="10"/>
      <c r="U221" s="110"/>
      <c r="V221" s="1056">
        <f t="shared" ref="V221:V238" si="21">V220+500000</f>
        <v>1500000</v>
      </c>
      <c r="W221" s="1066">
        <v>0.07454243029955163</v>
      </c>
      <c r="X221" s="590">
        <v>0.09368322129564902</v>
      </c>
      <c r="Y221" s="590">
        <v>0.11282401229174634</v>
      </c>
      <c r="Z221" s="590">
        <v>0.13196480328784377</v>
      </c>
      <c r="AA221" s="590">
        <v>0.15110559428394119</v>
      </c>
      <c r="AB221" s="590">
        <v>0.17024638528003858</v>
      </c>
      <c r="AC221" s="1067">
        <v>0.18938717627613597</v>
      </c>
      <c r="AD221" s="610"/>
      <c r="AE221" s="110"/>
      <c r="AF221" s="1056">
        <f t="shared" ref="AF221:AF238" si="22">AF220+500000</f>
        <v>1500000</v>
      </c>
      <c r="AG221" s="590">
        <v>0.051365366070124645</v>
      </c>
      <c r="AH221" s="590">
        <v>0.05697666648139901</v>
      </c>
      <c r="AI221" s="590">
        <v>0.06247883178756024</v>
      </c>
      <c r="AJ221" s="590">
        <v>0.06789322949339884</v>
      </c>
      <c r="AK221" s="1066">
        <v>0.0732412271037055</v>
      </c>
      <c r="AL221" s="590">
        <v>0.07536662044215227</v>
      </c>
      <c r="AM221" s="590">
        <v>0.07748617608638704</v>
      </c>
      <c r="AN221" s="590">
        <v>0.07960126155671628</v>
      </c>
      <c r="AO221" s="590">
        <v>0.08171324437344679</v>
      </c>
      <c r="AP221" s="1067">
        <v>0.08382349205688504</v>
      </c>
      <c r="AQ221" s="610"/>
      <c r="AR221" s="1071" t="s">
        <v>73</v>
      </c>
      <c r="AS221" s="1072">
        <f>AG218</f>
        <v>0.7</v>
      </c>
      <c r="AT221" s="1073">
        <v>0.0868705181721293</v>
      </c>
      <c r="AU221" s="1073">
        <v>0.10214131873172531</v>
      </c>
      <c r="AV221" s="1073">
        <v>0.10723253064820756</v>
      </c>
      <c r="AW221" s="1073">
        <v>0.10977884471172634</v>
      </c>
      <c r="AX221" s="1073">
        <v>0.11130719908085249</v>
      </c>
      <c r="AY221" s="1073">
        <v>0.1143681426394832</v>
      </c>
      <c r="AZ221" s="1073">
        <v>0.11539314569379489</v>
      </c>
      <c r="BA221" s="1073">
        <v>0.11438220832770726</v>
      </c>
      <c r="BB221" s="1073">
        <v>0.11499998220376016</v>
      </c>
      <c r="BC221" s="1073">
        <v>0.11541414161574651</v>
      </c>
      <c r="BD221" s="1073">
        <v>0.11483940416540545</v>
      </c>
      <c r="BE221" s="1073">
        <v>0.11517353593159647</v>
      </c>
      <c r="BF221" s="1073">
        <v>0.11543493389511283</v>
      </c>
      <c r="BG221" s="1074">
        <v>0.1150346362770287</v>
      </c>
      <c r="BH221" s="610"/>
      <c r="BI221" s="1061" t="s">
        <v>66</v>
      </c>
      <c r="BJ221" s="1062">
        <v>524288.0</v>
      </c>
      <c r="BK221" s="1073">
        <v>0.15652008138932835</v>
      </c>
      <c r="BL221" s="1073">
        <v>0.1776476726390425</v>
      </c>
      <c r="BM221" s="1073">
        <v>0.184691510577815</v>
      </c>
      <c r="BN221" s="1073">
        <v>0.1882144092311942</v>
      </c>
      <c r="BO221" s="1073">
        <v>0.19032893140503795</v>
      </c>
      <c r="BP221" s="1073">
        <v>0.19456383474837033</v>
      </c>
      <c r="BQ221" s="1073">
        <v>0.19598195591868434</v>
      </c>
      <c r="BR221" s="1073">
        <v>0.19458329503208527</v>
      </c>
      <c r="BS221" s="1073">
        <v>0.19543800293603963</v>
      </c>
      <c r="BT221" s="1073">
        <v>0.1960110043798422</v>
      </c>
      <c r="BU221" s="1073">
        <v>0.19521583860714287</v>
      </c>
      <c r="BV221" s="1073">
        <v>0.1956781195040794</v>
      </c>
      <c r="BW221" s="1073">
        <v>0.19603977109563336</v>
      </c>
      <c r="BX221" s="1074">
        <v>0.1954859478418943</v>
      </c>
      <c r="BY221" s="11"/>
    </row>
    <row r="222">
      <c r="E222" s="174"/>
      <c r="F222" s="220"/>
      <c r="G222" s="220"/>
      <c r="H222" s="220"/>
      <c r="I222" s="220"/>
      <c r="J222" s="220"/>
      <c r="K222" s="220"/>
      <c r="L222" s="220"/>
      <c r="M222" s="220"/>
      <c r="N222" s="220"/>
      <c r="O222" s="220"/>
      <c r="P222" s="220"/>
      <c r="Q222" s="220"/>
      <c r="R222" s="10"/>
      <c r="U222" s="110"/>
      <c r="V222" s="1056">
        <f t="shared" si="21"/>
        <v>2000000</v>
      </c>
      <c r="W222" s="1066">
        <v>0.05813039993188057</v>
      </c>
      <c r="X222" s="590">
        <v>0.07470681118302937</v>
      </c>
      <c r="Y222" s="590">
        <v>0.09128322243417818</v>
      </c>
      <c r="Z222" s="590">
        <v>0.10785963368532692</v>
      </c>
      <c r="AA222" s="590">
        <v>0.12443604493647567</v>
      </c>
      <c r="AB222" s="590">
        <v>0.14101245618762448</v>
      </c>
      <c r="AC222" s="1067">
        <v>0.1575888674387733</v>
      </c>
      <c r="AD222" s="610"/>
      <c r="AE222" s="110"/>
      <c r="AF222" s="1056">
        <f t="shared" si="22"/>
        <v>2000000</v>
      </c>
      <c r="AG222" s="590">
        <v>0.03788414535129532</v>
      </c>
      <c r="AH222" s="590">
        <v>0.04274367405572502</v>
      </c>
      <c r="AI222" s="590">
        <v>0.04750868898668199</v>
      </c>
      <c r="AJ222" s="590">
        <v>0.05219769494613041</v>
      </c>
      <c r="AK222" s="1066">
        <v>0.05682919673603444</v>
      </c>
      <c r="AL222" s="590">
        <v>0.05866984136016358</v>
      </c>
      <c r="AM222" s="590">
        <v>0.06050543039280553</v>
      </c>
      <c r="AN222" s="590">
        <v>0.06233714814128608</v>
      </c>
      <c r="AO222" s="590">
        <v>0.06416617891293089</v>
      </c>
      <c r="AP222" s="1067">
        <v>0.06599370701506563</v>
      </c>
      <c r="AQ222" s="610"/>
      <c r="AR222" s="110"/>
      <c r="AS222" s="1072">
        <v>0.75</v>
      </c>
      <c r="AT222" s="1075">
        <v>0.09367351127569988</v>
      </c>
      <c r="AU222" s="1075">
        <v>0.1089443118352959</v>
      </c>
      <c r="AV222" s="1075">
        <v>0.11403552375177815</v>
      </c>
      <c r="AW222" s="1075">
        <v>0.1165818378152969</v>
      </c>
      <c r="AX222" s="1075">
        <v>0.11811019218442305</v>
      </c>
      <c r="AY222" s="1075">
        <v>0.12117113574305374</v>
      </c>
      <c r="AZ222" s="1075">
        <v>0.12219613879736545</v>
      </c>
      <c r="BA222" s="1075">
        <v>0.12118520143127783</v>
      </c>
      <c r="BB222" s="1075">
        <v>0.12180297530733074</v>
      </c>
      <c r="BC222" s="1075">
        <v>0.12221713471931707</v>
      </c>
      <c r="BD222" s="1075">
        <v>0.12164239726897601</v>
      </c>
      <c r="BE222" s="1075">
        <v>0.12197652903516705</v>
      </c>
      <c r="BF222" s="1075">
        <v>0.12223792699868338</v>
      </c>
      <c r="BG222" s="1076">
        <v>0.12183762938059928</v>
      </c>
      <c r="BH222" s="610"/>
      <c r="BI222" s="110"/>
      <c r="BJ222" s="1077">
        <v>1000000.0</v>
      </c>
      <c r="BK222" s="1078">
        <v>0.10056518182144698</v>
      </c>
      <c r="BL222" s="1078">
        <v>0.1216927730711611</v>
      </c>
      <c r="BM222" s="1078">
        <v>0.12873661100993358</v>
      </c>
      <c r="BN222" s="1078">
        <v>0.13225950966331282</v>
      </c>
      <c r="BO222" s="1078">
        <v>0.1343740318371566</v>
      </c>
      <c r="BP222" s="1078">
        <v>0.13860893518048895</v>
      </c>
      <c r="BQ222" s="1078">
        <v>0.14002705635080295</v>
      </c>
      <c r="BR222" s="1078">
        <v>0.13862839546420389</v>
      </c>
      <c r="BS222" s="1078">
        <v>0.13948310336815825</v>
      </c>
      <c r="BT222" s="1078">
        <v>0.14005610481196082</v>
      </c>
      <c r="BU222" s="1078">
        <v>0.13926093903926148</v>
      </c>
      <c r="BV222" s="1078">
        <v>0.13972321993619802</v>
      </c>
      <c r="BW222" s="1078">
        <v>0.14008487152775198</v>
      </c>
      <c r="BX222" s="1079">
        <v>0.13953104827401294</v>
      </c>
      <c r="BY222" s="11"/>
    </row>
    <row r="223">
      <c r="E223" s="174"/>
      <c r="F223" s="220"/>
      <c r="G223" s="220"/>
      <c r="H223" s="220"/>
      <c r="I223" s="220"/>
      <c r="J223" s="220"/>
      <c r="K223" s="220"/>
      <c r="L223" s="220"/>
      <c r="M223" s="220"/>
      <c r="N223" s="220"/>
      <c r="O223" s="220"/>
      <c r="P223" s="220"/>
      <c r="Q223" s="220"/>
      <c r="R223" s="10"/>
      <c r="U223" s="110"/>
      <c r="V223" s="1056">
        <f t="shared" si="21"/>
        <v>2500000</v>
      </c>
      <c r="W223" s="1066">
        <v>0.046930282818764546</v>
      </c>
      <c r="X223" s="590">
        <v>0.06175667577098895</v>
      </c>
      <c r="Y223" s="590">
        <v>0.07658306872321338</v>
      </c>
      <c r="Z223" s="590">
        <v>0.09140946167543777</v>
      </c>
      <c r="AA223" s="590">
        <v>0.1062358546276622</v>
      </c>
      <c r="AB223" s="590">
        <v>0.1210622475798866</v>
      </c>
      <c r="AC223" s="1067">
        <v>0.135888640532111</v>
      </c>
      <c r="AD223" s="610"/>
      <c r="AE223" s="110"/>
      <c r="AF223" s="1056">
        <f t="shared" si="22"/>
        <v>2500000</v>
      </c>
      <c r="AG223" s="590">
        <v>0.028684110529517158</v>
      </c>
      <c r="AH223" s="590">
        <v>0.03303060513820364</v>
      </c>
      <c r="AI223" s="590">
        <v>0.03729256405797216</v>
      </c>
      <c r="AJ223" s="590">
        <v>0.04148653848686349</v>
      </c>
      <c r="AK223" s="1066">
        <v>0.04562907962291841</v>
      </c>
      <c r="AL223" s="590">
        <v>0.04727540222370734</v>
      </c>
      <c r="AM223" s="590">
        <v>0.04891720296600354</v>
      </c>
      <c r="AN223" s="590">
        <v>0.050555541126481696</v>
      </c>
      <c r="AO223" s="590">
        <v>0.052191475981816365</v>
      </c>
      <c r="AP223" s="1067">
        <v>0.05382606680868217</v>
      </c>
      <c r="AQ223" s="610"/>
      <c r="AR223" s="110"/>
      <c r="AS223" s="1072">
        <v>0.8</v>
      </c>
      <c r="AT223" s="1073">
        <v>0.10034419184687594</v>
      </c>
      <c r="AU223" s="1073">
        <v>0.11561499240647197</v>
      </c>
      <c r="AV223" s="1073">
        <v>0.12070620432295422</v>
      </c>
      <c r="AW223" s="1073">
        <v>0.12325251838647297</v>
      </c>
      <c r="AX223" s="1073">
        <v>0.1247808727555991</v>
      </c>
      <c r="AY223" s="1073">
        <v>0.1278418163142298</v>
      </c>
      <c r="AZ223" s="1073">
        <v>0.1288668193685415</v>
      </c>
      <c r="BA223" s="1073">
        <v>0.12785588200245387</v>
      </c>
      <c r="BB223" s="1073">
        <v>0.12847365587850682</v>
      </c>
      <c r="BC223" s="1073">
        <v>0.12888781529049312</v>
      </c>
      <c r="BD223" s="1073">
        <v>0.12831307784015208</v>
      </c>
      <c r="BE223" s="1073">
        <v>0.1286472096063431</v>
      </c>
      <c r="BF223" s="1073">
        <v>0.12890860756985947</v>
      </c>
      <c r="BG223" s="1074">
        <v>0.12850830995177534</v>
      </c>
      <c r="BH223" s="610"/>
      <c r="BI223" s="110"/>
      <c r="BJ223" s="1056">
        <f t="shared" ref="BJ223:BJ240" si="23">BJ222+500000</f>
        <v>1500000</v>
      </c>
      <c r="BK223" s="1073">
        <v>0.0736200769669722</v>
      </c>
      <c r="BL223" s="1073">
        <v>0.09474766821668634</v>
      </c>
      <c r="BM223" s="1073">
        <v>0.1017915061554588</v>
      </c>
      <c r="BN223" s="1073">
        <v>0.10531440480883804</v>
      </c>
      <c r="BO223" s="1073">
        <v>0.1074289269826818</v>
      </c>
      <c r="BP223" s="1073">
        <v>0.11166383032601417</v>
      </c>
      <c r="BQ223" s="1073">
        <v>0.11308195149632817</v>
      </c>
      <c r="BR223" s="1073">
        <v>0.1116832906097291</v>
      </c>
      <c r="BS223" s="1073">
        <v>0.11253799851368346</v>
      </c>
      <c r="BT223" s="1073">
        <v>0.11311099995748605</v>
      </c>
      <c r="BU223" s="1073">
        <v>0.11231583418478669</v>
      </c>
      <c r="BV223" s="1073">
        <v>0.11277811508172322</v>
      </c>
      <c r="BW223" s="1073">
        <v>0.11313976667327719</v>
      </c>
      <c r="BX223" s="1074">
        <v>0.11258594341953816</v>
      </c>
      <c r="BY223" s="11"/>
    </row>
    <row r="224">
      <c r="E224" s="174"/>
      <c r="F224" s="220"/>
      <c r="G224" s="220"/>
      <c r="H224" s="220"/>
      <c r="I224" s="220"/>
      <c r="J224" s="220"/>
      <c r="K224" s="220"/>
      <c r="L224" s="220"/>
      <c r="M224" s="220"/>
      <c r="N224" s="220"/>
      <c r="O224" s="220"/>
      <c r="P224" s="220"/>
      <c r="Q224" s="220"/>
      <c r="R224" s="10"/>
      <c r="U224" s="110"/>
      <c r="V224" s="1056">
        <f t="shared" si="21"/>
        <v>3000000</v>
      </c>
      <c r="W224" s="1066">
        <v>0.03866269983246351</v>
      </c>
      <c r="X224" s="590">
        <v>0.0521972829430784</v>
      </c>
      <c r="Y224" s="590">
        <v>0.06573186605369326</v>
      </c>
      <c r="Z224" s="590">
        <v>0.07926644916430814</v>
      </c>
      <c r="AA224" s="590">
        <v>0.09280103227492305</v>
      </c>
      <c r="AB224" s="590">
        <v>0.10633561538553787</v>
      </c>
      <c r="AC224" s="1067">
        <v>0.11987019849615278</v>
      </c>
      <c r="AD224" s="610"/>
      <c r="AE224" s="110"/>
      <c r="AF224" s="1056">
        <f t="shared" si="22"/>
        <v>3000000</v>
      </c>
      <c r="AG224" s="590">
        <v>0.021892926955477808</v>
      </c>
      <c r="AH224" s="590">
        <v>0.025860715527564783</v>
      </c>
      <c r="AI224" s="590">
        <v>0.029751333926760732</v>
      </c>
      <c r="AJ224" s="590">
        <v>0.03357989126060009</v>
      </c>
      <c r="AK224" s="1066">
        <v>0.03736149663661737</v>
      </c>
      <c r="AL224" s="590">
        <v>0.03886437667892181</v>
      </c>
      <c r="AM224" s="590">
        <v>0.04036312884806244</v>
      </c>
      <c r="AN224" s="590">
        <v>0.04185872012692142</v>
      </c>
      <c r="AO224" s="590">
        <v>0.043352117498380985</v>
      </c>
      <c r="AP224" s="1067">
        <v>0.04484428794532338</v>
      </c>
      <c r="AQ224" s="610"/>
      <c r="AR224" s="110"/>
      <c r="AS224" s="1072">
        <v>0.85</v>
      </c>
      <c r="AT224" s="1073">
        <v>0.10690846528673677</v>
      </c>
      <c r="AU224" s="1073">
        <v>0.12217926584633279</v>
      </c>
      <c r="AV224" s="1073">
        <v>0.12727047776281503</v>
      </c>
      <c r="AW224" s="1073">
        <v>0.1298167918263338</v>
      </c>
      <c r="AX224" s="1073">
        <v>0.13134514619545995</v>
      </c>
      <c r="AY224" s="1073">
        <v>0.13440608975409066</v>
      </c>
      <c r="AZ224" s="1073">
        <v>0.13543109280840232</v>
      </c>
      <c r="BA224" s="1073">
        <v>0.13442015544231473</v>
      </c>
      <c r="BB224" s="1073">
        <v>0.1350379293183676</v>
      </c>
      <c r="BC224" s="1073">
        <v>0.13545208873035394</v>
      </c>
      <c r="BD224" s="1073">
        <v>0.1348773512800129</v>
      </c>
      <c r="BE224" s="1073">
        <v>0.13521148304620392</v>
      </c>
      <c r="BF224" s="1073">
        <v>0.13547288100972027</v>
      </c>
      <c r="BG224" s="1074">
        <v>0.13507258339163616</v>
      </c>
      <c r="BH224" s="610"/>
      <c r="BI224" s="110"/>
      <c r="BJ224" s="1056">
        <f t="shared" si="23"/>
        <v>2000000</v>
      </c>
      <c r="BK224" s="1073">
        <v>0.057557599009135596</v>
      </c>
      <c r="BL224" s="1073">
        <v>0.07868519025884974</v>
      </c>
      <c r="BM224" s="1073">
        <v>0.08572902819762221</v>
      </c>
      <c r="BN224" s="1073">
        <v>0.08925192685100143</v>
      </c>
      <c r="BO224" s="1073">
        <v>0.09136644902484521</v>
      </c>
      <c r="BP224" s="1073">
        <v>0.09560135236817759</v>
      </c>
      <c r="BQ224" s="1073">
        <v>0.0970194735384916</v>
      </c>
      <c r="BR224" s="1073">
        <v>0.09562081265189253</v>
      </c>
      <c r="BS224" s="1073">
        <v>0.09647552055584688</v>
      </c>
      <c r="BT224" s="1073">
        <v>0.09704852199964946</v>
      </c>
      <c r="BU224" s="1073">
        <v>0.09625335622695011</v>
      </c>
      <c r="BV224" s="1073">
        <v>0.09671563712388663</v>
      </c>
      <c r="BW224" s="1073">
        <v>0.0970772887154406</v>
      </c>
      <c r="BX224" s="1074">
        <v>0.09652346546170157</v>
      </c>
      <c r="BY224" s="11"/>
    </row>
    <row r="225">
      <c r="E225" s="174"/>
      <c r="F225" s="220"/>
      <c r="G225" s="220"/>
      <c r="H225" s="220"/>
      <c r="I225" s="220"/>
      <c r="J225" s="220"/>
      <c r="K225" s="220"/>
      <c r="L225" s="220"/>
      <c r="M225" s="220"/>
      <c r="N225" s="220"/>
      <c r="O225" s="220"/>
      <c r="P225" s="220"/>
      <c r="Q225" s="220"/>
      <c r="R225" s="10"/>
      <c r="U225" s="110"/>
      <c r="V225" s="1056">
        <f t="shared" si="21"/>
        <v>3500000</v>
      </c>
      <c r="W225" s="1066">
        <v>0.03223713807396416</v>
      </c>
      <c r="X225" s="590">
        <v>0.04476772715981351</v>
      </c>
      <c r="Y225" s="590">
        <v>0.057298316245662895</v>
      </c>
      <c r="Z225" s="590">
        <v>0.06982890533151223</v>
      </c>
      <c r="AA225" s="590">
        <v>0.0823594944173616</v>
      </c>
      <c r="AB225" s="590">
        <v>0.09489008350321097</v>
      </c>
      <c r="AC225" s="1067">
        <v>0.10742067258906031</v>
      </c>
      <c r="AD225" s="610"/>
      <c r="AE225" s="110"/>
      <c r="AF225" s="1056">
        <f t="shared" si="22"/>
        <v>3500000</v>
      </c>
      <c r="AG225" s="590">
        <v>0.01661482215258675</v>
      </c>
      <c r="AH225" s="590">
        <v>0.02028828056427268</v>
      </c>
      <c r="AI225" s="590">
        <v>0.023890293278793204</v>
      </c>
      <c r="AJ225" s="590">
        <v>0.027434848611593312</v>
      </c>
      <c r="AK225" s="1066">
        <v>0.03093593487811803</v>
      </c>
      <c r="AL225" s="590">
        <v>0.03232733142883049</v>
      </c>
      <c r="AM225" s="590">
        <v>0.033714906311598576</v>
      </c>
      <c r="AN225" s="590">
        <v>0.035099554778610785</v>
      </c>
      <c r="AO225" s="590">
        <v>0.03648217208205554</v>
      </c>
      <c r="AP225" s="1067">
        <v>0.0378636534741214</v>
      </c>
      <c r="AQ225" s="610"/>
      <c r="AR225" s="110"/>
      <c r="AS225" s="1080">
        <v>0.9</v>
      </c>
      <c r="AT225" s="1081">
        <v>0.11339223699636179</v>
      </c>
      <c r="AU225" s="1081">
        <v>0.12866303755595782</v>
      </c>
      <c r="AV225" s="1081">
        <v>0.13375424947244005</v>
      </c>
      <c r="AW225" s="1081">
        <v>0.13630056353595882</v>
      </c>
      <c r="AX225" s="1081">
        <v>0.13782891790508492</v>
      </c>
      <c r="AY225" s="1081">
        <v>0.14088986146371565</v>
      </c>
      <c r="AZ225" s="1081">
        <v>0.14191486451802737</v>
      </c>
      <c r="BA225" s="1081">
        <v>0.14090392715193972</v>
      </c>
      <c r="BB225" s="1081">
        <v>0.14152170102799264</v>
      </c>
      <c r="BC225" s="1081">
        <v>0.141935860439979</v>
      </c>
      <c r="BD225" s="1081">
        <v>0.14136112298963793</v>
      </c>
      <c r="BE225" s="1081">
        <v>0.14169525475582895</v>
      </c>
      <c r="BF225" s="1081">
        <v>0.1419566527193453</v>
      </c>
      <c r="BG225" s="1082">
        <v>0.1415563551012612</v>
      </c>
      <c r="BH225" s="610"/>
      <c r="BI225" s="110"/>
      <c r="BJ225" s="1056">
        <f t="shared" si="23"/>
        <v>2500000</v>
      </c>
      <c r="BK225" s="1073">
        <v>0.04659602812336689</v>
      </c>
      <c r="BL225" s="1073">
        <v>0.06772361937308102</v>
      </c>
      <c r="BM225" s="1073">
        <v>0.07476745731185352</v>
      </c>
      <c r="BN225" s="1073">
        <v>0.07829035596523272</v>
      </c>
      <c r="BO225" s="1073">
        <v>0.08040487813907651</v>
      </c>
      <c r="BP225" s="1073">
        <v>0.08463978148240887</v>
      </c>
      <c r="BQ225" s="1073">
        <v>0.08605790265272288</v>
      </c>
      <c r="BR225" s="1073">
        <v>0.08465924176612383</v>
      </c>
      <c r="BS225" s="1073">
        <v>0.08551394967007818</v>
      </c>
      <c r="BT225" s="1073">
        <v>0.08608695111388076</v>
      </c>
      <c r="BU225" s="1073">
        <v>0.0852917853411814</v>
      </c>
      <c r="BV225" s="1073">
        <v>0.08575406623811792</v>
      </c>
      <c r="BW225" s="1073">
        <v>0.08611571782967191</v>
      </c>
      <c r="BX225" s="1074">
        <v>0.08556189457593288</v>
      </c>
      <c r="BY225" s="11"/>
    </row>
    <row r="226">
      <c r="E226" s="174"/>
      <c r="F226" s="220"/>
      <c r="G226" s="220"/>
      <c r="H226" s="220"/>
      <c r="I226" s="220"/>
      <c r="J226" s="220"/>
      <c r="K226" s="220"/>
      <c r="L226" s="220"/>
      <c r="M226" s="220"/>
      <c r="N226" s="220"/>
      <c r="O226" s="220"/>
      <c r="P226" s="220"/>
      <c r="Q226" s="220"/>
      <c r="R226" s="10"/>
      <c r="U226" s="110"/>
      <c r="V226" s="1056">
        <f t="shared" si="21"/>
        <v>4000000</v>
      </c>
      <c r="W226" s="1066">
        <v>0.02705764186644379</v>
      </c>
      <c r="X226" s="590">
        <v>0.038778934669868044</v>
      </c>
      <c r="Y226" s="590">
        <v>0.050500227473292345</v>
      </c>
      <c r="Z226" s="590">
        <v>0.06222152027671664</v>
      </c>
      <c r="AA226" s="590">
        <v>0.07394281308014092</v>
      </c>
      <c r="AB226" s="590">
        <v>0.08566410588356523</v>
      </c>
      <c r="AC226" s="1067">
        <v>0.09738539868698955</v>
      </c>
      <c r="AD226" s="610"/>
      <c r="AE226" s="110"/>
      <c r="AF226" s="1056">
        <f t="shared" si="22"/>
        <v>4000000</v>
      </c>
      <c r="AG226" s="590">
        <v>0.012360264366521037</v>
      </c>
      <c r="AH226" s="590">
        <v>0.015796470066793928</v>
      </c>
      <c r="AI226" s="590">
        <v>0.01916584443692877</v>
      </c>
      <c r="AJ226" s="590">
        <v>0.02248147234787888</v>
      </c>
      <c r="AK226" s="1066">
        <v>0.025756438670597657</v>
      </c>
      <c r="AL226" s="590">
        <v>0.027057970966073923</v>
      </c>
      <c r="AM226" s="590">
        <v>0.02835592841852672</v>
      </c>
      <c r="AN226" s="590">
        <v>0.029651148459697074</v>
      </c>
      <c r="AO226" s="590">
        <v>0.030944468521325975</v>
      </c>
      <c r="AP226" s="1067">
        <v>0.03223672603515444</v>
      </c>
      <c r="AQ226" s="610"/>
      <c r="AR226" s="110"/>
      <c r="AS226" s="1072">
        <v>0.92</v>
      </c>
      <c r="AT226" s="1073">
        <v>0.11596900800558751</v>
      </c>
      <c r="AU226" s="1073">
        <v>0.13123980856518355</v>
      </c>
      <c r="AV226" s="1073">
        <v>0.1363310204816658</v>
      </c>
      <c r="AW226" s="1073">
        <v>0.13887733454518453</v>
      </c>
      <c r="AX226" s="1073">
        <v>0.14040568891431068</v>
      </c>
      <c r="AY226" s="1073">
        <v>0.1434666324729414</v>
      </c>
      <c r="AZ226" s="1073">
        <v>0.14449163552725308</v>
      </c>
      <c r="BA226" s="1073">
        <v>0.14348069816116546</v>
      </c>
      <c r="BB226" s="1073">
        <v>0.14409847203721837</v>
      </c>
      <c r="BC226" s="1073">
        <v>0.1445126314492047</v>
      </c>
      <c r="BD226" s="1073">
        <v>0.14393789399886367</v>
      </c>
      <c r="BE226" s="1073">
        <v>0.14427202576505468</v>
      </c>
      <c r="BF226" s="1073">
        <v>0.14453342372857103</v>
      </c>
      <c r="BG226" s="1074">
        <v>0.1441331261104869</v>
      </c>
      <c r="BH226" s="610"/>
      <c r="BI226" s="110"/>
      <c r="BJ226" s="1056">
        <f t="shared" si="23"/>
        <v>3000000</v>
      </c>
      <c r="BK226" s="1073">
        <v>0.038504532646753874</v>
      </c>
      <c r="BL226" s="1073">
        <v>0.05963212389646801</v>
      </c>
      <c r="BM226" s="1073">
        <v>0.0666759618352405</v>
      </c>
      <c r="BN226" s="1073">
        <v>0.0701988604886197</v>
      </c>
      <c r="BO226" s="1073">
        <v>0.0723133826624635</v>
      </c>
      <c r="BP226" s="1073">
        <v>0.07654828600579586</v>
      </c>
      <c r="BQ226" s="1073">
        <v>0.07796640717610986</v>
      </c>
      <c r="BR226" s="1073">
        <v>0.07656774628951082</v>
      </c>
      <c r="BS226" s="1073">
        <v>0.07742245419346516</v>
      </c>
      <c r="BT226" s="1073">
        <v>0.07799545563726774</v>
      </c>
      <c r="BU226" s="1073">
        <v>0.07720028986456838</v>
      </c>
      <c r="BV226" s="1073">
        <v>0.07766257076150491</v>
      </c>
      <c r="BW226" s="1073">
        <v>0.07802422235305888</v>
      </c>
      <c r="BX226" s="1074">
        <v>0.07747039909931985</v>
      </c>
      <c r="BY226" s="11"/>
    </row>
    <row r="227">
      <c r="E227" s="174"/>
      <c r="F227" s="220"/>
      <c r="G227" s="175"/>
      <c r="H227" s="175"/>
      <c r="I227" s="175"/>
      <c r="J227" s="175"/>
      <c r="K227" s="175"/>
      <c r="L227" s="175"/>
      <c r="M227" s="175"/>
      <c r="N227" s="175"/>
      <c r="O227" s="175"/>
      <c r="P227" s="175"/>
      <c r="Q227" s="175"/>
      <c r="R227" s="10"/>
      <c r="U227" s="110"/>
      <c r="V227" s="1056">
        <f t="shared" si="21"/>
        <v>4500000</v>
      </c>
      <c r="W227" s="1068">
        <v>0.02276738926276314</v>
      </c>
      <c r="X227" s="591">
        <v>0.033818330096862324</v>
      </c>
      <c r="Y227" s="591">
        <v>0.044869270930961526</v>
      </c>
      <c r="Z227" s="591">
        <v>0.05592021176506072</v>
      </c>
      <c r="AA227" s="591">
        <v>0.0669711525991599</v>
      </c>
      <c r="AB227" s="591">
        <v>0.07802209343325912</v>
      </c>
      <c r="AC227" s="1069">
        <v>0.08907303426735831</v>
      </c>
      <c r="AD227" s="610"/>
      <c r="AE227" s="110"/>
      <c r="AF227" s="1056">
        <f t="shared" si="22"/>
        <v>4500000</v>
      </c>
      <c r="AG227" s="591">
        <v>0.008836151810424277</v>
      </c>
      <c r="AH227" s="591">
        <v>0.012075837613377395</v>
      </c>
      <c r="AI227" s="591">
        <v>0.015252514234015387</v>
      </c>
      <c r="AJ227" s="591">
        <v>0.018378518206981</v>
      </c>
      <c r="AK227" s="1068">
        <v>0.02146618606691701</v>
      </c>
      <c r="AL227" s="591">
        <v>0.0226932824830031</v>
      </c>
      <c r="AM227" s="591">
        <v>0.02391700850476441</v>
      </c>
      <c r="AN227" s="591">
        <v>0.025138153670418124</v>
      </c>
      <c r="AO227" s="591">
        <v>0.02635750751818132</v>
      </c>
      <c r="AP227" s="1069">
        <v>0.027575859586271165</v>
      </c>
      <c r="AQ227" s="610"/>
      <c r="AR227" s="110"/>
      <c r="AS227" s="1072">
        <v>0.94</v>
      </c>
      <c r="AT227" s="1073">
        <v>0.11853870154781733</v>
      </c>
      <c r="AU227" s="1073">
        <v>0.13380950210741333</v>
      </c>
      <c r="AV227" s="1073">
        <v>0.1389007140238956</v>
      </c>
      <c r="AW227" s="1073">
        <v>0.14144702808741436</v>
      </c>
      <c r="AX227" s="1073">
        <v>0.14297538245654048</v>
      </c>
      <c r="AY227" s="1073">
        <v>0.1460363260151712</v>
      </c>
      <c r="AZ227" s="1073">
        <v>0.14706132906948288</v>
      </c>
      <c r="BA227" s="1073">
        <v>0.14605039170339526</v>
      </c>
      <c r="BB227" s="1073">
        <v>0.1466681655794482</v>
      </c>
      <c r="BC227" s="1073">
        <v>0.1470823249914345</v>
      </c>
      <c r="BD227" s="1073">
        <v>0.14650758754109347</v>
      </c>
      <c r="BE227" s="1073">
        <v>0.14684171930728449</v>
      </c>
      <c r="BF227" s="1073">
        <v>0.14710311727080083</v>
      </c>
      <c r="BG227" s="1074">
        <v>0.14670281965271673</v>
      </c>
      <c r="BH227" s="610"/>
      <c r="BI227" s="110"/>
      <c r="BJ227" s="1056">
        <f t="shared" si="23"/>
        <v>3500000</v>
      </c>
      <c r="BK227" s="1073">
        <v>0.03221582602116044</v>
      </c>
      <c r="BL227" s="1073">
        <v>0.05334341727087457</v>
      </c>
      <c r="BM227" s="1073">
        <v>0.06038725520964705</v>
      </c>
      <c r="BN227" s="1073">
        <v>0.06391015386302627</v>
      </c>
      <c r="BO227" s="1073">
        <v>0.06602467603687005</v>
      </c>
      <c r="BP227" s="1073">
        <v>0.07025957938020241</v>
      </c>
      <c r="BQ227" s="1073">
        <v>0.07167770055051642</v>
      </c>
      <c r="BR227" s="1073">
        <v>0.07027903966391737</v>
      </c>
      <c r="BS227" s="1073">
        <v>0.07113374756787172</v>
      </c>
      <c r="BT227" s="1073">
        <v>0.0717067490116743</v>
      </c>
      <c r="BU227" s="1073">
        <v>0.07091158323897494</v>
      </c>
      <c r="BV227" s="1073">
        <v>0.07137386413591147</v>
      </c>
      <c r="BW227" s="1073">
        <v>0.07173551572746545</v>
      </c>
      <c r="BX227" s="1074">
        <v>0.07118169247372641</v>
      </c>
      <c r="BY227" s="11"/>
    </row>
    <row r="228">
      <c r="E228" s="174"/>
      <c r="F228" s="175"/>
      <c r="R228" s="10"/>
      <c r="U228" s="110"/>
      <c r="V228" s="1056">
        <f t="shared" si="21"/>
        <v>5000000</v>
      </c>
      <c r="W228" s="1066">
        <v>0.019137963105675938</v>
      </c>
      <c r="X228" s="590">
        <v>0.02962180610273024</v>
      </c>
      <c r="Y228" s="590">
        <v>0.040105649099784556</v>
      </c>
      <c r="Z228" s="590">
        <v>0.05058949209683891</v>
      </c>
      <c r="AA228" s="590">
        <v>0.061073335093893205</v>
      </c>
      <c r="AB228" s="590">
        <v>0.07155717809094753</v>
      </c>
      <c r="AC228" s="1067">
        <v>0.08204102108800182</v>
      </c>
      <c r="AD228" s="610"/>
      <c r="AE228" s="110"/>
      <c r="AF228" s="1056">
        <f t="shared" si="22"/>
        <v>5000000</v>
      </c>
      <c r="AG228" s="590">
        <v>0.005854857356889297</v>
      </c>
      <c r="AH228" s="590">
        <v>0.00892829316908229</v>
      </c>
      <c r="AI228" s="590">
        <v>0.011941953222389107</v>
      </c>
      <c r="AJ228" s="590">
        <v>0.01490754098118113</v>
      </c>
      <c r="AK228" s="1066">
        <v>0.017836759909829806</v>
      </c>
      <c r="AL228" s="590">
        <v>0.0190008857848683</v>
      </c>
      <c r="AM228" s="590">
        <v>0.020161814223103078</v>
      </c>
      <c r="AN228" s="590">
        <v>0.02132029424625385</v>
      </c>
      <c r="AO228" s="590">
        <v>0.02247707487604043</v>
      </c>
      <c r="AP228" s="1067">
        <v>0.023632905134182574</v>
      </c>
      <c r="AQ228" s="610"/>
      <c r="AR228" s="110"/>
      <c r="AS228" s="1072">
        <v>0.96</v>
      </c>
      <c r="AT228" s="1073">
        <v>0.12110297556872018</v>
      </c>
      <c r="AU228" s="1073">
        <v>0.13637377612831622</v>
      </c>
      <c r="AV228" s="1073">
        <v>0.14146498804479846</v>
      </c>
      <c r="AW228" s="1073">
        <v>0.1440113021083172</v>
      </c>
      <c r="AX228" s="1073">
        <v>0.14553965647744332</v>
      </c>
      <c r="AY228" s="1073">
        <v>0.14860060003607406</v>
      </c>
      <c r="AZ228" s="1073">
        <v>0.14962560309038575</v>
      </c>
      <c r="BA228" s="1073">
        <v>0.14861466572429813</v>
      </c>
      <c r="BB228" s="1073">
        <v>0.14923243960035104</v>
      </c>
      <c r="BC228" s="1073">
        <v>0.1496465990123374</v>
      </c>
      <c r="BD228" s="1073">
        <v>0.1490718615619963</v>
      </c>
      <c r="BE228" s="1073">
        <v>0.14940599332818735</v>
      </c>
      <c r="BF228" s="1073">
        <v>0.1496673912917037</v>
      </c>
      <c r="BG228" s="1074">
        <v>0.14926709367361957</v>
      </c>
      <c r="BH228" s="610"/>
      <c r="BI228" s="110"/>
      <c r="BJ228" s="1056">
        <f t="shared" si="23"/>
        <v>4000000</v>
      </c>
      <c r="BK228" s="1073">
        <v>0.027146645560108183</v>
      </c>
      <c r="BL228" s="1073">
        <v>0.04827423680982232</v>
      </c>
      <c r="BM228" s="1073">
        <v>0.05531807474859479</v>
      </c>
      <c r="BN228" s="1073">
        <v>0.058840973401974014</v>
      </c>
      <c r="BO228" s="1073">
        <v>0.060955495575817795</v>
      </c>
      <c r="BP228" s="1073">
        <v>0.06519039891915016</v>
      </c>
      <c r="BQ228" s="1073">
        <v>0.06660852008946416</v>
      </c>
      <c r="BR228" s="1073">
        <v>0.06520985920286511</v>
      </c>
      <c r="BS228" s="1073">
        <v>0.06606456710681946</v>
      </c>
      <c r="BT228" s="1073">
        <v>0.06663756855062204</v>
      </c>
      <c r="BU228" s="1073">
        <v>0.06584240277792268</v>
      </c>
      <c r="BV228" s="1073">
        <v>0.0663046836748592</v>
      </c>
      <c r="BW228" s="1073">
        <v>0.06666633526641319</v>
      </c>
      <c r="BX228" s="1074">
        <v>0.06611251201267415</v>
      </c>
      <c r="BY228" s="11"/>
    </row>
    <row r="229">
      <c r="R229" s="10"/>
      <c r="U229" s="110"/>
      <c r="V229" s="1056">
        <f t="shared" si="21"/>
        <v>5500000</v>
      </c>
      <c r="W229" s="1066">
        <v>0.01601546129550866</v>
      </c>
      <c r="X229" s="590">
        <v>0.02601141338472435</v>
      </c>
      <c r="Y229" s="590">
        <v>0.03600736547394001</v>
      </c>
      <c r="Z229" s="590">
        <v>0.046003317563155684</v>
      </c>
      <c r="AA229" s="590">
        <v>0.05599926965237138</v>
      </c>
      <c r="AB229" s="590">
        <v>0.06599522174158708</v>
      </c>
      <c r="AC229" s="1067">
        <v>0.07599117383080276</v>
      </c>
      <c r="AD229" s="610"/>
      <c r="AE229" s="110"/>
      <c r="AF229" s="1056">
        <f t="shared" si="22"/>
        <v>5500000</v>
      </c>
      <c r="AG229" s="590">
        <v>0.0032899622674475233</v>
      </c>
      <c r="AH229" s="590">
        <v>0.006220368334821161</v>
      </c>
      <c r="AI229" s="590">
        <v>0.009093780452353085</v>
      </c>
      <c r="AJ229" s="590">
        <v>0.011921357435485965</v>
      </c>
      <c r="AK229" s="1066">
        <v>0.014714258099662534</v>
      </c>
      <c r="AL229" s="590">
        <v>0.015824208570684548</v>
      </c>
      <c r="AM229" s="590">
        <v>0.016931110405332694</v>
      </c>
      <c r="AN229" s="590">
        <v>0.018035677767795338</v>
      </c>
      <c r="AO229" s="590">
        <v>0.01913862482226081</v>
      </c>
      <c r="AP229" s="1067">
        <v>0.020240665732917423</v>
      </c>
      <c r="AQ229" s="610"/>
      <c r="AR229" s="110"/>
      <c r="AS229" s="1072">
        <v>0.98</v>
      </c>
      <c r="AT229" s="594">
        <v>0.12366348801396533</v>
      </c>
      <c r="AU229" s="594">
        <v>0.13893428857356133</v>
      </c>
      <c r="AV229" s="594">
        <v>0.1440255004900436</v>
      </c>
      <c r="AW229" s="594">
        <v>0.14657181455356236</v>
      </c>
      <c r="AX229" s="594">
        <v>0.14810016892268849</v>
      </c>
      <c r="AY229" s="594">
        <v>0.15116111248131922</v>
      </c>
      <c r="AZ229" s="594">
        <v>0.1521861155356309</v>
      </c>
      <c r="BA229" s="594">
        <v>0.1511751781695433</v>
      </c>
      <c r="BB229" s="594">
        <v>0.15179295204559617</v>
      </c>
      <c r="BC229" s="594">
        <v>0.15220711145758253</v>
      </c>
      <c r="BD229" s="594">
        <v>0.15163237400724147</v>
      </c>
      <c r="BE229" s="594">
        <v>0.1519665057734325</v>
      </c>
      <c r="BF229" s="594">
        <v>0.15222790373694883</v>
      </c>
      <c r="BG229" s="1083">
        <v>0.1518276061188647</v>
      </c>
      <c r="BH229" s="610"/>
      <c r="BI229" s="110"/>
      <c r="BJ229" s="1056">
        <f t="shared" si="23"/>
        <v>4500000</v>
      </c>
      <c r="BK229" s="594">
        <v>0.022947769105680166</v>
      </c>
      <c r="BL229" s="594">
        <v>0.044075360355394305</v>
      </c>
      <c r="BM229" s="594">
        <v>0.051119198294166786</v>
      </c>
      <c r="BN229" s="594">
        <v>0.054642096947546</v>
      </c>
      <c r="BO229" s="594">
        <v>0.05675661912138978</v>
      </c>
      <c r="BP229" s="594">
        <v>0.06099152246472214</v>
      </c>
      <c r="BQ229" s="594">
        <v>0.062409643635036156</v>
      </c>
      <c r="BR229" s="594">
        <v>0.0610109827484371</v>
      </c>
      <c r="BS229" s="594">
        <v>0.06186569065239145</v>
      </c>
      <c r="BT229" s="594">
        <v>0.06243869209619403</v>
      </c>
      <c r="BU229" s="594">
        <v>0.06164352632349467</v>
      </c>
      <c r="BV229" s="594">
        <v>0.06210580722043119</v>
      </c>
      <c r="BW229" s="594">
        <v>0.06246745881198518</v>
      </c>
      <c r="BX229" s="1083">
        <v>0.06191363555824614</v>
      </c>
      <c r="BY229" s="11"/>
    </row>
    <row r="230">
      <c r="R230" s="10"/>
      <c r="U230" s="110"/>
      <c r="V230" s="1056">
        <f t="shared" si="21"/>
        <v>6000000</v>
      </c>
      <c r="W230" s="1066">
        <v>0.013291899112039963</v>
      </c>
      <c r="X230" s="590">
        <v>0.022862294610088655</v>
      </c>
      <c r="Y230" s="590">
        <v>0.03243269010813732</v>
      </c>
      <c r="Z230" s="590">
        <v>0.04200308560618604</v>
      </c>
      <c r="AA230" s="590">
        <v>0.05157348110423474</v>
      </c>
      <c r="AB230" s="590">
        <v>0.06114387660228344</v>
      </c>
      <c r="AC230" s="1067">
        <v>0.07071427210033213</v>
      </c>
      <c r="AD230" s="610"/>
      <c r="AE230" s="110"/>
      <c r="AF230" s="1056">
        <f t="shared" si="22"/>
        <v>6000000</v>
      </c>
      <c r="AG230" s="590">
        <v>0.0010527653994034073</v>
      </c>
      <c r="AH230" s="590">
        <v>0.003858415605040589</v>
      </c>
      <c r="AI230" s="590">
        <v>0.0066094982581212025</v>
      </c>
      <c r="AJ230" s="590">
        <v>0.009316697111040498</v>
      </c>
      <c r="AK230" s="1066">
        <v>0.011990695916193833</v>
      </c>
      <c r="AL230" s="590">
        <v>0.013053392585417215</v>
      </c>
      <c r="AM230" s="590">
        <v>0.014113170407534603</v>
      </c>
      <c r="AN230" s="590">
        <v>0.015170713142699221</v>
      </c>
      <c r="AO230" s="590">
        <v>0.016226704551064477</v>
      </c>
      <c r="AP230" s="1067">
        <v>0.0172818283927836</v>
      </c>
      <c r="AQ230" s="610"/>
      <c r="AR230" s="146"/>
      <c r="AS230" s="1084">
        <v>1.0</v>
      </c>
      <c r="AT230" s="1085">
        <v>0.12622189682922172</v>
      </c>
      <c r="AU230" s="1085">
        <v>0.14149269738881773</v>
      </c>
      <c r="AV230" s="1085">
        <v>0.14658390930529996</v>
      </c>
      <c r="AW230" s="1085">
        <v>0.14913022336881873</v>
      </c>
      <c r="AX230" s="1085">
        <v>0.15065857773794483</v>
      </c>
      <c r="AY230" s="1085">
        <v>0.15371952129657557</v>
      </c>
      <c r="AZ230" s="1085">
        <v>0.15474452435088726</v>
      </c>
      <c r="BA230" s="1085">
        <v>0.15373358698479964</v>
      </c>
      <c r="BB230" s="1085">
        <v>0.15435136086085255</v>
      </c>
      <c r="BC230" s="1085">
        <v>0.15476552027283888</v>
      </c>
      <c r="BD230" s="1085">
        <v>0.15419078282249785</v>
      </c>
      <c r="BE230" s="1085">
        <v>0.15452491458868886</v>
      </c>
      <c r="BF230" s="1085">
        <v>0.1547863125522052</v>
      </c>
      <c r="BG230" s="1086">
        <v>0.15438601493412107</v>
      </c>
      <c r="BH230" s="610"/>
      <c r="BI230" s="110"/>
      <c r="BJ230" s="1056">
        <f t="shared" si="23"/>
        <v>5000000</v>
      </c>
      <c r="BK230" s="577">
        <v>0.019395644454324103</v>
      </c>
      <c r="BL230" s="577">
        <v>0.04052323570403824</v>
      </c>
      <c r="BM230" s="577">
        <v>0.04756707364281073</v>
      </c>
      <c r="BN230" s="577">
        <v>0.05108997229618994</v>
      </c>
      <c r="BO230" s="577">
        <v>0.053204494470033725</v>
      </c>
      <c r="BP230" s="577">
        <v>0.057439397813366086</v>
      </c>
      <c r="BQ230" s="577">
        <v>0.05885751898368009</v>
      </c>
      <c r="BR230" s="577">
        <v>0.05745885809708103</v>
      </c>
      <c r="BS230" s="577">
        <v>0.0583135660010354</v>
      </c>
      <c r="BT230" s="577">
        <v>0.058886567444837966</v>
      </c>
      <c r="BU230" s="577">
        <v>0.05809140167213862</v>
      </c>
      <c r="BV230" s="577">
        <v>0.05855368256907514</v>
      </c>
      <c r="BW230" s="577">
        <v>0.05891533416062913</v>
      </c>
      <c r="BX230" s="1087">
        <v>0.05836151090689008</v>
      </c>
      <c r="BY230" s="11"/>
    </row>
    <row r="231">
      <c r="R231" s="10"/>
      <c r="U231" s="110"/>
      <c r="V231" s="1056">
        <f t="shared" si="21"/>
        <v>6500000</v>
      </c>
      <c r="W231" s="1066">
        <v>0.010888974796351219</v>
      </c>
      <c r="X231" s="590">
        <v>0.02008391337007353</v>
      </c>
      <c r="Y231" s="590">
        <v>0.029278851943795866</v>
      </c>
      <c r="Z231" s="590">
        <v>0.03847379051751819</v>
      </c>
      <c r="AA231" s="590">
        <v>0.047668729091240515</v>
      </c>
      <c r="AB231" s="590">
        <v>0.05686366766496283</v>
      </c>
      <c r="AC231" s="1067">
        <v>0.06605860623868519</v>
      </c>
      <c r="AD231" s="610"/>
      <c r="AE231" s="110"/>
      <c r="AF231" s="1056">
        <f t="shared" si="22"/>
        <v>6500000</v>
      </c>
      <c r="AG231" s="590">
        <v>-9.210521201067538E-4</v>
      </c>
      <c r="AH231" s="590">
        <v>0.0017745294058025235</v>
      </c>
      <c r="AI231" s="590">
        <v>0.004417684123020509</v>
      </c>
      <c r="AJ231" s="590">
        <v>0.007018676648827828</v>
      </c>
      <c r="AK231" s="1066">
        <v>0.009587771600505085</v>
      </c>
      <c r="AL231" s="590">
        <v>0.01060877753469043</v>
      </c>
      <c r="AM231" s="590">
        <v>0.011626979131285813</v>
      </c>
      <c r="AN231" s="590">
        <v>0.012643033325797198</v>
      </c>
      <c r="AO231" s="590">
        <v>0.013657597053730574</v>
      </c>
      <c r="AP231" s="1067">
        <v>0.014671327250591816</v>
      </c>
      <c r="AQ231" s="610"/>
      <c r="AR231" s="610"/>
      <c r="AS231" s="610"/>
      <c r="AT231" s="610"/>
      <c r="AU231" s="610"/>
      <c r="AV231" s="610"/>
      <c r="AW231" s="610"/>
      <c r="AX231" s="610"/>
      <c r="AY231" s="610"/>
      <c r="AZ231" s="610"/>
      <c r="BA231" s="610"/>
      <c r="BB231" s="610"/>
      <c r="BC231" s="610"/>
      <c r="BD231" s="610"/>
      <c r="BE231" s="610"/>
      <c r="BF231" s="610"/>
      <c r="BG231" s="610"/>
      <c r="BH231" s="610"/>
      <c r="BI231" s="110"/>
      <c r="BJ231" s="1056">
        <f t="shared" si="23"/>
        <v>5500000</v>
      </c>
      <c r="BK231" s="577">
        <v>0.016339647397560553</v>
      </c>
      <c r="BL231" s="577">
        <v>0.037467238647274685</v>
      </c>
      <c r="BM231" s="577">
        <v>0.04451107658604718</v>
      </c>
      <c r="BN231" s="577">
        <v>0.04803397523942639</v>
      </c>
      <c r="BO231" s="577">
        <v>0.050148497413270175</v>
      </c>
      <c r="BP231" s="577">
        <v>0.054383400756602536</v>
      </c>
      <c r="BQ231" s="577">
        <v>0.055801521926916536</v>
      </c>
      <c r="BR231" s="577">
        <v>0.054402861040317496</v>
      </c>
      <c r="BS231" s="577">
        <v>0.05525756894427184</v>
      </c>
      <c r="BT231" s="577">
        <v>0.055830570388074416</v>
      </c>
      <c r="BU231" s="577">
        <v>0.05503540461537506</v>
      </c>
      <c r="BV231" s="577">
        <v>0.05549768551231159</v>
      </c>
      <c r="BW231" s="577">
        <v>0.055859337103865564</v>
      </c>
      <c r="BX231" s="1087">
        <v>0.05530551385012652</v>
      </c>
      <c r="BY231" s="11"/>
    </row>
    <row r="232">
      <c r="R232" s="10"/>
      <c r="U232" s="110"/>
      <c r="V232" s="1056">
        <f t="shared" si="21"/>
        <v>7000000</v>
      </c>
      <c r="W232" s="1066">
        <v>0.008748340819672112</v>
      </c>
      <c r="X232" s="590">
        <v>0.017608805334538322</v>
      </c>
      <c r="Y232" s="590">
        <v>0.026469269849404564</v>
      </c>
      <c r="Z232" s="590">
        <v>0.03532973436427077</v>
      </c>
      <c r="AA232" s="590">
        <v>0.044190198879137</v>
      </c>
      <c r="AB232" s="590">
        <v>0.05305066339400322</v>
      </c>
      <c r="AC232" s="1067">
        <v>0.061911127908869434</v>
      </c>
      <c r="AD232" s="610"/>
      <c r="AE232" s="110"/>
      <c r="AF232" s="1056">
        <f t="shared" si="22"/>
        <v>7000000</v>
      </c>
      <c r="AG232" s="590">
        <v>-0.0026794182985341586</v>
      </c>
      <c r="AH232" s="590">
        <v>-8.189094522426627E-5</v>
      </c>
      <c r="AI232" s="590">
        <v>0.002465116671133352</v>
      </c>
      <c r="AJ232" s="590">
        <v>0.004971495783247254</v>
      </c>
      <c r="AK232" s="1066">
        <v>0.007447137623825984</v>
      </c>
      <c r="AL232" s="590">
        <v>0.008431003560154329</v>
      </c>
      <c r="AM232" s="590">
        <v>0.009412167169163774</v>
      </c>
      <c r="AN232" s="590">
        <v>0.010391261489747642</v>
      </c>
      <c r="AO232" s="590">
        <v>0.011368919560799313</v>
      </c>
      <c r="AP232" s="1067">
        <v>0.012345774421212085</v>
      </c>
      <c r="AQ232" s="610"/>
      <c r="AR232" s="610"/>
      <c r="AS232" s="610"/>
      <c r="AT232" s="610"/>
      <c r="AU232" s="610"/>
      <c r="AV232" s="610"/>
      <c r="AW232" s="610"/>
      <c r="AX232" s="610"/>
      <c r="AY232" s="610"/>
      <c r="AZ232" s="610"/>
      <c r="BA232" s="610"/>
      <c r="BB232" s="610"/>
      <c r="BC232" s="610"/>
      <c r="BD232" s="610"/>
      <c r="BE232" s="610"/>
      <c r="BF232" s="610"/>
      <c r="BG232" s="610"/>
      <c r="BH232" s="610"/>
      <c r="BI232" s="110"/>
      <c r="BJ232" s="1056">
        <f t="shared" si="23"/>
        <v>6000000</v>
      </c>
      <c r="BK232" s="577">
        <v>0.013674093132870794</v>
      </c>
      <c r="BL232" s="577">
        <v>0.03480168438258493</v>
      </c>
      <c r="BM232" s="577">
        <v>0.04184552232135741</v>
      </c>
      <c r="BN232" s="577">
        <v>0.04536842097473663</v>
      </c>
      <c r="BO232" s="577">
        <v>0.047482943148580405</v>
      </c>
      <c r="BP232" s="577">
        <v>0.051717846491912765</v>
      </c>
      <c r="BQ232" s="577">
        <v>0.053135967662226766</v>
      </c>
      <c r="BR232" s="577">
        <v>0.05173730677562771</v>
      </c>
      <c r="BS232" s="577">
        <v>0.05259201467958207</v>
      </c>
      <c r="BT232" s="577">
        <v>0.053165016123384645</v>
      </c>
      <c r="BU232" s="577">
        <v>0.052369850350685296</v>
      </c>
      <c r="BV232" s="577">
        <v>0.052832131247621816</v>
      </c>
      <c r="BW232" s="577">
        <v>0.0531937828391758</v>
      </c>
      <c r="BX232" s="1087">
        <v>0.052639959585436755</v>
      </c>
      <c r="BY232" s="11"/>
    </row>
    <row r="233">
      <c r="R233" s="10"/>
      <c r="U233" s="110"/>
      <c r="V233" s="1056">
        <f t="shared" si="21"/>
        <v>7500000</v>
      </c>
      <c r="W233" s="1066">
        <v>0.006825508481827086</v>
      </c>
      <c r="X233" s="590">
        <v>0.015385530443905029</v>
      </c>
      <c r="Y233" s="590">
        <v>0.023945552405982944</v>
      </c>
      <c r="Z233" s="590">
        <v>0.0325055743680609</v>
      </c>
      <c r="AA233" s="590">
        <v>0.04106559633013885</v>
      </c>
      <c r="AB233" s="590">
        <v>0.04962561829221674</v>
      </c>
      <c r="AC233" s="1067">
        <v>0.05818564025429469</v>
      </c>
      <c r="AD233" s="610"/>
      <c r="AE233" s="110"/>
      <c r="AF233" s="1056">
        <f t="shared" si="22"/>
        <v>7500000</v>
      </c>
      <c r="AG233" s="590">
        <v>-0.004258877181504162</v>
      </c>
      <c r="AH233" s="590">
        <v>-0.0017494273491477543</v>
      </c>
      <c r="AI233" s="590">
        <v>7.112157804557352E-4</v>
      </c>
      <c r="AJ233" s="590">
        <v>0.0031326080459505357</v>
      </c>
      <c r="AK233" s="1066">
        <v>0.0055243052859809535</v>
      </c>
      <c r="AL233" s="590">
        <v>0.006474810082719388</v>
      </c>
      <c r="AM233" s="590">
        <v>0.007422704183239848</v>
      </c>
      <c r="AN233" s="590">
        <v>0.008368599161215547</v>
      </c>
      <c r="AO233" s="590">
        <v>0.009313106590319708</v>
      </c>
      <c r="AP233" s="1067">
        <v>0.010256838044225568</v>
      </c>
      <c r="AQ233" s="610"/>
      <c r="AR233" s="610"/>
      <c r="AS233" s="610"/>
      <c r="AT233" s="610"/>
      <c r="AU233" s="610"/>
      <c r="AV233" s="610"/>
      <c r="AW233" s="610"/>
      <c r="AX233" s="610"/>
      <c r="AY233" s="610"/>
      <c r="AZ233" s="610"/>
      <c r="BA233" s="610"/>
      <c r="BB233" s="610"/>
      <c r="BC233" s="610"/>
      <c r="BD233" s="610"/>
      <c r="BE233" s="610"/>
      <c r="BF233" s="610"/>
      <c r="BG233" s="610"/>
      <c r="BH233" s="610"/>
      <c r="BI233" s="110"/>
      <c r="BJ233" s="1056">
        <f t="shared" si="23"/>
        <v>6500000</v>
      </c>
      <c r="BK233" s="577">
        <v>0.01132234761507491</v>
      </c>
      <c r="BL233" s="577">
        <v>0.032449938864789044</v>
      </c>
      <c r="BM233" s="577">
        <v>0.03949377680356154</v>
      </c>
      <c r="BN233" s="577">
        <v>0.04301667545694074</v>
      </c>
      <c r="BO233" s="577">
        <v>0.04513119763078453</v>
      </c>
      <c r="BP233" s="577">
        <v>0.04936610097411689</v>
      </c>
      <c r="BQ233" s="577">
        <v>0.050784222144430895</v>
      </c>
      <c r="BR233" s="577">
        <v>0.04938556125783184</v>
      </c>
      <c r="BS233" s="577">
        <v>0.05024026916178619</v>
      </c>
      <c r="BT233" s="577">
        <v>0.050813270605588774</v>
      </c>
      <c r="BU233" s="577">
        <v>0.05001810483288942</v>
      </c>
      <c r="BV233" s="577">
        <v>0.05048038572982594</v>
      </c>
      <c r="BW233" s="577">
        <v>0.05084203732137992</v>
      </c>
      <c r="BX233" s="1087">
        <v>0.05028821406764088</v>
      </c>
      <c r="BY233" s="11"/>
    </row>
    <row r="234">
      <c r="R234" s="10"/>
      <c r="U234" s="110"/>
      <c r="V234" s="1056">
        <f t="shared" si="21"/>
        <v>8000000</v>
      </c>
      <c r="W234" s="1066">
        <v>0.005085883928204436</v>
      </c>
      <c r="X234" s="590">
        <v>0.013374089553778832</v>
      </c>
      <c r="Y234" s="590">
        <v>0.021662295179353235</v>
      </c>
      <c r="Z234" s="590">
        <v>0.029950500804927612</v>
      </c>
      <c r="AA234" s="590">
        <v>0.038238706430501986</v>
      </c>
      <c r="AB234" s="590">
        <v>0.04652691205607639</v>
      </c>
      <c r="AC234" s="1067">
        <v>0.054815117681650795</v>
      </c>
      <c r="AD234" s="610"/>
      <c r="AE234" s="110"/>
      <c r="AF234" s="1056">
        <f t="shared" si="22"/>
        <v>8000000</v>
      </c>
      <c r="AG234" s="590">
        <v>-0.0056878449600112554</v>
      </c>
      <c r="AH234" s="590">
        <v>-0.0032580806077964087</v>
      </c>
      <c r="AI234" s="590">
        <v>-8.755731423179213E-4</v>
      </c>
      <c r="AJ234" s="590">
        <v>0.0014689298374062903</v>
      </c>
      <c r="AK234" s="1066">
        <v>0.0037846807323583024</v>
      </c>
      <c r="AL234" s="590">
        <v>0.004705003044422874</v>
      </c>
      <c r="AM234" s="590">
        <v>0.00562279756074385</v>
      </c>
      <c r="AN234" s="590">
        <v>0.0065386564349841254</v>
      </c>
      <c r="AO234" s="590">
        <v>0.0074531718208065275</v>
      </c>
      <c r="AP234" s="1067">
        <v>0.008366935871873898</v>
      </c>
      <c r="AQ234" s="610"/>
      <c r="AR234" s="610"/>
      <c r="AS234" s="610"/>
      <c r="AT234" s="610"/>
      <c r="AU234" s="610"/>
      <c r="AV234" s="610"/>
      <c r="AW234" s="610"/>
      <c r="AX234" s="610"/>
      <c r="AY234" s="610"/>
      <c r="AZ234" s="610"/>
      <c r="BA234" s="610"/>
      <c r="BB234" s="610"/>
      <c r="BC234" s="610"/>
      <c r="BD234" s="610"/>
      <c r="BE234" s="610"/>
      <c r="BF234" s="610"/>
      <c r="BG234" s="610"/>
      <c r="BH234" s="610"/>
      <c r="BI234" s="110"/>
      <c r="BJ234" s="1056">
        <f t="shared" si="23"/>
        <v>7000000</v>
      </c>
      <c r="BK234" s="577">
        <v>0.009227306033020908</v>
      </c>
      <c r="BL234" s="577">
        <v>0.030354897282735042</v>
      </c>
      <c r="BM234" s="577">
        <v>0.03739873522150754</v>
      </c>
      <c r="BN234" s="577">
        <v>0.040921633874886745</v>
      </c>
      <c r="BO234" s="577">
        <v>0.04303615604873053</v>
      </c>
      <c r="BP234" s="577">
        <v>0.04727105939206289</v>
      </c>
      <c r="BQ234" s="577">
        <v>0.048689180562376894</v>
      </c>
      <c r="BR234" s="577">
        <v>0.04729051967577785</v>
      </c>
      <c r="BS234" s="577">
        <v>0.0481452275797322</v>
      </c>
      <c r="BT234" s="577">
        <v>0.04871822902353477</v>
      </c>
      <c r="BU234" s="577">
        <v>0.04792306325083542</v>
      </c>
      <c r="BV234" s="577">
        <v>0.048385344147771944</v>
      </c>
      <c r="BW234" s="577">
        <v>0.04874699573932592</v>
      </c>
      <c r="BX234" s="1087">
        <v>0.04819317248558688</v>
      </c>
      <c r="BY234" s="11"/>
    </row>
    <row r="235">
      <c r="R235" s="10"/>
      <c r="U235" s="110"/>
      <c r="V235" s="1056">
        <f t="shared" si="21"/>
        <v>8500000</v>
      </c>
      <c r="W235" s="1068">
        <v>0.0035021072993337205</v>
      </c>
      <c r="X235" s="591">
        <v>0.01154284782664707</v>
      </c>
      <c r="Y235" s="591">
        <v>0.019583588353960433</v>
      </c>
      <c r="Z235" s="591">
        <v>0.027624328881273776</v>
      </c>
      <c r="AA235" s="591">
        <v>0.035665069408587116</v>
      </c>
      <c r="AB235" s="591">
        <v>0.04370580993590047</v>
      </c>
      <c r="AC235" s="1069">
        <v>0.05174655046321382</v>
      </c>
      <c r="AD235" s="610"/>
      <c r="AE235" s="110"/>
      <c r="AF235" s="1056">
        <f t="shared" si="22"/>
        <v>8500000</v>
      </c>
      <c r="AG235" s="591">
        <v>-0.00698879565439869</v>
      </c>
      <c r="AH235" s="591">
        <v>-0.004631577990976997</v>
      </c>
      <c r="AI235" s="591">
        <v>-0.002320206241802761</v>
      </c>
      <c r="AJ235" s="591">
        <v>-4.5704259454932976E-5</v>
      </c>
      <c r="AK235" s="1068">
        <v>0.0022009041034875883</v>
      </c>
      <c r="AL235" s="591">
        <v>0.003093747892253441</v>
      </c>
      <c r="AM235" s="591">
        <v>0.003984139358936774</v>
      </c>
      <c r="AN235" s="591">
        <v>0.004872652976972524</v>
      </c>
      <c r="AO235" s="591">
        <v>0.005759863219795629</v>
      </c>
      <c r="AP235" s="1069">
        <v>0.0066463445608410665</v>
      </c>
      <c r="AQ235" s="610"/>
      <c r="AR235" s="610"/>
      <c r="AS235" s="610"/>
      <c r="AT235" s="610"/>
      <c r="AU235" s="610"/>
      <c r="AV235" s="610"/>
      <c r="AW235" s="610"/>
      <c r="AX235" s="610"/>
      <c r="AY235" s="610"/>
      <c r="AZ235" s="610"/>
      <c r="BA235" s="610"/>
      <c r="BB235" s="610"/>
      <c r="BC235" s="610"/>
      <c r="BD235" s="610"/>
      <c r="BE235" s="610"/>
      <c r="BF235" s="610"/>
      <c r="BG235" s="610"/>
      <c r="BH235" s="610"/>
      <c r="BI235" s="110"/>
      <c r="BJ235" s="1056">
        <f t="shared" si="23"/>
        <v>7500000</v>
      </c>
      <c r="BK235" s="577">
        <v>0.007345427231231046</v>
      </c>
      <c r="BL235" s="577">
        <v>0.028473018480945182</v>
      </c>
      <c r="BM235" s="577">
        <v>0.03551685641971766</v>
      </c>
      <c r="BN235" s="577">
        <v>0.03903975507309688</v>
      </c>
      <c r="BO235" s="577">
        <v>0.041154277246940665</v>
      </c>
      <c r="BP235" s="577">
        <v>0.045389180590273026</v>
      </c>
      <c r="BQ235" s="577">
        <v>0.046807301760587026</v>
      </c>
      <c r="BR235" s="577">
        <v>0.04540864087398798</v>
      </c>
      <c r="BS235" s="577">
        <v>0.04626334877794234</v>
      </c>
      <c r="BT235" s="577">
        <v>0.046836350221744906</v>
      </c>
      <c r="BU235" s="577">
        <v>0.04604118444904556</v>
      </c>
      <c r="BV235" s="577">
        <v>0.04650346534598208</v>
      </c>
      <c r="BW235" s="577">
        <v>0.04686511693753607</v>
      </c>
      <c r="BX235" s="1087">
        <v>0.04631129368379703</v>
      </c>
      <c r="BY235" s="11"/>
    </row>
    <row r="236">
      <c r="R236" s="10"/>
      <c r="U236" s="1088"/>
      <c r="V236" s="1056">
        <f t="shared" si="21"/>
        <v>9000000</v>
      </c>
      <c r="W236" s="1066">
        <v>0.002052217219138609</v>
      </c>
      <c r="X236" s="590">
        <v>0.009866412421421465</v>
      </c>
      <c r="Y236" s="590">
        <v>0.017680607623704343</v>
      </c>
      <c r="Z236" s="590">
        <v>0.025494802825987185</v>
      </c>
      <c r="AA236" s="590">
        <v>0.03330899802827005</v>
      </c>
      <c r="AB236" s="590">
        <v>0.0411231932305529</v>
      </c>
      <c r="AC236" s="1067">
        <v>0.048937388432835766</v>
      </c>
      <c r="AD236" s="610"/>
      <c r="AE236" s="1104"/>
      <c r="AF236" s="1056">
        <f t="shared" si="22"/>
        <v>9000000</v>
      </c>
      <c r="AG236" s="590">
        <v>-0.008179768846091923</v>
      </c>
      <c r="AH236" s="590">
        <v>-0.0058889650459100044</v>
      </c>
      <c r="AI236" s="590">
        <v>-0.003642715465820102</v>
      </c>
      <c r="AJ236" s="590">
        <v>-0.0014322968585200276</v>
      </c>
      <c r="AK236" s="1066">
        <v>7.510140232924768E-4</v>
      </c>
      <c r="AL236" s="590">
        <v>0.0016187022202766616</v>
      </c>
      <c r="AM236" s="590">
        <v>0.0024840071885785177</v>
      </c>
      <c r="AN236" s="590">
        <v>0.0033474872160254303</v>
      </c>
      <c r="AO236" s="590">
        <v>0.004209700590444697</v>
      </c>
      <c r="AP236" s="1067">
        <v>0.005071205599663674</v>
      </c>
      <c r="AQ236" s="610"/>
      <c r="AR236" s="610"/>
      <c r="AS236" s="610"/>
      <c r="AT236" s="610"/>
      <c r="AU236" s="610"/>
      <c r="AV236" s="610"/>
      <c r="AW236" s="610"/>
      <c r="AX236" s="610"/>
      <c r="AY236" s="610"/>
      <c r="AZ236" s="610"/>
      <c r="BA236" s="610"/>
      <c r="BB236" s="610"/>
      <c r="BC236" s="610"/>
      <c r="BD236" s="610"/>
      <c r="BE236" s="610"/>
      <c r="BF236" s="610"/>
      <c r="BG236" s="610"/>
      <c r="BH236" s="610"/>
      <c r="BI236" s="110"/>
      <c r="BJ236" s="1056">
        <f t="shared" si="23"/>
        <v>8000000</v>
      </c>
      <c r="BK236" s="577">
        <v>0.005642854153952492</v>
      </c>
      <c r="BL236" s="577">
        <v>0.026770445403666628</v>
      </c>
      <c r="BM236" s="577">
        <v>0.03381428334243911</v>
      </c>
      <c r="BN236" s="577">
        <v>0.03733718199581833</v>
      </c>
      <c r="BO236" s="577">
        <v>0.039451704169662115</v>
      </c>
      <c r="BP236" s="577">
        <v>0.04368660751299447</v>
      </c>
      <c r="BQ236" s="577">
        <v>0.045104728683308476</v>
      </c>
      <c r="BR236" s="577">
        <v>0.04370606779670942</v>
      </c>
      <c r="BS236" s="577">
        <v>0.04456077570066378</v>
      </c>
      <c r="BT236" s="577">
        <v>0.045133777144466355</v>
      </c>
      <c r="BU236" s="577">
        <v>0.044338611371767</v>
      </c>
      <c r="BV236" s="577">
        <v>0.04480089226870352</v>
      </c>
      <c r="BW236" s="577">
        <v>0.045162543860257504</v>
      </c>
      <c r="BX236" s="1087">
        <v>0.044608720606518465</v>
      </c>
      <c r="BY236" s="11"/>
    </row>
    <row r="237">
      <c r="R237" s="10"/>
      <c r="U237" s="1088"/>
      <c r="V237" s="1056">
        <f t="shared" si="21"/>
        <v>9500000</v>
      </c>
      <c r="W237" s="1068">
        <v>7.183541916967583E-4</v>
      </c>
      <c r="X237" s="591">
        <v>0.008324133295941843</v>
      </c>
      <c r="Y237" s="591">
        <v>0.015929912400186895</v>
      </c>
      <c r="Z237" s="591">
        <v>0.023535691504431987</v>
      </c>
      <c r="AA237" s="591">
        <v>0.031141470608677065</v>
      </c>
      <c r="AB237" s="591">
        <v>0.03874724971292213</v>
      </c>
      <c r="AC237" s="1069">
        <v>0.04635302881716719</v>
      </c>
      <c r="AD237" s="610"/>
      <c r="AE237" s="1088"/>
      <c r="AF237" s="1056">
        <f t="shared" si="22"/>
        <v>9500000</v>
      </c>
      <c r="AG237" s="591">
        <v>-0.009275434737440214</v>
      </c>
      <c r="AH237" s="591">
        <v>-0.00704573004945663</v>
      </c>
      <c r="AI237" s="591">
        <v>-0.004859391254877262</v>
      </c>
      <c r="AJ237" s="591">
        <v>-0.002707927768256667</v>
      </c>
      <c r="AK237" s="1068">
        <v>-5.82849004149371E-4</v>
      </c>
      <c r="AL237" s="591">
        <v>2.61696670329616E-4</v>
      </c>
      <c r="AM237" s="591">
        <v>0.001103922680346243</v>
      </c>
      <c r="AN237" s="591">
        <v>0.0019443724233690301</v>
      </c>
      <c r="AO237" s="591">
        <v>0.002783589296866492</v>
      </c>
      <c r="AP237" s="1069">
        <v>0.003622116698307142</v>
      </c>
      <c r="AQ237" s="610"/>
      <c r="AR237" s="610"/>
      <c r="AS237" s="610"/>
      <c r="AT237" s="610"/>
      <c r="AU237" s="610"/>
      <c r="AV237" s="610"/>
      <c r="AW237" s="610"/>
      <c r="AX237" s="610"/>
      <c r="AY237" s="610"/>
      <c r="AZ237" s="610"/>
      <c r="BA237" s="610"/>
      <c r="BB237" s="610"/>
      <c r="BC237" s="610"/>
      <c r="BD237" s="610"/>
      <c r="BE237" s="610"/>
      <c r="BF237" s="610"/>
      <c r="BG237" s="610"/>
      <c r="BH237" s="610"/>
      <c r="BI237" s="110"/>
      <c r="BJ237" s="1056">
        <f t="shared" si="23"/>
        <v>8500000</v>
      </c>
      <c r="BK237" s="594">
        <v>0.004092809666983721</v>
      </c>
      <c r="BL237" s="594">
        <v>0.025220400916697857</v>
      </c>
      <c r="BM237" s="594">
        <v>0.03226423885547034</v>
      </c>
      <c r="BN237" s="594">
        <v>0.035787137508849556</v>
      </c>
      <c r="BO237" s="594">
        <v>0.037901659682693344</v>
      </c>
      <c r="BP237" s="594">
        <v>0.0421365630260257</v>
      </c>
      <c r="BQ237" s="594">
        <v>0.043554684196339705</v>
      </c>
      <c r="BR237" s="594">
        <v>0.04215602330974066</v>
      </c>
      <c r="BS237" s="594">
        <v>0.043010731213695</v>
      </c>
      <c r="BT237" s="594">
        <v>0.043583732657497584</v>
      </c>
      <c r="BU237" s="594">
        <v>0.04278856688479823</v>
      </c>
      <c r="BV237" s="594">
        <v>0.04325084778173475</v>
      </c>
      <c r="BW237" s="594">
        <v>0.04361249937328873</v>
      </c>
      <c r="BX237" s="1083">
        <v>0.043058676119549694</v>
      </c>
      <c r="BY237" s="11"/>
    </row>
    <row r="238">
      <c r="R238" s="10"/>
      <c r="U238" s="1089"/>
      <c r="V238" s="1090">
        <f t="shared" si="21"/>
        <v>10000000</v>
      </c>
      <c r="W238" s="1105">
        <v>-5.141746283535794E-4</v>
      </c>
      <c r="X238" s="1106">
        <v>0.006899021847758625</v>
      </c>
      <c r="Y238" s="1106">
        <v>0.014312218323870843</v>
      </c>
      <c r="Z238" s="1106">
        <v>0.021725414799983037</v>
      </c>
      <c r="AA238" s="1106">
        <v>0.029138611276095253</v>
      </c>
      <c r="AB238" s="1106">
        <v>0.03655180775220745</v>
      </c>
      <c r="AC238" s="1107">
        <v>0.04396500422831965</v>
      </c>
      <c r="AD238" s="610"/>
      <c r="AE238" s="1089"/>
      <c r="AF238" s="1090">
        <f t="shared" si="22"/>
        <v>10000000</v>
      </c>
      <c r="AG238" s="1106">
        <v>-0.010287862370900337</v>
      </c>
      <c r="AH238" s="1106">
        <v>-0.008114615066557095</v>
      </c>
      <c r="AI238" s="1106">
        <v>-0.005983635606672837</v>
      </c>
      <c r="AJ238" s="1106">
        <v>-0.0038866483922271695</v>
      </c>
      <c r="AK238" s="1105">
        <v>-0.001815377824199711</v>
      </c>
      <c r="AL238" s="1106">
        <v>-9.922165238052461E-4</v>
      </c>
      <c r="AM238" s="1106">
        <v>-1.7131615265714636E-4</v>
      </c>
      <c r="AN238" s="1106">
        <v>6.478529275819307E-4</v>
      </c>
      <c r="AO238" s="1106">
        <v>0.001465820355249266</v>
      </c>
      <c r="AP238" s="1107">
        <v>0.0022831157686821675</v>
      </c>
      <c r="AQ238" s="610"/>
      <c r="AR238" s="610"/>
      <c r="AS238" s="610"/>
      <c r="AT238" s="610"/>
      <c r="AU238" s="610"/>
      <c r="AV238" s="610"/>
      <c r="AW238" s="610"/>
      <c r="AX238" s="610"/>
      <c r="AY238" s="610"/>
      <c r="AZ238" s="610"/>
      <c r="BA238" s="610"/>
      <c r="BB238" s="610"/>
      <c r="BC238" s="610"/>
      <c r="BD238" s="610"/>
      <c r="BE238" s="610"/>
      <c r="BF238" s="610"/>
      <c r="BG238" s="610"/>
      <c r="BH238" s="610"/>
      <c r="BI238" s="1097"/>
      <c r="BJ238" s="1056">
        <f t="shared" si="23"/>
        <v>9000000</v>
      </c>
      <c r="BK238" s="577">
        <v>0.002673800139661921</v>
      </c>
      <c r="BL238" s="577">
        <v>0.023801391389376057</v>
      </c>
      <c r="BM238" s="577">
        <v>0.03084522932814854</v>
      </c>
      <c r="BN238" s="577">
        <v>0.03436812798152775</v>
      </c>
      <c r="BO238" s="577">
        <v>0.036482650155371533</v>
      </c>
      <c r="BP238" s="577">
        <v>0.040717553498703894</v>
      </c>
      <c r="BQ238" s="577">
        <v>0.042135674669017895</v>
      </c>
      <c r="BR238" s="577">
        <v>0.04073701378241885</v>
      </c>
      <c r="BS238" s="577">
        <v>0.0415917216863732</v>
      </c>
      <c r="BT238" s="577">
        <v>0.042164723130175774</v>
      </c>
      <c r="BU238" s="577">
        <v>0.041369557357476425</v>
      </c>
      <c r="BV238" s="577">
        <v>0.041831838254412945</v>
      </c>
      <c r="BW238" s="577">
        <v>0.04219348984596693</v>
      </c>
      <c r="BX238" s="1087">
        <v>0.04163966659222789</v>
      </c>
      <c r="BY238" s="11"/>
    </row>
    <row r="239">
      <c r="R239" s="10"/>
      <c r="U239" s="610"/>
      <c r="V239" s="610"/>
      <c r="W239" s="610"/>
      <c r="X239" s="610"/>
      <c r="Y239" s="610"/>
      <c r="Z239" s="610"/>
      <c r="AA239" s="610"/>
      <c r="AB239" s="610"/>
      <c r="AC239" s="610"/>
      <c r="AD239" s="610"/>
      <c r="AE239" s="610"/>
      <c r="AF239" s="610"/>
      <c r="AG239" s="610"/>
      <c r="AH239" s="610"/>
      <c r="AI239" s="610"/>
      <c r="AJ239" s="610"/>
      <c r="AK239" s="610"/>
      <c r="AL239" s="610"/>
      <c r="AM239" s="610"/>
      <c r="AN239" s="610"/>
      <c r="AO239" s="610"/>
      <c r="AP239" s="610"/>
      <c r="AQ239" s="610"/>
      <c r="AR239" s="610"/>
      <c r="AS239" s="610"/>
      <c r="AT239" s="610"/>
      <c r="AU239" s="610"/>
      <c r="AV239" s="610"/>
      <c r="AW239" s="610"/>
      <c r="AX239" s="610"/>
      <c r="AY239" s="610"/>
      <c r="AZ239" s="610"/>
      <c r="BA239" s="610"/>
      <c r="BB239" s="610"/>
      <c r="BC239" s="610"/>
      <c r="BD239" s="610"/>
      <c r="BE239" s="610"/>
      <c r="BF239" s="610"/>
      <c r="BG239" s="610"/>
      <c r="BH239" s="610"/>
      <c r="BI239" s="1097"/>
      <c r="BJ239" s="1056">
        <f t="shared" si="23"/>
        <v>9500000</v>
      </c>
      <c r="BK239" s="594">
        <v>0.0013683464573885852</v>
      </c>
      <c r="BL239" s="594">
        <v>0.02249593770710272</v>
      </c>
      <c r="BM239" s="594">
        <v>0.0295397756458752</v>
      </c>
      <c r="BN239" s="594">
        <v>0.03306267429925442</v>
      </c>
      <c r="BO239" s="594">
        <v>0.0351771964730982</v>
      </c>
      <c r="BP239" s="594">
        <v>0.03941209981643056</v>
      </c>
      <c r="BQ239" s="594">
        <v>0.04083022098674456</v>
      </c>
      <c r="BR239" s="594">
        <v>0.039431560100145514</v>
      </c>
      <c r="BS239" s="594">
        <v>0.040286268004099866</v>
      </c>
      <c r="BT239" s="594">
        <v>0.04085926944790244</v>
      </c>
      <c r="BU239" s="594">
        <v>0.04006410367520309</v>
      </c>
      <c r="BV239" s="594">
        <v>0.04052638457213961</v>
      </c>
      <c r="BW239" s="594">
        <v>0.04088803616369359</v>
      </c>
      <c r="BX239" s="1083">
        <v>0.04033421290995455</v>
      </c>
      <c r="BY239" s="11"/>
    </row>
    <row r="240">
      <c r="R240" s="10"/>
      <c r="U240" s="610"/>
      <c r="V240" s="610"/>
      <c r="W240" s="610"/>
      <c r="X240" s="610"/>
      <c r="Y240" s="610"/>
      <c r="Z240" s="610"/>
      <c r="AA240" s="610"/>
      <c r="AB240" s="610"/>
      <c r="AC240" s="610"/>
      <c r="AD240" s="610"/>
      <c r="AE240" s="610"/>
      <c r="AF240" s="610"/>
      <c r="AG240" s="610"/>
      <c r="AH240" s="610"/>
      <c r="AI240" s="610"/>
      <c r="AJ240" s="610"/>
      <c r="AK240" s="610"/>
      <c r="AL240" s="610"/>
      <c r="AM240" s="610"/>
      <c r="AN240" s="610"/>
      <c r="AO240" s="610"/>
      <c r="AP240" s="610"/>
      <c r="AQ240" s="610"/>
      <c r="AR240" s="610"/>
      <c r="AS240" s="610"/>
      <c r="AT240" s="610"/>
      <c r="AU240" s="610"/>
      <c r="AV240" s="610"/>
      <c r="AW240" s="610"/>
      <c r="AX240" s="610"/>
      <c r="AY240" s="610"/>
      <c r="AZ240" s="610"/>
      <c r="BA240" s="610"/>
      <c r="BB240" s="610"/>
      <c r="BC240" s="610"/>
      <c r="BD240" s="610"/>
      <c r="BE240" s="610"/>
      <c r="BF240" s="610"/>
      <c r="BG240" s="610"/>
      <c r="BH240" s="610"/>
      <c r="BI240" s="1089"/>
      <c r="BJ240" s="1090">
        <f t="shared" si="23"/>
        <v>10000000</v>
      </c>
      <c r="BK240" s="1098">
        <v>1.6206871106814015E-4</v>
      </c>
      <c r="BL240" s="1098">
        <v>0.021289659960782276</v>
      </c>
      <c r="BM240" s="1098">
        <v>0.028333497899554767</v>
      </c>
      <c r="BN240" s="1098">
        <v>0.03185639655293397</v>
      </c>
      <c r="BO240" s="1098">
        <v>0.03397091872677776</v>
      </c>
      <c r="BP240" s="1098">
        <v>0.03820582207011012</v>
      </c>
      <c r="BQ240" s="1098">
        <v>0.03962394324042413</v>
      </c>
      <c r="BR240" s="1098">
        <v>0.03822528235382507</v>
      </c>
      <c r="BS240" s="1098">
        <v>0.03907999025777943</v>
      </c>
      <c r="BT240" s="1098">
        <v>0.039652991701582006</v>
      </c>
      <c r="BU240" s="1098">
        <v>0.03885782592888265</v>
      </c>
      <c r="BV240" s="1098">
        <v>0.03932010682581918</v>
      </c>
      <c r="BW240" s="1098">
        <v>0.039681758417373154</v>
      </c>
      <c r="BX240" s="1099">
        <v>0.03912793516363412</v>
      </c>
      <c r="BY240" s="11"/>
    </row>
    <row r="241">
      <c r="R241" s="168"/>
      <c r="S241" s="169"/>
      <c r="T241" s="169"/>
      <c r="U241" s="169"/>
      <c r="V241" s="169"/>
      <c r="W241" s="169"/>
      <c r="X241" s="169"/>
      <c r="Y241" s="169"/>
      <c r="Z241" s="169"/>
      <c r="AA241" s="169"/>
      <c r="AB241" s="169"/>
      <c r="AC241" s="169"/>
      <c r="AD241" s="169"/>
      <c r="AE241" s="169"/>
      <c r="AF241" s="169"/>
      <c r="AG241" s="169"/>
      <c r="AH241" s="169"/>
      <c r="AI241" s="169"/>
      <c r="AJ241" s="169"/>
      <c r="AK241" s="169"/>
      <c r="AL241" s="169"/>
      <c r="AM241" s="169"/>
      <c r="AN241" s="169"/>
      <c r="AO241" s="169"/>
      <c r="AP241" s="169"/>
      <c r="AQ241" s="169"/>
      <c r="AR241" s="169"/>
      <c r="AS241" s="169"/>
      <c r="AT241" s="169"/>
      <c r="AU241" s="169"/>
      <c r="AV241" s="169"/>
      <c r="AW241" s="169"/>
      <c r="AX241" s="169"/>
      <c r="AY241" s="169"/>
      <c r="AZ241" s="169"/>
      <c r="BA241" s="169"/>
      <c r="BB241" s="169"/>
      <c r="BC241" s="169"/>
      <c r="BD241" s="169"/>
      <c r="BE241" s="169"/>
      <c r="BF241" s="169"/>
      <c r="BG241" s="169"/>
      <c r="BH241" s="169"/>
      <c r="BI241" s="169"/>
      <c r="BJ241" s="169"/>
      <c r="BK241" s="169"/>
      <c r="BL241" s="169"/>
      <c r="BM241" s="169"/>
      <c r="BN241" s="208"/>
      <c r="BO241" s="209"/>
      <c r="BP241" s="169"/>
      <c r="BQ241" s="169"/>
      <c r="BR241" s="169"/>
      <c r="BS241" s="169"/>
      <c r="BT241" s="169"/>
      <c r="BU241" s="169"/>
      <c r="BV241" s="169"/>
      <c r="BW241" s="169"/>
      <c r="BX241" s="169"/>
      <c r="BY241" s="170"/>
    </row>
    <row r="242">
      <c r="BN242" s="171"/>
      <c r="BO242" s="23"/>
    </row>
    <row r="243">
      <c r="R243" s="5" t="s">
        <v>142</v>
      </c>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210"/>
      <c r="BO243" s="211"/>
      <c r="BP243" s="6"/>
      <c r="BQ243" s="6"/>
      <c r="BR243" s="6"/>
      <c r="BS243" s="6"/>
      <c r="BT243" s="6"/>
      <c r="BU243" s="6"/>
      <c r="BV243" s="6"/>
      <c r="BW243" s="6"/>
      <c r="BX243" s="6"/>
      <c r="BY243" s="7"/>
    </row>
    <row r="244">
      <c r="R244" s="10"/>
      <c r="BN244" s="171"/>
      <c r="BO244" s="23"/>
      <c r="BY244" s="11"/>
    </row>
    <row r="245">
      <c r="R245" s="10"/>
      <c r="BH245" s="171"/>
      <c r="BI245" s="171"/>
      <c r="BJ245" s="171"/>
      <c r="BK245" s="171"/>
      <c r="BL245" s="171"/>
      <c r="BN245" s="171"/>
      <c r="BO245" s="23"/>
      <c r="BY245" s="11"/>
    </row>
    <row r="246">
      <c r="R246" s="10"/>
      <c r="BH246" s="172"/>
      <c r="BI246" s="172"/>
      <c r="BJ246" s="172"/>
      <c r="BK246" s="172"/>
      <c r="BL246" s="172"/>
      <c r="BN246" s="171"/>
      <c r="BO246" s="23"/>
      <c r="BY246" s="11"/>
    </row>
    <row r="247">
      <c r="R247" s="10"/>
      <c r="BH247" s="173"/>
      <c r="BI247" s="173"/>
      <c r="BJ247" s="173"/>
      <c r="BK247" s="173"/>
      <c r="BL247" s="173"/>
      <c r="BN247" s="171"/>
      <c r="BO247" s="23"/>
      <c r="BY247" s="11"/>
    </row>
    <row r="248">
      <c r="R248" s="10"/>
      <c r="BH248" s="174"/>
      <c r="BI248" s="174"/>
      <c r="BJ248" s="174"/>
      <c r="BK248" s="174"/>
      <c r="BL248" s="174"/>
      <c r="BN248" s="171"/>
      <c r="BO248" s="23"/>
      <c r="BY248" s="11"/>
    </row>
    <row r="249">
      <c r="R249" s="10"/>
      <c r="BH249" s="175"/>
      <c r="BI249" s="175"/>
      <c r="BJ249" s="175"/>
      <c r="BK249" s="175"/>
      <c r="BL249" s="175"/>
      <c r="BN249" s="171"/>
      <c r="BO249" s="23"/>
      <c r="BY249" s="11"/>
    </row>
    <row r="250">
      <c r="R250" s="10"/>
      <c r="BH250" s="175"/>
      <c r="BI250" s="175"/>
      <c r="BJ250" s="175"/>
      <c r="BK250" s="175"/>
      <c r="BL250" s="175"/>
      <c r="BN250" s="171"/>
      <c r="BO250" s="23"/>
      <c r="BY250" s="11"/>
    </row>
    <row r="251">
      <c r="R251" s="10"/>
      <c r="BH251" s="175"/>
      <c r="BI251" s="175"/>
      <c r="BJ251" s="175"/>
      <c r="BK251" s="175"/>
      <c r="BL251" s="175"/>
      <c r="BN251" s="171"/>
      <c r="BO251" s="23"/>
      <c r="BY251" s="11"/>
    </row>
    <row r="252">
      <c r="R252" s="10"/>
      <c r="BH252" s="175"/>
      <c r="BI252" s="175"/>
      <c r="BJ252" s="175"/>
      <c r="BK252" s="175"/>
      <c r="BL252" s="175"/>
      <c r="BN252" s="171"/>
      <c r="BO252" s="23"/>
      <c r="BY252" s="11"/>
    </row>
    <row r="253">
      <c r="R253" s="10"/>
      <c r="BH253" s="175"/>
      <c r="BI253" s="175"/>
      <c r="BJ253" s="175"/>
      <c r="BK253" s="175"/>
      <c r="BL253" s="175"/>
      <c r="BN253" s="171"/>
      <c r="BO253" s="23"/>
      <c r="BY253" s="11"/>
    </row>
    <row r="254">
      <c r="R254" s="10"/>
      <c r="BH254" s="175"/>
      <c r="BI254" s="175"/>
      <c r="BJ254" s="175"/>
      <c r="BK254" s="175"/>
      <c r="BL254" s="175"/>
      <c r="BY254" s="11"/>
    </row>
    <row r="255">
      <c r="R255" s="10"/>
      <c r="BH255" s="175"/>
      <c r="BI255" s="175"/>
      <c r="BJ255" s="175"/>
      <c r="BK255" s="175"/>
      <c r="BL255" s="175"/>
      <c r="BY255" s="11"/>
    </row>
    <row r="256">
      <c r="R256" s="10"/>
      <c r="BH256" s="175"/>
      <c r="BI256" s="175"/>
      <c r="BJ256" s="175"/>
      <c r="BK256" s="175"/>
      <c r="BL256" s="175"/>
      <c r="BY256" s="11"/>
    </row>
    <row r="257">
      <c r="R257" s="10"/>
      <c r="BH257" s="175"/>
      <c r="BI257" s="175"/>
      <c r="BJ257" s="175"/>
      <c r="BK257" s="175"/>
      <c r="BL257" s="175"/>
      <c r="BY257" s="11"/>
    </row>
    <row r="258">
      <c r="R258" s="10"/>
      <c r="BH258" s="175"/>
      <c r="BI258" s="175"/>
      <c r="BJ258" s="175"/>
      <c r="BK258" s="175"/>
      <c r="BL258" s="175"/>
      <c r="BY258" s="11"/>
    </row>
    <row r="259">
      <c r="R259" s="10"/>
      <c r="BH259" s="175"/>
      <c r="BI259" s="175"/>
      <c r="BJ259" s="175"/>
      <c r="BK259" s="175"/>
      <c r="BL259" s="175"/>
      <c r="BY259" s="11"/>
    </row>
    <row r="260">
      <c r="R260" s="10"/>
      <c r="BH260" s="175"/>
      <c r="BI260" s="175"/>
      <c r="BJ260" s="175"/>
      <c r="BK260" s="175"/>
      <c r="BL260" s="175"/>
      <c r="BY260" s="11"/>
    </row>
    <row r="261">
      <c r="R261" s="10"/>
      <c r="BH261" s="175"/>
      <c r="BI261" s="175"/>
      <c r="BJ261" s="175"/>
      <c r="BK261" s="175"/>
      <c r="BL261" s="175"/>
      <c r="BY261" s="11"/>
    </row>
    <row r="262">
      <c r="R262" s="10"/>
      <c r="BH262" s="175"/>
      <c r="BI262" s="175"/>
      <c r="BJ262" s="175"/>
      <c r="BK262" s="175"/>
      <c r="BL262" s="175"/>
      <c r="BY262" s="11"/>
    </row>
    <row r="263">
      <c r="R263" s="10"/>
      <c r="BH263" s="175"/>
      <c r="BI263" s="175"/>
      <c r="BJ263" s="175"/>
      <c r="BK263" s="175"/>
      <c r="BL263" s="175"/>
      <c r="BY263" s="11"/>
    </row>
    <row r="264">
      <c r="R264" s="10"/>
      <c r="BH264" s="175"/>
      <c r="BI264" s="175"/>
      <c r="BJ264" s="175"/>
      <c r="BK264" s="175"/>
      <c r="BL264" s="175"/>
      <c r="BY264" s="11"/>
    </row>
    <row r="265">
      <c r="R265" s="10"/>
      <c r="BH265" s="175"/>
      <c r="BI265" s="175"/>
      <c r="BJ265" s="175"/>
      <c r="BK265" s="175"/>
      <c r="BL265" s="175"/>
      <c r="BY265" s="11"/>
    </row>
    <row r="266">
      <c r="R266" s="10"/>
      <c r="BY266" s="11"/>
    </row>
    <row r="267">
      <c r="R267" s="10"/>
      <c r="BY267" s="11"/>
    </row>
    <row r="268">
      <c r="R268" s="10"/>
      <c r="BY268" s="11"/>
    </row>
    <row r="269">
      <c r="R269" s="10"/>
      <c r="BY269" s="11"/>
    </row>
    <row r="270">
      <c r="R270" s="10"/>
      <c r="BY270" s="11"/>
    </row>
    <row r="271">
      <c r="R271" s="10"/>
      <c r="BY271" s="11"/>
    </row>
    <row r="272">
      <c r="R272" s="10"/>
      <c r="BY272" s="11"/>
    </row>
    <row r="273">
      <c r="R273" s="10"/>
      <c r="BY273" s="11"/>
    </row>
    <row r="274">
      <c r="R274" s="10"/>
      <c r="BY274" s="11"/>
    </row>
    <row r="275">
      <c r="R275" s="10"/>
      <c r="U275" s="1037" t="s">
        <v>86</v>
      </c>
      <c r="V275" s="1038"/>
      <c r="W275" s="1038"/>
      <c r="X275" s="1038"/>
      <c r="Y275" s="1038"/>
      <c r="Z275" s="1038"/>
      <c r="AA275" s="1038"/>
      <c r="AB275" s="1038"/>
      <c r="AC275" s="1039"/>
      <c r="AD275" s="610"/>
      <c r="AE275" s="1037" t="s">
        <v>86</v>
      </c>
      <c r="AF275" s="1038"/>
      <c r="AG275" s="1038"/>
      <c r="AH275" s="1038"/>
      <c r="AI275" s="1038"/>
      <c r="AJ275" s="1038"/>
      <c r="AK275" s="1038"/>
      <c r="AL275" s="1038"/>
      <c r="AM275" s="1038"/>
      <c r="AN275" s="1038"/>
      <c r="AO275" s="1038"/>
      <c r="AP275" s="1039"/>
      <c r="AQ275" s="610"/>
      <c r="AR275" s="1037" t="s">
        <v>87</v>
      </c>
      <c r="AS275" s="1038"/>
      <c r="AT275" s="1038"/>
      <c r="AU275" s="1038"/>
      <c r="AV275" s="1038"/>
      <c r="AW275" s="1038"/>
      <c r="AX275" s="1038"/>
      <c r="AY275" s="1038"/>
      <c r="AZ275" s="1038"/>
      <c r="BA275" s="1038"/>
      <c r="BB275" s="1038"/>
      <c r="BC275" s="1038"/>
      <c r="BD275" s="1038"/>
      <c r="BE275" s="1038"/>
      <c r="BF275" s="1038"/>
      <c r="BG275" s="1039"/>
      <c r="BH275" s="610"/>
      <c r="BI275" s="1037" t="s">
        <v>86</v>
      </c>
      <c r="BJ275" s="1038"/>
      <c r="BK275" s="1038"/>
      <c r="BL275" s="1038"/>
      <c r="BM275" s="1038"/>
      <c r="BN275" s="1038"/>
      <c r="BO275" s="1038"/>
      <c r="BP275" s="1038"/>
      <c r="BQ275" s="1038"/>
      <c r="BR275" s="1038"/>
      <c r="BS275" s="1038"/>
      <c r="BT275" s="1038"/>
      <c r="BU275" s="1038"/>
      <c r="BV275" s="1038"/>
      <c r="BW275" s="1038"/>
      <c r="BX275" s="1039"/>
      <c r="BY275" s="11"/>
    </row>
    <row r="276">
      <c r="R276" s="10"/>
      <c r="U276" s="1044" t="s">
        <v>57</v>
      </c>
      <c r="AC276" s="78"/>
      <c r="AD276" s="569"/>
      <c r="AE276" s="1051" t="s">
        <v>58</v>
      </c>
      <c r="AF276" s="1100"/>
      <c r="AG276" s="1100"/>
      <c r="AH276" s="1100"/>
      <c r="AI276" s="1101" t="s">
        <v>59</v>
      </c>
      <c r="AJ276" s="1101"/>
      <c r="AK276" s="1101"/>
      <c r="AL276" s="1101"/>
      <c r="AM276" s="1101"/>
      <c r="AN276" s="1101"/>
      <c r="AO276" s="1101"/>
      <c r="AP276" s="1102"/>
      <c r="AQ276" s="610"/>
      <c r="AR276" s="1051" t="s">
        <v>58</v>
      </c>
      <c r="AS276" s="1052"/>
      <c r="AT276" s="1052" t="s">
        <v>44</v>
      </c>
      <c r="BG276" s="78"/>
      <c r="BH276" s="610"/>
      <c r="BI276" s="1051" t="s">
        <v>58</v>
      </c>
      <c r="BJ276" s="1052"/>
      <c r="BK276" s="1052" t="s">
        <v>44</v>
      </c>
      <c r="BX276" s="78"/>
      <c r="BY276" s="11"/>
    </row>
    <row r="277">
      <c r="R277" s="10"/>
      <c r="U277" s="1053"/>
      <c r="V277" s="1103">
        <f>$F$65</f>
        <v>0.0448972975</v>
      </c>
      <c r="W277" s="680">
        <v>64.0</v>
      </c>
      <c r="X277" s="681">
        <f t="shared" ref="X277:AC277" si="24">W277+10</f>
        <v>74</v>
      </c>
      <c r="Y277" s="681">
        <f t="shared" si="24"/>
        <v>84</v>
      </c>
      <c r="Z277" s="681">
        <f t="shared" si="24"/>
        <v>94</v>
      </c>
      <c r="AA277" s="681">
        <f t="shared" si="24"/>
        <v>104</v>
      </c>
      <c r="AB277" s="681">
        <f t="shared" si="24"/>
        <v>114</v>
      </c>
      <c r="AC277" s="682">
        <f t="shared" si="24"/>
        <v>124</v>
      </c>
      <c r="AD277" s="596"/>
      <c r="AE277" s="1053"/>
      <c r="AF277" s="683">
        <f>$F$65</f>
        <v>0.0448972975</v>
      </c>
      <c r="AG277" s="684">
        <f t="shared" ref="AG277:AI277" si="25">AH277-0.05</f>
        <v>0.7</v>
      </c>
      <c r="AH277" s="684">
        <f t="shared" si="25"/>
        <v>0.75</v>
      </c>
      <c r="AI277" s="684">
        <f t="shared" si="25"/>
        <v>0.8</v>
      </c>
      <c r="AJ277" s="684">
        <v>0.85</v>
      </c>
      <c r="AK277" s="1059">
        <v>0.9</v>
      </c>
      <c r="AL277" s="684">
        <f t="shared" ref="AL277:AP277" si="26">AK277+0.02</f>
        <v>0.92</v>
      </c>
      <c r="AM277" s="684">
        <f t="shared" si="26"/>
        <v>0.94</v>
      </c>
      <c r="AN277" s="684">
        <f t="shared" si="26"/>
        <v>0.96</v>
      </c>
      <c r="AO277" s="684">
        <f t="shared" si="26"/>
        <v>0.98</v>
      </c>
      <c r="AP277" s="686">
        <f t="shared" si="26"/>
        <v>1</v>
      </c>
      <c r="AQ277" s="610"/>
      <c r="AR277" s="1051" t="s">
        <v>63</v>
      </c>
      <c r="AS277" s="1052"/>
      <c r="AT277" s="1052"/>
      <c r="AU277" s="1052"/>
      <c r="AV277" s="1052"/>
      <c r="AW277" s="1052"/>
      <c r="AX277" s="1052"/>
      <c r="AY277" s="1052"/>
      <c r="AZ277" s="1052"/>
      <c r="BA277" s="1052"/>
      <c r="BB277" s="1052"/>
      <c r="BC277" s="1052"/>
      <c r="BD277" s="1052"/>
      <c r="BE277" s="1052"/>
      <c r="BF277" s="1052"/>
      <c r="BG277" s="1060"/>
      <c r="BH277" s="610"/>
      <c r="BI277" s="1051" t="s">
        <v>63</v>
      </c>
      <c r="BJ277" s="1052"/>
      <c r="BK277" s="1052"/>
      <c r="BL277" s="1052"/>
      <c r="BM277" s="1052"/>
      <c r="BN277" s="1052"/>
      <c r="BO277" s="1052"/>
      <c r="BP277" s="1052"/>
      <c r="BQ277" s="1052"/>
      <c r="BR277" s="1052"/>
      <c r="BS277" s="1052"/>
      <c r="BT277" s="1052"/>
      <c r="BU277" s="1052"/>
      <c r="BV277" s="1052"/>
      <c r="BW277" s="1052"/>
      <c r="BX277" s="1060"/>
      <c r="BY277" s="11"/>
    </row>
    <row r="278">
      <c r="R278" s="10"/>
      <c r="U278" s="1061" t="s">
        <v>66</v>
      </c>
      <c r="V278" s="1062">
        <v>524288.0</v>
      </c>
      <c r="W278" s="1066">
        <v>0.14470514063935982</v>
      </c>
      <c r="X278" s="590">
        <v>0.17708094386425993</v>
      </c>
      <c r="Y278" s="590">
        <v>0.2094567470891598</v>
      </c>
      <c r="Z278" s="590">
        <v>0.2418325503140598</v>
      </c>
      <c r="AA278" s="590">
        <v>0.2742083535389597</v>
      </c>
      <c r="AB278" s="590">
        <v>0.3065841567638598</v>
      </c>
      <c r="AC278" s="1067">
        <v>0.33895995998875966</v>
      </c>
      <c r="AD278" s="587"/>
      <c r="AE278" s="1061" t="s">
        <v>66</v>
      </c>
      <c r="AF278" s="1062">
        <v>524288.0</v>
      </c>
      <c r="AG278" s="590">
        <v>0.10636858472542134</v>
      </c>
      <c r="AH278" s="590">
        <v>0.11585985172626057</v>
      </c>
      <c r="AI278" s="590">
        <v>0.12516652151328594</v>
      </c>
      <c r="AJ278" s="590">
        <v>0.13432473627783365</v>
      </c>
      <c r="AK278" s="1066">
        <v>0.14337063821123988</v>
      </c>
      <c r="AL278" s="590">
        <v>0.1469656472427421</v>
      </c>
      <c r="AM278" s="590">
        <v>0.15055078207212103</v>
      </c>
      <c r="AN278" s="590">
        <v>0.15412835579962209</v>
      </c>
      <c r="AO278" s="590">
        <v>0.15770068152549083</v>
      </c>
      <c r="AP278" s="1067">
        <v>0.16127007234997276</v>
      </c>
      <c r="AQ278" s="610"/>
      <c r="AR278" s="1051" t="s">
        <v>67</v>
      </c>
      <c r="AS278" s="1052"/>
      <c r="AT278" s="1052"/>
      <c r="AU278" s="1052"/>
      <c r="AV278" s="1052"/>
      <c r="AW278" s="1052"/>
      <c r="AX278" s="1052"/>
      <c r="AY278" s="1052"/>
      <c r="AZ278" s="1052"/>
      <c r="BA278" s="1052"/>
      <c r="BB278" s="1052"/>
      <c r="BC278" s="1052"/>
      <c r="BD278" s="1052"/>
      <c r="BE278" s="1052"/>
      <c r="BF278" s="1052"/>
      <c r="BG278" s="1060"/>
      <c r="BH278" s="610"/>
      <c r="BI278" s="1051" t="s">
        <v>68</v>
      </c>
      <c r="BJ278" s="1052"/>
      <c r="BK278" s="1052"/>
      <c r="BL278" s="1052"/>
      <c r="BM278" s="1052"/>
      <c r="BN278" s="1052"/>
      <c r="BO278" s="1052"/>
      <c r="BP278" s="1052"/>
      <c r="BQ278" s="1052"/>
      <c r="BR278" s="1052"/>
      <c r="BS278" s="1052"/>
      <c r="BT278" s="1052"/>
      <c r="BU278" s="1052"/>
      <c r="BV278" s="1052"/>
      <c r="BW278" s="1052"/>
      <c r="BX278" s="1060"/>
      <c r="BY278" s="11"/>
    </row>
    <row r="279">
      <c r="R279" s="10"/>
      <c r="U279" s="110"/>
      <c r="V279" s="1062">
        <v>1000000.0</v>
      </c>
      <c r="W279" s="1068">
        <v>0.08753254788383098</v>
      </c>
      <c r="X279" s="591">
        <v>0.11097513349067949</v>
      </c>
      <c r="Y279" s="591">
        <v>0.1344177190975281</v>
      </c>
      <c r="Z279" s="591">
        <v>0.15786030470437667</v>
      </c>
      <c r="AA279" s="591">
        <v>0.18130289031122526</v>
      </c>
      <c r="AB279" s="591">
        <v>0.20474547591807385</v>
      </c>
      <c r="AC279" s="1069">
        <v>0.2281880615249225</v>
      </c>
      <c r="AD279" s="577"/>
      <c r="AE279" s="110"/>
      <c r="AF279" s="1062">
        <v>1000000.0</v>
      </c>
      <c r="AG279" s="591">
        <v>0.059405696847557796</v>
      </c>
      <c r="AH279" s="591">
        <v>0.06627810824810357</v>
      </c>
      <c r="AI279" s="591">
        <v>0.07301685698837325</v>
      </c>
      <c r="AJ279" s="591">
        <v>0.07964811281027347</v>
      </c>
      <c r="AK279" s="1068">
        <v>0.08619804545571103</v>
      </c>
      <c r="AL279" s="591">
        <v>0.08880111004666358</v>
      </c>
      <c r="AM279" s="591">
        <v>0.09139702495156915</v>
      </c>
      <c r="AN279" s="591">
        <v>0.09398746503390987</v>
      </c>
      <c r="AO279" s="591">
        <v>0.09657410515716765</v>
      </c>
      <c r="AP279" s="1069">
        <v>0.09915862018482459</v>
      </c>
      <c r="AQ279" s="610"/>
      <c r="AR279" s="1053"/>
      <c r="AS279" s="1054">
        <f>$F$65</f>
        <v>0.0448972975</v>
      </c>
      <c r="AT279" s="1062">
        <v>1.0</v>
      </c>
      <c r="AU279" s="1056">
        <f t="shared" ref="AU279:AX279" si="27">AT279+1</f>
        <v>2</v>
      </c>
      <c r="AV279" s="1056">
        <f t="shared" si="27"/>
        <v>3</v>
      </c>
      <c r="AW279" s="1056">
        <f t="shared" si="27"/>
        <v>4</v>
      </c>
      <c r="AX279" s="1056">
        <f t="shared" si="27"/>
        <v>5</v>
      </c>
      <c r="AY279" s="1062">
        <v>10.0</v>
      </c>
      <c r="AZ279" s="1062">
        <v>15.0</v>
      </c>
      <c r="BA279" s="1062">
        <v>20.0</v>
      </c>
      <c r="BB279" s="1062">
        <v>25.0</v>
      </c>
      <c r="BC279" s="1062">
        <v>30.0</v>
      </c>
      <c r="BD279" s="1062">
        <v>35.0</v>
      </c>
      <c r="BE279" s="1062">
        <v>40.0</v>
      </c>
      <c r="BF279" s="1062">
        <v>45.0</v>
      </c>
      <c r="BG279" s="1070">
        <v>50.0</v>
      </c>
      <c r="BH279" s="610"/>
      <c r="BI279" s="1053"/>
      <c r="BJ279" s="1054">
        <f>$F$65</f>
        <v>0.0448972975</v>
      </c>
      <c r="BK279" s="1062">
        <v>1.0</v>
      </c>
      <c r="BL279" s="1056">
        <f t="shared" ref="BL279:BO279" si="28">BK279+1</f>
        <v>2</v>
      </c>
      <c r="BM279" s="1056">
        <f t="shared" si="28"/>
        <v>3</v>
      </c>
      <c r="BN279" s="1056">
        <f t="shared" si="28"/>
        <v>4</v>
      </c>
      <c r="BO279" s="1056">
        <f t="shared" si="28"/>
        <v>5</v>
      </c>
      <c r="BP279" s="1062">
        <v>10.0</v>
      </c>
      <c r="BQ279" s="1062">
        <v>15.0</v>
      </c>
      <c r="BR279" s="1062">
        <v>20.0</v>
      </c>
      <c r="BS279" s="1062">
        <v>25.0</v>
      </c>
      <c r="BT279" s="1062">
        <v>30.0</v>
      </c>
      <c r="BU279" s="1062">
        <v>35.0</v>
      </c>
      <c r="BV279" s="1062">
        <v>40.0</v>
      </c>
      <c r="BW279" s="1062">
        <v>45.0</v>
      </c>
      <c r="BX279" s="1070">
        <v>50.0</v>
      </c>
      <c r="BY279" s="11"/>
    </row>
    <row r="280">
      <c r="R280" s="10"/>
      <c r="U280" s="110"/>
      <c r="V280" s="1056">
        <f t="shared" ref="V280:V297" si="29">V279+500000</f>
        <v>1500000</v>
      </c>
      <c r="W280" s="1066">
        <v>0.060001062375023326</v>
      </c>
      <c r="X280" s="590">
        <v>0.07914185337112072</v>
      </c>
      <c r="Y280" s="590">
        <v>0.09828264436721805</v>
      </c>
      <c r="Z280" s="590">
        <v>0.11742343536331548</v>
      </c>
      <c r="AA280" s="590">
        <v>0.1365642263594129</v>
      </c>
      <c r="AB280" s="590">
        <v>0.1557050173555103</v>
      </c>
      <c r="AC280" s="1067">
        <v>0.17484580835160765</v>
      </c>
      <c r="AD280" s="594"/>
      <c r="AE280" s="110"/>
      <c r="AF280" s="1056">
        <f t="shared" ref="AF280:AF297" si="30">AF279+500000</f>
        <v>1500000</v>
      </c>
      <c r="AG280" s="590">
        <v>0.03679069891332253</v>
      </c>
      <c r="AH280" s="590">
        <v>0.042401999324596894</v>
      </c>
      <c r="AI280" s="590">
        <v>0.04790416463075812</v>
      </c>
      <c r="AJ280" s="590">
        <v>0.053318562336596716</v>
      </c>
      <c r="AK280" s="1066">
        <v>0.05866655994690338</v>
      </c>
      <c r="AL280" s="590">
        <v>0.06079195328535016</v>
      </c>
      <c r="AM280" s="590">
        <v>0.0629115089295849</v>
      </c>
      <c r="AN280" s="590">
        <v>0.06502659439991418</v>
      </c>
      <c r="AO280" s="590">
        <v>0.06713857721664468</v>
      </c>
      <c r="AP280" s="1067">
        <v>0.0692488249000829</v>
      </c>
      <c r="AQ280" s="610"/>
      <c r="AR280" s="1071" t="s">
        <v>73</v>
      </c>
      <c r="AS280" s="1072">
        <f>AG277</f>
        <v>0.7</v>
      </c>
      <c r="AT280" s="1108">
        <v>0.07672982738265563</v>
      </c>
      <c r="AU280" s="1108">
        <v>0.09852259054055036</v>
      </c>
      <c r="AV280" s="1108">
        <v>0.10578684492651529</v>
      </c>
      <c r="AW280" s="1108">
        <v>0.10941897211949773</v>
      </c>
      <c r="AX280" s="1108">
        <v>0.11159824843528722</v>
      </c>
      <c r="AY280" s="1108">
        <v>0.11595680106686616</v>
      </c>
      <c r="AZ280" s="1108">
        <v>0.11740965194405914</v>
      </c>
      <c r="BA280" s="1108">
        <v>0.11595680106686616</v>
      </c>
      <c r="BB280" s="1108">
        <v>0.11682851159318194</v>
      </c>
      <c r="BC280" s="1108">
        <v>0.11740965194405914</v>
      </c>
      <c r="BD280" s="1108">
        <v>0.116579451442806</v>
      </c>
      <c r="BE280" s="1108">
        <v>0.1170464392247609</v>
      </c>
      <c r="BF280" s="1108">
        <v>0.11740965194405915</v>
      </c>
      <c r="BG280" s="1109">
        <v>0.11682851159318194</v>
      </c>
      <c r="BH280" s="610"/>
      <c r="BI280" s="1061" t="s">
        <v>66</v>
      </c>
      <c r="BJ280" s="1062">
        <v>524288.0</v>
      </c>
      <c r="BK280" s="1073">
        <v>0.1451454134211344</v>
      </c>
      <c r="BL280" s="1073">
        <v>0.1761752770302471</v>
      </c>
      <c r="BM280" s="1073">
        <v>0.18651856489995136</v>
      </c>
      <c r="BN280" s="1073">
        <v>0.19169020883480345</v>
      </c>
      <c r="BO280" s="1073">
        <v>0.19479319519571475</v>
      </c>
      <c r="BP280" s="1073">
        <v>0.2009991679175373</v>
      </c>
      <c r="BQ280" s="1073">
        <v>0.20306782549147814</v>
      </c>
      <c r="BR280" s="1073">
        <v>0.20410215427844855</v>
      </c>
      <c r="BS280" s="1073">
        <v>0.20472275155063083</v>
      </c>
      <c r="BT280" s="1073">
        <v>0.20513648306541898</v>
      </c>
      <c r="BU280" s="1073">
        <v>0.20543200557598196</v>
      </c>
      <c r="BV280" s="1073">
        <v>0.2056536474589042</v>
      </c>
      <c r="BW280" s="1073">
        <v>0.2058260355900659</v>
      </c>
      <c r="BX280" s="1074">
        <v>0.20596394609499533</v>
      </c>
      <c r="BY280" s="11"/>
    </row>
    <row r="281">
      <c r="R281" s="215"/>
      <c r="S281" s="214"/>
      <c r="T281" s="214"/>
      <c r="U281" s="110"/>
      <c r="V281" s="1056">
        <f t="shared" si="29"/>
        <v>2000000</v>
      </c>
      <c r="W281" s="1066">
        <v>0.04358903200735228</v>
      </c>
      <c r="X281" s="590">
        <v>0.06016544325850107</v>
      </c>
      <c r="Y281" s="590">
        <v>0.07674185450964988</v>
      </c>
      <c r="Z281" s="590">
        <v>0.09331826576079863</v>
      </c>
      <c r="AA281" s="590">
        <v>0.10989467701194737</v>
      </c>
      <c r="AB281" s="590">
        <v>0.1264710882630962</v>
      </c>
      <c r="AC281" s="1067">
        <v>0.14304749951424497</v>
      </c>
      <c r="AD281" s="577"/>
      <c r="AE281" s="110"/>
      <c r="AF281" s="1056">
        <f t="shared" si="30"/>
        <v>2000000</v>
      </c>
      <c r="AG281" s="590">
        <v>0.0233094781944932</v>
      </c>
      <c r="AH281" s="590">
        <v>0.028169006898922898</v>
      </c>
      <c r="AI281" s="590">
        <v>0.032934021829879874</v>
      </c>
      <c r="AJ281" s="590">
        <v>0.0376230277893283</v>
      </c>
      <c r="AK281" s="1066">
        <v>0.04225452957923233</v>
      </c>
      <c r="AL281" s="590">
        <v>0.04409517420336147</v>
      </c>
      <c r="AM281" s="590">
        <v>0.045930763236003425</v>
      </c>
      <c r="AN281" s="590">
        <v>0.04776248098448397</v>
      </c>
      <c r="AO281" s="590">
        <v>0.04959151175612877</v>
      </c>
      <c r="AP281" s="1067">
        <v>0.05141903985826351</v>
      </c>
      <c r="AQ281" s="610"/>
      <c r="AR281" s="110"/>
      <c r="AS281" s="1072">
        <v>0.75</v>
      </c>
      <c r="AT281" s="1110">
        <v>0.08353282048622619</v>
      </c>
      <c r="AU281" s="1110">
        <v>0.10532558364412094</v>
      </c>
      <c r="AV281" s="1110">
        <v>0.11258983803008586</v>
      </c>
      <c r="AW281" s="1110">
        <v>0.1162219652230683</v>
      </c>
      <c r="AX281" s="1110">
        <v>0.11840124153885778</v>
      </c>
      <c r="AY281" s="1110">
        <v>0.12275979417043673</v>
      </c>
      <c r="AZ281" s="1110">
        <v>0.1242126450476297</v>
      </c>
      <c r="BA281" s="1110">
        <v>0.12275979417043673</v>
      </c>
      <c r="BB281" s="1110">
        <v>0.12363150469675252</v>
      </c>
      <c r="BC281" s="1110">
        <v>0.1242126450476297</v>
      </c>
      <c r="BD281" s="1110">
        <v>0.12338244454637656</v>
      </c>
      <c r="BE281" s="1110">
        <v>0.12384943232833147</v>
      </c>
      <c r="BF281" s="1110">
        <v>0.1242126450476297</v>
      </c>
      <c r="BG281" s="1111">
        <v>0.12363150469675252</v>
      </c>
      <c r="BH281" s="610"/>
      <c r="BI281" s="110"/>
      <c r="BJ281" s="1077">
        <v>1000000.0</v>
      </c>
      <c r="BK281" s="1078">
        <v>0.08797282066560555</v>
      </c>
      <c r="BL281" s="1078">
        <v>0.11900268427471826</v>
      </c>
      <c r="BM281" s="1078">
        <v>0.1293459721444225</v>
      </c>
      <c r="BN281" s="1078">
        <v>0.13451761607927462</v>
      </c>
      <c r="BO281" s="1078">
        <v>0.1376206024401859</v>
      </c>
      <c r="BP281" s="1078">
        <v>0.14382657516200845</v>
      </c>
      <c r="BQ281" s="1078">
        <v>0.1458952327359493</v>
      </c>
      <c r="BR281" s="1078">
        <v>0.1469295615229197</v>
      </c>
      <c r="BS281" s="1078">
        <v>0.14755015879510194</v>
      </c>
      <c r="BT281" s="1078">
        <v>0.14796389030989013</v>
      </c>
      <c r="BU281" s="1078">
        <v>0.1482594128204531</v>
      </c>
      <c r="BV281" s="1078">
        <v>0.14848105470337533</v>
      </c>
      <c r="BW281" s="1078">
        <v>0.14865344283453708</v>
      </c>
      <c r="BX281" s="1112">
        <v>0.14879135333946647</v>
      </c>
      <c r="BY281" s="11"/>
    </row>
    <row r="282">
      <c r="R282" s="215"/>
      <c r="S282" s="214"/>
      <c r="T282" s="214"/>
      <c r="U282" s="110"/>
      <c r="V282" s="1056">
        <f t="shared" si="29"/>
        <v>2500000</v>
      </c>
      <c r="W282" s="1066">
        <v>0.032388914894236245</v>
      </c>
      <c r="X282" s="590">
        <v>0.04721530784646066</v>
      </c>
      <c r="Y282" s="590">
        <v>0.06204170079868509</v>
      </c>
      <c r="Z282" s="590">
        <v>0.07686809375090947</v>
      </c>
      <c r="AA282" s="590">
        <v>0.0916944867031339</v>
      </c>
      <c r="AB282" s="590">
        <v>0.1065208796553583</v>
      </c>
      <c r="AC282" s="1067">
        <v>0.1213472726075827</v>
      </c>
      <c r="AD282" s="577"/>
      <c r="AE282" s="110"/>
      <c r="AF282" s="1056">
        <f t="shared" si="30"/>
        <v>2500000</v>
      </c>
      <c r="AG282" s="590">
        <v>0.014109443372715053</v>
      </c>
      <c r="AH282" s="590">
        <v>0.018455937981401528</v>
      </c>
      <c r="AI282" s="590">
        <v>0.022717896901170046</v>
      </c>
      <c r="AJ282" s="590">
        <v>0.02691187133006138</v>
      </c>
      <c r="AK282" s="1066">
        <v>0.031054412466116295</v>
      </c>
      <c r="AL282" s="590">
        <v>0.03270073506690522</v>
      </c>
      <c r="AM282" s="590">
        <v>0.034342535809201435</v>
      </c>
      <c r="AN282" s="590">
        <v>0.03598087396967958</v>
      </c>
      <c r="AO282" s="590">
        <v>0.03761680882501425</v>
      </c>
      <c r="AP282" s="1067">
        <v>0.03925139965188005</v>
      </c>
      <c r="AQ282" s="610"/>
      <c r="AR282" s="110"/>
      <c r="AS282" s="1072">
        <v>0.8</v>
      </c>
      <c r="AT282" s="1108">
        <v>0.09020350105740227</v>
      </c>
      <c r="AU282" s="1108">
        <v>0.111996264215297</v>
      </c>
      <c r="AV282" s="1108">
        <v>0.11926051860126191</v>
      </c>
      <c r="AW282" s="1108">
        <v>0.12289264579424437</v>
      </c>
      <c r="AX282" s="1108">
        <v>0.12507192211003382</v>
      </c>
      <c r="AY282" s="1108">
        <v>0.1294304747416128</v>
      </c>
      <c r="AZ282" s="1108">
        <v>0.13088332561880575</v>
      </c>
      <c r="BA282" s="1108">
        <v>0.1294304747416128</v>
      </c>
      <c r="BB282" s="1108">
        <v>0.13030218526792858</v>
      </c>
      <c r="BC282" s="1108">
        <v>0.13088332561880575</v>
      </c>
      <c r="BD282" s="1108">
        <v>0.13005312511755263</v>
      </c>
      <c r="BE282" s="1108">
        <v>0.13052011289950752</v>
      </c>
      <c r="BF282" s="1108">
        <v>0.13088332561880578</v>
      </c>
      <c r="BG282" s="1109">
        <v>0.13030218526792858</v>
      </c>
      <c r="BH282" s="610"/>
      <c r="BI282" s="110"/>
      <c r="BJ282" s="1056">
        <f t="shared" ref="BJ282:BJ299" si="31">BJ281+500000</f>
        <v>1500000</v>
      </c>
      <c r="BK282" s="1073">
        <v>0.060441335156797914</v>
      </c>
      <c r="BL282" s="1073">
        <v>0.09147119876591063</v>
      </c>
      <c r="BM282" s="1073">
        <v>0.10181448663561485</v>
      </c>
      <c r="BN282" s="1073">
        <v>0.10698613057046698</v>
      </c>
      <c r="BO282" s="1073">
        <v>0.11008911693137824</v>
      </c>
      <c r="BP282" s="1073">
        <v>0.11629508965320079</v>
      </c>
      <c r="BQ282" s="1073">
        <v>0.11836374722714163</v>
      </c>
      <c r="BR282" s="1073">
        <v>0.11939807601411206</v>
      </c>
      <c r="BS282" s="1073">
        <v>0.1200186732862943</v>
      </c>
      <c r="BT282" s="1073">
        <v>0.12043240480108248</v>
      </c>
      <c r="BU282" s="1073">
        <v>0.12072792731164546</v>
      </c>
      <c r="BV282" s="1073">
        <v>0.12094956919456769</v>
      </c>
      <c r="BW282" s="1073">
        <v>0.12112195732572943</v>
      </c>
      <c r="BX282" s="1074">
        <v>0.12125986783065881</v>
      </c>
      <c r="BY282" s="11"/>
    </row>
    <row r="283">
      <c r="R283" s="217"/>
      <c r="S283" s="174"/>
      <c r="T283" s="174"/>
      <c r="U283" s="110"/>
      <c r="V283" s="1056">
        <f t="shared" si="29"/>
        <v>3000000</v>
      </c>
      <c r="W283" s="1066">
        <v>0.024121331907935216</v>
      </c>
      <c r="X283" s="590">
        <v>0.0376559150185501</v>
      </c>
      <c r="Y283" s="590">
        <v>0.05119049812916495</v>
      </c>
      <c r="Z283" s="590">
        <v>0.06472508123977984</v>
      </c>
      <c r="AA283" s="590">
        <v>0.07825966435039475</v>
      </c>
      <c r="AB283" s="590">
        <v>0.09179424746100957</v>
      </c>
      <c r="AC283" s="1067">
        <v>0.10532883057162448</v>
      </c>
      <c r="AD283" s="577"/>
      <c r="AE283" s="110"/>
      <c r="AF283" s="1056">
        <f t="shared" si="30"/>
        <v>3000000</v>
      </c>
      <c r="AG283" s="590">
        <v>0.007318259798675704</v>
      </c>
      <c r="AH283" s="590">
        <v>0.01128604837076267</v>
      </c>
      <c r="AI283" s="590">
        <v>0.015176666769958611</v>
      </c>
      <c r="AJ283" s="590">
        <v>0.019005224103797975</v>
      </c>
      <c r="AK283" s="1066">
        <v>0.022786829479815255</v>
      </c>
      <c r="AL283" s="590">
        <v>0.024289709522119698</v>
      </c>
      <c r="AM283" s="590">
        <v>0.02578846169126033</v>
      </c>
      <c r="AN283" s="590">
        <v>0.0272840529701193</v>
      </c>
      <c r="AO283" s="590">
        <v>0.02877745034157887</v>
      </c>
      <c r="AP283" s="1067">
        <v>0.030269620788521256</v>
      </c>
      <c r="AQ283" s="610"/>
      <c r="AR283" s="110"/>
      <c r="AS283" s="1072">
        <v>0.85</v>
      </c>
      <c r="AT283" s="1108">
        <v>0.09676777449726308</v>
      </c>
      <c r="AU283" s="1108">
        <v>0.11856053765515781</v>
      </c>
      <c r="AV283" s="1108">
        <v>0.12582479204112273</v>
      </c>
      <c r="AW283" s="1108">
        <v>0.12945691923410518</v>
      </c>
      <c r="AX283" s="1108">
        <v>0.13163619554989467</v>
      </c>
      <c r="AY283" s="1108">
        <v>0.1359947481814736</v>
      </c>
      <c r="AZ283" s="1108">
        <v>0.13744759905866658</v>
      </c>
      <c r="BA283" s="1108">
        <v>0.1359947481814736</v>
      </c>
      <c r="BB283" s="1108">
        <v>0.1368664587077894</v>
      </c>
      <c r="BC283" s="1108">
        <v>0.13744759905866658</v>
      </c>
      <c r="BD283" s="1108">
        <v>0.13661739855741345</v>
      </c>
      <c r="BE283" s="1108">
        <v>0.13708438633936837</v>
      </c>
      <c r="BF283" s="1108">
        <v>0.1374475990586666</v>
      </c>
      <c r="BG283" s="1109">
        <v>0.1368664587077894</v>
      </c>
      <c r="BH283" s="610"/>
      <c r="BI283" s="110"/>
      <c r="BJ283" s="1056">
        <f t="shared" si="31"/>
        <v>2000000</v>
      </c>
      <c r="BK283" s="1073">
        <v>0.04402930478912686</v>
      </c>
      <c r="BL283" s="1073">
        <v>0.07505916839823956</v>
      </c>
      <c r="BM283" s="1073">
        <v>0.0854024562679438</v>
      </c>
      <c r="BN283" s="1073">
        <v>0.09057410020279592</v>
      </c>
      <c r="BO283" s="1073">
        <v>0.09367708656370718</v>
      </c>
      <c r="BP283" s="1073">
        <v>0.09988305928552974</v>
      </c>
      <c r="BQ283" s="1073">
        <v>0.10195171685947058</v>
      </c>
      <c r="BR283" s="1073">
        <v>0.102986045646441</v>
      </c>
      <c r="BS283" s="1073">
        <v>0.10360664291862326</v>
      </c>
      <c r="BT283" s="1073">
        <v>0.10402037443341143</v>
      </c>
      <c r="BU283" s="1073">
        <v>0.10431589694397439</v>
      </c>
      <c r="BV283" s="1073">
        <v>0.10453753882689663</v>
      </c>
      <c r="BW283" s="1073">
        <v>0.10470992695805838</v>
      </c>
      <c r="BX283" s="1074">
        <v>0.10484783746298777</v>
      </c>
      <c r="BY283" s="11"/>
    </row>
    <row r="284">
      <c r="R284" s="221"/>
      <c r="S284" s="220"/>
      <c r="T284" s="220"/>
      <c r="U284" s="110"/>
      <c r="V284" s="1056">
        <f t="shared" si="29"/>
        <v>3500000</v>
      </c>
      <c r="W284" s="1066">
        <v>0.017695770149435863</v>
      </c>
      <c r="X284" s="590">
        <v>0.03022635923528521</v>
      </c>
      <c r="Y284" s="590">
        <v>0.0427569483211346</v>
      </c>
      <c r="Z284" s="590">
        <v>0.05528753740698393</v>
      </c>
      <c r="AA284" s="590">
        <v>0.0678181264928333</v>
      </c>
      <c r="AB284" s="590">
        <v>0.08034871557868269</v>
      </c>
      <c r="AC284" s="1067">
        <v>0.09287930466453201</v>
      </c>
      <c r="AD284" s="577"/>
      <c r="AE284" s="110"/>
      <c r="AF284" s="1056">
        <f t="shared" si="30"/>
        <v>3500000</v>
      </c>
      <c r="AG284" s="590">
        <v>0.002040154995784636</v>
      </c>
      <c r="AH284" s="590">
        <v>0.005713613407470563</v>
      </c>
      <c r="AI284" s="590">
        <v>0.009315626121991093</v>
      </c>
      <c r="AJ284" s="590">
        <v>0.0128601814547912</v>
      </c>
      <c r="AK284" s="1066">
        <v>0.016361267721315922</v>
      </c>
      <c r="AL284" s="590">
        <v>0.01775266427202838</v>
      </c>
      <c r="AM284" s="590">
        <v>0.01914023915479647</v>
      </c>
      <c r="AN284" s="590">
        <v>0.020524887621808662</v>
      </c>
      <c r="AO284" s="590">
        <v>0.021907504925253438</v>
      </c>
      <c r="AP284" s="1067">
        <v>0.023288986317319287</v>
      </c>
      <c r="AQ284" s="610"/>
      <c r="AR284" s="110"/>
      <c r="AS284" s="1080">
        <v>0.9</v>
      </c>
      <c r="AT284" s="1113">
        <v>0.1032515462068881</v>
      </c>
      <c r="AU284" s="1113">
        <v>0.12504430936478284</v>
      </c>
      <c r="AV284" s="1113">
        <v>0.13230856375074776</v>
      </c>
      <c r="AW284" s="1113">
        <v>0.1359406909437302</v>
      </c>
      <c r="AX284" s="1113">
        <v>0.13811996725951967</v>
      </c>
      <c r="AY284" s="1113">
        <v>0.1424785198910986</v>
      </c>
      <c r="AZ284" s="1113">
        <v>0.14393137076829163</v>
      </c>
      <c r="BA284" s="1113">
        <v>0.1424785198910986</v>
      </c>
      <c r="BB284" s="1113">
        <v>0.14335023041741443</v>
      </c>
      <c r="BC284" s="1113">
        <v>0.14393137076829163</v>
      </c>
      <c r="BD284" s="1113">
        <v>0.14310117026703847</v>
      </c>
      <c r="BE284" s="1113">
        <v>0.14356815804899337</v>
      </c>
      <c r="BF284" s="1113">
        <v>0.1439313707682916</v>
      </c>
      <c r="BG284" s="1114">
        <v>0.14335023041741443</v>
      </c>
      <c r="BH284" s="610"/>
      <c r="BI284" s="110"/>
      <c r="BJ284" s="1056">
        <f t="shared" si="31"/>
        <v>2500000</v>
      </c>
      <c r="BK284" s="1073">
        <v>0.03282918767601083</v>
      </c>
      <c r="BL284" s="1073">
        <v>0.06385905128512354</v>
      </c>
      <c r="BM284" s="1073">
        <v>0.07420233915482777</v>
      </c>
      <c r="BN284" s="1073">
        <v>0.0793739830896799</v>
      </c>
      <c r="BO284" s="1073">
        <v>0.08247696945059116</v>
      </c>
      <c r="BP284" s="1073">
        <v>0.08868294217241371</v>
      </c>
      <c r="BQ284" s="1073">
        <v>0.09075159974635455</v>
      </c>
      <c r="BR284" s="1073">
        <v>0.09178592853332497</v>
      </c>
      <c r="BS284" s="1073">
        <v>0.09240652580550723</v>
      </c>
      <c r="BT284" s="1073">
        <v>0.09282025732029539</v>
      </c>
      <c r="BU284" s="1073">
        <v>0.09311577983085838</v>
      </c>
      <c r="BV284" s="1073">
        <v>0.09333742171378061</v>
      </c>
      <c r="BW284" s="1073">
        <v>0.09350980984494235</v>
      </c>
      <c r="BX284" s="1074">
        <v>0.09364772034987173</v>
      </c>
      <c r="BY284" s="11"/>
    </row>
    <row r="285">
      <c r="R285" s="222"/>
      <c r="S285" s="175"/>
      <c r="T285" s="175"/>
      <c r="U285" s="110"/>
      <c r="V285" s="1056">
        <f t="shared" si="29"/>
        <v>4000000</v>
      </c>
      <c r="W285" s="1066">
        <v>0.01251627394191549</v>
      </c>
      <c r="X285" s="590">
        <v>0.024237566745339747</v>
      </c>
      <c r="Y285" s="590">
        <v>0.035958859548764044</v>
      </c>
      <c r="Z285" s="590">
        <v>0.047680152352188344</v>
      </c>
      <c r="AA285" s="590">
        <v>0.059401445155612624</v>
      </c>
      <c r="AB285" s="590">
        <v>0.07112273795903692</v>
      </c>
      <c r="AC285" s="1067">
        <v>0.08284403076246125</v>
      </c>
      <c r="AD285" s="577"/>
      <c r="AE285" s="110"/>
      <c r="AF285" s="1056">
        <f t="shared" si="30"/>
        <v>4000000</v>
      </c>
      <c r="AG285" s="590">
        <v>-0.0022144027902810753</v>
      </c>
      <c r="AH285" s="590">
        <v>0.001221802909991813</v>
      </c>
      <c r="AI285" s="590">
        <v>0.004591177280126652</v>
      </c>
      <c r="AJ285" s="590">
        <v>0.007906805191076761</v>
      </c>
      <c r="AK285" s="1066">
        <v>0.011181771513795543</v>
      </c>
      <c r="AL285" s="590">
        <v>0.012483303809271812</v>
      </c>
      <c r="AM285" s="590">
        <v>0.013781261261724598</v>
      </c>
      <c r="AN285" s="590">
        <v>0.015076481302894962</v>
      </c>
      <c r="AO285" s="590">
        <v>0.016369801364523855</v>
      </c>
      <c r="AP285" s="1067">
        <v>0.01766205887835232</v>
      </c>
      <c r="AQ285" s="610"/>
      <c r="AR285" s="110"/>
      <c r="AS285" s="1072">
        <v>0.92</v>
      </c>
      <c r="AT285" s="1108">
        <v>0.10582831721611384</v>
      </c>
      <c r="AU285" s="1108">
        <v>0.12762108037400857</v>
      </c>
      <c r="AV285" s="1108">
        <v>0.1348853347599735</v>
      </c>
      <c r="AW285" s="1108">
        <v>0.13851746195295594</v>
      </c>
      <c r="AX285" s="1108">
        <v>0.14069673826874543</v>
      </c>
      <c r="AY285" s="1108">
        <v>0.14505529090032437</v>
      </c>
      <c r="AZ285" s="1108">
        <v>0.14650814177751734</v>
      </c>
      <c r="BA285" s="1108">
        <v>0.14505529090032437</v>
      </c>
      <c r="BB285" s="1108">
        <v>0.14592700142664014</v>
      </c>
      <c r="BC285" s="1108">
        <v>0.14650814177751734</v>
      </c>
      <c r="BD285" s="1108">
        <v>0.1456779412762642</v>
      </c>
      <c r="BE285" s="1108">
        <v>0.1461449290582191</v>
      </c>
      <c r="BF285" s="1108">
        <v>0.14650814177751734</v>
      </c>
      <c r="BG285" s="1109">
        <v>0.14592700142664014</v>
      </c>
      <c r="BH285" s="610"/>
      <c r="BI285" s="110"/>
      <c r="BJ285" s="1056">
        <f t="shared" si="31"/>
        <v>3000000</v>
      </c>
      <c r="BK285" s="1073">
        <v>0.02456160468970979</v>
      </c>
      <c r="BL285" s="1073">
        <v>0.0555914682988225</v>
      </c>
      <c r="BM285" s="1073">
        <v>0.06593475616852673</v>
      </c>
      <c r="BN285" s="1073">
        <v>0.07110640010337886</v>
      </c>
      <c r="BO285" s="1073">
        <v>0.07420938646429012</v>
      </c>
      <c r="BP285" s="1073">
        <v>0.08041535918611267</v>
      </c>
      <c r="BQ285" s="1073">
        <v>0.08248401676005351</v>
      </c>
      <c r="BR285" s="1073">
        <v>0.08351834554702393</v>
      </c>
      <c r="BS285" s="1073">
        <v>0.0841389428192062</v>
      </c>
      <c r="BT285" s="1073">
        <v>0.08455267433399437</v>
      </c>
      <c r="BU285" s="1073">
        <v>0.08484819684455734</v>
      </c>
      <c r="BV285" s="1073">
        <v>0.08506983872747957</v>
      </c>
      <c r="BW285" s="1073">
        <v>0.0852422268586413</v>
      </c>
      <c r="BX285" s="1074">
        <v>0.08538013736357071</v>
      </c>
      <c r="BY285" s="11"/>
    </row>
    <row r="286">
      <c r="R286" s="221"/>
      <c r="S286" s="220"/>
      <c r="T286" s="220"/>
      <c r="U286" s="110"/>
      <c r="V286" s="1056">
        <f t="shared" si="29"/>
        <v>4500000</v>
      </c>
      <c r="W286" s="1068">
        <v>0.008226021338234841</v>
      </c>
      <c r="X286" s="591">
        <v>0.019276962172334027</v>
      </c>
      <c r="Y286" s="591">
        <v>0.030327903006433225</v>
      </c>
      <c r="Z286" s="591">
        <v>0.04137884384053243</v>
      </c>
      <c r="AA286" s="591">
        <v>0.0524297846746316</v>
      </c>
      <c r="AB286" s="591">
        <v>0.06348072550873082</v>
      </c>
      <c r="AC286" s="1069">
        <v>0.07453166634283001</v>
      </c>
      <c r="AD286" s="577"/>
      <c r="AE286" s="110"/>
      <c r="AF286" s="1056">
        <f t="shared" si="30"/>
        <v>4500000</v>
      </c>
      <c r="AG286" s="591">
        <v>-0.005738515346377836</v>
      </c>
      <c r="AH286" s="591">
        <v>-0.00249882954342472</v>
      </c>
      <c r="AI286" s="591">
        <v>6.778470772132716E-4</v>
      </c>
      <c r="AJ286" s="591">
        <v>0.0038038510501788823</v>
      </c>
      <c r="AK286" s="1068">
        <v>0.006891518910114891</v>
      </c>
      <c r="AL286" s="591">
        <v>0.008118615326200986</v>
      </c>
      <c r="AM286" s="591">
        <v>0.009342341347962305</v>
      </c>
      <c r="AN286" s="591">
        <v>0.010563486513615999</v>
      </c>
      <c r="AO286" s="591">
        <v>0.011782840361379209</v>
      </c>
      <c r="AP286" s="1069">
        <v>0.013001192429469045</v>
      </c>
      <c r="AQ286" s="610"/>
      <c r="AR286" s="110"/>
      <c r="AS286" s="1072">
        <v>0.94</v>
      </c>
      <c r="AT286" s="1108">
        <v>0.10839801075834364</v>
      </c>
      <c r="AU286" s="1108">
        <v>0.13019077391623837</v>
      </c>
      <c r="AV286" s="1108">
        <v>0.1374550283022033</v>
      </c>
      <c r="AW286" s="1108">
        <v>0.14108715549518575</v>
      </c>
      <c r="AX286" s="1108">
        <v>0.14326643181097523</v>
      </c>
      <c r="AY286" s="1108">
        <v>0.14762498444255417</v>
      </c>
      <c r="AZ286" s="1108">
        <v>0.14907783531974714</v>
      </c>
      <c r="BA286" s="1108">
        <v>0.14762498444255417</v>
      </c>
      <c r="BB286" s="1108">
        <v>0.14849669496886997</v>
      </c>
      <c r="BC286" s="1108">
        <v>0.14907783531974714</v>
      </c>
      <c r="BD286" s="1108">
        <v>0.148247634818494</v>
      </c>
      <c r="BE286" s="1108">
        <v>0.1487146226004489</v>
      </c>
      <c r="BF286" s="1108">
        <v>0.14907783531974717</v>
      </c>
      <c r="BG286" s="1109">
        <v>0.14849669496886997</v>
      </c>
      <c r="BH286" s="610"/>
      <c r="BI286" s="110"/>
      <c r="BJ286" s="1056">
        <f t="shared" si="31"/>
        <v>3500000</v>
      </c>
      <c r="BK286" s="1073">
        <v>0.01813604293121045</v>
      </c>
      <c r="BL286" s="1073">
        <v>0.049165906540323163</v>
      </c>
      <c r="BM286" s="1073">
        <v>0.05950919441002739</v>
      </c>
      <c r="BN286" s="1073">
        <v>0.06468083834487952</v>
      </c>
      <c r="BO286" s="1073">
        <v>0.06778382470579078</v>
      </c>
      <c r="BP286" s="1073">
        <v>0.07398979742761333</v>
      </c>
      <c r="BQ286" s="1073">
        <v>0.07605845500155417</v>
      </c>
      <c r="BR286" s="1073">
        <v>0.0770927837885246</v>
      </c>
      <c r="BS286" s="1073">
        <v>0.07771338106070685</v>
      </c>
      <c r="BT286" s="1073">
        <v>0.07812711257549501</v>
      </c>
      <c r="BU286" s="1073">
        <v>0.078422635086058</v>
      </c>
      <c r="BV286" s="1073">
        <v>0.07864427696898023</v>
      </c>
      <c r="BW286" s="1073">
        <v>0.07881666510014197</v>
      </c>
      <c r="BX286" s="1074">
        <v>0.07895457560507135</v>
      </c>
      <c r="BY286" s="11"/>
    </row>
    <row r="287">
      <c r="R287" s="221"/>
      <c r="S287" s="220"/>
      <c r="T287" s="220"/>
      <c r="U287" s="110"/>
      <c r="V287" s="1056">
        <f t="shared" si="29"/>
        <v>5000000</v>
      </c>
      <c r="W287" s="1066">
        <v>0.004596595181147639</v>
      </c>
      <c r="X287" s="590">
        <v>0.015080438178201943</v>
      </c>
      <c r="Y287" s="590">
        <v>0.02556428117525626</v>
      </c>
      <c r="Z287" s="590">
        <v>0.03604812417231062</v>
      </c>
      <c r="AA287" s="590">
        <v>0.046531967169364905</v>
      </c>
      <c r="AB287" s="590">
        <v>0.05701581016641922</v>
      </c>
      <c r="AC287" s="1067">
        <v>0.06749965316347352</v>
      </c>
      <c r="AD287" s="594"/>
      <c r="AE287" s="110"/>
      <c r="AF287" s="1056">
        <f t="shared" si="30"/>
        <v>5000000</v>
      </c>
      <c r="AG287" s="590">
        <v>-0.008719809799912815</v>
      </c>
      <c r="AH287" s="590">
        <v>-0.005646373987719825</v>
      </c>
      <c r="AI287" s="590">
        <v>-0.0026327139344130067</v>
      </c>
      <c r="AJ287" s="590">
        <v>3.3287382437902405E-4</v>
      </c>
      <c r="AK287" s="1066">
        <v>0.003262092753027688</v>
      </c>
      <c r="AL287" s="590">
        <v>0.00442621862806619</v>
      </c>
      <c r="AM287" s="590">
        <v>0.0055871470663009576</v>
      </c>
      <c r="AN287" s="590">
        <v>0.006745627089451734</v>
      </c>
      <c r="AO287" s="590">
        <v>0.007902407719238318</v>
      </c>
      <c r="AP287" s="1067">
        <v>0.009058237977380456</v>
      </c>
      <c r="AQ287" s="610"/>
      <c r="AR287" s="110"/>
      <c r="AS287" s="1072">
        <v>0.96</v>
      </c>
      <c r="AT287" s="1108">
        <v>0.11096228477924651</v>
      </c>
      <c r="AU287" s="1108">
        <v>0.13275504793714124</v>
      </c>
      <c r="AV287" s="1108">
        <v>0.14001930232310617</v>
      </c>
      <c r="AW287" s="1108">
        <v>0.1436514295160886</v>
      </c>
      <c r="AX287" s="1108">
        <v>0.14583070583187807</v>
      </c>
      <c r="AY287" s="1108">
        <v>0.15018925846345701</v>
      </c>
      <c r="AZ287" s="1108">
        <v>0.15164210934065</v>
      </c>
      <c r="BA287" s="1108">
        <v>0.15018925846345701</v>
      </c>
      <c r="BB287" s="1108">
        <v>0.1510609689897728</v>
      </c>
      <c r="BC287" s="1108">
        <v>0.15164210934065</v>
      </c>
      <c r="BD287" s="1108">
        <v>0.15081190883939688</v>
      </c>
      <c r="BE287" s="1108">
        <v>0.15127889662135177</v>
      </c>
      <c r="BF287" s="1108">
        <v>0.15164210934065</v>
      </c>
      <c r="BG287" s="1109">
        <v>0.1510609689897728</v>
      </c>
      <c r="BH287" s="610"/>
      <c r="BI287" s="110"/>
      <c r="BJ287" s="1056">
        <f t="shared" si="31"/>
        <v>4000000</v>
      </c>
      <c r="BK287" s="1073">
        <v>0.012956546723690067</v>
      </c>
      <c r="BL287" s="1073">
        <v>0.043986410332802775</v>
      </c>
      <c r="BM287" s="1073">
        <v>0.05432969820250701</v>
      </c>
      <c r="BN287" s="1073">
        <v>0.05950134213735913</v>
      </c>
      <c r="BO287" s="1073">
        <v>0.06260432849827041</v>
      </c>
      <c r="BP287" s="1073">
        <v>0.06881030122009295</v>
      </c>
      <c r="BQ287" s="1073">
        <v>0.07087895879403379</v>
      </c>
      <c r="BR287" s="1073">
        <v>0.07191328758100422</v>
      </c>
      <c r="BS287" s="1073">
        <v>0.07253388485318647</v>
      </c>
      <c r="BT287" s="1073">
        <v>0.07294761636797464</v>
      </c>
      <c r="BU287" s="1073">
        <v>0.07324313887853762</v>
      </c>
      <c r="BV287" s="1073">
        <v>0.07346478076145985</v>
      </c>
      <c r="BW287" s="1073">
        <v>0.07363716889262159</v>
      </c>
      <c r="BX287" s="1074">
        <v>0.07377507939755097</v>
      </c>
      <c r="BY287" s="11"/>
    </row>
    <row r="288">
      <c r="R288" s="221"/>
      <c r="S288" s="220"/>
      <c r="T288" s="220"/>
      <c r="U288" s="110"/>
      <c r="V288" s="1056">
        <f t="shared" si="29"/>
        <v>5500000</v>
      </c>
      <c r="W288" s="1066">
        <v>0.0014740933709803635</v>
      </c>
      <c r="X288" s="590">
        <v>0.011470045460196051</v>
      </c>
      <c r="Y288" s="590">
        <v>0.02146599754941171</v>
      </c>
      <c r="Z288" s="590">
        <v>0.03146194963862738</v>
      </c>
      <c r="AA288" s="590">
        <v>0.04145790172784309</v>
      </c>
      <c r="AB288" s="590">
        <v>0.051453853817058776</v>
      </c>
      <c r="AC288" s="1067">
        <v>0.06144980590627446</v>
      </c>
      <c r="AD288" s="577"/>
      <c r="AE288" s="110"/>
      <c r="AF288" s="1056">
        <f t="shared" si="30"/>
        <v>5500000</v>
      </c>
      <c r="AG288" s="590">
        <v>-0.011284704889354593</v>
      </c>
      <c r="AH288" s="590">
        <v>-0.008354298821980955</v>
      </c>
      <c r="AI288" s="590">
        <v>-0.005480886704449027</v>
      </c>
      <c r="AJ288" s="590">
        <v>-0.0026533097213161504</v>
      </c>
      <c r="AK288" s="1066">
        <v>1.3959094286041446E-4</v>
      </c>
      <c r="AL288" s="590">
        <v>0.001249541413882427</v>
      </c>
      <c r="AM288" s="590">
        <v>0.0023564432485305787</v>
      </c>
      <c r="AN288" s="590">
        <v>0.003461010610993225</v>
      </c>
      <c r="AO288" s="590">
        <v>0.004563957665458693</v>
      </c>
      <c r="AP288" s="1067">
        <v>0.005665998576115312</v>
      </c>
      <c r="AQ288" s="610"/>
      <c r="AR288" s="110"/>
      <c r="AS288" s="1072">
        <v>0.98</v>
      </c>
      <c r="AT288" s="600">
        <v>0.11352279722449164</v>
      </c>
      <c r="AU288" s="600">
        <v>0.13531556038238637</v>
      </c>
      <c r="AV288" s="600">
        <v>0.1425798147683513</v>
      </c>
      <c r="AW288" s="600">
        <v>0.14621194196133375</v>
      </c>
      <c r="AX288" s="600">
        <v>0.14839121827712323</v>
      </c>
      <c r="AY288" s="600">
        <v>0.15274977090870218</v>
      </c>
      <c r="AZ288" s="600">
        <v>0.15420262178589517</v>
      </c>
      <c r="BA288" s="600">
        <v>0.15274977090870218</v>
      </c>
      <c r="BB288" s="600">
        <v>0.15362148143501797</v>
      </c>
      <c r="BC288" s="600">
        <v>0.15420262178589517</v>
      </c>
      <c r="BD288" s="600">
        <v>0.15337242128464204</v>
      </c>
      <c r="BE288" s="600">
        <v>0.1538394090665969</v>
      </c>
      <c r="BF288" s="600">
        <v>0.15420262178589517</v>
      </c>
      <c r="BG288" s="1115">
        <v>0.15362148143501797</v>
      </c>
      <c r="BH288" s="610"/>
      <c r="BI288" s="110"/>
      <c r="BJ288" s="1056">
        <f t="shared" si="31"/>
        <v>4500000</v>
      </c>
      <c r="BK288" s="594">
        <v>0.008666294120009422</v>
      </c>
      <c r="BL288" s="594">
        <v>0.039696157729122133</v>
      </c>
      <c r="BM288" s="594">
        <v>0.05003944559882637</v>
      </c>
      <c r="BN288" s="594">
        <v>0.05521108953367849</v>
      </c>
      <c r="BO288" s="594">
        <v>0.05831407589458976</v>
      </c>
      <c r="BP288" s="594">
        <v>0.0645200486164123</v>
      </c>
      <c r="BQ288" s="594">
        <v>0.06658870619035315</v>
      </c>
      <c r="BR288" s="594">
        <v>0.06762303497732358</v>
      </c>
      <c r="BS288" s="594">
        <v>0.06824363224950583</v>
      </c>
      <c r="BT288" s="594">
        <v>0.06865736376429399</v>
      </c>
      <c r="BU288" s="594">
        <v>0.06895288627485698</v>
      </c>
      <c r="BV288" s="594">
        <v>0.0691745281577792</v>
      </c>
      <c r="BW288" s="594">
        <v>0.06934691628894095</v>
      </c>
      <c r="BX288" s="1083">
        <v>0.06948482679387033</v>
      </c>
      <c r="BY288" s="11"/>
    </row>
    <row r="289">
      <c r="R289" s="221"/>
      <c r="S289" s="220"/>
      <c r="T289" s="220"/>
      <c r="U289" s="110"/>
      <c r="V289" s="1056">
        <f t="shared" si="29"/>
        <v>6000000</v>
      </c>
      <c r="W289" s="1066">
        <v>-0.0012494688124883356</v>
      </c>
      <c r="X289" s="590">
        <v>0.008320926685560356</v>
      </c>
      <c r="Y289" s="590">
        <v>0.01789132218360902</v>
      </c>
      <c r="Z289" s="590">
        <v>0.02746171768165774</v>
      </c>
      <c r="AA289" s="590">
        <v>0.03703211317970645</v>
      </c>
      <c r="AB289" s="590">
        <v>0.04660250867775514</v>
      </c>
      <c r="AC289" s="1067">
        <v>0.05617290417580383</v>
      </c>
      <c r="AD289" s="577"/>
      <c r="AE289" s="110"/>
      <c r="AF289" s="1056">
        <f t="shared" si="30"/>
        <v>6000000</v>
      </c>
      <c r="AG289" s="590">
        <v>-0.013521901757398709</v>
      </c>
      <c r="AH289" s="590">
        <v>-0.010716251551761525</v>
      </c>
      <c r="AI289" s="590">
        <v>-0.007965168898680914</v>
      </c>
      <c r="AJ289" s="590">
        <v>-0.005257970045761615</v>
      </c>
      <c r="AK289" s="1066">
        <v>-0.002583971240608282</v>
      </c>
      <c r="AL289" s="590">
        <v>-0.0015212745713848908</v>
      </c>
      <c r="AM289" s="590">
        <v>-4.614967492675241E-4</v>
      </c>
      <c r="AN289" s="590">
        <v>5.960459858971161E-4</v>
      </c>
      <c r="AO289" s="590">
        <v>0.0016520373942623685</v>
      </c>
      <c r="AP289" s="1067">
        <v>0.002707161235981476</v>
      </c>
      <c r="AQ289" s="610"/>
      <c r="AR289" s="146"/>
      <c r="AS289" s="1084">
        <v>1.0</v>
      </c>
      <c r="AT289" s="1116">
        <v>0.11608120603974803</v>
      </c>
      <c r="AU289" s="1116">
        <v>0.13787396919764278</v>
      </c>
      <c r="AV289" s="1116">
        <v>0.14513822358360767</v>
      </c>
      <c r="AW289" s="1116">
        <v>0.14877035077659012</v>
      </c>
      <c r="AX289" s="1116">
        <v>0.15094962709237958</v>
      </c>
      <c r="AY289" s="1116">
        <v>0.15530817972395852</v>
      </c>
      <c r="AZ289" s="1116">
        <v>0.1567610306011515</v>
      </c>
      <c r="BA289" s="1116">
        <v>0.15530817972395852</v>
      </c>
      <c r="BB289" s="1116">
        <v>0.15617989025027432</v>
      </c>
      <c r="BC289" s="1116">
        <v>0.1567610306011515</v>
      </c>
      <c r="BD289" s="1116">
        <v>0.1559308300998984</v>
      </c>
      <c r="BE289" s="1116">
        <v>0.15639781788185328</v>
      </c>
      <c r="BF289" s="1116">
        <v>0.15676103060115154</v>
      </c>
      <c r="BG289" s="1117">
        <v>0.15617989025027432</v>
      </c>
      <c r="BH289" s="610"/>
      <c r="BI289" s="110"/>
      <c r="BJ289" s="1056">
        <f t="shared" si="31"/>
        <v>5000000</v>
      </c>
      <c r="BK289" s="577">
        <v>0.005036867962922215</v>
      </c>
      <c r="BL289" s="577">
        <v>0.036066731572034924</v>
      </c>
      <c r="BM289" s="577">
        <v>0.046410019441739156</v>
      </c>
      <c r="BN289" s="577">
        <v>0.05158166337659128</v>
      </c>
      <c r="BO289" s="577">
        <v>0.05468464973750255</v>
      </c>
      <c r="BP289" s="577">
        <v>0.06089062245932509</v>
      </c>
      <c r="BQ289" s="577">
        <v>0.06295928003326594</v>
      </c>
      <c r="BR289" s="577">
        <v>0.06399360882023636</v>
      </c>
      <c r="BS289" s="577">
        <v>0.06461420609241862</v>
      </c>
      <c r="BT289" s="577">
        <v>0.06502793760720678</v>
      </c>
      <c r="BU289" s="577">
        <v>0.06532346011776977</v>
      </c>
      <c r="BV289" s="577">
        <v>0.065545102000692</v>
      </c>
      <c r="BW289" s="577">
        <v>0.06571749013185374</v>
      </c>
      <c r="BX289" s="1087">
        <v>0.06585540063678312</v>
      </c>
      <c r="BY289" s="11"/>
    </row>
    <row r="290">
      <c r="R290" s="221"/>
      <c r="S290" s="220"/>
      <c r="T290" s="220"/>
      <c r="U290" s="110"/>
      <c r="V290" s="1056">
        <f t="shared" si="29"/>
        <v>6500000</v>
      </c>
      <c r="W290" s="1066">
        <v>-0.003652393128177081</v>
      </c>
      <c r="X290" s="590">
        <v>0.00554254544554523</v>
      </c>
      <c r="Y290" s="590">
        <v>0.014737484019267569</v>
      </c>
      <c r="Z290" s="590">
        <v>0.02393242259298989</v>
      </c>
      <c r="AA290" s="590">
        <v>0.033127361166712214</v>
      </c>
      <c r="AB290" s="590">
        <v>0.04232229974043453</v>
      </c>
      <c r="AC290" s="1067">
        <v>0.051517238314156895</v>
      </c>
      <c r="AD290" s="577"/>
      <c r="AE290" s="110"/>
      <c r="AF290" s="1056">
        <f t="shared" si="30"/>
        <v>6500000</v>
      </c>
      <c r="AG290" s="590">
        <v>-0.015495719276908864</v>
      </c>
      <c r="AH290" s="590">
        <v>-0.012800137750999585</v>
      </c>
      <c r="AI290" s="590">
        <v>-0.010156983033781607</v>
      </c>
      <c r="AJ290" s="590">
        <v>-0.007555990507974291</v>
      </c>
      <c r="AK290" s="1066">
        <v>-0.004986895556297028</v>
      </c>
      <c r="AL290" s="590">
        <v>-0.003965889622111684</v>
      </c>
      <c r="AM290" s="590">
        <v>-0.002947688025516303</v>
      </c>
      <c r="AN290" s="590">
        <v>-0.0019316338310049217</v>
      </c>
      <c r="AO290" s="590">
        <v>-9.170701030715408E-4</v>
      </c>
      <c r="AP290" s="1067">
        <v>9.66600937897085E-5</v>
      </c>
      <c r="AQ290" s="610"/>
      <c r="AR290" s="610"/>
      <c r="AS290" s="610"/>
      <c r="AT290" s="610"/>
      <c r="AU290" s="610"/>
      <c r="AV290" s="610"/>
      <c r="AW290" s="610"/>
      <c r="AX290" s="610"/>
      <c r="AY290" s="610"/>
      <c r="AZ290" s="610"/>
      <c r="BA290" s="610"/>
      <c r="BB290" s="610"/>
      <c r="BC290" s="610"/>
      <c r="BD290" s="610"/>
      <c r="BE290" s="610"/>
      <c r="BF290" s="610"/>
      <c r="BG290" s="610"/>
      <c r="BH290" s="610"/>
      <c r="BI290" s="110"/>
      <c r="BJ290" s="1056">
        <f t="shared" si="31"/>
        <v>5500000</v>
      </c>
      <c r="BK290" s="577">
        <v>0.0019143661527549409</v>
      </c>
      <c r="BL290" s="577">
        <v>0.03294422976186765</v>
      </c>
      <c r="BM290" s="577">
        <v>0.043287517631571897</v>
      </c>
      <c r="BN290" s="577">
        <v>0.048459161566424006</v>
      </c>
      <c r="BO290" s="577">
        <v>0.05156214792733528</v>
      </c>
      <c r="BP290" s="577">
        <v>0.057768120649157824</v>
      </c>
      <c r="BQ290" s="577">
        <v>0.05983677822309867</v>
      </c>
      <c r="BR290" s="577">
        <v>0.0608711070100691</v>
      </c>
      <c r="BS290" s="577">
        <v>0.06149170428225135</v>
      </c>
      <c r="BT290" s="577">
        <v>0.06190543579703952</v>
      </c>
      <c r="BU290" s="577">
        <v>0.06220095830760251</v>
      </c>
      <c r="BV290" s="577">
        <v>0.06242260019052473</v>
      </c>
      <c r="BW290" s="577">
        <v>0.06259498832168647</v>
      </c>
      <c r="BX290" s="1087">
        <v>0.06273289882661585</v>
      </c>
      <c r="BY290" s="11"/>
    </row>
    <row r="291">
      <c r="R291" s="221"/>
      <c r="S291" s="220"/>
      <c r="T291" s="220"/>
      <c r="U291" s="110"/>
      <c r="V291" s="1056">
        <f t="shared" si="29"/>
        <v>7000000</v>
      </c>
      <c r="W291" s="1066">
        <v>-0.005793027104856187</v>
      </c>
      <c r="X291" s="590">
        <v>0.0030674374100100226</v>
      </c>
      <c r="Y291" s="590">
        <v>0.011927901924876265</v>
      </c>
      <c r="Z291" s="590">
        <v>0.02078836643974247</v>
      </c>
      <c r="AA291" s="590">
        <v>0.0296488309546087</v>
      </c>
      <c r="AB291" s="590">
        <v>0.038509295469474916</v>
      </c>
      <c r="AC291" s="1067">
        <v>0.047369759984341134</v>
      </c>
      <c r="AD291" s="577"/>
      <c r="AE291" s="110"/>
      <c r="AF291" s="1056">
        <f t="shared" si="30"/>
        <v>7000000</v>
      </c>
      <c r="AG291" s="590">
        <v>-0.017254085455336274</v>
      </c>
      <c r="AH291" s="590">
        <v>-0.014656558102026377</v>
      </c>
      <c r="AI291" s="590">
        <v>-0.012109550485668764</v>
      </c>
      <c r="AJ291" s="590">
        <v>-0.009603171373554856</v>
      </c>
      <c r="AK291" s="1066">
        <v>-0.007127529532976131</v>
      </c>
      <c r="AL291" s="590">
        <v>-0.00614366359664778</v>
      </c>
      <c r="AM291" s="590">
        <v>-0.005162499987638336</v>
      </c>
      <c r="AN291" s="590">
        <v>-0.004183405667054474</v>
      </c>
      <c r="AO291" s="590">
        <v>-0.0032057475960027984</v>
      </c>
      <c r="AP291" s="1067">
        <v>-0.0022288927355900226</v>
      </c>
      <c r="AQ291" s="610"/>
      <c r="AR291" s="610"/>
      <c r="AS291" s="610"/>
      <c r="AT291" s="610"/>
      <c r="AU291" s="610"/>
      <c r="AV291" s="610"/>
      <c r="AW291" s="610"/>
      <c r="AX291" s="610"/>
      <c r="AY291" s="610"/>
      <c r="AZ291" s="610"/>
      <c r="BA291" s="610"/>
      <c r="BB291" s="610"/>
      <c r="BC291" s="610"/>
      <c r="BD291" s="610"/>
      <c r="BE291" s="610"/>
      <c r="BF291" s="610"/>
      <c r="BG291" s="610"/>
      <c r="BH291" s="610"/>
      <c r="BI291" s="110"/>
      <c r="BJ291" s="1056">
        <f t="shared" si="31"/>
        <v>6000000</v>
      </c>
      <c r="BK291" s="577">
        <v>-8.091960307137539E-4</v>
      </c>
      <c r="BL291" s="577">
        <v>0.030220667578398957</v>
      </c>
      <c r="BM291" s="577">
        <v>0.04056395544810319</v>
      </c>
      <c r="BN291" s="577">
        <v>0.045735599382955315</v>
      </c>
      <c r="BO291" s="577">
        <v>0.04883858574386658</v>
      </c>
      <c r="BP291" s="577">
        <v>0.05504455846568912</v>
      </c>
      <c r="BQ291" s="577">
        <v>0.05711321603962997</v>
      </c>
      <c r="BR291" s="577">
        <v>0.058147544826600395</v>
      </c>
      <c r="BS291" s="577">
        <v>0.058768142098782644</v>
      </c>
      <c r="BT291" s="577">
        <v>0.059181873613570815</v>
      </c>
      <c r="BU291" s="577">
        <v>0.059477396124133795</v>
      </c>
      <c r="BV291" s="577">
        <v>0.05969903800705603</v>
      </c>
      <c r="BW291" s="577">
        <v>0.05987142613821776</v>
      </c>
      <c r="BX291" s="1087">
        <v>0.06000933664314715</v>
      </c>
      <c r="BY291" s="11"/>
    </row>
    <row r="292">
      <c r="R292" s="222"/>
      <c r="S292" s="175"/>
      <c r="T292" s="175"/>
      <c r="U292" s="110"/>
      <c r="V292" s="1056">
        <f t="shared" si="29"/>
        <v>7500000</v>
      </c>
      <c r="W292" s="1066">
        <v>-0.007715859442701212</v>
      </c>
      <c r="X292" s="590">
        <v>8.441625193767293E-4</v>
      </c>
      <c r="Y292" s="590">
        <v>0.009404184481454645</v>
      </c>
      <c r="Z292" s="590">
        <v>0.0179642064435326</v>
      </c>
      <c r="AA292" s="590">
        <v>0.026524228405610552</v>
      </c>
      <c r="AB292" s="590">
        <v>0.03508425036768844</v>
      </c>
      <c r="AC292" s="1067">
        <v>0.0436442723297664</v>
      </c>
      <c r="AD292" s="577"/>
      <c r="AE292" s="110"/>
      <c r="AF292" s="1056">
        <f t="shared" si="30"/>
        <v>7500000</v>
      </c>
      <c r="AG292" s="590">
        <v>-0.018833544338306276</v>
      </c>
      <c r="AH292" s="590">
        <v>-0.016324094505949866</v>
      </c>
      <c r="AI292" s="590">
        <v>-0.013863451376346378</v>
      </c>
      <c r="AJ292" s="590">
        <v>-0.01144205911085158</v>
      </c>
      <c r="AK292" s="1066">
        <v>-0.00905036187082116</v>
      </c>
      <c r="AL292" s="590">
        <v>-0.008099857074082725</v>
      </c>
      <c r="AM292" s="590">
        <v>-0.007151962973562265</v>
      </c>
      <c r="AN292" s="590">
        <v>-0.006206067995586571</v>
      </c>
      <c r="AO292" s="590">
        <v>-0.0052615605664824055</v>
      </c>
      <c r="AP292" s="1067">
        <v>-0.004317829112576546</v>
      </c>
      <c r="AQ292" s="610"/>
      <c r="AR292" s="610"/>
      <c r="AS292" s="610"/>
      <c r="AT292" s="610"/>
      <c r="AU292" s="610"/>
      <c r="AV292" s="610"/>
      <c r="AW292" s="610"/>
      <c r="AX292" s="610"/>
      <c r="AY292" s="610"/>
      <c r="AZ292" s="610"/>
      <c r="BA292" s="610"/>
      <c r="BB292" s="610"/>
      <c r="BC292" s="610"/>
      <c r="BD292" s="610"/>
      <c r="BE292" s="610"/>
      <c r="BF292" s="610"/>
      <c r="BG292" s="610"/>
      <c r="BH292" s="610"/>
      <c r="BI292" s="110"/>
      <c r="BJ292" s="1056">
        <f t="shared" si="31"/>
        <v>6500000</v>
      </c>
      <c r="BK292" s="577">
        <v>-0.0032121203464025067</v>
      </c>
      <c r="BL292" s="577">
        <v>0.027817743262710203</v>
      </c>
      <c r="BM292" s="577">
        <v>0.038161031132414445</v>
      </c>
      <c r="BN292" s="577">
        <v>0.04333267506726656</v>
      </c>
      <c r="BO292" s="577">
        <v>0.04643566142817784</v>
      </c>
      <c r="BP292" s="577">
        <v>0.05264163415000037</v>
      </c>
      <c r="BQ292" s="577">
        <v>0.05471029172394122</v>
      </c>
      <c r="BR292" s="577">
        <v>0.05574462051091165</v>
      </c>
      <c r="BS292" s="577">
        <v>0.0563652177830939</v>
      </c>
      <c r="BT292" s="577">
        <v>0.05677894929788207</v>
      </c>
      <c r="BU292" s="577">
        <v>0.05707447180844504</v>
      </c>
      <c r="BV292" s="577">
        <v>0.05729611369136728</v>
      </c>
      <c r="BW292" s="577">
        <v>0.05746850182252902</v>
      </c>
      <c r="BX292" s="1087">
        <v>0.0576064123274584</v>
      </c>
      <c r="BY292" s="11"/>
    </row>
    <row r="293">
      <c r="R293" s="221"/>
      <c r="S293" s="220"/>
      <c r="T293" s="220"/>
      <c r="U293" s="110"/>
      <c r="V293" s="1056">
        <f t="shared" si="29"/>
        <v>8000000</v>
      </c>
      <c r="W293" s="1066">
        <v>-0.009455483996323863</v>
      </c>
      <c r="X293" s="590">
        <v>-0.0011672783707494662</v>
      </c>
      <c r="Y293" s="590">
        <v>0.007120927254824936</v>
      </c>
      <c r="Z293" s="590">
        <v>0.015409132880399311</v>
      </c>
      <c r="AA293" s="590">
        <v>0.02369733850597369</v>
      </c>
      <c r="AB293" s="590">
        <v>0.03198554413154809</v>
      </c>
      <c r="AC293" s="1067">
        <v>0.040273749757122494</v>
      </c>
      <c r="AD293" s="577"/>
      <c r="AE293" s="110"/>
      <c r="AF293" s="1056">
        <f t="shared" si="30"/>
        <v>8000000</v>
      </c>
      <c r="AG293" s="590">
        <v>-0.02026251211681337</v>
      </c>
      <c r="AH293" s="590">
        <v>-0.017832747764598526</v>
      </c>
      <c r="AI293" s="590">
        <v>-0.015450240299120037</v>
      </c>
      <c r="AJ293" s="590">
        <v>-0.013105737319395822</v>
      </c>
      <c r="AK293" s="1066">
        <v>-0.010789986424443808</v>
      </c>
      <c r="AL293" s="590">
        <v>-0.009869664112379242</v>
      </c>
      <c r="AM293" s="590">
        <v>-0.008951869596058261</v>
      </c>
      <c r="AN293" s="590">
        <v>-0.008036010721817987</v>
      </c>
      <c r="AO293" s="590">
        <v>-0.007121495335995589</v>
      </c>
      <c r="AP293" s="1067">
        <v>-0.00620773128492822</v>
      </c>
      <c r="AQ293" s="610"/>
      <c r="AR293" s="610"/>
      <c r="AS293" s="610"/>
      <c r="AT293" s="610"/>
      <c r="AU293" s="610"/>
      <c r="AV293" s="610"/>
      <c r="AW293" s="610"/>
      <c r="AX293" s="610"/>
      <c r="AY293" s="610"/>
      <c r="AZ293" s="610"/>
      <c r="BA293" s="610"/>
      <c r="BB293" s="610"/>
      <c r="BC293" s="610"/>
      <c r="BD293" s="610"/>
      <c r="BE293" s="610"/>
      <c r="BF293" s="610"/>
      <c r="BG293" s="610"/>
      <c r="BH293" s="610"/>
      <c r="BI293" s="110"/>
      <c r="BJ293" s="1056">
        <f t="shared" si="31"/>
        <v>7000000</v>
      </c>
      <c r="BK293" s="577">
        <v>-0.0053527543230816035</v>
      </c>
      <c r="BL293" s="577">
        <v>0.025677109286031105</v>
      </c>
      <c r="BM293" s="577">
        <v>0.036020397155735344</v>
      </c>
      <c r="BN293" s="577">
        <v>0.04119204109058746</v>
      </c>
      <c r="BO293" s="577">
        <v>0.04429502745149873</v>
      </c>
      <c r="BP293" s="577">
        <v>0.05050100017332127</v>
      </c>
      <c r="BQ293" s="577">
        <v>0.05256965774726212</v>
      </c>
      <c r="BR293" s="577">
        <v>0.05360398653423254</v>
      </c>
      <c r="BS293" s="577">
        <v>0.054224583806414796</v>
      </c>
      <c r="BT293" s="577">
        <v>0.05463831532120297</v>
      </c>
      <c r="BU293" s="577">
        <v>0.05493383783176595</v>
      </c>
      <c r="BV293" s="577">
        <v>0.05515547971468818</v>
      </c>
      <c r="BW293" s="577">
        <v>0.055327867845849914</v>
      </c>
      <c r="BX293" s="1087">
        <v>0.0554657783507793</v>
      </c>
      <c r="BY293" s="11"/>
    </row>
    <row r="294">
      <c r="R294" s="221"/>
      <c r="S294" s="220"/>
      <c r="T294" s="220"/>
      <c r="U294" s="110"/>
      <c r="V294" s="1056">
        <f t="shared" si="29"/>
        <v>8500000</v>
      </c>
      <c r="W294" s="1068">
        <v>-0.011039260625194579</v>
      </c>
      <c r="X294" s="591">
        <v>-0.002998520097881229</v>
      </c>
      <c r="Y294" s="591">
        <v>0.005042220429432134</v>
      </c>
      <c r="Z294" s="591">
        <v>0.013082960956745476</v>
      </c>
      <c r="AA294" s="591">
        <v>0.02112370148405882</v>
      </c>
      <c r="AB294" s="591">
        <v>0.029164442011372176</v>
      </c>
      <c r="AC294" s="1069">
        <v>0.037205182538685516</v>
      </c>
      <c r="AD294" s="577"/>
      <c r="AE294" s="110"/>
      <c r="AF294" s="1056">
        <f t="shared" si="30"/>
        <v>8500000</v>
      </c>
      <c r="AG294" s="591">
        <v>-0.0215634628112008</v>
      </c>
      <c r="AH294" s="591">
        <v>-0.019206245147779105</v>
      </c>
      <c r="AI294" s="591">
        <v>-0.016894873398604876</v>
      </c>
      <c r="AJ294" s="591">
        <v>-0.01462037141625705</v>
      </c>
      <c r="AK294" s="1068">
        <v>-0.012373763053314524</v>
      </c>
      <c r="AL294" s="591">
        <v>-0.011480919264548669</v>
      </c>
      <c r="AM294" s="591">
        <v>-0.010590527797865344</v>
      </c>
      <c r="AN294" s="591">
        <v>-0.009702014179829592</v>
      </c>
      <c r="AO294" s="591">
        <v>-0.008814803937006482</v>
      </c>
      <c r="AP294" s="1069">
        <v>-0.00792832259596105</v>
      </c>
      <c r="AQ294" s="610"/>
      <c r="AR294" s="610"/>
      <c r="AS294" s="610"/>
      <c r="AT294" s="610"/>
      <c r="AU294" s="610"/>
      <c r="AV294" s="610"/>
      <c r="AW294" s="610"/>
      <c r="AX294" s="610"/>
      <c r="AY294" s="610"/>
      <c r="AZ294" s="610"/>
      <c r="BA294" s="610"/>
      <c r="BB294" s="610"/>
      <c r="BC294" s="610"/>
      <c r="BD294" s="610"/>
      <c r="BE294" s="610"/>
      <c r="BF294" s="610"/>
      <c r="BG294" s="610"/>
      <c r="BH294" s="610"/>
      <c r="BI294" s="110"/>
      <c r="BJ294" s="1056">
        <f t="shared" si="31"/>
        <v>7500000</v>
      </c>
      <c r="BK294" s="577">
        <v>-0.007275586660926639</v>
      </c>
      <c r="BL294" s="577">
        <v>0.023754276948186073</v>
      </c>
      <c r="BM294" s="577">
        <v>0.03409756481789031</v>
      </c>
      <c r="BN294" s="577">
        <v>0.039269208752742424</v>
      </c>
      <c r="BO294" s="577">
        <v>0.0423721951136537</v>
      </c>
      <c r="BP294" s="577">
        <v>0.04857816783547624</v>
      </c>
      <c r="BQ294" s="577">
        <v>0.05064682540941709</v>
      </c>
      <c r="BR294" s="577">
        <v>0.05168115419638751</v>
      </c>
      <c r="BS294" s="577">
        <v>0.05230175146856977</v>
      </c>
      <c r="BT294" s="577">
        <v>0.05271548298335794</v>
      </c>
      <c r="BU294" s="577">
        <v>0.05301100549392092</v>
      </c>
      <c r="BV294" s="577">
        <v>0.05323264737684315</v>
      </c>
      <c r="BW294" s="577">
        <v>0.05340503550800489</v>
      </c>
      <c r="BX294" s="1087">
        <v>0.05354294601293428</v>
      </c>
      <c r="BY294" s="11"/>
    </row>
    <row r="295">
      <c r="R295" s="221"/>
      <c r="S295" s="220"/>
      <c r="T295" s="220"/>
      <c r="U295" s="1088"/>
      <c r="V295" s="1056">
        <f t="shared" si="29"/>
        <v>9000000</v>
      </c>
      <c r="W295" s="1066">
        <v>-0.01248915070538969</v>
      </c>
      <c r="X295" s="590">
        <v>-0.004674955503106834</v>
      </c>
      <c r="Y295" s="590">
        <v>0.003139239699176043</v>
      </c>
      <c r="Z295" s="590">
        <v>0.010953434901458885</v>
      </c>
      <c r="AA295" s="590">
        <v>0.018767630103741755</v>
      </c>
      <c r="AB295" s="590">
        <v>0.026581825306024598</v>
      </c>
      <c r="AC295" s="1067">
        <v>0.034396020508307465</v>
      </c>
      <c r="AD295" s="594"/>
      <c r="AE295" s="1104"/>
      <c r="AF295" s="1056">
        <f t="shared" si="30"/>
        <v>9000000</v>
      </c>
      <c r="AG295" s="590">
        <v>-0.02275443600289404</v>
      </c>
      <c r="AH295" s="590">
        <v>-0.020463632202712117</v>
      </c>
      <c r="AI295" s="590">
        <v>-0.018217382622622222</v>
      </c>
      <c r="AJ295" s="590">
        <v>-0.016006964015322138</v>
      </c>
      <c r="AK295" s="1066">
        <v>-0.013823653133509634</v>
      </c>
      <c r="AL295" s="590">
        <v>-0.012955964936525448</v>
      </c>
      <c r="AM295" s="590">
        <v>-0.012090659968223599</v>
      </c>
      <c r="AN295" s="590">
        <v>-0.011227179940776686</v>
      </c>
      <c r="AO295" s="590">
        <v>-0.010364966566357419</v>
      </c>
      <c r="AP295" s="1067">
        <v>-0.009503461557138439</v>
      </c>
      <c r="AQ295" s="610"/>
      <c r="AR295" s="610"/>
      <c r="AS295" s="610"/>
      <c r="AT295" s="610"/>
      <c r="AU295" s="610"/>
      <c r="AV295" s="610"/>
      <c r="AW295" s="610"/>
      <c r="AX295" s="610"/>
      <c r="AY295" s="610"/>
      <c r="AZ295" s="610"/>
      <c r="BA295" s="610"/>
      <c r="BB295" s="610"/>
      <c r="BC295" s="610"/>
      <c r="BD295" s="610"/>
      <c r="BE295" s="610"/>
      <c r="BF295" s="610"/>
      <c r="BG295" s="610"/>
      <c r="BH295" s="610"/>
      <c r="BI295" s="110"/>
      <c r="BJ295" s="1056">
        <f t="shared" si="31"/>
        <v>8000000</v>
      </c>
      <c r="BK295" s="577">
        <v>-0.007275586660926639</v>
      </c>
      <c r="BL295" s="577">
        <v>0.02201465239456343</v>
      </c>
      <c r="BM295" s="577">
        <v>0.034095465999520534</v>
      </c>
      <c r="BN295" s="577">
        <v>0.03752958419911978</v>
      </c>
      <c r="BO295" s="577">
        <v>0.040632570560031056</v>
      </c>
      <c r="BP295" s="577">
        <v>0.04683854328185359</v>
      </c>
      <c r="BQ295" s="577">
        <v>0.04890720085579444</v>
      </c>
      <c r="BR295" s="577">
        <v>0.04994152964276487</v>
      </c>
      <c r="BS295" s="577">
        <v>0.05056212691494712</v>
      </c>
      <c r="BT295" s="577">
        <v>0.05097585842973529</v>
      </c>
      <c r="BU295" s="577">
        <v>0.05127138094029826</v>
      </c>
      <c r="BV295" s="577">
        <v>0.0514930228232205</v>
      </c>
      <c r="BW295" s="577">
        <v>0.05166541095438224</v>
      </c>
      <c r="BX295" s="1087">
        <v>0.05180332145931163</v>
      </c>
      <c r="BY295" s="11"/>
    </row>
    <row r="296">
      <c r="R296" s="221"/>
      <c r="S296" s="220"/>
      <c r="T296" s="220"/>
      <c r="U296" s="1088"/>
      <c r="V296" s="1056">
        <f t="shared" si="29"/>
        <v>9500000</v>
      </c>
      <c r="W296" s="1068">
        <v>-0.01382301373283154</v>
      </c>
      <c r="X296" s="591">
        <v>-0.006217234628586456</v>
      </c>
      <c r="Y296" s="591">
        <v>0.0013885444756585954</v>
      </c>
      <c r="Z296" s="591">
        <v>0.008994323579903686</v>
      </c>
      <c r="AA296" s="591">
        <v>0.016600102684148764</v>
      </c>
      <c r="AB296" s="591">
        <v>0.024205881788393828</v>
      </c>
      <c r="AC296" s="1069">
        <v>0.03181166089263889</v>
      </c>
      <c r="AD296" s="577"/>
      <c r="AE296" s="1088"/>
      <c r="AF296" s="1056">
        <f t="shared" si="30"/>
        <v>9500000</v>
      </c>
      <c r="AG296" s="591">
        <v>-0.023850101894242325</v>
      </c>
      <c r="AH296" s="591">
        <v>-0.02162039720625874</v>
      </c>
      <c r="AI296" s="591">
        <v>-0.019434058411679375</v>
      </c>
      <c r="AJ296" s="591">
        <v>-0.01728259492505878</v>
      </c>
      <c r="AK296" s="1068">
        <v>-0.015157516160951486</v>
      </c>
      <c r="AL296" s="591">
        <v>-0.014312970486472497</v>
      </c>
      <c r="AM296" s="591">
        <v>-0.013470744476455873</v>
      </c>
      <c r="AN296" s="591">
        <v>-0.012630294733433085</v>
      </c>
      <c r="AO296" s="591">
        <v>-0.011791077859935621</v>
      </c>
      <c r="AP296" s="1069">
        <v>-0.010952550458494971</v>
      </c>
      <c r="AQ296" s="610"/>
      <c r="AR296" s="610"/>
      <c r="AS296" s="610"/>
      <c r="AT296" s="610"/>
      <c r="AU296" s="610"/>
      <c r="AV296" s="610"/>
      <c r="AW296" s="610"/>
      <c r="AX296" s="610"/>
      <c r="AY296" s="610"/>
      <c r="AZ296" s="610"/>
      <c r="BA296" s="610"/>
      <c r="BB296" s="610"/>
      <c r="BC296" s="610"/>
      <c r="BD296" s="610"/>
      <c r="BE296" s="610"/>
      <c r="BF296" s="610"/>
      <c r="BG296" s="610"/>
      <c r="BH296" s="610"/>
      <c r="BI296" s="110"/>
      <c r="BJ296" s="1056">
        <f t="shared" si="31"/>
        <v>8500000</v>
      </c>
      <c r="BK296" s="594">
        <v>-0.01059898784342</v>
      </c>
      <c r="BL296" s="594">
        <v>0.020430875765692712</v>
      </c>
      <c r="BM296" s="594">
        <v>0.030774163635396947</v>
      </c>
      <c r="BN296" s="594">
        <v>0.035945807570249066</v>
      </c>
      <c r="BO296" s="594">
        <v>0.03904879393116034</v>
      </c>
      <c r="BP296" s="594">
        <v>0.045254766652982885</v>
      </c>
      <c r="BQ296" s="594">
        <v>0.047323424226923726</v>
      </c>
      <c r="BR296" s="594">
        <v>0.04835775301389415</v>
      </c>
      <c r="BS296" s="594">
        <v>0.0489783502860764</v>
      </c>
      <c r="BT296" s="594">
        <v>0.04939208180086457</v>
      </c>
      <c r="BU296" s="594">
        <v>0.049687604311427554</v>
      </c>
      <c r="BV296" s="594">
        <v>0.04990924619434979</v>
      </c>
      <c r="BW296" s="594">
        <v>0.05008163432551152</v>
      </c>
      <c r="BX296" s="1083">
        <v>0.050219544830440915</v>
      </c>
      <c r="BY296" s="11"/>
    </row>
    <row r="297">
      <c r="R297" s="221"/>
      <c r="S297" s="220"/>
      <c r="T297" s="220"/>
      <c r="U297" s="1089"/>
      <c r="V297" s="1090">
        <f t="shared" si="29"/>
        <v>10000000</v>
      </c>
      <c r="W297" s="1105">
        <v>-0.015055542552881877</v>
      </c>
      <c r="X297" s="1106">
        <v>-0.0076423460767696735</v>
      </c>
      <c r="Y297" s="1106">
        <v>-2.291496006574548E-4</v>
      </c>
      <c r="Z297" s="1106">
        <v>0.007184046875454737</v>
      </c>
      <c r="AA297" s="1106">
        <v>0.014597243351566955</v>
      </c>
      <c r="AB297" s="1106">
        <v>0.022010439827679147</v>
      </c>
      <c r="AC297" s="1107">
        <v>0.029423636303791353</v>
      </c>
      <c r="AD297" s="569"/>
      <c r="AE297" s="1089"/>
      <c r="AF297" s="1090">
        <f t="shared" si="30"/>
        <v>10000000</v>
      </c>
      <c r="AG297" s="1106">
        <v>-0.024862529527702446</v>
      </c>
      <c r="AH297" s="1106">
        <v>-0.022689282223359208</v>
      </c>
      <c r="AI297" s="1106">
        <v>-0.02055830276347495</v>
      </c>
      <c r="AJ297" s="1106">
        <v>-0.018461315549029283</v>
      </c>
      <c r="AK297" s="1105">
        <v>-0.016390044981001824</v>
      </c>
      <c r="AL297" s="1106">
        <v>-0.015566883680607362</v>
      </c>
      <c r="AM297" s="1106">
        <v>-0.014745983309459256</v>
      </c>
      <c r="AN297" s="1106">
        <v>-0.013926814229220182</v>
      </c>
      <c r="AO297" s="1106">
        <v>-0.013108846801552847</v>
      </c>
      <c r="AP297" s="1107">
        <v>-0.012291551388119947</v>
      </c>
      <c r="AQ297" s="610"/>
      <c r="AR297" s="610"/>
      <c r="AS297" s="610"/>
      <c r="AT297" s="610"/>
      <c r="AU297" s="610"/>
      <c r="AV297" s="610"/>
      <c r="AW297" s="610"/>
      <c r="AX297" s="610"/>
      <c r="AY297" s="610"/>
      <c r="AZ297" s="610"/>
      <c r="BA297" s="610"/>
      <c r="BB297" s="610"/>
      <c r="BC297" s="610"/>
      <c r="BD297" s="610"/>
      <c r="BE297" s="610"/>
      <c r="BF297" s="610"/>
      <c r="BG297" s="610"/>
      <c r="BH297" s="610"/>
      <c r="BI297" s="1097"/>
      <c r="BJ297" s="1056">
        <f t="shared" si="31"/>
        <v>9000000</v>
      </c>
      <c r="BK297" s="577">
        <v>-0.01204887792361511</v>
      </c>
      <c r="BL297" s="577">
        <v>0.018980985685497602</v>
      </c>
      <c r="BM297" s="577">
        <v>0.029324273555201834</v>
      </c>
      <c r="BN297" s="577">
        <v>0.03449591749005396</v>
      </c>
      <c r="BO297" s="577">
        <v>0.03759890385096523</v>
      </c>
      <c r="BP297" s="577">
        <v>0.043804876572787775</v>
      </c>
      <c r="BQ297" s="577">
        <v>0.045873534146728616</v>
      </c>
      <c r="BR297" s="577">
        <v>0.04690786293369904</v>
      </c>
      <c r="BS297" s="577">
        <v>0.04752846020588129</v>
      </c>
      <c r="BT297" s="577">
        <v>0.047942191720669464</v>
      </c>
      <c r="BU297" s="577">
        <v>0.048237714231232444</v>
      </c>
      <c r="BV297" s="577">
        <v>0.04845935611415468</v>
      </c>
      <c r="BW297" s="577">
        <v>0.04863174424531641</v>
      </c>
      <c r="BX297" s="1087">
        <v>0.0487696547502458</v>
      </c>
      <c r="BY297" s="11"/>
    </row>
    <row r="298">
      <c r="R298" s="221"/>
      <c r="S298" s="220"/>
      <c r="T298" s="220"/>
      <c r="U298" s="610"/>
      <c r="V298" s="610"/>
      <c r="W298" s="610"/>
      <c r="X298" s="610"/>
      <c r="Y298" s="610"/>
      <c r="Z298" s="610"/>
      <c r="AA298" s="610"/>
      <c r="AB298" s="610"/>
      <c r="AC298" s="610"/>
      <c r="AD298" s="610"/>
      <c r="AE298" s="610"/>
      <c r="AF298" s="610"/>
      <c r="AG298" s="610"/>
      <c r="AH298" s="610"/>
      <c r="AI298" s="610"/>
      <c r="AJ298" s="610"/>
      <c r="AK298" s="610"/>
      <c r="AL298" s="610"/>
      <c r="AM298" s="610"/>
      <c r="AN298" s="610"/>
      <c r="AO298" s="610"/>
      <c r="AP298" s="610"/>
      <c r="AQ298" s="610"/>
      <c r="AR298" s="610"/>
      <c r="AS298" s="610"/>
      <c r="AT298" s="610"/>
      <c r="AU298" s="610"/>
      <c r="AV298" s="610"/>
      <c r="AW298" s="610"/>
      <c r="AX298" s="610"/>
      <c r="AY298" s="610"/>
      <c r="AZ298" s="610"/>
      <c r="BA298" s="610"/>
      <c r="BB298" s="610"/>
      <c r="BC298" s="610"/>
      <c r="BD298" s="610"/>
      <c r="BE298" s="610"/>
      <c r="BF298" s="610"/>
      <c r="BG298" s="610"/>
      <c r="BH298" s="610"/>
      <c r="BI298" s="1097"/>
      <c r="BJ298" s="1056">
        <f t="shared" si="31"/>
        <v>9500000</v>
      </c>
      <c r="BK298" s="594">
        <v>-0.013382740951056965</v>
      </c>
      <c r="BL298" s="594">
        <v>0.017647122658055747</v>
      </c>
      <c r="BM298" s="594">
        <v>0.027990410527759982</v>
      </c>
      <c r="BN298" s="594">
        <v>0.033162054462612105</v>
      </c>
      <c r="BO298" s="594">
        <v>0.03626504082352338</v>
      </c>
      <c r="BP298" s="594">
        <v>0.04247101354534592</v>
      </c>
      <c r="BQ298" s="594">
        <v>0.044539671119286764</v>
      </c>
      <c r="BR298" s="594">
        <v>0.04557399990625719</v>
      </c>
      <c r="BS298" s="594">
        <v>0.04619459717843944</v>
      </c>
      <c r="BT298" s="594">
        <v>0.04660832869322761</v>
      </c>
      <c r="BU298" s="594">
        <v>0.04690385120379059</v>
      </c>
      <c r="BV298" s="594">
        <v>0.04712549308671283</v>
      </c>
      <c r="BW298" s="594">
        <v>0.047297881217874566</v>
      </c>
      <c r="BX298" s="1083">
        <v>0.04743579172280395</v>
      </c>
      <c r="BY298" s="11"/>
    </row>
    <row r="299">
      <c r="R299" s="221"/>
      <c r="S299" s="220"/>
      <c r="T299" s="220"/>
      <c r="U299" s="610"/>
      <c r="V299" s="610"/>
      <c r="W299" s="610"/>
      <c r="X299" s="610"/>
      <c r="Y299" s="610"/>
      <c r="Z299" s="610"/>
      <c r="AA299" s="610"/>
      <c r="AB299" s="610"/>
      <c r="AC299" s="610"/>
      <c r="AD299" s="610"/>
      <c r="AE299" s="610"/>
      <c r="AF299" s="610"/>
      <c r="AG299" s="610"/>
      <c r="AH299" s="610"/>
      <c r="AI299" s="610"/>
      <c r="AJ299" s="610"/>
      <c r="AK299" s="610"/>
      <c r="AL299" s="610"/>
      <c r="AM299" s="610"/>
      <c r="AN299" s="610"/>
      <c r="AO299" s="610"/>
      <c r="AP299" s="610"/>
      <c r="AQ299" s="610"/>
      <c r="AR299" s="610"/>
      <c r="AS299" s="610"/>
      <c r="AT299" s="610"/>
      <c r="AU299" s="610"/>
      <c r="AV299" s="610"/>
      <c r="AW299" s="610"/>
      <c r="AX299" s="610"/>
      <c r="AY299" s="610"/>
      <c r="AZ299" s="610"/>
      <c r="BA299" s="610"/>
      <c r="BB299" s="610"/>
      <c r="BC299" s="610"/>
      <c r="BD299" s="610"/>
      <c r="BE299" s="610"/>
      <c r="BF299" s="610"/>
      <c r="BG299" s="610"/>
      <c r="BH299" s="610"/>
      <c r="BI299" s="1089"/>
      <c r="BJ299" s="1090">
        <f t="shared" si="31"/>
        <v>10000000</v>
      </c>
      <c r="BK299" s="1106">
        <v>-0.014615269771107295</v>
      </c>
      <c r="BL299" s="1118">
        <v>0.016358684173844847</v>
      </c>
      <c r="BM299" s="1119">
        <v>0.026720608598269274</v>
      </c>
      <c r="BN299" s="1120">
        <v>0.032183467147708415</v>
      </c>
      <c r="BO299" s="1121">
        <v>0.03439712266024056</v>
      </c>
      <c r="BP299" s="1122">
        <v>0.03883056736324279</v>
      </c>
      <c r="BQ299" s="1123">
        <v>0.04031517309825745</v>
      </c>
      <c r="BR299" s="1122">
        <v>0.03885093998683309</v>
      </c>
      <c r="BS299" s="1123">
        <v>0.03974571843209953</v>
      </c>
      <c r="BT299" s="1123">
        <v>0.040345583413631834</v>
      </c>
      <c r="BU299" s="1123">
        <v>0.039513138562550856</v>
      </c>
      <c r="BV299" s="1123">
        <v>0.0399970921802997</v>
      </c>
      <c r="BW299" s="1123">
        <v>0.040375698774811876</v>
      </c>
      <c r="BX299" s="1124">
        <v>0.03979591109806251</v>
      </c>
      <c r="BY299" s="11"/>
    </row>
    <row r="300">
      <c r="R300" s="223"/>
      <c r="S300" s="224"/>
      <c r="T300" s="224"/>
      <c r="U300" s="169"/>
      <c r="V300" s="169"/>
      <c r="W300" s="169"/>
      <c r="X300" s="169"/>
      <c r="Y300" s="169"/>
      <c r="Z300" s="169"/>
      <c r="AA300" s="169"/>
      <c r="AB300" s="169"/>
      <c r="AC300" s="169"/>
      <c r="AD300" s="169"/>
      <c r="AE300" s="169"/>
      <c r="AF300" s="169"/>
      <c r="AG300" s="169"/>
      <c r="AH300" s="169"/>
      <c r="AI300" s="169"/>
      <c r="AJ300" s="169"/>
      <c r="AK300" s="169"/>
      <c r="AL300" s="169"/>
      <c r="AM300" s="169"/>
      <c r="AN300" s="169"/>
      <c r="AO300" s="169"/>
      <c r="AP300" s="169"/>
      <c r="AQ300" s="169"/>
      <c r="AR300" s="169"/>
      <c r="AS300" s="169"/>
      <c r="AT300" s="169"/>
      <c r="AU300" s="169"/>
      <c r="AV300" s="169"/>
      <c r="AW300" s="169"/>
      <c r="AX300" s="169"/>
      <c r="AY300" s="169"/>
      <c r="AZ300" s="169"/>
      <c r="BA300" s="169"/>
      <c r="BB300" s="169"/>
      <c r="BC300" s="169"/>
      <c r="BD300" s="169"/>
      <c r="BE300" s="169"/>
      <c r="BF300" s="169"/>
      <c r="BG300" s="169"/>
      <c r="BH300" s="169"/>
      <c r="BI300" s="169"/>
      <c r="BJ300" s="169"/>
      <c r="BK300" s="169"/>
      <c r="BL300" s="169"/>
      <c r="BM300" s="169"/>
      <c r="BN300" s="169"/>
      <c r="BO300" s="169"/>
      <c r="BP300" s="169"/>
      <c r="BQ300" s="169"/>
      <c r="BR300" s="169"/>
      <c r="BS300" s="169"/>
      <c r="BT300" s="169"/>
      <c r="BU300" s="169"/>
      <c r="BV300" s="169"/>
      <c r="BW300" s="169"/>
      <c r="BX300" s="169"/>
      <c r="BY300" s="170"/>
    </row>
    <row r="301">
      <c r="AK301" s="51"/>
      <c r="AL301" s="51"/>
      <c r="AO301" s="176"/>
      <c r="AP301" s="177"/>
      <c r="AQ301" s="178"/>
      <c r="AR301" s="178"/>
      <c r="AS301" s="178"/>
      <c r="AT301" s="178"/>
      <c r="AU301" s="178"/>
      <c r="AV301" s="178"/>
      <c r="AW301" s="178"/>
      <c r="AX301" s="178"/>
      <c r="AY301" s="178"/>
      <c r="AZ301" s="178"/>
      <c r="BA301" s="178"/>
      <c r="BB301" s="178"/>
      <c r="BC301" s="178"/>
      <c r="BD301" s="176"/>
      <c r="BE301" s="177"/>
      <c r="BF301" s="267"/>
      <c r="BG301" s="267"/>
      <c r="BH301" s="267"/>
      <c r="BI301" s="267"/>
      <c r="BJ301" s="267"/>
      <c r="BK301" s="267"/>
      <c r="BL301" s="267"/>
      <c r="BM301" s="267"/>
      <c r="BN301" s="267"/>
      <c r="BO301" s="267"/>
      <c r="BP301" s="23"/>
      <c r="BQ301" s="23"/>
      <c r="BR301" s="23"/>
    </row>
  </sheetData>
  <mergeCells count="34">
    <mergeCell ref="B6:F11"/>
    <mergeCell ref="R6:BC11"/>
    <mergeCell ref="B13:F14"/>
    <mergeCell ref="B15:F16"/>
    <mergeCell ref="B19:F21"/>
    <mergeCell ref="B45:F47"/>
    <mergeCell ref="AE99:AM99"/>
    <mergeCell ref="U99:AC99"/>
    <mergeCell ref="AE101:AE117"/>
    <mergeCell ref="AO101:AO117"/>
    <mergeCell ref="F126:F148"/>
    <mergeCell ref="U157:AC157"/>
    <mergeCell ref="AT157:BG157"/>
    <mergeCell ref="BK157:BX157"/>
    <mergeCell ref="U219:U235"/>
    <mergeCell ref="U278:U294"/>
    <mergeCell ref="U101:U117"/>
    <mergeCell ref="U159:U175"/>
    <mergeCell ref="AE159:AE175"/>
    <mergeCell ref="D189:D227"/>
    <mergeCell ref="U217:AC217"/>
    <mergeCell ref="AE219:AE235"/>
    <mergeCell ref="U276:AC276"/>
    <mergeCell ref="AE278:AE294"/>
    <mergeCell ref="AR221:AR230"/>
    <mergeCell ref="AR280:AR289"/>
    <mergeCell ref="AR161:AR170"/>
    <mergeCell ref="BI161:BI177"/>
    <mergeCell ref="AT217:BG217"/>
    <mergeCell ref="BK217:BX217"/>
    <mergeCell ref="BI221:BI237"/>
    <mergeCell ref="AT276:BG276"/>
    <mergeCell ref="BK276:BX276"/>
    <mergeCell ref="BI280:BI296"/>
  </mergeCells>
  <conditionalFormatting sqref="CF66:DH84 CE126:CE144 AT161:BG170 BK161:BX180 AY198:BL206 W219:AC238 AG219:AP238 AT221:BG230 BK221:BX240 W278:AC297 AG278:AP297 AT280:BG289 BK280:BK299 BL280:BX298">
    <cfRule type="colorScale" priority="1">
      <colorScale>
        <cfvo type="min"/>
        <cfvo type="formula" val="0"/>
        <cfvo type="max"/>
        <color rgb="FFE67C73"/>
        <color rgb="FFFFFFFF"/>
        <color rgb="FF57BB8A"/>
      </colorScale>
    </cfRule>
  </conditionalFormatting>
  <conditionalFormatting sqref="CF61:DH61 CE121 X156:AC156 AR156:BG156 BI156:BX156 X216:AC216 AR216:BG216 BI216:BX216 X275:AC275 AR275:BG275 BI275:BX275">
    <cfRule type="colorScale" priority="2">
      <colorScale>
        <cfvo type="min"/>
        <cfvo type="percentile" val="50"/>
        <cfvo type="max"/>
        <color rgb="FFE67C73"/>
        <color rgb="FFFFFFFF"/>
        <color rgb="FF57BB8A"/>
      </colorScale>
    </cfRule>
  </conditionalFormatting>
  <conditionalFormatting sqref="AT156 AV156 BK156 BM156 W216 AG216 AT216 AV216 BK216 BM216 BK236 W275 AG275 AT275 AV275 BK275 BM275 BK295">
    <cfRule type="colorScale" priority="3">
      <colorScale>
        <cfvo type="min"/>
        <cfvo type="percentile" val="50"/>
        <cfvo type="max"/>
        <color rgb="FF57BB8A"/>
        <color rgb="FFFFFFFF"/>
        <color rgb="FFE67C73"/>
      </colorScale>
    </cfRule>
  </conditionalFormatting>
  <conditionalFormatting sqref="F64:F65">
    <cfRule type="cellIs" dxfId="0" priority="4" operator="greaterThan">
      <formula>0</formula>
    </cfRule>
  </conditionalFormatting>
  <conditionalFormatting sqref="F64:F65">
    <cfRule type="cellIs" dxfId="1" priority="5" operator="lessThan">
      <formula>0</formula>
    </cfRule>
  </conditionalFormatting>
  <conditionalFormatting sqref="C50:C52">
    <cfRule type="cellIs" dxfId="0" priority="6" operator="equal">
      <formula>"Yes"</formula>
    </cfRule>
  </conditionalFormatting>
  <conditionalFormatting sqref="C50:C52">
    <cfRule type="cellIs" dxfId="1" priority="7" operator="equal">
      <formula>"No"</formula>
    </cfRule>
  </conditionalFormatting>
  <conditionalFormatting sqref="W219:AC238 W278:AC297">
    <cfRule type="colorScale" priority="8">
      <colorScale>
        <cfvo type="min"/>
        <cfvo type="max"/>
        <color rgb="FFFFFFFF"/>
        <color rgb="FF57BB8A"/>
      </colorScale>
    </cfRule>
  </conditionalFormatting>
  <conditionalFormatting sqref="W219:AC238 AG219:AP238 W278:AC297 AG278:AP297 BK299">
    <cfRule type="colorScale" priority="9">
      <colorScale>
        <cfvo type="min"/>
        <cfvo type="percentile" val="5"/>
        <cfvo type="max"/>
        <color rgb="FFE67C73"/>
        <color rgb="FFFFFFFF"/>
        <color rgb="FF57BB8A"/>
      </colorScale>
    </cfRule>
  </conditionalFormatting>
  <conditionalFormatting sqref="W219:AC235 W278:AC294">
    <cfRule type="colorScale" priority="10">
      <colorScale>
        <cfvo type="min"/>
        <cfvo type="max"/>
        <color rgb="FFFFFFFF"/>
        <color rgb="FF57BB8A"/>
      </colorScale>
    </cfRule>
  </conditionalFormatting>
  <conditionalFormatting sqref="AG159:AP178 W219:AC238 AG219:AP238 W278:AC297 AG278:AP297 BK299">
    <cfRule type="colorScale" priority="11">
      <colorScale>
        <cfvo type="min"/>
        <cfvo type="max"/>
        <color rgb="FFFFFFFF"/>
        <color rgb="FF57BB8A"/>
      </colorScale>
    </cfRule>
  </conditionalFormatting>
  <conditionalFormatting sqref="W159:AC178 W219:AC238 W278:AC297">
    <cfRule type="colorScale" priority="12">
      <colorScale>
        <cfvo type="min"/>
        <cfvo type="max"/>
        <color rgb="FFFFFFFF"/>
        <color rgb="FF57BB8A"/>
      </colorScale>
    </cfRule>
  </conditionalFormatting>
  <conditionalFormatting sqref="W219:AC238 W278:AC297">
    <cfRule type="colorScale" priority="13">
      <colorScale>
        <cfvo type="min"/>
        <cfvo type="percentile" val="1"/>
        <cfvo type="max"/>
        <color rgb="FF57BB8A"/>
        <color rgb="FFFFFFFF"/>
        <color rgb="FFE67C73"/>
      </colorScale>
    </cfRule>
  </conditionalFormatting>
  <dataValidations>
    <dataValidation type="list" allowBlank="1" sqref="C50:C52">
      <formula1>"Yes,No"</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38"/>
    <col customWidth="1" min="2" max="2" width="40.13"/>
    <col customWidth="1" min="4" max="4" width="2.25"/>
    <col customWidth="1" min="5" max="5" width="35.75"/>
    <col customWidth="1" min="6" max="6" width="16.88"/>
    <col customWidth="1" min="7" max="8" width="2.38"/>
    <col customWidth="1" min="9" max="9" width="6.25"/>
    <col customWidth="1" min="10" max="23" width="2.38"/>
    <col customWidth="1" min="24" max="24" width="4.0"/>
    <col customWidth="1" min="25" max="25" width="10.25"/>
    <col customWidth="1" min="26" max="26" width="5.75"/>
    <col customWidth="1" min="27" max="27" width="6.38"/>
    <col customWidth="1" min="28" max="28" width="10.75"/>
    <col customWidth="1" min="29" max="29" width="6.5"/>
    <col customWidth="1" min="30" max="30" width="8.13"/>
    <col customWidth="1" min="31" max="32" width="6.75"/>
    <col customWidth="1" min="33" max="33" width="7.5"/>
    <col customWidth="1" min="34" max="34" width="6.75"/>
    <col customWidth="1" min="35" max="35" width="9.13"/>
    <col customWidth="1" min="36" max="36" width="9.5"/>
    <col customWidth="1" min="37" max="37" width="6.75"/>
    <col customWidth="1" min="38" max="38" width="9.38"/>
    <col customWidth="1" min="39" max="39" width="7.63"/>
    <col customWidth="1" min="40" max="40" width="6.75"/>
    <col customWidth="1" min="41" max="41" width="10.0"/>
    <col customWidth="1" min="42" max="42" width="6.75"/>
    <col customWidth="1" min="43" max="43" width="10.75"/>
    <col customWidth="1" min="44" max="44" width="7.63"/>
    <col customWidth="1" min="45" max="45" width="10.88"/>
    <col customWidth="1" min="46" max="46" width="9.13"/>
    <col customWidth="1" min="47" max="47" width="6.75"/>
    <col customWidth="1" min="48" max="49" width="9.0"/>
    <col customWidth="1" min="50" max="50" width="6.75"/>
    <col customWidth="1" min="51" max="52" width="8.13"/>
    <col customWidth="1" min="53" max="53" width="7.13"/>
    <col customWidth="1" min="54" max="54" width="10.0"/>
    <col customWidth="1" min="55" max="55" width="6.75"/>
    <col customWidth="1" min="56" max="56" width="10.25"/>
    <col customWidth="1" min="57" max="57" width="8.75"/>
    <col customWidth="1" min="58" max="58" width="9.38"/>
    <col customWidth="1" min="59" max="59" width="8.5"/>
    <col customWidth="1" min="60" max="60" width="10.0"/>
    <col customWidth="1" min="61" max="61" width="9.63"/>
    <col customWidth="1" min="62" max="62" width="9.88"/>
    <col customWidth="1" min="63" max="63" width="8.75"/>
    <col customWidth="1" min="64" max="64" width="8.88"/>
    <col customWidth="1" min="65" max="65" width="8.63"/>
    <col customWidth="1" min="66" max="66" width="9.38"/>
    <col customWidth="1" min="67" max="67" width="6.75"/>
    <col customWidth="1" min="68" max="68" width="8.63"/>
    <col customWidth="1" min="69" max="112" width="6.75"/>
    <col customWidth="1" min="113" max="113" width="9.0"/>
    <col customWidth="1" min="114" max="127" width="6.75"/>
  </cols>
  <sheetData>
    <row r="1">
      <c r="A1" s="1"/>
      <c r="B1" s="1"/>
      <c r="C1" s="1"/>
      <c r="D1" s="1"/>
      <c r="F1" s="1"/>
    </row>
    <row r="2">
      <c r="D2" s="2"/>
      <c r="F2" s="521"/>
    </row>
    <row r="3">
      <c r="D3" s="2"/>
      <c r="F3" s="523" t="s">
        <v>0</v>
      </c>
    </row>
    <row r="4">
      <c r="D4" s="2"/>
      <c r="F4" s="523" t="s">
        <v>111</v>
      </c>
    </row>
    <row r="5">
      <c r="D5" s="2"/>
    </row>
    <row r="6">
      <c r="D6" s="2"/>
    </row>
    <row r="7">
      <c r="D7" s="2"/>
    </row>
    <row r="8">
      <c r="B8" s="602" t="s">
        <v>143</v>
      </c>
      <c r="C8" s="526"/>
      <c r="D8" s="526"/>
      <c r="E8" s="526"/>
      <c r="F8" s="527"/>
      <c r="X8" s="1125" t="s">
        <v>132</v>
      </c>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6"/>
      <c r="BC8" s="556"/>
      <c r="BD8" s="556"/>
      <c r="BE8" s="556"/>
      <c r="BF8" s="556"/>
      <c r="BG8" s="556"/>
      <c r="BH8" s="557"/>
    </row>
    <row r="9">
      <c r="B9" s="110"/>
      <c r="F9" s="78"/>
      <c r="X9" s="559"/>
      <c r="BH9" s="560"/>
    </row>
    <row r="10">
      <c r="B10" s="110"/>
      <c r="F10" s="78"/>
      <c r="X10" s="559"/>
      <c r="BH10" s="560"/>
    </row>
    <row r="11">
      <c r="B11" s="110"/>
      <c r="F11" s="78"/>
      <c r="X11" s="574"/>
      <c r="Y11" s="575"/>
      <c r="Z11" s="575"/>
      <c r="AA11" s="575"/>
      <c r="AB11" s="575"/>
      <c r="AC11" s="575"/>
      <c r="AD11" s="575"/>
      <c r="AE11" s="575"/>
      <c r="AF11" s="575"/>
      <c r="AG11" s="575"/>
      <c r="AH11" s="575"/>
      <c r="AI11" s="575"/>
      <c r="AJ11" s="575"/>
      <c r="AK11" s="575"/>
      <c r="AL11" s="575"/>
      <c r="AM11" s="575"/>
      <c r="AN11" s="575"/>
      <c r="AO11" s="575"/>
      <c r="AP11" s="575"/>
      <c r="AQ11" s="575"/>
      <c r="AR11" s="575"/>
      <c r="AS11" s="575"/>
      <c r="AT11" s="575"/>
      <c r="AU11" s="575"/>
      <c r="AV11" s="575"/>
      <c r="AW11" s="575"/>
      <c r="AX11" s="575"/>
      <c r="AY11" s="575"/>
      <c r="AZ11" s="575"/>
      <c r="BA11" s="575"/>
      <c r="BB11" s="575"/>
      <c r="BC11" s="575"/>
      <c r="BD11" s="575"/>
      <c r="BE11" s="575"/>
      <c r="BF11" s="575"/>
      <c r="BG11" s="575"/>
      <c r="BH11" s="576"/>
    </row>
    <row r="12">
      <c r="B12" s="110"/>
      <c r="F12" s="78"/>
    </row>
    <row r="13">
      <c r="B13" s="146"/>
      <c r="C13" s="528"/>
      <c r="D13" s="528"/>
      <c r="E13" s="528"/>
      <c r="F13" s="529"/>
    </row>
    <row r="15">
      <c r="B15" s="604" t="s">
        <v>133</v>
      </c>
      <c r="C15" s="526"/>
      <c r="D15" s="526"/>
      <c r="E15" s="526"/>
      <c r="F15" s="527"/>
    </row>
    <row r="16">
      <c r="B16" s="110"/>
      <c r="F16" s="78"/>
    </row>
    <row r="17">
      <c r="B17" s="605">
        <f>$C$35*32</f>
        <v>104037.44</v>
      </c>
      <c r="F17" s="78"/>
    </row>
    <row r="18">
      <c r="B18" s="146"/>
      <c r="C18" s="528"/>
      <c r="D18" s="528"/>
      <c r="E18" s="528"/>
      <c r="F18" s="529"/>
    </row>
    <row r="20">
      <c r="B20" s="604" t="s">
        <v>144</v>
      </c>
      <c r="C20" s="526"/>
      <c r="D20" s="526"/>
      <c r="E20" s="526"/>
      <c r="F20" s="527"/>
    </row>
    <row r="21">
      <c r="B21" s="110"/>
      <c r="F21" s="78"/>
    </row>
    <row r="22">
      <c r="B22" s="605">
        <f>C35*524288</f>
        <v>1704549417</v>
      </c>
      <c r="F22" s="78"/>
    </row>
    <row r="23">
      <c r="B23" s="146"/>
      <c r="C23" s="528"/>
      <c r="D23" s="528"/>
      <c r="E23" s="528"/>
      <c r="F23" s="529"/>
    </row>
    <row r="25">
      <c r="B25" s="604" t="s">
        <v>145</v>
      </c>
      <c r="C25" s="526"/>
      <c r="D25" s="526"/>
      <c r="E25" s="526"/>
      <c r="F25" s="527"/>
    </row>
    <row r="26">
      <c r="B26" s="110"/>
      <c r="F26" s="78"/>
    </row>
    <row r="27">
      <c r="B27" s="1126" t="str">
        <f>(B17/'Oil Price'!C2)</f>
        <v>#DIV/0!</v>
      </c>
      <c r="F27" s="78"/>
    </row>
    <row r="28">
      <c r="B28" s="146"/>
      <c r="C28" s="528"/>
      <c r="D28" s="528"/>
      <c r="E28" s="528"/>
      <c r="F28" s="529"/>
    </row>
    <row r="30">
      <c r="B30" s="606" t="s">
        <v>134</v>
      </c>
      <c r="C30" s="526"/>
      <c r="D30" s="526"/>
      <c r="E30" s="526"/>
      <c r="F30" s="527"/>
    </row>
    <row r="31">
      <c r="B31" s="110"/>
      <c r="F31" s="78"/>
    </row>
    <row r="32">
      <c r="B32" s="146"/>
      <c r="C32" s="528"/>
      <c r="D32" s="528"/>
      <c r="E32" s="528"/>
      <c r="F32" s="529"/>
    </row>
    <row r="33" ht="17.25" customHeight="1">
      <c r="B33" s="607"/>
      <c r="C33" s="23"/>
    </row>
    <row r="34" ht="13.5" customHeight="1">
      <c r="B34" s="608" t="s">
        <v>6</v>
      </c>
      <c r="C34" s="609"/>
      <c r="D34" s="610"/>
      <c r="E34" s="611" t="s">
        <v>2</v>
      </c>
      <c r="F34" s="612"/>
    </row>
    <row r="35">
      <c r="B35" s="613" t="s">
        <v>8</v>
      </c>
      <c r="C35" s="614">
        <f>'Coin Market Cap'!D3</f>
        <v>3251.17</v>
      </c>
      <c r="D35" s="569"/>
      <c r="E35" s="615" t="s">
        <v>135</v>
      </c>
      <c r="F35" s="616">
        <f>(C37/C36)</f>
        <v>31250</v>
      </c>
    </row>
    <row r="36">
      <c r="B36" s="613" t="s">
        <v>10</v>
      </c>
      <c r="C36" s="617">
        <v>32.0</v>
      </c>
      <c r="D36" s="610"/>
      <c r="E36" s="613" t="s">
        <v>5</v>
      </c>
      <c r="F36" s="618">
        <f>C37/C36/C40</f>
        <v>488.28125</v>
      </c>
    </row>
    <row r="37">
      <c r="B37" s="613" t="s">
        <v>12</v>
      </c>
      <c r="C37" s="619">
        <v>1000000.0</v>
      </c>
      <c r="D37" s="610"/>
      <c r="E37" s="613" t="s">
        <v>7</v>
      </c>
      <c r="F37" s="620">
        <f>(60*60*24*365.242)/(C41*C42)</f>
        <v>82179.45</v>
      </c>
    </row>
    <row r="38">
      <c r="B38" s="613" t="s">
        <v>14</v>
      </c>
      <c r="C38" s="621">
        <v>0.98</v>
      </c>
      <c r="D38" s="610"/>
      <c r="E38" s="613" t="s">
        <v>9</v>
      </c>
      <c r="F38" s="620">
        <f>32 * 10^9 * C43/ sqrt(C37 * 10^9) / C46</f>
        <v>16190.86162</v>
      </c>
    </row>
    <row r="39">
      <c r="B39" s="613" t="s">
        <v>20</v>
      </c>
      <c r="C39" s="622">
        <v>1.1E8</v>
      </c>
      <c r="D39" s="610"/>
      <c r="E39" s="613" t="s">
        <v>11</v>
      </c>
      <c r="F39" s="620">
        <f>F38*C47*C38 + 1*(0.125*F38*C38 + 0.875*F38*(C38+C38*(1 - C38)*(1 - C48)+C38*(1 - C38)^2*(1 - 2*C48)))</f>
        <v>63746.8921</v>
      </c>
    </row>
    <row r="40">
      <c r="B40" s="613" t="s">
        <v>21</v>
      </c>
      <c r="C40" s="617">
        <v>64.0</v>
      </c>
      <c r="D40" s="610"/>
      <c r="E40" s="613" t="s">
        <v>13</v>
      </c>
      <c r="F40" s="620">
        <f>F38*4</f>
        <v>64763.44648</v>
      </c>
    </row>
    <row r="41">
      <c r="B41" s="613" t="s">
        <v>22</v>
      </c>
      <c r="C41" s="617">
        <v>12.0</v>
      </c>
      <c r="D41" s="610"/>
      <c r="E41" s="613" t="s">
        <v>15</v>
      </c>
      <c r="F41" s="620">
        <f>(F39*F35*C38 - F40*F35*(1-C38)) *F37  / 10^9</f>
        <v>157108.3235</v>
      </c>
    </row>
    <row r="42">
      <c r="B42" s="613" t="s">
        <v>24</v>
      </c>
      <c r="C42" s="617">
        <v>32.0</v>
      </c>
      <c r="D42" s="610"/>
      <c r="E42" s="613" t="s">
        <v>17</v>
      </c>
      <c r="F42" s="620">
        <f>F41/365</f>
        <v>430.4337631</v>
      </c>
    </row>
    <row r="43">
      <c r="B43" s="623" t="s">
        <v>26</v>
      </c>
      <c r="C43" s="624">
        <v>64.0</v>
      </c>
      <c r="D43" s="610"/>
      <c r="E43" s="623" t="s">
        <v>19</v>
      </c>
      <c r="F43" s="625">
        <f>F41/C39</f>
        <v>0.001428257487</v>
      </c>
    </row>
    <row r="44">
      <c r="B44" s="610"/>
      <c r="C44" s="610"/>
      <c r="D44" s="610"/>
      <c r="E44" s="610"/>
      <c r="F44" s="610"/>
    </row>
    <row r="45">
      <c r="B45" s="611" t="s">
        <v>32</v>
      </c>
      <c r="C45" s="626"/>
      <c r="D45" s="610"/>
      <c r="E45" s="627" t="s">
        <v>136</v>
      </c>
      <c r="F45" s="628"/>
    </row>
    <row r="46">
      <c r="B46" s="613" t="s">
        <v>35</v>
      </c>
      <c r="C46" s="629">
        <v>4.0</v>
      </c>
      <c r="D46" s="610"/>
      <c r="E46" s="613" t="s">
        <v>16</v>
      </c>
      <c r="F46" s="619">
        <v>0.0</v>
      </c>
    </row>
    <row r="47">
      <c r="B47" s="613" t="s">
        <v>37</v>
      </c>
      <c r="C47" s="629">
        <v>3.0</v>
      </c>
      <c r="D47" s="610"/>
      <c r="E47" s="613" t="s">
        <v>18</v>
      </c>
      <c r="F47" s="619">
        <v>0.0</v>
      </c>
    </row>
    <row r="48">
      <c r="B48" s="623" t="s">
        <v>39</v>
      </c>
      <c r="C48" s="630">
        <f>1/64</f>
        <v>0.015625</v>
      </c>
      <c r="D48" s="610"/>
      <c r="E48" s="613" t="s">
        <v>25</v>
      </c>
      <c r="F48" s="631">
        <f>F47*365.24</f>
        <v>0</v>
      </c>
      <c r="M48" s="38"/>
    </row>
    <row r="49">
      <c r="B49" s="610"/>
      <c r="C49" s="610"/>
      <c r="D49" s="610"/>
      <c r="E49" s="613" t="s">
        <v>27</v>
      </c>
      <c r="F49" s="622">
        <f>F41-F48</f>
        <v>157108.3235</v>
      </c>
    </row>
    <row r="50">
      <c r="B50" s="610"/>
      <c r="C50" s="610"/>
      <c r="D50" s="610"/>
      <c r="E50" s="613" t="s">
        <v>28</v>
      </c>
      <c r="F50" s="632">
        <f>F49/C39</f>
        <v>0.001428257487</v>
      </c>
    </row>
    <row r="51">
      <c r="B51" s="610"/>
      <c r="C51" s="610"/>
      <c r="D51" s="610"/>
      <c r="E51" s="633" t="s">
        <v>29</v>
      </c>
      <c r="F51" s="634">
        <f>F48/F49</f>
        <v>0</v>
      </c>
    </row>
    <row r="52">
      <c r="B52" s="610"/>
      <c r="C52" s="610"/>
      <c r="D52" s="610"/>
      <c r="E52" s="635" t="s">
        <v>30</v>
      </c>
      <c r="F52" s="1127" t="str">
        <f>iferror("N/A",F49/F48)</f>
        <v>N/A</v>
      </c>
    </row>
    <row r="56">
      <c r="B56" s="606" t="s">
        <v>137</v>
      </c>
      <c r="C56" s="526"/>
      <c r="D56" s="526"/>
      <c r="E56" s="526"/>
      <c r="F56" s="527"/>
      <c r="G56" s="52"/>
      <c r="H56" s="52"/>
      <c r="I56" s="52"/>
      <c r="J56" s="52"/>
      <c r="K56" s="52"/>
      <c r="L56" s="52"/>
      <c r="M56" s="52"/>
      <c r="N56" s="52"/>
      <c r="O56" s="52"/>
      <c r="P56" s="52"/>
      <c r="Q56" s="52"/>
      <c r="R56" s="52"/>
      <c r="S56" s="52"/>
      <c r="T56" s="52"/>
      <c r="U56" s="52"/>
      <c r="V56" s="52"/>
      <c r="W56" s="52"/>
      <c r="CL56" s="52"/>
      <c r="CM56" s="52"/>
      <c r="CN56" s="52"/>
      <c r="CO56" s="52"/>
      <c r="CP56" s="52"/>
      <c r="CQ56" s="52"/>
      <c r="CR56" s="52"/>
      <c r="CS56" s="52"/>
      <c r="CT56" s="52"/>
      <c r="CU56" s="52"/>
      <c r="CV56" s="52"/>
      <c r="CW56" s="52"/>
      <c r="CX56" s="52"/>
      <c r="CY56" s="52"/>
      <c r="CZ56" s="52"/>
      <c r="DA56" s="52"/>
      <c r="DB56" s="52"/>
      <c r="DC56" s="52"/>
      <c r="DD56" s="52"/>
      <c r="DE56" s="52"/>
      <c r="DF56" s="52"/>
      <c r="DG56" s="52"/>
      <c r="DH56" s="52"/>
      <c r="DI56" s="52"/>
      <c r="DJ56" s="52"/>
      <c r="DK56" s="52"/>
      <c r="DL56" s="52"/>
      <c r="DM56" s="52"/>
      <c r="DN56" s="52"/>
      <c r="DO56" s="52"/>
      <c r="DP56" s="52"/>
      <c r="DQ56" s="52"/>
      <c r="DR56" s="52"/>
      <c r="DS56" s="52"/>
      <c r="DT56" s="52"/>
      <c r="DU56" s="52"/>
      <c r="DV56" s="52"/>
      <c r="DW56" s="52"/>
    </row>
    <row r="57">
      <c r="B57" s="110"/>
      <c r="F57" s="78"/>
    </row>
    <row r="58">
      <c r="B58" s="146"/>
      <c r="C58" s="528"/>
      <c r="D58" s="528"/>
      <c r="E58" s="528"/>
      <c r="F58" s="529"/>
    </row>
    <row r="59">
      <c r="I59" s="63"/>
    </row>
    <row r="60">
      <c r="B60" s="637" t="s">
        <v>138</v>
      </c>
      <c r="C60" s="638"/>
      <c r="D60" s="610"/>
      <c r="E60" s="608" t="s">
        <v>41</v>
      </c>
      <c r="F60" s="639"/>
    </row>
    <row r="61">
      <c r="B61" s="613" t="s">
        <v>33</v>
      </c>
      <c r="C61" s="640" t="s">
        <v>34</v>
      </c>
      <c r="D61" s="610"/>
      <c r="E61" s="641" t="s">
        <v>43</v>
      </c>
      <c r="F61" s="642">
        <f>C36*C67</f>
        <v>32</v>
      </c>
    </row>
    <row r="62">
      <c r="B62" s="613" t="s">
        <v>36</v>
      </c>
      <c r="C62" s="640" t="s">
        <v>34</v>
      </c>
      <c r="D62" s="610"/>
      <c r="E62" s="641" t="s">
        <v>45</v>
      </c>
      <c r="F62" s="643">
        <f>(F39*C66-F40*(1-C66))*F37/10^9/C36</f>
        <v>0.1604086076</v>
      </c>
    </row>
    <row r="63">
      <c r="B63" s="623" t="s">
        <v>38</v>
      </c>
      <c r="C63" s="644" t="s">
        <v>146</v>
      </c>
      <c r="D63" s="610"/>
      <c r="E63" s="641" t="s">
        <v>47</v>
      </c>
      <c r="F63" s="645">
        <f>F61*C35*F62</f>
        <v>16688.50089</v>
      </c>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row>
    <row r="64">
      <c r="B64" s="610"/>
      <c r="C64" s="610"/>
      <c r="D64" s="610"/>
      <c r="E64" s="641" t="s">
        <v>49</v>
      </c>
      <c r="F64" s="646">
        <f>F46*365.24/C37</f>
        <v>0</v>
      </c>
      <c r="CL64" s="87"/>
      <c r="CM64" s="87"/>
      <c r="CN64" s="87"/>
      <c r="CO64" s="87"/>
      <c r="CP64" s="87"/>
      <c r="CQ64" s="87"/>
      <c r="CR64" s="87"/>
      <c r="CS64" s="87"/>
      <c r="CT64" s="87"/>
      <c r="CU64" s="87"/>
      <c r="CV64" s="87"/>
      <c r="CW64" s="87"/>
      <c r="CX64" s="87"/>
      <c r="CY64" s="87"/>
      <c r="CZ64" s="87"/>
      <c r="DA64" s="87"/>
      <c r="DB64" s="87"/>
      <c r="DC64" s="87"/>
      <c r="DD64" s="87"/>
      <c r="DE64" s="87"/>
      <c r="DF64" s="87"/>
      <c r="DG64" s="87"/>
      <c r="DH64" s="87"/>
      <c r="DI64" s="87"/>
      <c r="DJ64" s="87"/>
      <c r="DK64" s="87"/>
      <c r="DL64" s="87"/>
      <c r="DM64" s="87"/>
      <c r="DN64" s="87"/>
      <c r="DO64" s="87"/>
      <c r="DP64" s="87"/>
      <c r="DQ64" s="87"/>
      <c r="DR64" s="87"/>
      <c r="DS64" s="87"/>
      <c r="DT64" s="87"/>
      <c r="DU64" s="87"/>
      <c r="DV64" s="87"/>
      <c r="DW64" s="87"/>
    </row>
    <row r="65">
      <c r="B65" s="637" t="s">
        <v>40</v>
      </c>
      <c r="C65" s="638"/>
      <c r="D65" s="610"/>
      <c r="E65" s="641" t="s">
        <v>51</v>
      </c>
      <c r="F65" s="645">
        <f>F64*F61*C35</f>
        <v>0</v>
      </c>
      <c r="I65" s="9" t="s">
        <v>62</v>
      </c>
      <c r="CL65" s="87"/>
      <c r="CM65" s="87"/>
      <c r="CN65" s="87"/>
      <c r="CO65" s="87"/>
      <c r="CP65" s="87"/>
      <c r="CQ65" s="87"/>
      <c r="CR65" s="87"/>
      <c r="CS65" s="87"/>
      <c r="CT65" s="87"/>
      <c r="CU65" s="87"/>
      <c r="CV65" s="87"/>
      <c r="CW65" s="87"/>
      <c r="CX65" s="87"/>
      <c r="CY65" s="87"/>
      <c r="CZ65" s="87"/>
      <c r="DA65" s="87"/>
      <c r="DB65" s="87"/>
      <c r="DC65" s="87"/>
      <c r="DD65" s="87"/>
      <c r="DE65" s="87"/>
      <c r="DF65" s="87"/>
      <c r="DG65" s="87"/>
      <c r="DH65" s="87"/>
      <c r="DI65" s="87"/>
      <c r="DJ65" s="87"/>
      <c r="DK65" s="87"/>
      <c r="DL65" s="87"/>
      <c r="DM65" s="87"/>
      <c r="DN65" s="87"/>
      <c r="DO65" s="87"/>
      <c r="DP65" s="87"/>
      <c r="DQ65" s="87"/>
      <c r="DR65" s="87"/>
      <c r="DS65" s="87"/>
      <c r="DT65" s="87"/>
      <c r="DU65" s="87"/>
      <c r="DV65" s="87"/>
      <c r="DW65" s="87"/>
    </row>
    <row r="66">
      <c r="B66" s="613" t="s">
        <v>42</v>
      </c>
      <c r="C66" s="621">
        <v>0.99</v>
      </c>
      <c r="D66" s="610"/>
      <c r="E66" s="647" t="s">
        <v>53</v>
      </c>
      <c r="F66" s="648">
        <f>sum(F63+F65)</f>
        <v>16688.50089</v>
      </c>
      <c r="CL66" s="87"/>
      <c r="CM66" s="87"/>
      <c r="CN66" s="87"/>
      <c r="CO66" s="87"/>
      <c r="CP66" s="87"/>
      <c r="CQ66" s="87"/>
      <c r="CR66" s="87"/>
      <c r="CS66" s="87"/>
      <c r="CT66" s="87"/>
      <c r="CU66" s="87"/>
      <c r="CV66" s="87"/>
      <c r="CW66" s="87"/>
      <c r="CX66" s="87"/>
      <c r="CY66" s="87"/>
      <c r="CZ66" s="87"/>
      <c r="DA66" s="87"/>
      <c r="DB66" s="87"/>
      <c r="DC66" s="87"/>
      <c r="DD66" s="87"/>
      <c r="DE66" s="87"/>
      <c r="DF66" s="87"/>
      <c r="DG66" s="87"/>
      <c r="DH66" s="87"/>
      <c r="DI66" s="87"/>
      <c r="DJ66" s="87"/>
      <c r="DK66" s="87"/>
      <c r="DL66" s="87"/>
      <c r="DM66" s="87"/>
      <c r="DN66" s="87"/>
      <c r="DO66" s="87"/>
      <c r="DP66" s="87"/>
      <c r="DQ66" s="87"/>
      <c r="DR66" s="87"/>
      <c r="DS66" s="87"/>
      <c r="DT66" s="87"/>
      <c r="DU66" s="87"/>
      <c r="DV66" s="87"/>
      <c r="DW66" s="87"/>
    </row>
    <row r="67">
      <c r="B67" s="613" t="s">
        <v>44</v>
      </c>
      <c r="C67" s="629">
        <v>1.0</v>
      </c>
      <c r="D67" s="610"/>
      <c r="E67" s="649" t="s">
        <v>56</v>
      </c>
      <c r="F67" s="650">
        <f>(F66)/((C36*C35)*C67)</f>
        <v>0.1604086076</v>
      </c>
      <c r="CL67" s="115"/>
      <c r="CM67" s="115"/>
      <c r="CN67" s="115"/>
      <c r="CO67" s="115"/>
      <c r="CP67" s="115"/>
      <c r="CQ67" s="115"/>
      <c r="CR67" s="115"/>
      <c r="CS67" s="115"/>
      <c r="CT67" s="115"/>
      <c r="CU67" s="115"/>
      <c r="CV67" s="115"/>
      <c r="CW67" s="115"/>
      <c r="CX67" s="115"/>
      <c r="CY67" s="115"/>
      <c r="CZ67" s="115"/>
      <c r="DA67" s="115"/>
      <c r="DB67" s="115"/>
      <c r="DC67" s="115"/>
      <c r="DD67" s="115"/>
      <c r="DE67" s="115"/>
      <c r="DF67" s="115"/>
      <c r="DG67" s="115"/>
      <c r="DH67" s="115"/>
      <c r="DI67" s="115"/>
      <c r="DJ67" s="115"/>
      <c r="DK67" s="115"/>
      <c r="DL67" s="115"/>
      <c r="DM67" s="115"/>
      <c r="DN67" s="115"/>
      <c r="DO67" s="115"/>
      <c r="DP67" s="115"/>
      <c r="DQ67" s="115"/>
      <c r="DR67" s="115"/>
      <c r="DS67" s="115"/>
      <c r="DT67" s="115"/>
      <c r="DU67" s="115"/>
      <c r="DV67" s="115"/>
      <c r="DW67" s="115"/>
    </row>
    <row r="68">
      <c r="B68" s="613" t="s">
        <v>46</v>
      </c>
      <c r="C68" s="651">
        <v>225.0</v>
      </c>
      <c r="D68" s="610"/>
      <c r="E68" s="652" t="s">
        <v>61</v>
      </c>
      <c r="F68" s="653">
        <f>IF(C63="Yes",0,C79*8760/1000*C70)</f>
        <v>88.3446</v>
      </c>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row>
    <row r="69">
      <c r="B69" s="613" t="s">
        <v>48</v>
      </c>
      <c r="C69" s="629">
        <v>2.5</v>
      </c>
      <c r="D69" s="610"/>
      <c r="E69" s="652" t="s">
        <v>65</v>
      </c>
      <c r="F69" s="654">
        <f>if(C63="Yes",0,C68/C69*C77)</f>
        <v>90</v>
      </c>
      <c r="CL69" s="123"/>
      <c r="CM69" s="123"/>
      <c r="CN69" s="123"/>
      <c r="CO69" s="123"/>
      <c r="CP69" s="123"/>
      <c r="CQ69" s="123"/>
      <c r="CR69" s="123"/>
      <c r="CS69" s="123"/>
      <c r="CT69" s="123"/>
      <c r="CU69" s="123"/>
      <c r="CV69" s="123"/>
      <c r="CW69" s="123"/>
      <c r="CX69" s="123"/>
      <c r="CY69" s="123"/>
      <c r="CZ69" s="123"/>
      <c r="DA69" s="123"/>
      <c r="DB69" s="123"/>
      <c r="DC69" s="123"/>
      <c r="DD69" s="123"/>
      <c r="DE69" s="123"/>
      <c r="DF69" s="123"/>
      <c r="DG69" s="123"/>
      <c r="DH69" s="123"/>
      <c r="DI69" s="123"/>
      <c r="DJ69" s="123"/>
      <c r="DK69" s="123"/>
      <c r="DL69" s="123"/>
      <c r="DM69" s="123"/>
      <c r="DN69" s="123"/>
      <c r="DO69" s="123"/>
      <c r="DP69" s="123"/>
      <c r="DQ69" s="123"/>
      <c r="DR69" s="123"/>
      <c r="DS69" s="123"/>
      <c r="DT69" s="123"/>
      <c r="DU69" s="123"/>
      <c r="DV69" s="123"/>
      <c r="DW69" s="123"/>
    </row>
    <row r="70" ht="19.5" customHeight="1">
      <c r="B70" s="613" t="s">
        <v>50</v>
      </c>
      <c r="C70" s="655">
        <f>average(0.15,0.19,0.22,0.22,0.33,0.1936,0.11,0.2)</f>
        <v>0.2017</v>
      </c>
      <c r="D70" s="610"/>
      <c r="E70" s="652" t="s">
        <v>70</v>
      </c>
      <c r="F70" s="653">
        <f>IF(C61="Yes",0,C73*12)</f>
        <v>0</v>
      </c>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row>
    <row r="71">
      <c r="B71" s="613" t="s">
        <v>52</v>
      </c>
      <c r="C71" s="629">
        <v>10.0</v>
      </c>
      <c r="D71" s="610"/>
      <c r="E71" s="656" t="s">
        <v>72</v>
      </c>
      <c r="F71" s="657">
        <f>if(C62="yes",0,C74)</f>
        <v>0</v>
      </c>
      <c r="X71" s="1125" t="s">
        <v>19</v>
      </c>
      <c r="Y71" s="556"/>
      <c r="Z71" s="556"/>
      <c r="AA71" s="556"/>
      <c r="AB71" s="556"/>
      <c r="AC71" s="556"/>
      <c r="AD71" s="556"/>
      <c r="AE71" s="556"/>
      <c r="AF71" s="556"/>
      <c r="AG71" s="556"/>
      <c r="AH71" s="556"/>
      <c r="AI71" s="556"/>
      <c r="AJ71" s="556"/>
      <c r="AK71" s="556"/>
      <c r="AL71" s="556"/>
      <c r="AM71" s="556"/>
      <c r="AN71" s="556"/>
      <c r="AO71" s="556"/>
      <c r="AP71" s="556"/>
      <c r="AQ71" s="556"/>
      <c r="AR71" s="556"/>
      <c r="AS71" s="556"/>
      <c r="AT71" s="556"/>
      <c r="AU71" s="556"/>
      <c r="AV71" s="556"/>
      <c r="AW71" s="556"/>
      <c r="AX71" s="556"/>
      <c r="AY71" s="556"/>
      <c r="AZ71" s="556"/>
      <c r="BA71" s="556"/>
      <c r="BB71" s="556"/>
      <c r="BC71" s="556"/>
      <c r="BD71" s="556"/>
      <c r="BE71" s="556"/>
      <c r="BF71" s="556"/>
      <c r="BG71" s="556"/>
      <c r="BH71" s="557"/>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row>
    <row r="72" ht="18.0" customHeight="1">
      <c r="B72" s="613" t="s">
        <v>55</v>
      </c>
      <c r="C72" s="629">
        <v>40.0</v>
      </c>
      <c r="D72" s="610"/>
      <c r="E72" s="656" t="s">
        <v>75</v>
      </c>
      <c r="F72" s="1128">
        <f>if(C63="Yes",12*C75*C77,0)</f>
        <v>0</v>
      </c>
      <c r="X72" s="559"/>
      <c r="BH72" s="560"/>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row>
    <row r="73">
      <c r="B73" s="613" t="s">
        <v>60</v>
      </c>
      <c r="C73" s="655">
        <f>average(31.14,36.68,37.15,39.58,67.69,72.68,57.66, 68.78)</f>
        <v>51.42</v>
      </c>
      <c r="D73" s="610"/>
      <c r="E73" s="656" t="s">
        <v>77</v>
      </c>
      <c r="F73" s="657">
        <f>C76*C77</f>
        <v>25</v>
      </c>
      <c r="X73" s="559"/>
      <c r="BH73" s="560"/>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row>
    <row r="74">
      <c r="B74" s="613" t="s">
        <v>64</v>
      </c>
      <c r="C74" s="651">
        <v>90.0</v>
      </c>
      <c r="D74" s="610"/>
      <c r="E74" s="658" t="s">
        <v>79</v>
      </c>
      <c r="F74" s="659">
        <f>sum(F68:F73)</f>
        <v>203.3446</v>
      </c>
      <c r="X74" s="574"/>
      <c r="Y74" s="575"/>
      <c r="Z74" s="575"/>
      <c r="AA74" s="575"/>
      <c r="AB74" s="575"/>
      <c r="AC74" s="575"/>
      <c r="AD74" s="575"/>
      <c r="AE74" s="575"/>
      <c r="AF74" s="575"/>
      <c r="AG74" s="575"/>
      <c r="AH74" s="575"/>
      <c r="AI74" s="575"/>
      <c r="AJ74" s="575"/>
      <c r="AK74" s="575"/>
      <c r="AL74" s="575"/>
      <c r="AM74" s="575"/>
      <c r="AN74" s="575"/>
      <c r="AO74" s="575"/>
      <c r="AP74" s="575"/>
      <c r="AQ74" s="575"/>
      <c r="AR74" s="575"/>
      <c r="AS74" s="575"/>
      <c r="AT74" s="575"/>
      <c r="AU74" s="575"/>
      <c r="AV74" s="575"/>
      <c r="AW74" s="575"/>
      <c r="AX74" s="575"/>
      <c r="AY74" s="575"/>
      <c r="AZ74" s="575"/>
      <c r="BA74" s="575"/>
      <c r="BB74" s="575"/>
      <c r="BC74" s="575"/>
      <c r="BD74" s="575"/>
      <c r="BE74" s="575"/>
      <c r="BF74" s="575"/>
      <c r="BG74" s="575"/>
      <c r="BH74" s="576"/>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row>
    <row r="75">
      <c r="B75" s="613" t="s">
        <v>69</v>
      </c>
      <c r="C75" s="651">
        <v>80.0</v>
      </c>
      <c r="D75" s="610"/>
      <c r="E75" s="660" t="s">
        <v>81</v>
      </c>
      <c r="F75" s="661">
        <f>F66-F74</f>
        <v>16485.15629</v>
      </c>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row>
    <row r="76">
      <c r="B76" s="613" t="s">
        <v>71</v>
      </c>
      <c r="C76" s="651">
        <v>25.0</v>
      </c>
      <c r="D76" s="610"/>
      <c r="E76" s="662" t="s">
        <v>82</v>
      </c>
      <c r="F76" s="663">
        <f>F75/(F61*C35)</f>
        <v>0.1584540747</v>
      </c>
      <c r="CL76" s="144"/>
      <c r="CM76" s="144"/>
      <c r="CN76" s="144"/>
      <c r="CO76" s="144"/>
      <c r="CP76" s="144"/>
      <c r="CQ76" s="144"/>
      <c r="CR76" s="144"/>
      <c r="CS76" s="144"/>
      <c r="CT76" s="144"/>
      <c r="CU76" s="144"/>
      <c r="CV76" s="144"/>
      <c r="CW76" s="144"/>
      <c r="CX76" s="144"/>
      <c r="CY76" s="144"/>
      <c r="CZ76" s="144"/>
      <c r="DA76" s="144"/>
      <c r="DB76" s="144"/>
      <c r="DC76" s="144"/>
      <c r="DD76" s="144"/>
      <c r="DE76" s="144"/>
      <c r="DF76" s="144"/>
      <c r="DG76" s="144"/>
      <c r="DH76" s="144"/>
      <c r="DI76" s="144"/>
      <c r="DJ76" s="144"/>
      <c r="DK76" s="144"/>
      <c r="DL76" s="144"/>
      <c r="DM76" s="144"/>
      <c r="DN76" s="144"/>
      <c r="DO76" s="144"/>
      <c r="DP76" s="144"/>
      <c r="DQ76" s="144"/>
      <c r="DR76" s="144"/>
      <c r="DS76" s="144"/>
      <c r="DT76" s="144"/>
      <c r="DU76" s="144"/>
      <c r="DV76" s="144"/>
      <c r="DW76" s="144"/>
    </row>
    <row r="77">
      <c r="B77" s="664" t="s">
        <v>147</v>
      </c>
      <c r="C77" s="665">
        <f>IF(ISNUMBER(SEARCH("No",C63)),(ROUNDUP(C67/C78)),(ROUNDUP(C67/C78)))</f>
        <v>1</v>
      </c>
      <c r="D77" s="610"/>
      <c r="E77" s="662" t="s">
        <v>148</v>
      </c>
      <c r="F77" s="663">
        <f>F74/F66</f>
        <v>0.01218471338</v>
      </c>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c r="DU77" s="51"/>
      <c r="DV77" s="51"/>
      <c r="DW77" s="51"/>
    </row>
    <row r="78">
      <c r="B78" s="1129" t="s">
        <v>149</v>
      </c>
      <c r="C78" s="1130" t="str">
        <f>IF(ISNUMBER(SEARCH("No",C63)), "16", "1000")</f>
        <v>16</v>
      </c>
      <c r="D78" s="610"/>
      <c r="E78" s="610"/>
      <c r="F78" s="379"/>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c r="DU78" s="51"/>
      <c r="DV78" s="51"/>
      <c r="DW78" s="51"/>
    </row>
    <row r="79">
      <c r="B79" s="1131" t="s">
        <v>76</v>
      </c>
      <c r="C79" s="1132">
        <f>IF(ISNUMBER(SEARCH("Yes",C63)),"N/A",((C77*C72+1024*(1-(1023/1024)^C67)*C71)))</f>
        <v>50</v>
      </c>
      <c r="D79" s="610"/>
      <c r="E79" s="610"/>
      <c r="F79" s="610"/>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c r="DU79" s="51"/>
      <c r="DV79" s="51"/>
      <c r="DW79" s="51"/>
    </row>
    <row r="80">
      <c r="B80" s="613" t="s">
        <v>78</v>
      </c>
      <c r="C80" s="1133">
        <f>F61*C35</f>
        <v>104037.44</v>
      </c>
      <c r="D80" s="610"/>
      <c r="E80" s="610"/>
      <c r="F80" s="610"/>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c r="DU80" s="51"/>
      <c r="DV80" s="51"/>
      <c r="DW80" s="51"/>
    </row>
    <row r="81">
      <c r="B81" s="668" t="s">
        <v>80</v>
      </c>
      <c r="C81" s="669">
        <f>(C68*C77)+C74+(F61*C35)+(C76*C67)</f>
        <v>104377.44</v>
      </c>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c r="DU81" s="51"/>
      <c r="DV81" s="51"/>
      <c r="DW81" s="51"/>
    </row>
    <row r="82">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c r="DU82" s="51"/>
      <c r="DV82" s="51"/>
      <c r="DW82" s="51"/>
    </row>
    <row r="83">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c r="DU83" s="51"/>
      <c r="DV83" s="51"/>
      <c r="DW83" s="51"/>
    </row>
    <row r="84">
      <c r="B84" s="152"/>
      <c r="C84" s="23"/>
      <c r="X84" s="1134"/>
      <c r="CL84" s="144"/>
      <c r="CM84" s="144"/>
      <c r="CN84" s="144"/>
      <c r="CO84" s="144"/>
      <c r="CP84" s="144"/>
      <c r="CQ84" s="144"/>
      <c r="CR84" s="144"/>
      <c r="CS84" s="144"/>
      <c r="CT84" s="144"/>
      <c r="CU84" s="144"/>
      <c r="CV84" s="144"/>
      <c r="CW84" s="144"/>
      <c r="CX84" s="144"/>
      <c r="CY84" s="144"/>
      <c r="CZ84" s="144"/>
      <c r="DA84" s="144"/>
      <c r="DB84" s="144"/>
      <c r="DC84" s="144"/>
      <c r="DD84" s="144"/>
      <c r="DE84" s="144"/>
      <c r="DF84" s="144"/>
      <c r="DG84" s="144"/>
      <c r="DH84" s="144"/>
      <c r="DI84" s="144"/>
      <c r="DJ84" s="144"/>
      <c r="DK84" s="144"/>
      <c r="DL84" s="144"/>
      <c r="DM84" s="144"/>
      <c r="DN84" s="144"/>
      <c r="DO84" s="144"/>
      <c r="DP84" s="144"/>
      <c r="DQ84" s="144"/>
      <c r="DR84" s="144"/>
      <c r="DS84" s="144"/>
      <c r="DT84" s="144"/>
      <c r="DU84" s="144"/>
      <c r="DV84" s="144"/>
      <c r="DW84" s="144"/>
    </row>
    <row r="85">
      <c r="B85" s="1135" t="s">
        <v>150</v>
      </c>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c r="DU85" s="51"/>
      <c r="DV85" s="51"/>
      <c r="DW85" s="51"/>
    </row>
    <row r="86">
      <c r="CL86" s="144"/>
      <c r="CM86" s="144"/>
      <c r="CN86" s="144"/>
      <c r="CO86" s="144"/>
      <c r="CP86" s="144"/>
      <c r="CQ86" s="144"/>
      <c r="CR86" s="144"/>
      <c r="CS86" s="144"/>
      <c r="CT86" s="144"/>
      <c r="CU86" s="144"/>
      <c r="CV86" s="144"/>
      <c r="CW86" s="144"/>
      <c r="CX86" s="144"/>
      <c r="CY86" s="144"/>
      <c r="CZ86" s="144"/>
      <c r="DA86" s="144"/>
      <c r="DB86" s="144"/>
      <c r="DC86" s="144"/>
      <c r="DD86" s="144"/>
      <c r="DE86" s="144"/>
      <c r="DF86" s="144"/>
      <c r="DG86" s="144"/>
      <c r="DH86" s="144"/>
      <c r="DI86" s="144"/>
      <c r="DJ86" s="144"/>
      <c r="DK86" s="144"/>
      <c r="DL86" s="144"/>
      <c r="DM86" s="144"/>
      <c r="DN86" s="144"/>
      <c r="DO86" s="144"/>
      <c r="DP86" s="144"/>
      <c r="DQ86" s="144"/>
      <c r="DR86" s="144"/>
      <c r="DS86" s="144"/>
      <c r="DT86" s="144"/>
      <c r="DU86" s="144"/>
      <c r="DV86" s="144"/>
      <c r="DW86" s="144"/>
    </row>
    <row r="89">
      <c r="B89" s="23"/>
      <c r="C89" s="298"/>
    </row>
    <row r="90">
      <c r="B90" s="23"/>
      <c r="C90" s="23"/>
    </row>
    <row r="91">
      <c r="B91" s="23"/>
      <c r="C91" s="23"/>
    </row>
    <row r="92">
      <c r="B92" s="151"/>
      <c r="C92" s="23"/>
    </row>
    <row r="93">
      <c r="B93" s="152"/>
      <c r="C93" s="153"/>
    </row>
    <row r="94">
      <c r="B94" s="152"/>
      <c r="C94" s="153"/>
    </row>
    <row r="95">
      <c r="B95" s="152"/>
      <c r="C95" s="153"/>
    </row>
    <row r="96">
      <c r="B96" s="152"/>
      <c r="C96" s="153"/>
    </row>
    <row r="97">
      <c r="B97" s="152"/>
      <c r="C97" s="153"/>
    </row>
    <row r="98">
      <c r="B98" s="152"/>
      <c r="C98" s="153"/>
    </row>
    <row r="99">
      <c r="B99" s="152"/>
      <c r="C99" s="153"/>
    </row>
    <row r="100">
      <c r="B100" s="152"/>
      <c r="C100" s="153"/>
    </row>
    <row r="101">
      <c r="B101" s="152"/>
      <c r="C101" s="153"/>
    </row>
    <row r="102">
      <c r="B102" s="152"/>
      <c r="C102" s="153"/>
    </row>
    <row r="103">
      <c r="B103" s="152"/>
      <c r="C103" s="153"/>
    </row>
    <row r="104">
      <c r="B104" s="152"/>
      <c r="C104" s="153"/>
    </row>
    <row r="105">
      <c r="B105" s="152"/>
      <c r="C105" s="153"/>
    </row>
    <row r="106">
      <c r="B106" s="152"/>
      <c r="C106" s="153"/>
    </row>
    <row r="107">
      <c r="B107" s="152"/>
      <c r="C107" s="153"/>
      <c r="AA107" s="1136" t="s">
        <v>88</v>
      </c>
      <c r="AB107" s="498"/>
      <c r="AC107" s="498"/>
      <c r="AD107" s="498"/>
      <c r="AE107" s="498"/>
      <c r="AF107" s="498"/>
      <c r="AG107" s="498"/>
      <c r="AH107" s="498"/>
      <c r="AI107" s="498"/>
      <c r="AJ107" s="505"/>
      <c r="AK107" s="1136" t="s">
        <v>151</v>
      </c>
      <c r="AL107" s="498"/>
      <c r="AM107" s="498"/>
      <c r="AN107" s="498"/>
      <c r="AO107" s="498"/>
      <c r="AP107" s="498"/>
      <c r="AQ107" s="498"/>
      <c r="AR107" s="498"/>
      <c r="AS107" s="498"/>
      <c r="AU107" s="1137" t="s">
        <v>54</v>
      </c>
      <c r="AV107" s="80"/>
      <c r="AW107" s="80"/>
      <c r="AX107" s="80"/>
      <c r="AY107" s="80"/>
      <c r="AZ107" s="80"/>
      <c r="BA107" s="80"/>
      <c r="BB107" s="498"/>
      <c r="BC107" s="498"/>
      <c r="BD107" s="498"/>
      <c r="BE107" s="498"/>
      <c r="BF107" s="498"/>
    </row>
    <row r="108">
      <c r="B108" s="152"/>
      <c r="C108" s="153"/>
      <c r="AA108" s="1138" t="s">
        <v>57</v>
      </c>
      <c r="AJ108" s="505"/>
      <c r="AK108" s="1138" t="s">
        <v>57</v>
      </c>
      <c r="AU108" s="1139" t="s">
        <v>58</v>
      </c>
      <c r="AV108" s="80"/>
      <c r="AW108" s="80"/>
      <c r="AX108" s="80"/>
      <c r="AY108" s="1047" t="s">
        <v>59</v>
      </c>
      <c r="AZ108" s="80"/>
      <c r="BA108" s="80"/>
      <c r="BB108" s="498"/>
      <c r="BC108" s="498"/>
      <c r="BD108" s="498"/>
      <c r="BE108" s="498"/>
      <c r="BF108" s="498"/>
    </row>
    <row r="109">
      <c r="B109" s="152"/>
      <c r="C109" s="153"/>
      <c r="AA109" s="498"/>
      <c r="AB109" s="1103">
        <f>$F$43</f>
        <v>0.001428257487</v>
      </c>
      <c r="AC109" s="681">
        <v>64.0</v>
      </c>
      <c r="AD109" s="681">
        <f t="shared" ref="AD109:AI109" si="1">AC109+10</f>
        <v>74</v>
      </c>
      <c r="AE109" s="681">
        <f t="shared" si="1"/>
        <v>84</v>
      </c>
      <c r="AF109" s="681">
        <f t="shared" si="1"/>
        <v>94</v>
      </c>
      <c r="AG109" s="681">
        <f t="shared" si="1"/>
        <v>104</v>
      </c>
      <c r="AH109" s="681">
        <f t="shared" si="1"/>
        <v>114</v>
      </c>
      <c r="AI109" s="681">
        <f t="shared" si="1"/>
        <v>124</v>
      </c>
      <c r="AJ109" s="505"/>
      <c r="AK109" s="498"/>
      <c r="AL109" s="1103">
        <f>$F$42</f>
        <v>430.4337631</v>
      </c>
      <c r="AM109" s="681">
        <v>64.0</v>
      </c>
      <c r="AN109" s="681">
        <f t="shared" ref="AN109:AS109" si="2">AM109+10</f>
        <v>74</v>
      </c>
      <c r="AO109" s="681">
        <f t="shared" si="2"/>
        <v>84</v>
      </c>
      <c r="AP109" s="681">
        <f t="shared" si="2"/>
        <v>94</v>
      </c>
      <c r="AQ109" s="681">
        <f t="shared" si="2"/>
        <v>104</v>
      </c>
      <c r="AR109" s="681">
        <f t="shared" si="2"/>
        <v>114</v>
      </c>
      <c r="AS109" s="681">
        <f t="shared" si="2"/>
        <v>124</v>
      </c>
      <c r="AU109" s="80"/>
      <c r="AV109" s="683">
        <f>F43</f>
        <v>0.001428257487</v>
      </c>
      <c r="AW109" s="684">
        <f t="shared" ref="AW109:AY109" si="3">AX109-0.05</f>
        <v>0.7</v>
      </c>
      <c r="AX109" s="684">
        <f t="shared" si="3"/>
        <v>0.75</v>
      </c>
      <c r="AY109" s="684">
        <f t="shared" si="3"/>
        <v>0.8</v>
      </c>
      <c r="AZ109" s="684">
        <v>0.85</v>
      </c>
      <c r="BA109" s="1059">
        <v>0.9</v>
      </c>
      <c r="BB109" s="684">
        <f t="shared" ref="BB109:BF109" si="4">BA109+0.02</f>
        <v>0.92</v>
      </c>
      <c r="BC109" s="684">
        <f t="shared" si="4"/>
        <v>0.94</v>
      </c>
      <c r="BD109" s="684">
        <f t="shared" si="4"/>
        <v>0.96</v>
      </c>
      <c r="BE109" s="1059">
        <f t="shared" si="4"/>
        <v>0.98</v>
      </c>
      <c r="BF109" s="684">
        <f t="shared" si="4"/>
        <v>1</v>
      </c>
    </row>
    <row r="110">
      <c r="B110" s="152"/>
      <c r="C110" s="153"/>
      <c r="AA110" s="703" t="s">
        <v>66</v>
      </c>
      <c r="AB110" s="681">
        <v>524288.0</v>
      </c>
      <c r="AC110" s="1140">
        <v>7.982838815136826E-4</v>
      </c>
      <c r="AD110" s="690">
        <v>9.230157380001956E-4</v>
      </c>
      <c r="AE110" s="691">
        <v>0.0010477475944867083</v>
      </c>
      <c r="AF110" s="692">
        <v>0.0011724794509732211</v>
      </c>
      <c r="AG110" s="693">
        <v>0.0012972113074597336</v>
      </c>
      <c r="AH110" s="694">
        <v>0.0014219431639462472</v>
      </c>
      <c r="AI110" s="1141">
        <v>0.0015466750204327596</v>
      </c>
      <c r="AJ110" s="505"/>
      <c r="AK110" s="703" t="s">
        <v>66</v>
      </c>
      <c r="AL110" s="681">
        <v>524288.0</v>
      </c>
      <c r="AM110" s="1142">
        <v>311.6673359428254</v>
      </c>
      <c r="AN110" s="697">
        <v>360.36535718389183</v>
      </c>
      <c r="AO110" s="698">
        <v>409.0633784249583</v>
      </c>
      <c r="AP110" s="699">
        <v>457.76139966602466</v>
      </c>
      <c r="AQ110" s="700">
        <v>506.45942090709116</v>
      </c>
      <c r="AR110" s="701">
        <v>555.1574421481577</v>
      </c>
      <c r="AS110" s="1143">
        <v>603.855463389224</v>
      </c>
      <c r="AU110" s="703" t="s">
        <v>66</v>
      </c>
      <c r="AV110" s="681">
        <v>525288.0</v>
      </c>
      <c r="AW110" s="704">
        <v>2.531394138079573E-4</v>
      </c>
      <c r="AX110" s="705">
        <v>3.837991908217371E-4</v>
      </c>
      <c r="AY110" s="706">
        <v>5.183211403761138E-4</v>
      </c>
      <c r="AZ110" s="1144">
        <v>6.567198701748745E-4</v>
      </c>
      <c r="BA110" s="1145">
        <v>7.990448216769913E-4</v>
      </c>
      <c r="BB110" s="709">
        <v>8.570918515885744E-4</v>
      </c>
      <c r="BC110" s="710">
        <v>9.157871250348404E-4</v>
      </c>
      <c r="BD110" s="711">
        <v>9.751384879258595E-4</v>
      </c>
      <c r="BE110" s="1146">
        <v>0.001035154677915836</v>
      </c>
      <c r="BF110" s="1141">
        <v>0.0010958453244031055</v>
      </c>
    </row>
    <row r="111">
      <c r="B111" s="152"/>
      <c r="C111" s="153"/>
      <c r="AB111" s="681">
        <v>1000000.0</v>
      </c>
      <c r="AC111" s="853">
        <v>0.0011024842693950069</v>
      </c>
      <c r="AD111" s="714">
        <v>0.0012747474364879763</v>
      </c>
      <c r="AE111" s="715">
        <v>0.0014470106035809464</v>
      </c>
      <c r="AF111" s="716">
        <v>0.0016192737706739158</v>
      </c>
      <c r="AG111" s="717">
        <v>0.0017915369377668855</v>
      </c>
      <c r="AH111" s="718">
        <v>0.0019638001048598555</v>
      </c>
      <c r="AI111" s="1147">
        <v>0.002136063271952825</v>
      </c>
      <c r="AJ111" s="505"/>
      <c r="AL111" s="681">
        <v>1000000.0</v>
      </c>
      <c r="AM111" s="1148">
        <v>430.43376312405786</v>
      </c>
      <c r="AN111" s="721">
        <v>497.6890386121918</v>
      </c>
      <c r="AO111" s="722">
        <v>564.944314100326</v>
      </c>
      <c r="AP111" s="723">
        <v>632.19958958846</v>
      </c>
      <c r="AQ111" s="724">
        <v>699.4548650765939</v>
      </c>
      <c r="AR111" s="725">
        <v>766.7101405647279</v>
      </c>
      <c r="AS111" s="1149">
        <v>833.9654160528619</v>
      </c>
      <c r="AV111" s="681">
        <v>1000000.0</v>
      </c>
      <c r="AW111" s="727">
        <v>3.492697957811976E-4</v>
      </c>
      <c r="AX111" s="728">
        <v>5.295479790475963E-4</v>
      </c>
      <c r="AY111" s="729">
        <v>7.151550053978672E-4</v>
      </c>
      <c r="AZ111" s="1150">
        <v>9.061110298511036E-4</v>
      </c>
      <c r="BA111" s="1151">
        <v>0.0011024842693950069</v>
      </c>
      <c r="BB111" s="732">
        <v>0.0011825748170420224</v>
      </c>
      <c r="BC111" s="733">
        <v>0.0012635597804719024</v>
      </c>
      <c r="BD111" s="734">
        <v>0.0013454499851004414</v>
      </c>
      <c r="BE111" s="1152">
        <v>0.0014282574867298286</v>
      </c>
      <c r="BF111" s="1153">
        <v>0.0015119955715486506</v>
      </c>
    </row>
    <row r="112">
      <c r="B112" s="152"/>
      <c r="C112" s="153"/>
      <c r="AB112" s="681">
        <f t="shared" ref="AB112:AB129" si="5">AB111+500000</f>
        <v>1500000</v>
      </c>
      <c r="AC112" s="843">
        <v>0.0013502619547314375</v>
      </c>
      <c r="AD112" s="738">
        <v>0.0015612403851582245</v>
      </c>
      <c r="AE112" s="739">
        <v>0.001772218815585011</v>
      </c>
      <c r="AF112" s="740">
        <v>0.001983197246011799</v>
      </c>
      <c r="AG112" s="741">
        <v>0.002194175676438586</v>
      </c>
      <c r="AH112" s="742">
        <v>0.0024051541068653725</v>
      </c>
      <c r="AI112" s="1154">
        <v>0.0026161325372921606</v>
      </c>
      <c r="AJ112" s="505"/>
      <c r="AL112" s="681">
        <f t="shared" ref="AL112:AL129" si="6">AL111+500000</f>
        <v>1500000</v>
      </c>
      <c r="AM112" s="849">
        <v>527.1715438599718</v>
      </c>
      <c r="AN112" s="745">
        <v>609.5420975880926</v>
      </c>
      <c r="AO112" s="746">
        <v>691.9126513162131</v>
      </c>
      <c r="AP112" s="747">
        <v>774.2832050443337</v>
      </c>
      <c r="AQ112" s="748">
        <v>856.6537587724545</v>
      </c>
      <c r="AR112" s="749">
        <v>939.0243125005748</v>
      </c>
      <c r="AS112" s="1155">
        <v>1021.3948662286956</v>
      </c>
      <c r="AV112" s="681">
        <f t="shared" ref="AV112:AV129" si="7">AV111+500000</f>
        <v>1500000</v>
      </c>
      <c r="AW112" s="751">
        <v>4.277663911150091E-4</v>
      </c>
      <c r="AX112" s="752">
        <v>6.48561171494324E-4</v>
      </c>
      <c r="AY112" s="753">
        <v>8.758824251110619E-4</v>
      </c>
      <c r="AZ112" s="1156">
        <v>0.0011097548367214902</v>
      </c>
      <c r="BA112" s="1157">
        <v>0.0013502619547314375</v>
      </c>
      <c r="BB112" s="756">
        <v>0.0014483524422090634</v>
      </c>
      <c r="BC112" s="757">
        <v>0.0015475383608296444</v>
      </c>
      <c r="BD112" s="758">
        <v>0.0016478329689656554</v>
      </c>
      <c r="BE112" s="1158">
        <v>0.0017492510318989976</v>
      </c>
      <c r="BF112" s="1159">
        <v>0.0018518088218210046</v>
      </c>
    </row>
    <row r="113">
      <c r="B113" s="152"/>
      <c r="C113" s="153"/>
      <c r="AB113" s="681">
        <f t="shared" si="5"/>
        <v>2000000</v>
      </c>
      <c r="AC113" s="1160">
        <v>0.0015591482060814117</v>
      </c>
      <c r="AD113" s="762">
        <v>0.0018027651132816321</v>
      </c>
      <c r="AE113" s="763">
        <v>0.0020463820204818526</v>
      </c>
      <c r="AF113" s="764">
        <v>0.0022899989276820728</v>
      </c>
      <c r="AG113" s="765">
        <v>0.002533615834882293</v>
      </c>
      <c r="AH113" s="766">
        <v>0.002777232742082514</v>
      </c>
      <c r="AI113" s="799">
        <v>0.003020849649282734</v>
      </c>
      <c r="AJ113" s="505"/>
      <c r="AL113" s="681">
        <f t="shared" si="6"/>
        <v>2000000</v>
      </c>
      <c r="AM113" s="1161">
        <v>608.7252655133308</v>
      </c>
      <c r="AN113" s="769">
        <v>703.8385882497888</v>
      </c>
      <c r="AO113" s="770">
        <v>798.9519109862466</v>
      </c>
      <c r="AP113" s="771">
        <v>894.0652337227044</v>
      </c>
      <c r="AQ113" s="772">
        <v>989.1785564591623</v>
      </c>
      <c r="AR113" s="773">
        <v>1084.2918791956206</v>
      </c>
      <c r="AS113" s="1162">
        <v>1179.4052019320784</v>
      </c>
      <c r="AV113" s="681">
        <f t="shared" si="7"/>
        <v>2000000</v>
      </c>
      <c r="AW113" s="740">
        <v>4.939420821210506E-4</v>
      </c>
      <c r="AX113" s="766">
        <v>7.488939338963743E-4</v>
      </c>
      <c r="AY113" s="775">
        <v>0.001011381907832668</v>
      </c>
      <c r="AZ113" s="799">
        <v>0.0012814345074312833</v>
      </c>
      <c r="BA113" s="1163">
        <v>0.0015591482060814117</v>
      </c>
      <c r="BB113" s="778">
        <v>0.0016724133447817099</v>
      </c>
      <c r="BC113" s="779">
        <v>0.001786943378412535</v>
      </c>
      <c r="BD113" s="780">
        <v>0.0019027536164237231</v>
      </c>
      <c r="BE113" s="1164">
        <v>0.002019861108294235</v>
      </c>
      <c r="BF113" s="1165">
        <v>0.002138284643532161</v>
      </c>
    </row>
    <row r="114">
      <c r="B114" s="152"/>
      <c r="C114" s="153"/>
      <c r="AB114" s="681">
        <f t="shared" si="5"/>
        <v>2500000</v>
      </c>
      <c r="AC114" s="895">
        <v>0.0017431806878974432</v>
      </c>
      <c r="AD114" s="784">
        <v>0.0020155526703814187</v>
      </c>
      <c r="AE114" s="785">
        <v>0.0022879246528653943</v>
      </c>
      <c r="AF114" s="763">
        <v>0.0025602966353493696</v>
      </c>
      <c r="AG114" s="786">
        <v>0.002832668617833345</v>
      </c>
      <c r="AH114" s="787">
        <v>0.00310504060031732</v>
      </c>
      <c r="AI114" s="1166">
        <v>0.003377412582801296</v>
      </c>
      <c r="AJ114" s="505"/>
      <c r="AL114" s="681">
        <f t="shared" si="6"/>
        <v>2500000</v>
      </c>
      <c r="AM114" s="900">
        <v>680.5755366547079</v>
      </c>
      <c r="AN114" s="790">
        <v>786.9154642570062</v>
      </c>
      <c r="AO114" s="791">
        <v>893.2553918593044</v>
      </c>
      <c r="AP114" s="770">
        <v>999.5953194616025</v>
      </c>
      <c r="AQ114" s="792">
        <v>1105.9352470639005</v>
      </c>
      <c r="AR114" s="793">
        <v>1212.2751746661988</v>
      </c>
      <c r="AS114" s="1167">
        <v>1318.615102268497</v>
      </c>
      <c r="AV114" s="681">
        <f t="shared" si="7"/>
        <v>2500000</v>
      </c>
      <c r="AW114" s="795">
        <v>5.522440362852266E-4</v>
      </c>
      <c r="AX114" s="714">
        <v>8.372888720647634E-4</v>
      </c>
      <c r="AY114" s="740">
        <v>0.0011307593485636361</v>
      </c>
      <c r="AZ114" s="1168">
        <v>0.0014326873336651545</v>
      </c>
      <c r="BA114" s="1169">
        <v>0.0017431806878974432</v>
      </c>
      <c r="BB114" s="798">
        <v>0.0018698149627048475</v>
      </c>
      <c r="BC114" s="715">
        <v>0.0019978634330367786</v>
      </c>
      <c r="BD114" s="751">
        <v>0.0021273432153785018</v>
      </c>
      <c r="BE114" s="1170">
        <v>0.002258273371626987</v>
      </c>
      <c r="BF114" s="1171">
        <v>0.002390674909090909</v>
      </c>
    </row>
    <row r="115">
      <c r="B115" s="152"/>
      <c r="C115" s="153"/>
      <c r="AB115" s="681">
        <f t="shared" si="5"/>
        <v>3000000</v>
      </c>
      <c r="AC115" s="841">
        <v>0.001909558769137605</v>
      </c>
      <c r="AD115" s="802">
        <v>0.0022079273268153553</v>
      </c>
      <c r="AE115" s="803">
        <v>0.002506295884493106</v>
      </c>
      <c r="AF115" s="804">
        <v>0.0028046644421708573</v>
      </c>
      <c r="AG115" s="763">
        <v>0.0031030329998486083</v>
      </c>
      <c r="AH115" s="786">
        <v>0.0034014015575263585</v>
      </c>
      <c r="AI115" s="1172">
        <v>0.0036997701152041095</v>
      </c>
      <c r="AJ115" s="505"/>
      <c r="AL115" s="681">
        <f t="shared" si="6"/>
        <v>3000000</v>
      </c>
      <c r="AM115" s="847">
        <v>745.533147023935</v>
      </c>
      <c r="AN115" s="807">
        <v>862.0227012464252</v>
      </c>
      <c r="AO115" s="808">
        <v>978.5122554689153</v>
      </c>
      <c r="AP115" s="809">
        <v>1095.001809691405</v>
      </c>
      <c r="AQ115" s="770">
        <v>1211.491363913895</v>
      </c>
      <c r="AR115" s="792">
        <v>1327.9809181363844</v>
      </c>
      <c r="AS115" s="1173">
        <v>1444.4704723588745</v>
      </c>
      <c r="AV115" s="681">
        <f t="shared" si="7"/>
        <v>3000000</v>
      </c>
      <c r="AW115" s="764">
        <v>6.049530318422395E-4</v>
      </c>
      <c r="AX115" s="739">
        <v>9.17204004755856E-4</v>
      </c>
      <c r="AY115" s="795">
        <v>0.0012386848046363008</v>
      </c>
      <c r="AZ115" s="714">
        <v>0.0015694303410006712</v>
      </c>
      <c r="BA115" s="1174">
        <v>0.001909558769137605</v>
      </c>
      <c r="BB115" s="813">
        <v>0.0020482796668682517</v>
      </c>
      <c r="BC115" s="814">
        <v>0.002188549738177912</v>
      </c>
      <c r="BD115" s="766">
        <v>0.002330387733236753</v>
      </c>
      <c r="BE115" s="1175">
        <v>0.0024738145333066943</v>
      </c>
      <c r="BF115" s="1176">
        <v>0.0026188531507414063</v>
      </c>
    </row>
    <row r="116">
      <c r="AB116" s="681">
        <f t="shared" si="5"/>
        <v>3500000</v>
      </c>
      <c r="AC116" s="860">
        <v>0.0020625592051919488</v>
      </c>
      <c r="AD116" s="818">
        <v>0.002384834081003191</v>
      </c>
      <c r="AE116" s="819">
        <v>0.0027071089568144334</v>
      </c>
      <c r="AF116" s="820">
        <v>0.003029383832625674</v>
      </c>
      <c r="AG116" s="821">
        <v>0.003351658708436917</v>
      </c>
      <c r="AH116" s="822">
        <v>0.0036739335842481597</v>
      </c>
      <c r="AI116" s="764">
        <v>0.003996208460059401</v>
      </c>
      <c r="AJ116" s="505"/>
      <c r="AL116" s="681">
        <f t="shared" si="6"/>
        <v>3500000</v>
      </c>
      <c r="AM116" s="864">
        <v>805.2678346550176</v>
      </c>
      <c r="AN116" s="825">
        <v>931.0909338198644</v>
      </c>
      <c r="AO116" s="826">
        <v>1056.9140329847112</v>
      </c>
      <c r="AP116" s="827">
        <v>1182.7371321495575</v>
      </c>
      <c r="AQ116" s="828">
        <v>1308.560231314404</v>
      </c>
      <c r="AR116" s="829">
        <v>1434.3833304792508</v>
      </c>
      <c r="AS116" s="771">
        <v>1560.2064296440974</v>
      </c>
      <c r="AV116" s="681">
        <f t="shared" si="7"/>
        <v>3500000</v>
      </c>
      <c r="AW116" s="831">
        <v>6.534239556808718E-4</v>
      </c>
      <c r="AX116" s="832">
        <v>9.90693553727325E-4</v>
      </c>
      <c r="AY116" s="833">
        <v>0.0013379325043176436</v>
      </c>
      <c r="AZ116" s="856">
        <v>0.0016951785140398622</v>
      </c>
      <c r="BA116" s="1177">
        <v>0.0020625592051919488</v>
      </c>
      <c r="BB116" s="836">
        <v>0.0022123948997990624</v>
      </c>
      <c r="BC116" s="714">
        <v>0.0023639038931165765</v>
      </c>
      <c r="BD116" s="837">
        <v>0.0025171064376429773</v>
      </c>
      <c r="BE116" s="1178">
        <v>0.002672025087718924</v>
      </c>
      <c r="BF116" s="740">
        <v>0.002828684699527248</v>
      </c>
      <c r="CF116" s="52"/>
      <c r="CG116" s="52"/>
      <c r="CH116" s="52"/>
      <c r="CI116" s="52"/>
      <c r="CJ116" s="52"/>
      <c r="CK116" s="52"/>
    </row>
    <row r="117" ht="18.0" customHeight="1">
      <c r="AB117" s="681">
        <f t="shared" si="5"/>
        <v>4000000</v>
      </c>
      <c r="AC117" s="973">
        <v>0.0022049685387900138</v>
      </c>
      <c r="AD117" s="841">
        <v>0.0025494948729759526</v>
      </c>
      <c r="AE117" s="842">
        <v>0.0028940212071618928</v>
      </c>
      <c r="AF117" s="784">
        <v>0.0032385475413478316</v>
      </c>
      <c r="AG117" s="843">
        <v>0.003583073875533771</v>
      </c>
      <c r="AH117" s="844">
        <v>0.003927600209719711</v>
      </c>
      <c r="AI117" s="852">
        <v>0.00427212654390565</v>
      </c>
      <c r="AJ117" s="505"/>
      <c r="AL117" s="681">
        <f t="shared" si="6"/>
        <v>4000000</v>
      </c>
      <c r="AM117" s="978">
        <v>860.8675262481157</v>
      </c>
      <c r="AN117" s="847">
        <v>995.3780772243836</v>
      </c>
      <c r="AO117" s="848">
        <v>1129.888628200652</v>
      </c>
      <c r="AP117" s="790">
        <v>1264.39917917692</v>
      </c>
      <c r="AQ117" s="849">
        <v>1398.9097301531879</v>
      </c>
      <c r="AR117" s="850">
        <v>1533.4202811294558</v>
      </c>
      <c r="AS117" s="1179">
        <v>1667.9308321057238</v>
      </c>
      <c r="AV117" s="681">
        <f t="shared" si="7"/>
        <v>4000000</v>
      </c>
      <c r="AW117" s="763">
        <v>6.985395915623952E-4</v>
      </c>
      <c r="AX117" s="852">
        <v>0.0010590959580951925</v>
      </c>
      <c r="AY117" s="853">
        <v>0.0014303100107957345</v>
      </c>
      <c r="AZ117" s="890">
        <v>0.0018122220597022072</v>
      </c>
      <c r="BA117" s="1180">
        <v>0.0022049685387900138</v>
      </c>
      <c r="BB117" s="856">
        <v>0.002365149634084045</v>
      </c>
      <c r="BC117" s="857">
        <v>0.002527119560943805</v>
      </c>
      <c r="BD117" s="795">
        <v>0.002690899970200883</v>
      </c>
      <c r="BE117" s="1177">
        <v>0.002856514973459657</v>
      </c>
      <c r="BF117" s="836">
        <v>0.003023991143097301</v>
      </c>
    </row>
    <row r="118">
      <c r="AB118" s="681">
        <f t="shared" si="5"/>
        <v>4500000</v>
      </c>
      <c r="AC118" s="907">
        <v>0.002338722309122117</v>
      </c>
      <c r="AD118" s="860">
        <v>0.002704147669922447</v>
      </c>
      <c r="AE118" s="818">
        <v>0.0030695730307227784</v>
      </c>
      <c r="AF118" s="819">
        <v>0.003434998391523109</v>
      </c>
      <c r="AG118" s="861">
        <v>0.0038004237523234395</v>
      </c>
      <c r="AH118" s="804">
        <v>0.004165849113123771</v>
      </c>
      <c r="AI118" s="931">
        <v>0.0045312744739241006</v>
      </c>
      <c r="AJ118" s="505"/>
      <c r="AL118" s="681">
        <f t="shared" si="6"/>
        <v>4500000</v>
      </c>
      <c r="AM118" s="911">
        <v>913.0878982699962</v>
      </c>
      <c r="AN118" s="864">
        <v>1055.757882374683</v>
      </c>
      <c r="AO118" s="825">
        <v>1198.4278664793696</v>
      </c>
      <c r="AP118" s="826">
        <v>1341.097850584057</v>
      </c>
      <c r="AQ118" s="865">
        <v>1483.7678346887435</v>
      </c>
      <c r="AR118" s="809">
        <v>1626.4378187934308</v>
      </c>
      <c r="AS118" s="1181">
        <v>1769.1078028981176</v>
      </c>
      <c r="AV118" s="681">
        <f t="shared" si="7"/>
        <v>4500000</v>
      </c>
      <c r="AW118" s="867">
        <v>7.409131231815758E-4</v>
      </c>
      <c r="AX118" s="868">
        <v>0.0011233409008445613</v>
      </c>
      <c r="AY118" s="869">
        <v>0.0015170728617490018</v>
      </c>
      <c r="AZ118" s="1182">
        <v>0.0019221517611469248</v>
      </c>
      <c r="BA118" s="1183">
        <v>0.002338722309122117</v>
      </c>
      <c r="BB118" s="872">
        <v>0.0025086200171725638</v>
      </c>
      <c r="BC118" s="873">
        <v>0.0026804150676188027</v>
      </c>
      <c r="BD118" s="874">
        <v>0.0028541304246355844</v>
      </c>
      <c r="BE118" s="1184">
        <v>0.0030297916624413518</v>
      </c>
      <c r="BF118" s="1185">
        <v>0.0032074269652982417</v>
      </c>
      <c r="CL118" s="179"/>
      <c r="CM118" s="179"/>
      <c r="CN118" s="179"/>
      <c r="CO118" s="179"/>
      <c r="CP118" s="179"/>
      <c r="CQ118" s="179"/>
      <c r="CR118" s="179"/>
      <c r="CS118" s="179"/>
      <c r="CT118" s="179"/>
      <c r="CU118" s="179"/>
      <c r="CV118" s="179"/>
      <c r="CW118" s="179"/>
      <c r="CX118" s="179"/>
      <c r="CY118" s="179"/>
      <c r="CZ118" s="179"/>
      <c r="DA118" s="179"/>
      <c r="DB118" s="179"/>
      <c r="DC118" s="179"/>
      <c r="DD118" s="179"/>
      <c r="DE118" s="179"/>
      <c r="DF118" s="179"/>
      <c r="DG118" s="179"/>
      <c r="DH118" s="179"/>
      <c r="DI118" s="179"/>
      <c r="DJ118" s="179"/>
      <c r="DK118" s="179"/>
      <c r="DL118" s="179"/>
      <c r="DM118" s="179"/>
      <c r="DN118" s="179"/>
      <c r="DO118" s="179"/>
      <c r="DP118" s="179"/>
      <c r="DQ118" s="179"/>
      <c r="DR118" s="179"/>
      <c r="DS118" s="179"/>
      <c r="DT118" s="179"/>
      <c r="DU118" s="179"/>
      <c r="DV118" s="179"/>
      <c r="DW118" s="179"/>
    </row>
    <row r="119">
      <c r="AB119" s="681">
        <f t="shared" si="5"/>
        <v>5000000</v>
      </c>
      <c r="AC119" s="972">
        <v>0.0024652297704914256</v>
      </c>
      <c r="AD119" s="878">
        <v>0.0028504219221307104</v>
      </c>
      <c r="AE119" s="879">
        <v>0.0032356140737699957</v>
      </c>
      <c r="AF119" s="842">
        <v>0.0036208062254092814</v>
      </c>
      <c r="AG119" s="784">
        <v>0.004005998377048565</v>
      </c>
      <c r="AH119" s="880">
        <v>0.004391190528687852</v>
      </c>
      <c r="AI119" s="821">
        <v>0.004776382680327137</v>
      </c>
      <c r="AJ119" s="505"/>
      <c r="AL119" s="681">
        <f t="shared" si="6"/>
        <v>5000000</v>
      </c>
      <c r="AM119" s="977">
        <v>962.4791541564355</v>
      </c>
      <c r="AN119" s="883">
        <v>1112.8665219933785</v>
      </c>
      <c r="AO119" s="884">
        <v>1263.2538898303217</v>
      </c>
      <c r="AP119" s="848">
        <v>1413.6412576672644</v>
      </c>
      <c r="AQ119" s="790">
        <v>1564.0286255042074</v>
      </c>
      <c r="AR119" s="885">
        <v>1714.415993341151</v>
      </c>
      <c r="AS119" s="828">
        <v>1864.8033611780936</v>
      </c>
      <c r="AV119" s="681">
        <f t="shared" si="7"/>
        <v>5000000</v>
      </c>
      <c r="AW119" s="887">
        <v>7.809910058542267E-4</v>
      </c>
      <c r="AX119" s="844">
        <v>0.0011841052784980592</v>
      </c>
      <c r="AY119" s="763">
        <v>0.0015991352065188593</v>
      </c>
      <c r="AZ119" s="916">
        <v>0.002026125857909409</v>
      </c>
      <c r="BA119" s="713">
        <v>0.0024652297704914256</v>
      </c>
      <c r="BB119" s="853">
        <v>0.002644317679385338</v>
      </c>
      <c r="BC119" s="832">
        <v>0.002825405562769885</v>
      </c>
      <c r="BD119" s="786">
        <v>0.0030085176270106652</v>
      </c>
      <c r="BE119" s="1186">
        <v>0.003193680829700901</v>
      </c>
      <c r="BF119" s="890">
        <v>0.0033809248796614288</v>
      </c>
    </row>
    <row r="120">
      <c r="AB120" s="681">
        <f t="shared" si="5"/>
        <v>5500000</v>
      </c>
      <c r="AC120" s="949">
        <v>0.0025855547960638788</v>
      </c>
      <c r="AD120" s="893">
        <v>0.0029895477329488604</v>
      </c>
      <c r="AE120" s="894">
        <v>0.003393540669833841</v>
      </c>
      <c r="AF120" s="895">
        <v>0.003797533606718823</v>
      </c>
      <c r="AG120" s="819">
        <v>0.004201526543603804</v>
      </c>
      <c r="AH120" s="861">
        <v>0.004605519480488786</v>
      </c>
      <c r="AI120" s="762">
        <v>0.0050095124173737664</v>
      </c>
      <c r="AJ120" s="505"/>
      <c r="AL120" s="681">
        <f t="shared" si="6"/>
        <v>5500000</v>
      </c>
      <c r="AM120" s="953">
        <v>1009.4566530585927</v>
      </c>
      <c r="AN120" s="898">
        <v>1167.1842550989982</v>
      </c>
      <c r="AO120" s="899">
        <v>1324.9118571394033</v>
      </c>
      <c r="AP120" s="900">
        <v>1482.639459179808</v>
      </c>
      <c r="AQ120" s="826">
        <v>1640.3670612202138</v>
      </c>
      <c r="AR120" s="865">
        <v>1798.0946632606187</v>
      </c>
      <c r="AS120" s="769">
        <v>1955.8222653010234</v>
      </c>
      <c r="AV120" s="681">
        <f t="shared" si="7"/>
        <v>5500000</v>
      </c>
      <c r="AW120" s="804">
        <v>8.191102772812199E-4</v>
      </c>
      <c r="AX120" s="821">
        <v>0.0012419000932537459</v>
      </c>
      <c r="AY120" s="902">
        <v>0.0016771871540173827</v>
      </c>
      <c r="AZ120" s="763">
        <v>0.002125018727281727</v>
      </c>
      <c r="BA120" s="1187">
        <v>0.0025855547960638788</v>
      </c>
      <c r="BB120" s="852">
        <v>0.0027733837795121045</v>
      </c>
      <c r="BC120" s="831">
        <v>0.002963310353902222</v>
      </c>
      <c r="BD120" s="853">
        <v>0.0031553599070846547</v>
      </c>
      <c r="BE120" s="713">
        <v>0.003349560712421695</v>
      </c>
      <c r="BF120" s="832">
        <v>0.003545943928787512</v>
      </c>
    </row>
    <row r="121">
      <c r="AB121" s="681">
        <f t="shared" si="5"/>
        <v>6000000</v>
      </c>
      <c r="AC121" s="960">
        <v>0.002700523909462875</v>
      </c>
      <c r="AD121" s="907">
        <v>0.003122480770316449</v>
      </c>
      <c r="AE121" s="860">
        <v>0.003544437631170022</v>
      </c>
      <c r="AF121" s="908">
        <v>0.003966394492023598</v>
      </c>
      <c r="AG121" s="802">
        <v>0.004388351352877172</v>
      </c>
      <c r="AH121" s="784">
        <v>0.004810308213730745</v>
      </c>
      <c r="AI121" s="820">
        <v>0.005232265074584321</v>
      </c>
      <c r="AJ121" s="505"/>
      <c r="AL121" s="681">
        <f t="shared" si="6"/>
        <v>6000000</v>
      </c>
      <c r="AM121" s="964">
        <v>1054.3430877199437</v>
      </c>
      <c r="AN121" s="911">
        <v>1219.0841951761852</v>
      </c>
      <c r="AO121" s="864">
        <v>1383.8253026324262</v>
      </c>
      <c r="AP121" s="912">
        <v>1548.5664100886675</v>
      </c>
      <c r="AQ121" s="807">
        <v>1713.307517544909</v>
      </c>
      <c r="AR121" s="790">
        <v>1878.0486250011495</v>
      </c>
      <c r="AS121" s="827">
        <v>2042.7897324573912</v>
      </c>
      <c r="AV121" s="681">
        <f t="shared" si="7"/>
        <v>6000000</v>
      </c>
      <c r="AW121" s="843">
        <v>8.555327822300182E-4</v>
      </c>
      <c r="AX121" s="804">
        <v>0.001297122342988648</v>
      </c>
      <c r="AY121" s="914">
        <v>0.0017517648502221239</v>
      </c>
      <c r="AZ121" s="902">
        <v>0.0022195096734429804</v>
      </c>
      <c r="BA121" s="1188">
        <v>0.002700523909462875</v>
      </c>
      <c r="BB121" s="763">
        <v>0.002896704884418127</v>
      </c>
      <c r="BC121" s="822">
        <v>0.0030950767216592887</v>
      </c>
      <c r="BD121" s="916">
        <v>0.003295665937931311</v>
      </c>
      <c r="BE121" s="1189">
        <v>0.0034985020637979952</v>
      </c>
      <c r="BF121" s="831">
        <v>0.0037036176436420092</v>
      </c>
    </row>
    <row r="122">
      <c r="AB122" s="681">
        <f t="shared" si="5"/>
        <v>6500000</v>
      </c>
      <c r="AC122" s="1190">
        <v>0.0028107944015371123</v>
      </c>
      <c r="AD122" s="919">
        <v>0.0032499810267772856</v>
      </c>
      <c r="AE122" s="920">
        <v>0.0036891676520174597</v>
      </c>
      <c r="AF122" s="921">
        <v>0.0041283542772576325</v>
      </c>
      <c r="AG122" s="922">
        <v>0.004567540902497806</v>
      </c>
      <c r="AH122" s="819">
        <v>0.005006727527737979</v>
      </c>
      <c r="AI122" s="861">
        <v>0.005445914152978154</v>
      </c>
      <c r="AJ122" s="505"/>
      <c r="AL122" s="681">
        <f t="shared" si="6"/>
        <v>6500000</v>
      </c>
      <c r="AM122" s="1191">
        <v>1097.3950787393728</v>
      </c>
      <c r="AN122" s="925">
        <v>1268.8630597923996</v>
      </c>
      <c r="AO122" s="926">
        <v>1440.3310408454267</v>
      </c>
      <c r="AP122" s="927">
        <v>1611.7990218984535</v>
      </c>
      <c r="AQ122" s="928">
        <v>1783.2670029514804</v>
      </c>
      <c r="AR122" s="826">
        <v>1954.7349840045074</v>
      </c>
      <c r="AS122" s="865">
        <v>2126.2029650575346</v>
      </c>
      <c r="AV122" s="681">
        <f t="shared" si="7"/>
        <v>6500000</v>
      </c>
      <c r="AW122" s="820">
        <v>8.904667520984465E-4</v>
      </c>
      <c r="AX122" s="762">
        <v>0.0013500877392736586</v>
      </c>
      <c r="AY122" s="804">
        <v>0.001823294663883639</v>
      </c>
      <c r="AZ122" s="1192">
        <v>0.002310138911346216</v>
      </c>
      <c r="BA122" s="1193">
        <v>0.0028107944015371123</v>
      </c>
      <c r="BB122" s="931">
        <v>0.003014986034190345</v>
      </c>
      <c r="BC122" s="932">
        <v>0.003221457988608624</v>
      </c>
      <c r="BD122" s="763">
        <v>0.003430237864295136</v>
      </c>
      <c r="BE122" s="1194">
        <v>0.0036413563976351927</v>
      </c>
      <c r="BF122" s="822">
        <v>0.003854847461896222</v>
      </c>
    </row>
    <row r="123">
      <c r="AB123" s="681">
        <f t="shared" si="5"/>
        <v>7000000</v>
      </c>
      <c r="AC123" s="989">
        <v>0.0029168992011799266</v>
      </c>
      <c r="AD123" s="935">
        <v>0.0033726647013642887</v>
      </c>
      <c r="AE123" s="893">
        <v>0.0038284302015486535</v>
      </c>
      <c r="AF123" s="936">
        <v>0.004284195701733015</v>
      </c>
      <c r="AG123" s="818">
        <v>0.0047399612019173795</v>
      </c>
      <c r="AH123" s="937">
        <v>0.005195726702101743</v>
      </c>
      <c r="AI123" s="784">
        <v>0.005651492202286107</v>
      </c>
      <c r="AJ123" s="505"/>
      <c r="AL123" s="681">
        <f t="shared" si="6"/>
        <v>7000000</v>
      </c>
      <c r="AM123" s="992">
        <v>1138.8206931119414</v>
      </c>
      <c r="AN123" s="940">
        <v>1316.7614264106821</v>
      </c>
      <c r="AO123" s="898">
        <v>1494.7021597094233</v>
      </c>
      <c r="AP123" s="941">
        <v>1672.642893008164</v>
      </c>
      <c r="AQ123" s="825">
        <v>1850.5836263069048</v>
      </c>
      <c r="AR123" s="942">
        <v>2028.524359605646</v>
      </c>
      <c r="AS123" s="790">
        <v>2206.465092904386</v>
      </c>
      <c r="AV123" s="681">
        <f t="shared" si="7"/>
        <v>7000000</v>
      </c>
      <c r="AW123" s="944">
        <v>9.240810201033649E-4</v>
      </c>
      <c r="AX123" s="880">
        <v>0.001401052259836782</v>
      </c>
      <c r="AY123" s="762">
        <v>0.0018921222931458112</v>
      </c>
      <c r="AZ123" s="887">
        <v>0.002397344445198644</v>
      </c>
      <c r="BA123" s="1195">
        <v>0.0029168992011799266</v>
      </c>
      <c r="BB123" s="844">
        <v>0.0031287988726208978</v>
      </c>
      <c r="BC123" s="902">
        <v>0.0033430649457920217</v>
      </c>
      <c r="BD123" s="931">
        <v>0.003559726062051326</v>
      </c>
      <c r="BE123" s="1196">
        <v>0.0037788141180532613</v>
      </c>
      <c r="BF123" s="763">
        <v>0.004000364265748697</v>
      </c>
      <c r="CK123" s="23"/>
    </row>
    <row r="124">
      <c r="AB124" s="681">
        <f t="shared" si="5"/>
        <v>7500000</v>
      </c>
      <c r="AC124" s="1197">
        <v>0.0030192775182112373</v>
      </c>
      <c r="AD124" s="949">
        <v>0.0034910396304317437</v>
      </c>
      <c r="AE124" s="950">
        <v>0.00396280174265225</v>
      </c>
      <c r="AF124" s="860">
        <v>0.004434563854872755</v>
      </c>
      <c r="AG124" s="879">
        <v>0.004906325967093263</v>
      </c>
      <c r="AH124" s="842">
        <v>0.005378088079313768</v>
      </c>
      <c r="AI124" s="1160">
        <v>0.005849850191534272</v>
      </c>
      <c r="AJ124" s="505"/>
      <c r="AL124" s="681">
        <f t="shared" si="6"/>
        <v>7500000</v>
      </c>
      <c r="AM124" s="1198">
        <v>1178.7914078744088</v>
      </c>
      <c r="AN124" s="953">
        <v>1362.9775653547854</v>
      </c>
      <c r="AO124" s="954">
        <v>1547.163722835162</v>
      </c>
      <c r="AP124" s="864">
        <v>1731.349880315539</v>
      </c>
      <c r="AQ124" s="884">
        <v>1915.5360377959148</v>
      </c>
      <c r="AR124" s="848">
        <v>2099.722195276291</v>
      </c>
      <c r="AS124" s="1161">
        <v>2283.9083527566677</v>
      </c>
      <c r="AV124" s="681">
        <f t="shared" si="7"/>
        <v>7500000</v>
      </c>
      <c r="AW124" s="803">
        <v>9.565147290229223E-4</v>
      </c>
      <c r="AX124" s="956">
        <v>0.0014502268670282068</v>
      </c>
      <c r="AY124" s="843">
        <v>0.0019585326428457036</v>
      </c>
      <c r="AZ124" s="804">
        <v>0.002481487253268432</v>
      </c>
      <c r="BA124" s="1199">
        <v>0.0030192775182112373</v>
      </c>
      <c r="BB124" s="914">
        <v>0.0032386145161573013</v>
      </c>
      <c r="BC124" s="844">
        <v>0.003460400972603683</v>
      </c>
      <c r="BD124" s="844">
        <v>0.0036846665341725075</v>
      </c>
      <c r="BE124" s="1193">
        <v>0.003911444217037814</v>
      </c>
      <c r="BF124" s="1200">
        <v>0.004140770406925561</v>
      </c>
      <c r="CK124" s="87"/>
    </row>
    <row r="125">
      <c r="AB125" s="681">
        <f t="shared" si="5"/>
        <v>8000000</v>
      </c>
      <c r="AC125" s="1201">
        <v>0.0031182964121628234</v>
      </c>
      <c r="AD125" s="960">
        <v>0.0036055302265632643</v>
      </c>
      <c r="AE125" s="961">
        <v>0.004092764040963705</v>
      </c>
      <c r="AF125" s="878">
        <v>0.0045799978553641455</v>
      </c>
      <c r="AG125" s="921">
        <v>0.005067231669764586</v>
      </c>
      <c r="AH125" s="895">
        <v>0.005554465484165028</v>
      </c>
      <c r="AI125" s="1202">
        <v>0.006041699298565468</v>
      </c>
      <c r="AJ125" s="505"/>
      <c r="AL125" s="681">
        <f t="shared" si="6"/>
        <v>8000000</v>
      </c>
      <c r="AM125" s="1203">
        <v>1217.4505310266616</v>
      </c>
      <c r="AN125" s="964">
        <v>1407.6771764995776</v>
      </c>
      <c r="AO125" s="965">
        <v>1597.9038219724932</v>
      </c>
      <c r="AP125" s="883">
        <v>1788.1304674454088</v>
      </c>
      <c r="AQ125" s="927">
        <v>1978.3571129183247</v>
      </c>
      <c r="AR125" s="900">
        <v>2168.583758391241</v>
      </c>
      <c r="AS125" s="1204">
        <v>2358.810403864157</v>
      </c>
      <c r="AV125" s="681">
        <f t="shared" si="7"/>
        <v>8000000</v>
      </c>
      <c r="AW125" s="967">
        <v>9.878841642421011E-4</v>
      </c>
      <c r="AX125" s="861">
        <v>0.0014977878677927487</v>
      </c>
      <c r="AY125" s="880">
        <v>0.002022763815665336</v>
      </c>
      <c r="AZ125" s="762">
        <v>0.0025628690148625666</v>
      </c>
      <c r="BA125" s="1205">
        <v>0.0031182964121628234</v>
      </c>
      <c r="BB125" s="887">
        <v>0.0033448266895634198</v>
      </c>
      <c r="BC125" s="887">
        <v>0.00357388675682507</v>
      </c>
      <c r="BD125" s="914">
        <v>0.0038055072328474463</v>
      </c>
      <c r="BE125" s="1195">
        <v>0.00403972221658847</v>
      </c>
      <c r="BF125" s="844">
        <v>0.004276569287064322</v>
      </c>
      <c r="CK125" s="87"/>
    </row>
    <row r="126">
      <c r="AB126" s="681">
        <f t="shared" si="5"/>
        <v>8500000</v>
      </c>
      <c r="AC126" s="1206">
        <v>0.003214266369832975</v>
      </c>
      <c r="AD126" s="971">
        <v>0.0037164954901193776</v>
      </c>
      <c r="AE126" s="972">
        <v>0.004218724610405779</v>
      </c>
      <c r="AF126" s="973">
        <v>0.004720953730692181</v>
      </c>
      <c r="AG126" s="894">
        <v>0.005223182850978583</v>
      </c>
      <c r="AH126" s="818">
        <v>0.005725411971264988</v>
      </c>
      <c r="AI126" s="802">
        <v>0.00622764109155139</v>
      </c>
      <c r="AJ126" s="505"/>
      <c r="AL126" s="681">
        <f t="shared" si="6"/>
        <v>8500000</v>
      </c>
      <c r="AM126" s="1207">
        <v>1254.9192833468092</v>
      </c>
      <c r="AN126" s="976">
        <v>1451.0004213697482</v>
      </c>
      <c r="AO126" s="977">
        <v>1647.081559392687</v>
      </c>
      <c r="AP126" s="978">
        <v>1843.162697415626</v>
      </c>
      <c r="AQ126" s="899">
        <v>2039.2438354385647</v>
      </c>
      <c r="AR126" s="825">
        <v>2235.3249734615038</v>
      </c>
      <c r="AS126" s="807">
        <v>2431.406111484442</v>
      </c>
      <c r="AV126" s="681">
        <f t="shared" si="7"/>
        <v>8500000</v>
      </c>
      <c r="AW126" s="980">
        <v>0.0010182876887613024</v>
      </c>
      <c r="AX126" s="981">
        <v>0.0015438843959195401</v>
      </c>
      <c r="AY126" s="982">
        <v>0.002085017216916397</v>
      </c>
      <c r="AZ126" s="1005">
        <v>0.0026417449132252603</v>
      </c>
      <c r="BA126" s="1208">
        <v>0.003214266369832975</v>
      </c>
      <c r="BB126" s="985">
        <v>0.0034477684351137566</v>
      </c>
      <c r="BC126" s="985">
        <v>0.0036838781480964754</v>
      </c>
      <c r="BD126" s="986">
        <v>0.0039226270700205</v>
      </c>
      <c r="BE126" s="1209">
        <v>0.00416405034928714</v>
      </c>
      <c r="BF126" s="1210">
        <v>0.004408186721459653</v>
      </c>
      <c r="CK126" s="87"/>
    </row>
    <row r="127">
      <c r="AA127" s="498"/>
      <c r="AB127" s="681">
        <f t="shared" si="5"/>
        <v>9000000</v>
      </c>
      <c r="AC127" s="1211">
        <v>0.003307452808185021</v>
      </c>
      <c r="AD127" s="989">
        <v>0.003824242309463929</v>
      </c>
      <c r="AE127" s="935">
        <v>0.004341031810742838</v>
      </c>
      <c r="AF127" s="893">
        <v>0.004857821312021747</v>
      </c>
      <c r="AG127" s="860">
        <v>0.005374610813300658</v>
      </c>
      <c r="AH127" s="879">
        <v>0.005891400314579565</v>
      </c>
      <c r="AI127" s="842">
        <v>0.006408189815858476</v>
      </c>
      <c r="AJ127" s="505"/>
      <c r="AK127" s="498"/>
      <c r="AL127" s="681">
        <f t="shared" si="6"/>
        <v>9000000</v>
      </c>
      <c r="AM127" s="1212">
        <v>1291.3012893721734</v>
      </c>
      <c r="AN127" s="992">
        <v>1493.0671158365756</v>
      </c>
      <c r="AO127" s="940">
        <v>1694.8329423009775</v>
      </c>
      <c r="AP127" s="898">
        <v>1896.5987687653794</v>
      </c>
      <c r="AQ127" s="864">
        <v>2098.364595229782</v>
      </c>
      <c r="AR127" s="884">
        <v>2300.130421694184</v>
      </c>
      <c r="AS127" s="848">
        <v>2501.896248158586</v>
      </c>
      <c r="AU127" s="498"/>
      <c r="AV127" s="681">
        <f t="shared" si="7"/>
        <v>9000000</v>
      </c>
      <c r="AW127" s="994">
        <v>0.0010478093873435923</v>
      </c>
      <c r="AX127" s="967">
        <v>0.0015886439371427883</v>
      </c>
      <c r="AY127" s="861">
        <v>0.002145465016193601</v>
      </c>
      <c r="AZ127" s="820">
        <v>0.0027183330895533112</v>
      </c>
      <c r="BA127" s="737">
        <v>0.003307452808185021</v>
      </c>
      <c r="BB127" s="762">
        <v>0.003547724451126066</v>
      </c>
      <c r="BC127" s="785">
        <v>0.0037906793414157073</v>
      </c>
      <c r="BD127" s="804">
        <v>0.004036349955301324</v>
      </c>
      <c r="BE127" s="1205">
        <v>0.004284772460189487</v>
      </c>
      <c r="BF127" s="887">
        <v>0.0045359867146459515</v>
      </c>
      <c r="CK127" s="115"/>
    </row>
    <row r="128">
      <c r="F128" s="191"/>
      <c r="AA128" s="498"/>
      <c r="AB128" s="681">
        <f t="shared" si="5"/>
        <v>9500000</v>
      </c>
      <c r="AC128" s="1213">
        <v>0.003398084734155799</v>
      </c>
      <c r="AD128" s="989">
        <v>0.003929035473867644</v>
      </c>
      <c r="AE128" s="949">
        <v>0.004459986213579487</v>
      </c>
      <c r="AF128" s="907">
        <v>0.004990936953291332</v>
      </c>
      <c r="AG128" s="878">
        <v>0.0055218876930031744</v>
      </c>
      <c r="AH128" s="841">
        <v>0.006052838432715017</v>
      </c>
      <c r="AI128" s="895">
        <v>0.00658378917242686</v>
      </c>
      <c r="AJ128" s="505"/>
      <c r="AK128" s="498"/>
      <c r="AL128" s="681">
        <f t="shared" si="6"/>
        <v>9500000</v>
      </c>
      <c r="AM128" s="1214">
        <v>1326.6859583762866</v>
      </c>
      <c r="AN128" s="992">
        <v>1533.9806393725814</v>
      </c>
      <c r="AO128" s="953">
        <v>1741.2753203688762</v>
      </c>
      <c r="AP128" s="911">
        <v>1948.5700013651713</v>
      </c>
      <c r="AQ128" s="883">
        <v>2155.8646823614663</v>
      </c>
      <c r="AR128" s="847">
        <v>2363.1593633577604</v>
      </c>
      <c r="AS128" s="900">
        <v>2570.454044354056</v>
      </c>
      <c r="AU128" s="498"/>
      <c r="AV128" s="681">
        <f t="shared" si="7"/>
        <v>9500000</v>
      </c>
      <c r="AW128" s="1002">
        <v>0.0010765218099638638</v>
      </c>
      <c r="AX128" s="980">
        <v>0.001632176488642462</v>
      </c>
      <c r="AY128" s="981">
        <v>0.0022042557647839827</v>
      </c>
      <c r="AZ128" s="982">
        <v>0.0027928217603293915</v>
      </c>
      <c r="BA128" s="1215">
        <v>0.003398084734155799</v>
      </c>
      <c r="BB128" s="1005">
        <v>0.0036449403808661573</v>
      </c>
      <c r="BC128" s="1006">
        <v>0.0038945528021647</v>
      </c>
      <c r="BD128" s="1007">
        <v>0.00414695536422378</v>
      </c>
      <c r="BE128" s="1216">
        <v>0.0044021852255213155</v>
      </c>
      <c r="BF128" s="985">
        <v>0.004660283336840791</v>
      </c>
      <c r="CK128" s="14"/>
    </row>
    <row r="129">
      <c r="AA129" s="498"/>
      <c r="AB129" s="681">
        <f t="shared" si="5"/>
        <v>10000000</v>
      </c>
      <c r="AC129" s="1217">
        <v>0.0034863613757948864</v>
      </c>
      <c r="AD129" s="1197">
        <v>0.004031105340762837</v>
      </c>
      <c r="AE129" s="960">
        <v>0.004575849305730789</v>
      </c>
      <c r="AF129" s="961">
        <v>0.005120593270698739</v>
      </c>
      <c r="AG129" s="920">
        <v>0.00566533723566669</v>
      </c>
      <c r="AH129" s="921">
        <v>0.00621008120063464</v>
      </c>
      <c r="AI129" s="818">
        <v>0.006754825165602592</v>
      </c>
      <c r="AJ129" s="508"/>
      <c r="AK129" s="498"/>
      <c r="AL129" s="681">
        <f t="shared" si="6"/>
        <v>10000000</v>
      </c>
      <c r="AM129" s="1218">
        <v>1361.1510733094158</v>
      </c>
      <c r="AN129" s="1198">
        <v>1573.8309285140124</v>
      </c>
      <c r="AO129" s="964">
        <v>1786.5107837186088</v>
      </c>
      <c r="AP129" s="965">
        <v>1999.190638923205</v>
      </c>
      <c r="AQ129" s="926">
        <v>2211.870494127801</v>
      </c>
      <c r="AR129" s="927">
        <v>2424.5503493323977</v>
      </c>
      <c r="AS129" s="825">
        <v>2637.230204536994</v>
      </c>
      <c r="AU129" s="498"/>
      <c r="AV129" s="681">
        <f t="shared" si="7"/>
        <v>10000000</v>
      </c>
      <c r="AW129" s="819">
        <v>0.0011044880725704532</v>
      </c>
      <c r="AX129" s="994">
        <v>0.0016745777441295269</v>
      </c>
      <c r="AY129" s="967">
        <v>0.0022615186971272723</v>
      </c>
      <c r="AZ129" s="861">
        <v>0.002865374667330309</v>
      </c>
      <c r="BA129" s="1219">
        <v>0.0034863613757948864</v>
      </c>
      <c r="BB129" s="880">
        <v>0.003739629925409695</v>
      </c>
      <c r="BC129" s="880">
        <v>0.003995726866073557</v>
      </c>
      <c r="BD129" s="843">
        <v>0.0042546864307570036</v>
      </c>
      <c r="BE129" s="1220">
        <v>0.004516546743253974</v>
      </c>
      <c r="BF129" s="762">
        <v>0.004781349818181818</v>
      </c>
      <c r="CK129" s="123"/>
    </row>
    <row r="130">
      <c r="CK130" s="14"/>
    </row>
    <row r="131">
      <c r="CK131" s="14"/>
    </row>
    <row r="132">
      <c r="CK132" s="14"/>
    </row>
    <row r="133">
      <c r="CK133" s="14"/>
    </row>
    <row r="134">
      <c r="CK134" s="14"/>
    </row>
    <row r="135">
      <c r="X135" s="1125" t="s">
        <v>140</v>
      </c>
      <c r="Y135" s="556"/>
      <c r="Z135" s="556"/>
      <c r="AA135" s="556"/>
      <c r="AB135" s="556"/>
      <c r="AC135" s="556"/>
      <c r="AD135" s="556"/>
      <c r="AE135" s="556"/>
      <c r="AF135" s="556"/>
      <c r="AG135" s="556"/>
      <c r="AH135" s="556"/>
      <c r="AI135" s="556"/>
      <c r="AJ135" s="556"/>
      <c r="AK135" s="556"/>
      <c r="AL135" s="556"/>
      <c r="AM135" s="556"/>
      <c r="AN135" s="556"/>
      <c r="AO135" s="556"/>
      <c r="AP135" s="556"/>
      <c r="AQ135" s="556"/>
      <c r="AR135" s="556"/>
      <c r="AS135" s="556"/>
      <c r="AT135" s="556"/>
      <c r="AU135" s="556"/>
      <c r="AV135" s="556"/>
      <c r="AW135" s="556"/>
      <c r="AX135" s="556"/>
      <c r="AY135" s="556"/>
      <c r="AZ135" s="556"/>
      <c r="BA135" s="556"/>
      <c r="BB135" s="556"/>
      <c r="BC135" s="556"/>
      <c r="BD135" s="556"/>
      <c r="BE135" s="556"/>
      <c r="BF135" s="556"/>
      <c r="BG135" s="556"/>
      <c r="BH135" s="556"/>
      <c r="BI135" s="556"/>
      <c r="BJ135" s="556"/>
      <c r="BK135" s="556"/>
      <c r="BL135" s="556"/>
      <c r="BM135" s="556"/>
      <c r="BN135" s="556"/>
      <c r="BO135" s="556"/>
      <c r="BP135" s="556"/>
      <c r="BQ135" s="556"/>
      <c r="BR135" s="556"/>
      <c r="BS135" s="556"/>
      <c r="BT135" s="556"/>
      <c r="BU135" s="556"/>
      <c r="BV135" s="556"/>
      <c r="BW135" s="556"/>
      <c r="BX135" s="556"/>
      <c r="BY135" s="556"/>
      <c r="BZ135" s="556"/>
      <c r="CA135" s="556"/>
      <c r="CB135" s="557"/>
      <c r="CK135" s="14"/>
    </row>
    <row r="136">
      <c r="X136" s="559"/>
      <c r="CB136" s="560"/>
      <c r="CK136" s="144"/>
    </row>
    <row r="137">
      <c r="X137" s="559"/>
      <c r="CB137" s="560"/>
      <c r="CK137" s="51"/>
    </row>
    <row r="138">
      <c r="X138" s="574"/>
      <c r="Y138" s="575"/>
      <c r="Z138" s="575"/>
      <c r="AA138" s="575"/>
      <c r="AB138" s="575"/>
      <c r="AC138" s="575"/>
      <c r="AD138" s="575"/>
      <c r="AE138" s="575"/>
      <c r="AF138" s="575"/>
      <c r="AG138" s="575"/>
      <c r="AH138" s="575"/>
      <c r="AI138" s="575"/>
      <c r="AJ138" s="575"/>
      <c r="AK138" s="575"/>
      <c r="AL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G138" s="575"/>
      <c r="BH138" s="575"/>
      <c r="BI138" s="575"/>
      <c r="BJ138" s="575"/>
      <c r="BK138" s="575"/>
      <c r="BL138" s="575"/>
      <c r="BM138" s="575"/>
      <c r="BN138" s="575"/>
      <c r="BO138" s="575"/>
      <c r="BP138" s="575"/>
      <c r="BQ138" s="575"/>
      <c r="BR138" s="575"/>
      <c r="BS138" s="575"/>
      <c r="BT138" s="575"/>
      <c r="BU138" s="575"/>
      <c r="BV138" s="575"/>
      <c r="BW138" s="575"/>
      <c r="BX138" s="575"/>
      <c r="BY138" s="575"/>
      <c r="BZ138" s="575"/>
      <c r="CA138" s="575"/>
      <c r="CB138" s="576"/>
      <c r="CK138" s="51"/>
    </row>
    <row r="139">
      <c r="CK139" s="51"/>
    </row>
    <row r="140">
      <c r="CK140" s="51"/>
    </row>
    <row r="141">
      <c r="CK141" s="51"/>
    </row>
    <row r="142">
      <c r="CK142" s="51"/>
    </row>
    <row r="143">
      <c r="CK143" s="51"/>
    </row>
    <row r="144">
      <c r="X144" s="1134"/>
      <c r="CK144" s="144"/>
    </row>
    <row r="145">
      <c r="CK145" s="51"/>
    </row>
    <row r="146">
      <c r="BR146" s="14"/>
      <c r="BS146" s="14"/>
      <c r="CK146" s="144"/>
    </row>
    <row r="147">
      <c r="BR147" s="14"/>
      <c r="BS147" s="14"/>
    </row>
    <row r="148">
      <c r="BR148" s="14"/>
      <c r="BS148" s="14"/>
    </row>
    <row r="149" ht="37.5" customHeight="1">
      <c r="BR149" s="14"/>
      <c r="BS149" s="14"/>
    </row>
    <row r="150">
      <c r="BR150" s="14"/>
      <c r="BS150" s="14"/>
    </row>
    <row r="151">
      <c r="BR151" s="14"/>
      <c r="BS151" s="14"/>
    </row>
    <row r="152">
      <c r="BR152" s="14"/>
      <c r="BS152" s="14"/>
    </row>
    <row r="153">
      <c r="BR153" s="14"/>
      <c r="BS153" s="14"/>
    </row>
    <row r="154">
      <c r="BR154" s="14"/>
      <c r="BS154" s="14"/>
    </row>
    <row r="155">
      <c r="BR155" s="14"/>
      <c r="BS155" s="14"/>
    </row>
    <row r="156">
      <c r="BR156" s="14"/>
      <c r="BS156" s="14"/>
    </row>
    <row r="157">
      <c r="BR157" s="14"/>
      <c r="BS157" s="14"/>
    </row>
    <row r="158">
      <c r="BR158" s="14"/>
      <c r="BS158" s="14"/>
    </row>
    <row r="159">
      <c r="BR159" s="14"/>
      <c r="BS159" s="14"/>
    </row>
    <row r="160">
      <c r="BR160" s="14"/>
      <c r="BS160" s="14"/>
    </row>
    <row r="161">
      <c r="BR161" s="14"/>
      <c r="BS161" s="14"/>
    </row>
    <row r="162">
      <c r="BR162" s="14"/>
      <c r="BS162" s="14"/>
    </row>
    <row r="163">
      <c r="BR163" s="14"/>
      <c r="BS163" s="14"/>
    </row>
    <row r="164">
      <c r="BR164" s="14"/>
      <c r="BS164" s="14"/>
    </row>
    <row r="165">
      <c r="BG165" s="14"/>
      <c r="BH165" s="14"/>
      <c r="BI165" s="14"/>
      <c r="BJ165" s="14"/>
      <c r="BK165" s="14"/>
      <c r="BL165" s="14"/>
      <c r="BM165" s="14"/>
      <c r="BN165" s="14"/>
      <c r="BO165" s="14"/>
      <c r="BP165" s="14"/>
      <c r="BQ165" s="14"/>
      <c r="BR165" s="14"/>
      <c r="BS165" s="14"/>
    </row>
    <row r="166">
      <c r="BG166" s="14"/>
      <c r="BH166" s="14"/>
      <c r="BI166" s="14"/>
      <c r="BJ166" s="14"/>
      <c r="BK166" s="14"/>
      <c r="BL166" s="14"/>
      <c r="BM166" s="14"/>
      <c r="BN166" s="14"/>
      <c r="BO166" s="14"/>
      <c r="BP166" s="14"/>
      <c r="BQ166" s="14"/>
      <c r="BR166" s="14"/>
      <c r="BS166" s="14"/>
    </row>
    <row r="167">
      <c r="BG167" s="14"/>
      <c r="BH167" s="14"/>
      <c r="BI167" s="14"/>
      <c r="BJ167" s="14"/>
      <c r="BK167" s="14"/>
      <c r="BL167" s="14"/>
      <c r="BM167" s="14"/>
      <c r="BN167" s="14"/>
      <c r="BO167" s="14"/>
      <c r="BP167" s="14"/>
      <c r="BQ167" s="14"/>
      <c r="BR167" s="14"/>
      <c r="BS167" s="14"/>
    </row>
    <row r="168">
      <c r="AJ168" s="51"/>
      <c r="AK168" s="51"/>
      <c r="AL168" s="51"/>
      <c r="AM168" s="51"/>
      <c r="AN168" s="51"/>
      <c r="AO168" s="51"/>
      <c r="AP168" s="51"/>
      <c r="AQ168" s="51"/>
      <c r="AR168" s="51"/>
      <c r="AS168" s="51"/>
      <c r="AT168" s="51"/>
      <c r="AU168" s="51"/>
      <c r="AV168" s="51"/>
      <c r="BG168" s="14"/>
      <c r="BH168" s="14"/>
      <c r="BI168" s="14"/>
      <c r="BJ168" s="14"/>
      <c r="BK168" s="14"/>
      <c r="BL168" s="14"/>
      <c r="BM168" s="14"/>
      <c r="BN168" s="14"/>
      <c r="BO168" s="14"/>
      <c r="BP168" s="14"/>
      <c r="BQ168" s="14"/>
      <c r="BR168" s="14"/>
      <c r="BS168" s="14"/>
    </row>
    <row r="169">
      <c r="X169" s="52"/>
      <c r="Y169" s="52"/>
      <c r="Z169" s="52"/>
      <c r="CA169" s="52"/>
      <c r="CB169" s="52"/>
      <c r="CC169" s="52"/>
      <c r="CD169" s="52"/>
      <c r="CE169" s="52"/>
    </row>
    <row r="172">
      <c r="X172" s="1221" t="s">
        <v>54</v>
      </c>
      <c r="Y172" s="1222"/>
      <c r="Z172" s="1222"/>
      <c r="AA172" s="1222"/>
      <c r="AB172" s="1222"/>
      <c r="AC172" s="1222"/>
      <c r="AD172" s="1222"/>
      <c r="AE172" s="1222"/>
      <c r="AF172" s="1222"/>
      <c r="AG172" s="577"/>
      <c r="AI172" s="1136" t="s">
        <v>54</v>
      </c>
      <c r="AJ172" s="1046"/>
      <c r="AK172" s="1046"/>
      <c r="AL172" s="1046"/>
      <c r="AM172" s="1046"/>
      <c r="AN172" s="1046"/>
      <c r="AO172" s="1046"/>
      <c r="AP172" s="1223"/>
      <c r="AQ172" s="1223"/>
      <c r="AR172" s="1223"/>
      <c r="AS172" s="1223"/>
      <c r="AT172" s="1223"/>
      <c r="AU172" s="610"/>
      <c r="AV172" s="1221" t="s">
        <v>54</v>
      </c>
      <c r="AW172" s="1222"/>
      <c r="AX172" s="1222"/>
      <c r="AY172" s="1222"/>
      <c r="AZ172" s="1222"/>
      <c r="BA172" s="1222"/>
      <c r="BB172" s="1222"/>
      <c r="BC172" s="1222"/>
      <c r="BD172" s="1222"/>
      <c r="BE172" s="1222"/>
      <c r="BF172" s="1222"/>
      <c r="BG172" s="1222"/>
      <c r="BH172" s="1222"/>
      <c r="BI172" s="1222"/>
      <c r="BJ172" s="1222"/>
      <c r="BK172" s="1222"/>
      <c r="BL172" s="610"/>
      <c r="BM172" s="1221" t="s">
        <v>54</v>
      </c>
      <c r="BN172" s="1222"/>
      <c r="BO172" s="1222"/>
      <c r="BP172" s="1222"/>
      <c r="BQ172" s="1222"/>
      <c r="BR172" s="1222"/>
      <c r="BS172" s="1222"/>
      <c r="BT172" s="1222"/>
      <c r="BU172" s="1222"/>
      <c r="BV172" s="1222"/>
      <c r="BW172" s="1222"/>
      <c r="BX172" s="1222"/>
      <c r="BY172" s="1222"/>
      <c r="BZ172" s="1222"/>
      <c r="CA172" s="1222"/>
      <c r="CB172" s="1222"/>
    </row>
    <row r="173">
      <c r="X173" s="1052" t="s">
        <v>57</v>
      </c>
      <c r="AG173" s="577"/>
      <c r="AI173" s="1139" t="s">
        <v>58</v>
      </c>
      <c r="AJ173" s="1046"/>
      <c r="AK173" s="1046"/>
      <c r="AL173" s="1046"/>
      <c r="AM173" s="1047" t="s">
        <v>59</v>
      </c>
      <c r="AN173" s="1048"/>
      <c r="AO173" s="1048"/>
      <c r="AP173" s="1049"/>
      <c r="AQ173" s="1049"/>
      <c r="AR173" s="1049"/>
      <c r="AS173" s="1049"/>
      <c r="AT173" s="1223"/>
      <c r="AU173" s="610"/>
      <c r="AV173" s="1224" t="s">
        <v>58</v>
      </c>
      <c r="AW173" s="1052"/>
      <c r="AX173" s="1052" t="s">
        <v>44</v>
      </c>
      <c r="BL173" s="610"/>
      <c r="BM173" s="1224" t="s">
        <v>58</v>
      </c>
      <c r="BN173" s="1052"/>
      <c r="BO173" s="1052" t="s">
        <v>44</v>
      </c>
    </row>
    <row r="174">
      <c r="X174" s="1100"/>
      <c r="Y174" s="1054">
        <f>$F$67</f>
        <v>0.1604086076</v>
      </c>
      <c r="Z174" s="1062">
        <v>64.0</v>
      </c>
      <c r="AA174" s="1056">
        <f t="shared" ref="AA174:AF174" si="8">Z174+10</f>
        <v>74</v>
      </c>
      <c r="AB174" s="1056">
        <f t="shared" si="8"/>
        <v>84</v>
      </c>
      <c r="AC174" s="1056">
        <f t="shared" si="8"/>
        <v>94</v>
      </c>
      <c r="AD174" s="1056">
        <f t="shared" si="8"/>
        <v>104</v>
      </c>
      <c r="AE174" s="1056">
        <f t="shared" si="8"/>
        <v>114</v>
      </c>
      <c r="AF174" s="1056">
        <f t="shared" si="8"/>
        <v>124</v>
      </c>
      <c r="AG174" s="577"/>
      <c r="AI174" s="1046"/>
      <c r="AJ174" s="683">
        <f>$F$67</f>
        <v>0.1604086076</v>
      </c>
      <c r="AK174" s="684">
        <f t="shared" ref="AK174:AM174" si="9">AL174-0.05</f>
        <v>0.7</v>
      </c>
      <c r="AL174" s="684">
        <f t="shared" si="9"/>
        <v>0.75</v>
      </c>
      <c r="AM174" s="684">
        <f t="shared" si="9"/>
        <v>0.8</v>
      </c>
      <c r="AN174" s="684">
        <v>0.85</v>
      </c>
      <c r="AO174" s="1059">
        <v>0.9</v>
      </c>
      <c r="AP174" s="684">
        <f t="shared" ref="AP174:AT174" si="10">AO174+0.02</f>
        <v>0.92</v>
      </c>
      <c r="AQ174" s="684">
        <f t="shared" si="10"/>
        <v>0.94</v>
      </c>
      <c r="AR174" s="684">
        <f t="shared" si="10"/>
        <v>0.96</v>
      </c>
      <c r="AS174" s="1059">
        <f t="shared" si="10"/>
        <v>0.98</v>
      </c>
      <c r="AT174" s="684">
        <f t="shared" si="10"/>
        <v>1</v>
      </c>
      <c r="AU174" s="610"/>
      <c r="AV174" s="1224"/>
      <c r="AW174" s="1052"/>
      <c r="AX174" s="1052"/>
      <c r="AY174" s="1052"/>
      <c r="AZ174" s="1052"/>
      <c r="BA174" s="1052"/>
      <c r="BB174" s="1052"/>
      <c r="BC174" s="1052"/>
      <c r="BD174" s="1052"/>
      <c r="BE174" s="1052"/>
      <c r="BF174" s="1052"/>
      <c r="BG174" s="1052"/>
      <c r="BH174" s="1052"/>
      <c r="BI174" s="1052"/>
      <c r="BJ174" s="1052"/>
      <c r="BK174" s="1052"/>
      <c r="BM174" s="1224" t="s">
        <v>68</v>
      </c>
      <c r="BN174" s="1052"/>
      <c r="BO174" s="1052"/>
      <c r="BP174" s="1052"/>
      <c r="BQ174" s="1052"/>
      <c r="BR174" s="1052"/>
      <c r="BS174" s="1052"/>
      <c r="BT174" s="1052"/>
      <c r="BU174" s="1052"/>
      <c r="BV174" s="1052"/>
      <c r="BW174" s="1052"/>
      <c r="BX174" s="1052"/>
      <c r="BY174" s="1052"/>
      <c r="BZ174" s="1052"/>
      <c r="CA174" s="1052"/>
      <c r="CB174" s="1052"/>
    </row>
    <row r="175">
      <c r="X175" s="1225" t="s">
        <v>66</v>
      </c>
      <c r="Y175" s="1062">
        <v>524288.0</v>
      </c>
      <c r="Z175" s="1073">
        <v>0.20259885081353673</v>
      </c>
      <c r="AA175" s="1064">
        <v>0.2342549212531518</v>
      </c>
      <c r="AB175" s="1064">
        <v>0.265910991692767</v>
      </c>
      <c r="AC175" s="1064">
        <v>0.29756706213238204</v>
      </c>
      <c r="AD175" s="1064">
        <v>0.3292231325719972</v>
      </c>
      <c r="AE175" s="1064">
        <v>0.36087920301161236</v>
      </c>
      <c r="AF175" s="1064">
        <v>0.39253527345122746</v>
      </c>
      <c r="AG175" s="577"/>
      <c r="AI175" s="1225" t="s">
        <v>66</v>
      </c>
      <c r="AJ175" s="1062">
        <v>525288.0</v>
      </c>
      <c r="AK175" s="704">
        <v>0.16600543701771622</v>
      </c>
      <c r="AL175" s="705">
        <v>0.17539188528447083</v>
      </c>
      <c r="AM175" s="706">
        <v>0.18459577497422022</v>
      </c>
      <c r="AN175" s="1144">
        <v>0.19365284913467273</v>
      </c>
      <c r="AO175" s="1145">
        <v>0.20259885081353673</v>
      </c>
      <c r="AP175" s="709">
        <v>0.20615415763292416</v>
      </c>
      <c r="AQ175" s="710">
        <v>0.20969969929794424</v>
      </c>
      <c r="AR175" s="711">
        <v>0.2132377633636501</v>
      </c>
      <c r="AS175" s="1146">
        <v>0.21677063738509528</v>
      </c>
      <c r="AT175" s="1141">
        <v>0.22030060891733286</v>
      </c>
      <c r="AU175" s="610"/>
      <c r="AV175" s="1224" t="s">
        <v>67</v>
      </c>
      <c r="AW175" s="1052"/>
      <c r="AX175" s="1052"/>
      <c r="AY175" s="1052"/>
      <c r="AZ175" s="1052"/>
      <c r="BA175" s="1052"/>
      <c r="BB175" s="1052"/>
      <c r="BC175" s="1052"/>
      <c r="BD175" s="1052"/>
      <c r="BE175" s="1052"/>
      <c r="BF175" s="1052"/>
      <c r="BG175" s="1052"/>
      <c r="BH175" s="1052"/>
      <c r="BI175" s="1052"/>
      <c r="BJ175" s="1052"/>
      <c r="BK175" s="1052"/>
      <c r="BM175" s="515"/>
      <c r="BN175" s="1052"/>
      <c r="BO175" s="1052"/>
      <c r="BP175" s="1052"/>
      <c r="BQ175" s="1052"/>
      <c r="BR175" s="1052"/>
      <c r="BS175" s="1052"/>
      <c r="BT175" s="1052"/>
      <c r="BU175" s="1052"/>
      <c r="BV175" s="1052"/>
      <c r="BW175" s="1052"/>
      <c r="BX175" s="1052"/>
      <c r="BY175" s="1052"/>
      <c r="BZ175" s="1052"/>
      <c r="CA175" s="1052"/>
      <c r="CB175" s="1052"/>
    </row>
    <row r="176">
      <c r="Y176" s="1062">
        <v>1000000.0</v>
      </c>
      <c r="Z176" s="1073">
        <v>0.14683707252267758</v>
      </c>
      <c r="AA176" s="1064">
        <v>0.16978036510434594</v>
      </c>
      <c r="AB176" s="1064">
        <v>0.1927236576860143</v>
      </c>
      <c r="AC176" s="1064">
        <v>0.2156669502676827</v>
      </c>
      <c r="AD176" s="1064">
        <v>0.23861024284935103</v>
      </c>
      <c r="AE176" s="1064">
        <v>0.2615535354310194</v>
      </c>
      <c r="AF176" s="1064">
        <v>0.2844968280126878</v>
      </c>
      <c r="AG176" s="577"/>
      <c r="AJ176" s="1062">
        <v>1000000.0</v>
      </c>
      <c r="AK176" s="727">
        <v>0.12031535369844511</v>
      </c>
      <c r="AL176" s="728">
        <v>0.12711834680201567</v>
      </c>
      <c r="AM176" s="729">
        <v>0.1337890273731917</v>
      </c>
      <c r="AN176" s="1150">
        <v>0.14035330081305256</v>
      </c>
      <c r="AO176" s="1151">
        <v>0.14683707252267758</v>
      </c>
      <c r="AP176" s="732">
        <v>0.14941384353190332</v>
      </c>
      <c r="AQ176" s="733">
        <v>0.15198353707413312</v>
      </c>
      <c r="AR176" s="734">
        <v>0.15454781109503604</v>
      </c>
      <c r="AS176" s="1152">
        <v>0.15710832354028112</v>
      </c>
      <c r="AT176" s="1153">
        <v>0.1596667323555375</v>
      </c>
      <c r="AU176" s="610"/>
      <c r="AV176" s="1100"/>
      <c r="AW176" s="1054">
        <f>$F$67</f>
        <v>0.1604086076</v>
      </c>
      <c r="AX176" s="1062">
        <v>1.0</v>
      </c>
      <c r="AY176" s="1056">
        <f t="shared" ref="AY176:BB176" si="11">AX176+1</f>
        <v>2</v>
      </c>
      <c r="AZ176" s="1056">
        <f t="shared" si="11"/>
        <v>3</v>
      </c>
      <c r="BA176" s="1056">
        <f t="shared" si="11"/>
        <v>4</v>
      </c>
      <c r="BB176" s="1056">
        <f t="shared" si="11"/>
        <v>5</v>
      </c>
      <c r="BC176" s="1062">
        <v>10.0</v>
      </c>
      <c r="BD176" s="1062">
        <v>15.0</v>
      </c>
      <c r="BE176" s="1062">
        <v>20.0</v>
      </c>
      <c r="BF176" s="1062">
        <v>25.0</v>
      </c>
      <c r="BG176" s="1062">
        <v>30.0</v>
      </c>
      <c r="BH176" s="1062">
        <v>35.0</v>
      </c>
      <c r="BI176" s="1062">
        <v>40.0</v>
      </c>
      <c r="BJ176" s="1062">
        <v>45.0</v>
      </c>
      <c r="BK176" s="1062">
        <v>50.0</v>
      </c>
      <c r="BM176" s="1100"/>
      <c r="BN176" s="1054">
        <f>$F$67</f>
        <v>0.1604086076</v>
      </c>
      <c r="BO176" s="1062">
        <v>1.0</v>
      </c>
      <c r="BP176" s="1056">
        <f t="shared" ref="BP176:BS176" si="12">BO176+1</f>
        <v>2</v>
      </c>
      <c r="BQ176" s="1056">
        <f t="shared" si="12"/>
        <v>3</v>
      </c>
      <c r="BR176" s="1056">
        <f t="shared" si="12"/>
        <v>4</v>
      </c>
      <c r="BS176" s="1056">
        <f t="shared" si="12"/>
        <v>5</v>
      </c>
      <c r="BT176" s="1062">
        <v>10.0</v>
      </c>
      <c r="BU176" s="1062">
        <v>15.0</v>
      </c>
      <c r="BV176" s="1062">
        <v>20.0</v>
      </c>
      <c r="BW176" s="1062">
        <v>25.0</v>
      </c>
      <c r="BX176" s="1062">
        <v>30.0</v>
      </c>
      <c r="BY176" s="1062">
        <v>35.0</v>
      </c>
      <c r="BZ176" s="1062">
        <v>40.0</v>
      </c>
      <c r="CA176" s="1062">
        <v>45.0</v>
      </c>
      <c r="CB176" s="1062">
        <v>50.0</v>
      </c>
    </row>
    <row r="177">
      <c r="Y177" s="1056">
        <f t="shared" ref="Y177:Y194" si="13">Y176+500000</f>
        <v>1500000</v>
      </c>
      <c r="Z177" s="1073">
        <v>0.1198919676682028</v>
      </c>
      <c r="AA177" s="1064">
        <v>0.13862508761635947</v>
      </c>
      <c r="AB177" s="1064">
        <v>0.15735820756451616</v>
      </c>
      <c r="AC177" s="1064">
        <v>0.17609132751267287</v>
      </c>
      <c r="AD177" s="1064">
        <v>0.19482444746082955</v>
      </c>
      <c r="AE177" s="1064">
        <v>0.21355756740898624</v>
      </c>
      <c r="AF177" s="1064">
        <v>0.23229068735714295</v>
      </c>
      <c r="AG177" s="577"/>
      <c r="AJ177" s="1056">
        <f t="shared" ref="AJ177:AJ194" si="14">AJ176+500000</f>
        <v>1500000</v>
      </c>
      <c r="AK177" s="751">
        <v>0.09823707492789045</v>
      </c>
      <c r="AL177" s="752">
        <v>0.10379169553703073</v>
      </c>
      <c r="AM177" s="753">
        <v>0.10923828341585701</v>
      </c>
      <c r="AN177" s="1156">
        <v>0.11459799023577803</v>
      </c>
      <c r="AO177" s="1157">
        <v>0.1198919676682028</v>
      </c>
      <c r="AP177" s="756">
        <v>0.12199589238706932</v>
      </c>
      <c r="AQ177" s="757">
        <v>0.12409403837833198</v>
      </c>
      <c r="AR177" s="758">
        <v>0.12618775934896098</v>
      </c>
      <c r="AS177" s="1158">
        <v>0.1282784090059265</v>
      </c>
      <c r="AT177" s="1159">
        <v>0.1303673410561987</v>
      </c>
      <c r="AU177" s="610"/>
      <c r="AV177" s="1226" t="s">
        <v>73</v>
      </c>
      <c r="AW177" s="1072">
        <f>AK174</f>
        <v>0.7</v>
      </c>
      <c r="AX177" s="1073">
        <v>0.1203153536984451</v>
      </c>
      <c r="AY177" s="1073">
        <v>0.1203153536984451</v>
      </c>
      <c r="AZ177" s="1073">
        <v>0.12031535369844511</v>
      </c>
      <c r="BA177" s="1073">
        <v>0.1203153536984451</v>
      </c>
      <c r="BB177" s="1073">
        <v>0.12031535369844511</v>
      </c>
      <c r="BC177" s="1073">
        <v>0.12031535369844511</v>
      </c>
      <c r="BD177" s="1073">
        <v>0.12031535369844511</v>
      </c>
      <c r="BE177" s="1073">
        <v>0.12031535369844511</v>
      </c>
      <c r="BF177" s="1073">
        <v>0.1203153536984451</v>
      </c>
      <c r="BG177" s="1073">
        <v>0.12031535369844511</v>
      </c>
      <c r="BH177" s="1073">
        <v>0.12031535369844511</v>
      </c>
      <c r="BI177" s="1073">
        <v>0.12031535369844511</v>
      </c>
      <c r="BJ177" s="1073">
        <v>0.12031535369844512</v>
      </c>
      <c r="BK177" s="1073">
        <v>0.1203153536984451</v>
      </c>
      <c r="BM177" s="1225" t="s">
        <v>66</v>
      </c>
      <c r="BN177" s="1062">
        <v>525288.0</v>
      </c>
      <c r="BO177" s="1073">
        <v>0.20259885081353673</v>
      </c>
      <c r="BP177" s="1073">
        <v>0.20259885081353673</v>
      </c>
      <c r="BQ177" s="1073">
        <v>0.20259885081353673</v>
      </c>
      <c r="BR177" s="1073">
        <v>0.20259885081353673</v>
      </c>
      <c r="BS177" s="1073">
        <v>0.20259885081353673</v>
      </c>
      <c r="BT177" s="1073">
        <v>0.20259885081353673</v>
      </c>
      <c r="BU177" s="1073">
        <v>0.20259885081353673</v>
      </c>
      <c r="BV177" s="1073">
        <v>0.20259885081353673</v>
      </c>
      <c r="BW177" s="1073">
        <v>0.20259885081353673</v>
      </c>
      <c r="BX177" s="1073">
        <v>0.20259885081353673</v>
      </c>
      <c r="BY177" s="1073">
        <v>0.20259885081353673</v>
      </c>
      <c r="BZ177" s="1073">
        <v>0.20259885081353673</v>
      </c>
      <c r="CA177" s="1073">
        <v>0.20259885081353673</v>
      </c>
      <c r="CB177" s="1073">
        <v>0.20259885081353673</v>
      </c>
    </row>
    <row r="178">
      <c r="Y178" s="1056">
        <f t="shared" si="13"/>
        <v>2000000</v>
      </c>
      <c r="Z178" s="1073">
        <v>0.10382948971036621</v>
      </c>
      <c r="AA178" s="1064">
        <v>0.12005284747761093</v>
      </c>
      <c r="AB178" s="1064">
        <v>0.13627620524485562</v>
      </c>
      <c r="AC178" s="1064">
        <v>0.1524995630121003</v>
      </c>
      <c r="AD178" s="1064">
        <v>0.16872292077934503</v>
      </c>
      <c r="AE178" s="1064">
        <v>0.18494627854658977</v>
      </c>
      <c r="AF178" s="1064">
        <v>0.20116963631383442</v>
      </c>
      <c r="AG178" s="577"/>
      <c r="AJ178" s="1056">
        <f t="shared" si="14"/>
        <v>2000000</v>
      </c>
      <c r="AK178" s="740">
        <v>0.08507580248102849</v>
      </c>
      <c r="AL178" s="766">
        <v>0.08988624503692856</v>
      </c>
      <c r="AM178" s="775">
        <v>0.0946031285039365</v>
      </c>
      <c r="AN178" s="799">
        <v>0.09924477076682484</v>
      </c>
      <c r="AO178" s="1163">
        <v>0.10382948971036621</v>
      </c>
      <c r="AP178" s="778">
        <v>0.10565154196455462</v>
      </c>
      <c r="AQ178" s="779">
        <v>0.10746858969383657</v>
      </c>
      <c r="AR178" s="780">
        <v>0.10928180524283752</v>
      </c>
      <c r="AS178" s="1164">
        <v>0.11109236095618287</v>
      </c>
      <c r="AT178" s="1165">
        <v>0.11290142917849809</v>
      </c>
      <c r="AU178" s="610"/>
      <c r="AW178" s="1072">
        <v>0.75</v>
      </c>
      <c r="AX178" s="1075">
        <v>0.12711834680201567</v>
      </c>
      <c r="AY178" s="1075">
        <v>0.12711834680201567</v>
      </c>
      <c r="AZ178" s="1075">
        <v>0.12711834680201567</v>
      </c>
      <c r="BA178" s="1075">
        <v>0.12711834680201567</v>
      </c>
      <c r="BB178" s="1075">
        <v>0.12711834680201567</v>
      </c>
      <c r="BC178" s="1075">
        <v>0.12711834680201567</v>
      </c>
      <c r="BD178" s="1075">
        <v>0.12711834680201567</v>
      </c>
      <c r="BE178" s="1075">
        <v>0.12711834680201567</v>
      </c>
      <c r="BF178" s="1075">
        <v>0.12711834680201567</v>
      </c>
      <c r="BG178" s="1075">
        <v>0.12711834680201567</v>
      </c>
      <c r="BH178" s="1075">
        <v>0.12711834680201567</v>
      </c>
      <c r="BI178" s="1075">
        <v>0.12711834680201567</v>
      </c>
      <c r="BJ178" s="1075">
        <v>0.12711834680201567</v>
      </c>
      <c r="BK178" s="1075">
        <v>0.12711834680201567</v>
      </c>
      <c r="BN178" s="1062">
        <v>1000000.0</v>
      </c>
      <c r="BO178" s="1075">
        <v>0.14683707252267758</v>
      </c>
      <c r="BP178" s="1075">
        <v>0.14683707252267758</v>
      </c>
      <c r="BQ178" s="1075">
        <v>0.14683707252267758</v>
      </c>
      <c r="BR178" s="1075">
        <v>0.14683707252267758</v>
      </c>
      <c r="BS178" s="1075">
        <v>0.14683707252267758</v>
      </c>
      <c r="BT178" s="1075">
        <v>0.14683707252267758</v>
      </c>
      <c r="BU178" s="1075">
        <v>0.14683707252267758</v>
      </c>
      <c r="BV178" s="1075">
        <v>0.14683707252267758</v>
      </c>
      <c r="BW178" s="1075">
        <v>0.14683707252267758</v>
      </c>
      <c r="BX178" s="1075">
        <v>0.14683707252267758</v>
      </c>
      <c r="BY178" s="1075">
        <v>0.14683707252267758</v>
      </c>
      <c r="BZ178" s="1075">
        <v>0.14683707252267758</v>
      </c>
      <c r="CA178" s="1075">
        <v>0.14683707252267758</v>
      </c>
      <c r="CB178" s="1075">
        <v>0.14683707252267758</v>
      </c>
    </row>
    <row r="179">
      <c r="Y179" s="1056">
        <f t="shared" si="13"/>
        <v>2500000</v>
      </c>
      <c r="Z179" s="1073">
        <v>0.09286791882459751</v>
      </c>
      <c r="AA179" s="1064">
        <v>0.10737853114094084</v>
      </c>
      <c r="AB179" s="1064">
        <v>0.1218891434572842</v>
      </c>
      <c r="AC179" s="1064">
        <v>0.13639975577362756</v>
      </c>
      <c r="AD179" s="1064">
        <v>0.15091036808997094</v>
      </c>
      <c r="AE179" s="1064">
        <v>0.16542098040631428</v>
      </c>
      <c r="AF179" s="1064">
        <v>0.17993159272265766</v>
      </c>
      <c r="AG179" s="577"/>
      <c r="AJ179" s="1056">
        <f t="shared" si="14"/>
        <v>2500000</v>
      </c>
      <c r="AK179" s="795">
        <v>0.07609411103516998</v>
      </c>
      <c r="AL179" s="714">
        <v>0.08039670165791016</v>
      </c>
      <c r="AM179" s="740">
        <v>0.08461561048758</v>
      </c>
      <c r="AN179" s="1168">
        <v>0.0887672215384017</v>
      </c>
      <c r="AO179" s="1169">
        <v>0.09286791882459751</v>
      </c>
      <c r="AP179" s="798">
        <v>0.09449761190416632</v>
      </c>
      <c r="AQ179" s="715">
        <v>0.09612282880058075</v>
      </c>
      <c r="AR179" s="751">
        <v>0.09774461809075104</v>
      </c>
      <c r="AS179" s="1170">
        <v>0.09936402835158736</v>
      </c>
      <c r="AT179" s="1171">
        <v>0.10098210816000001</v>
      </c>
      <c r="AU179" s="610"/>
      <c r="AW179" s="1072">
        <v>0.8</v>
      </c>
      <c r="AX179" s="1073">
        <v>0.13378902737319173</v>
      </c>
      <c r="AY179" s="1073">
        <v>0.13378902737319173</v>
      </c>
      <c r="AZ179" s="1073">
        <v>0.13378902737319173</v>
      </c>
      <c r="BA179" s="1073">
        <v>0.13378902737319173</v>
      </c>
      <c r="BB179" s="1073">
        <v>0.13378902737319173</v>
      </c>
      <c r="BC179" s="1073">
        <v>0.13378902737319173</v>
      </c>
      <c r="BD179" s="1073">
        <v>0.13378902737319173</v>
      </c>
      <c r="BE179" s="1073">
        <v>0.13378902737319173</v>
      </c>
      <c r="BF179" s="1073">
        <v>0.13378902737319173</v>
      </c>
      <c r="BG179" s="1073">
        <v>0.13378902737319173</v>
      </c>
      <c r="BH179" s="1073">
        <v>0.13378902737319173</v>
      </c>
      <c r="BI179" s="1073">
        <v>0.13378902737319173</v>
      </c>
      <c r="BJ179" s="1073">
        <v>0.13378902737319173</v>
      </c>
      <c r="BK179" s="1073">
        <v>0.13378902737319173</v>
      </c>
      <c r="BN179" s="1056">
        <f t="shared" ref="BN179:BN196" si="15">BN178+500000</f>
        <v>1500000</v>
      </c>
      <c r="BO179" s="1073">
        <v>0.1198919676682028</v>
      </c>
      <c r="BP179" s="1073">
        <v>0.1198919676682028</v>
      </c>
      <c r="BQ179" s="1073">
        <v>0.1198919676682028</v>
      </c>
      <c r="BR179" s="1073">
        <v>0.1198919676682028</v>
      </c>
      <c r="BS179" s="1073">
        <v>0.11989196766820279</v>
      </c>
      <c r="BT179" s="1073">
        <v>0.11989196766820279</v>
      </c>
      <c r="BU179" s="1073">
        <v>0.1198919676682028</v>
      </c>
      <c r="BV179" s="1073">
        <v>0.11989196766820279</v>
      </c>
      <c r="BW179" s="1073">
        <v>0.1198919676682028</v>
      </c>
      <c r="BX179" s="1073">
        <v>0.1198919676682028</v>
      </c>
      <c r="BY179" s="1073">
        <v>0.11989196766820281</v>
      </c>
      <c r="BZ179" s="1073">
        <v>0.11989196766820279</v>
      </c>
      <c r="CA179" s="1073">
        <v>0.1198919676682028</v>
      </c>
      <c r="CB179" s="1073">
        <v>0.1198919676682028</v>
      </c>
    </row>
    <row r="180">
      <c r="Y180" s="1056">
        <f t="shared" si="13"/>
        <v>3000000</v>
      </c>
      <c r="Z180" s="1073">
        <v>0.08477642334798449</v>
      </c>
      <c r="AA180" s="1064">
        <v>0.09802273949610707</v>
      </c>
      <c r="AB180" s="1064">
        <v>0.11126905564422965</v>
      </c>
      <c r="AC180" s="1064">
        <v>0.12451537179235221</v>
      </c>
      <c r="AD180" s="1064">
        <v>0.13776168794047486</v>
      </c>
      <c r="AE180" s="1064">
        <v>0.15100800408859738</v>
      </c>
      <c r="AF180" s="1064">
        <v>0.16425432023672</v>
      </c>
      <c r="AG180" s="577"/>
      <c r="AJ180" s="1056">
        <f t="shared" si="14"/>
        <v>3000000</v>
      </c>
      <c r="AK180" s="764">
        <v>0.0694641018454423</v>
      </c>
      <c r="AL180" s="739">
        <v>0.07339181174508395</v>
      </c>
      <c r="AM180" s="795">
        <v>0.07724313096853044</v>
      </c>
      <c r="AN180" s="714">
        <v>0.08103301600606841</v>
      </c>
      <c r="AO180" s="1174">
        <v>0.08477642334798449</v>
      </c>
      <c r="AP180" s="813">
        <v>0.08626412278380102</v>
      </c>
      <c r="AQ180" s="814">
        <v>0.08774773604214223</v>
      </c>
      <c r="AR180" s="766">
        <v>0.08922822033838645</v>
      </c>
      <c r="AS180" s="1175">
        <v>0.09070653288791211</v>
      </c>
      <c r="AT180" s="1176">
        <v>0.09218363090609752</v>
      </c>
      <c r="AU180" s="610"/>
      <c r="AW180" s="1072">
        <v>0.85</v>
      </c>
      <c r="AX180" s="1073">
        <v>0.14035330081305256</v>
      </c>
      <c r="AY180" s="1073">
        <v>0.14035330081305256</v>
      </c>
      <c r="AZ180" s="1073">
        <v>0.14035330081305256</v>
      </c>
      <c r="BA180" s="1073">
        <v>0.14035330081305256</v>
      </c>
      <c r="BB180" s="1073">
        <v>0.14035330081305256</v>
      </c>
      <c r="BC180" s="1073">
        <v>0.14035330081305256</v>
      </c>
      <c r="BD180" s="1073">
        <v>0.14035330081305256</v>
      </c>
      <c r="BE180" s="1073">
        <v>0.14035330081305256</v>
      </c>
      <c r="BF180" s="1073">
        <v>0.14035330081305256</v>
      </c>
      <c r="BG180" s="1073">
        <v>0.14035330081305256</v>
      </c>
      <c r="BH180" s="1073">
        <v>0.14035330081305256</v>
      </c>
      <c r="BI180" s="1073">
        <v>0.14035330081305256</v>
      </c>
      <c r="BJ180" s="1073">
        <v>0.14035330081305256</v>
      </c>
      <c r="BK180" s="1073">
        <v>0.14035330081305256</v>
      </c>
      <c r="BN180" s="1056">
        <f t="shared" si="15"/>
        <v>2000000</v>
      </c>
      <c r="BO180" s="1073">
        <v>0.10382948971036621</v>
      </c>
      <c r="BP180" s="1073">
        <v>0.10382948971036621</v>
      </c>
      <c r="BQ180" s="1073">
        <v>0.10382948971036621</v>
      </c>
      <c r="BR180" s="1073">
        <v>0.10382948971036621</v>
      </c>
      <c r="BS180" s="1073">
        <v>0.10382948971036621</v>
      </c>
      <c r="BT180" s="1073">
        <v>0.10382948971036621</v>
      </c>
      <c r="BU180" s="1073">
        <v>0.10382948971036621</v>
      </c>
      <c r="BV180" s="1073">
        <v>0.10382948971036621</v>
      </c>
      <c r="BW180" s="1073">
        <v>0.1038294897103662</v>
      </c>
      <c r="BX180" s="1073">
        <v>0.10382948971036621</v>
      </c>
      <c r="BY180" s="1073">
        <v>0.10382948971036621</v>
      </c>
      <c r="BZ180" s="1073">
        <v>0.10382948971036621</v>
      </c>
      <c r="CA180" s="1073">
        <v>0.10382948971036621</v>
      </c>
      <c r="CB180" s="1073">
        <v>0.1038294897103662</v>
      </c>
    </row>
    <row r="181">
      <c r="Y181" s="1056">
        <f t="shared" si="13"/>
        <v>3500000</v>
      </c>
      <c r="Z181" s="1073">
        <v>0.07848771672239105</v>
      </c>
      <c r="AA181" s="1064">
        <v>0.09075142246026469</v>
      </c>
      <c r="AB181" s="1064">
        <v>0.1030151281981383</v>
      </c>
      <c r="AC181" s="1064">
        <v>0.11527883393601185</v>
      </c>
      <c r="AD181" s="1064">
        <v>0.12754253967388546</v>
      </c>
      <c r="AE181" s="1064">
        <v>0.1398062454117591</v>
      </c>
      <c r="AF181" s="1064">
        <v>0.15206995114963273</v>
      </c>
      <c r="AG181" s="577"/>
      <c r="AJ181" s="1056">
        <f t="shared" si="14"/>
        <v>3500000</v>
      </c>
      <c r="AK181" s="831">
        <v>0.06431126170115807</v>
      </c>
      <c r="AL181" s="832">
        <v>0.06794761447232192</v>
      </c>
      <c r="AM181" s="833">
        <v>0.0715132432200291</v>
      </c>
      <c r="AN181" s="856">
        <v>0.075021994963609</v>
      </c>
      <c r="AO181" s="1177">
        <v>0.07848771672239105</v>
      </c>
      <c r="AP181" s="836">
        <v>0.07986505876249027</v>
      </c>
      <c r="AQ181" s="714">
        <v>0.08123861773735161</v>
      </c>
      <c r="AR181" s="837">
        <v>0.08260927985621216</v>
      </c>
      <c r="AS181" s="1178">
        <v>0.08397793132830901</v>
      </c>
      <c r="AT181" s="740">
        <v>0.08534545836287924</v>
      </c>
      <c r="AU181" s="610"/>
      <c r="AW181" s="1072">
        <v>0.9</v>
      </c>
      <c r="AX181" s="1073">
        <v>0.14683707252267758</v>
      </c>
      <c r="AY181" s="1073">
        <v>0.14683707252267758</v>
      </c>
      <c r="AZ181" s="1073">
        <v>0.14683707252267758</v>
      </c>
      <c r="BA181" s="1073">
        <v>0.14683707252267758</v>
      </c>
      <c r="BB181" s="1073">
        <v>0.14683707252267758</v>
      </c>
      <c r="BC181" s="1073">
        <v>0.14683707252267758</v>
      </c>
      <c r="BD181" s="1073">
        <v>0.14683707252267758</v>
      </c>
      <c r="BE181" s="1073">
        <v>0.14683707252267758</v>
      </c>
      <c r="BF181" s="1073">
        <v>0.14683707252267758</v>
      </c>
      <c r="BG181" s="1073">
        <v>0.14683707252267758</v>
      </c>
      <c r="BH181" s="1073">
        <v>0.14683707252267758</v>
      </c>
      <c r="BI181" s="1073">
        <v>0.14683707252267758</v>
      </c>
      <c r="BJ181" s="1073">
        <v>0.14683707252267758</v>
      </c>
      <c r="BK181" s="1073">
        <v>0.14683707252267758</v>
      </c>
      <c r="BN181" s="1056">
        <f t="shared" si="15"/>
        <v>2500000</v>
      </c>
      <c r="BO181" s="1073">
        <v>0.09286791882459751</v>
      </c>
      <c r="BP181" s="1073">
        <v>0.09286791882459751</v>
      </c>
      <c r="BQ181" s="1073">
        <v>0.09286791882459751</v>
      </c>
      <c r="BR181" s="1073">
        <v>0.09286791882459751</v>
      </c>
      <c r="BS181" s="1073">
        <v>0.09286791882459751</v>
      </c>
      <c r="BT181" s="1073">
        <v>0.09286791882459751</v>
      </c>
      <c r="BU181" s="1073">
        <v>0.09286791882459751</v>
      </c>
      <c r="BV181" s="1073">
        <v>0.09286791882459751</v>
      </c>
      <c r="BW181" s="1073">
        <v>0.09286791882459751</v>
      </c>
      <c r="BX181" s="1073">
        <v>0.09286791882459751</v>
      </c>
      <c r="BY181" s="1073">
        <v>0.09286791882459751</v>
      </c>
      <c r="BZ181" s="1073">
        <v>0.09286791882459751</v>
      </c>
      <c r="CA181" s="1073">
        <v>0.09286791882459751</v>
      </c>
      <c r="CB181" s="1073">
        <v>0.09286791882459751</v>
      </c>
    </row>
    <row r="182">
      <c r="Y182" s="1056">
        <f t="shared" si="13"/>
        <v>4000000</v>
      </c>
      <c r="Z182" s="1073">
        <v>0.07341853626133879</v>
      </c>
      <c r="AA182" s="1064">
        <v>0.08489018255217297</v>
      </c>
      <c r="AB182" s="1064">
        <v>0.09636182884300715</v>
      </c>
      <c r="AC182" s="1064">
        <v>0.10783347513384135</v>
      </c>
      <c r="AD182" s="1064">
        <v>0.11930512142467552</v>
      </c>
      <c r="AE182" s="1064">
        <v>0.1307767677155097</v>
      </c>
      <c r="AF182" s="1064">
        <v>0.1422484140063439</v>
      </c>
      <c r="AG182" s="577"/>
      <c r="AJ182" s="1056">
        <f t="shared" si="14"/>
        <v>4000000</v>
      </c>
      <c r="AK182" s="763">
        <v>0.060157676849222554</v>
      </c>
      <c r="AL182" s="852">
        <v>0.06355917340100783</v>
      </c>
      <c r="AM182" s="853">
        <v>0.06689451368659585</v>
      </c>
      <c r="AN182" s="890">
        <v>0.07017665040652628</v>
      </c>
      <c r="AO182" s="1180">
        <v>0.07341853626133879</v>
      </c>
      <c r="AP182" s="856">
        <v>0.07470692176595166</v>
      </c>
      <c r="AQ182" s="857">
        <v>0.07599176853706656</v>
      </c>
      <c r="AR182" s="795">
        <v>0.07727390554751802</v>
      </c>
      <c r="AS182" s="1177">
        <v>0.07855416177014056</v>
      </c>
      <c r="AT182" s="836">
        <v>0.07983336617776875</v>
      </c>
      <c r="AU182" s="610"/>
      <c r="AW182" s="1072">
        <v>0.92</v>
      </c>
      <c r="AX182" s="1073">
        <v>0.14941384353190332</v>
      </c>
      <c r="AY182" s="1073">
        <v>0.14941384353190332</v>
      </c>
      <c r="AZ182" s="1073">
        <v>0.14941384353190332</v>
      </c>
      <c r="BA182" s="1073">
        <v>0.14941384353190332</v>
      </c>
      <c r="BB182" s="1073">
        <v>0.14941384353190332</v>
      </c>
      <c r="BC182" s="1073">
        <v>0.14941384353190332</v>
      </c>
      <c r="BD182" s="1073">
        <v>0.14941384353190332</v>
      </c>
      <c r="BE182" s="1073">
        <v>0.14941384353190332</v>
      </c>
      <c r="BF182" s="1073">
        <v>0.14941384353190332</v>
      </c>
      <c r="BG182" s="1073">
        <v>0.14941384353190332</v>
      </c>
      <c r="BH182" s="1073">
        <v>0.14941384353190332</v>
      </c>
      <c r="BI182" s="1073">
        <v>0.14941384353190332</v>
      </c>
      <c r="BJ182" s="1073">
        <v>0.14941384353190332</v>
      </c>
      <c r="BK182" s="1073">
        <v>0.14941384353190332</v>
      </c>
      <c r="BN182" s="1056">
        <f t="shared" si="15"/>
        <v>3000000</v>
      </c>
      <c r="BO182" s="1073">
        <v>0.08477642334798449</v>
      </c>
      <c r="BP182" s="1073">
        <v>0.08477642334798449</v>
      </c>
      <c r="BQ182" s="1073">
        <v>0.08477642334798449</v>
      </c>
      <c r="BR182" s="1073">
        <v>0.08477642334798449</v>
      </c>
      <c r="BS182" s="1073">
        <v>0.08477642334798449</v>
      </c>
      <c r="BT182" s="1073">
        <v>0.08477642334798449</v>
      </c>
      <c r="BU182" s="1073">
        <v>0.08477642334798449</v>
      </c>
      <c r="BV182" s="1073">
        <v>0.08477642334798449</v>
      </c>
      <c r="BW182" s="1073">
        <v>0.08477642334798449</v>
      </c>
      <c r="BX182" s="1073">
        <v>0.08477642334798449</v>
      </c>
      <c r="BY182" s="1073">
        <v>0.08477642334798449</v>
      </c>
      <c r="BZ182" s="1073">
        <v>0.08477642334798449</v>
      </c>
      <c r="CA182" s="1073">
        <v>0.08477642334798449</v>
      </c>
      <c r="CB182" s="1073">
        <v>0.08477642334798449</v>
      </c>
    </row>
    <row r="183">
      <c r="Y183" s="1056">
        <f t="shared" si="13"/>
        <v>4500000</v>
      </c>
      <c r="Z183" s="1073">
        <v>0.06921965980691078</v>
      </c>
      <c r="AA183" s="1064">
        <v>0.08003523165174059</v>
      </c>
      <c r="AB183" s="1064">
        <v>0.0908508034965704</v>
      </c>
      <c r="AC183" s="1064">
        <v>0.10166637534140022</v>
      </c>
      <c r="AD183" s="1064">
        <v>0.11248194718623002</v>
      </c>
      <c r="AE183" s="1064">
        <v>0.12329751903105982</v>
      </c>
      <c r="AF183" s="1064">
        <v>0.13411309087588966</v>
      </c>
      <c r="AG183" s="577"/>
      <c r="AJ183" s="1056">
        <f t="shared" si="14"/>
        <v>4500000</v>
      </c>
      <c r="AK183" s="867">
        <v>0.056717201654018994</v>
      </c>
      <c r="AL183" s="868">
        <v>0.05992416335795237</v>
      </c>
      <c r="AM183" s="869">
        <v>0.06306875233595767</v>
      </c>
      <c r="AN183" s="1182">
        <v>0.06616318051121656</v>
      </c>
      <c r="AO183" s="1183">
        <v>0.06921965980691078</v>
      </c>
      <c r="AP183" s="872">
        <v>0.07043436130970308</v>
      </c>
      <c r="AQ183" s="873">
        <v>0.07164572646255772</v>
      </c>
      <c r="AR183" s="874">
        <v>0.07285453682855834</v>
      </c>
      <c r="AS183" s="1184">
        <v>0.07406157397078858</v>
      </c>
      <c r="AT183" s="1185">
        <v>0.07526761945233205</v>
      </c>
      <c r="AU183" s="610"/>
      <c r="AW183" s="1072">
        <v>0.94</v>
      </c>
      <c r="AX183" s="1073">
        <v>0.15198353707413312</v>
      </c>
      <c r="AY183" s="1073">
        <v>0.15198353707413312</v>
      </c>
      <c r="AZ183" s="1073">
        <v>0.15198353707413312</v>
      </c>
      <c r="BA183" s="1073">
        <v>0.15198353707413312</v>
      </c>
      <c r="BB183" s="1073">
        <v>0.15198353707413312</v>
      </c>
      <c r="BC183" s="1073">
        <v>0.15198353707413312</v>
      </c>
      <c r="BD183" s="1073">
        <v>0.15198353707413312</v>
      </c>
      <c r="BE183" s="1073">
        <v>0.15198353707413312</v>
      </c>
      <c r="BF183" s="1073">
        <v>0.15198353707413312</v>
      </c>
      <c r="BG183" s="1073">
        <v>0.15198353707413312</v>
      </c>
      <c r="BH183" s="1073">
        <v>0.15198353707413312</v>
      </c>
      <c r="BI183" s="1073">
        <v>0.15198353707413312</v>
      </c>
      <c r="BJ183" s="1073">
        <v>0.15198353707413312</v>
      </c>
      <c r="BK183" s="1073">
        <v>0.15198353707413312</v>
      </c>
      <c r="BN183" s="1056">
        <f t="shared" si="15"/>
        <v>3500000</v>
      </c>
      <c r="BO183" s="1073">
        <v>0.07848771672239105</v>
      </c>
      <c r="BP183" s="1073">
        <v>0.07848771672239105</v>
      </c>
      <c r="BQ183" s="1073">
        <v>0.07848771672239105</v>
      </c>
      <c r="BR183" s="1073">
        <v>0.07848771672239105</v>
      </c>
      <c r="BS183" s="1073">
        <v>0.07848771672239105</v>
      </c>
      <c r="BT183" s="1073">
        <v>0.07848771672239105</v>
      </c>
      <c r="BU183" s="1073">
        <v>0.07848771672239105</v>
      </c>
      <c r="BV183" s="1073">
        <v>0.07848771672239105</v>
      </c>
      <c r="BW183" s="1073">
        <v>0.07848771672239105</v>
      </c>
      <c r="BX183" s="1073">
        <v>0.07848771672239105</v>
      </c>
      <c r="BY183" s="1073">
        <v>0.07848771672239105</v>
      </c>
      <c r="BZ183" s="1073">
        <v>0.07848771672239105</v>
      </c>
      <c r="CA183" s="1073">
        <v>0.07848771672239105</v>
      </c>
      <c r="CB183" s="1073">
        <v>0.07848771672239105</v>
      </c>
    </row>
    <row r="184">
      <c r="Y184" s="1056">
        <f t="shared" si="13"/>
        <v>5000000</v>
      </c>
      <c r="Z184" s="1073">
        <v>0.06566753515555472</v>
      </c>
      <c r="AA184" s="1064">
        <v>0.07592808752361013</v>
      </c>
      <c r="AB184" s="1064">
        <v>0.08618863989166557</v>
      </c>
      <c r="AC184" s="1064">
        <v>0.096449192259721</v>
      </c>
      <c r="AD184" s="1064">
        <v>0.10670974462777638</v>
      </c>
      <c r="AE184" s="1064">
        <v>0.11697029699583184</v>
      </c>
      <c r="AF184" s="1064">
        <v>0.12723084936388726</v>
      </c>
      <c r="AG184" s="577"/>
      <c r="AJ184" s="1056">
        <f t="shared" si="14"/>
        <v>5000000</v>
      </c>
      <c r="AK184" s="887">
        <v>0.05380666192133079</v>
      </c>
      <c r="AL184" s="844">
        <v>0.05684905292734001</v>
      </c>
      <c r="AM184" s="763">
        <v>0.059832271970007345</v>
      </c>
      <c r="AN184" s="916">
        <v>0.0627679042968924</v>
      </c>
      <c r="AO184" s="713">
        <v>0.06566753515555472</v>
      </c>
      <c r="AP184" s="853">
        <v>0.06681990218337061</v>
      </c>
      <c r="AQ184" s="832">
        <v>0.06796910407172424</v>
      </c>
      <c r="AR184" s="786">
        <v>0.06911588227645933</v>
      </c>
      <c r="AS184" s="1186">
        <v>0.0702609782534198</v>
      </c>
      <c r="AT184" s="890">
        <v>0.0714051334584494</v>
      </c>
      <c r="AU184" s="610"/>
      <c r="AW184" s="1072">
        <v>0.96</v>
      </c>
      <c r="AX184" s="1073">
        <v>0.154547811095036</v>
      </c>
      <c r="AY184" s="1073">
        <v>0.154547811095036</v>
      </c>
      <c r="AZ184" s="1073">
        <v>0.154547811095036</v>
      </c>
      <c r="BA184" s="1073">
        <v>0.154547811095036</v>
      </c>
      <c r="BB184" s="1073">
        <v>0.154547811095036</v>
      </c>
      <c r="BC184" s="1073">
        <v>0.154547811095036</v>
      </c>
      <c r="BD184" s="1073">
        <v>0.154547811095036</v>
      </c>
      <c r="BE184" s="1073">
        <v>0.154547811095036</v>
      </c>
      <c r="BF184" s="1073">
        <v>0.154547811095036</v>
      </c>
      <c r="BG184" s="1073">
        <v>0.154547811095036</v>
      </c>
      <c r="BH184" s="1073">
        <v>0.15454781109503596</v>
      </c>
      <c r="BI184" s="1073">
        <v>0.154547811095036</v>
      </c>
      <c r="BJ184" s="1073">
        <v>0.154547811095036</v>
      </c>
      <c r="BK184" s="1073">
        <v>0.154547811095036</v>
      </c>
      <c r="BN184" s="1056">
        <f t="shared" si="15"/>
        <v>4000000</v>
      </c>
      <c r="BO184" s="1073">
        <v>0.07341853626133879</v>
      </c>
      <c r="BP184" s="1073">
        <v>0.07341853626133879</v>
      </c>
      <c r="BQ184" s="1073">
        <v>0.07341853626133879</v>
      </c>
      <c r="BR184" s="1073">
        <v>0.07341853626133879</v>
      </c>
      <c r="BS184" s="1073">
        <v>0.07341853626133879</v>
      </c>
      <c r="BT184" s="1073">
        <v>0.07341853626133879</v>
      </c>
      <c r="BU184" s="1073">
        <v>0.07341853626133879</v>
      </c>
      <c r="BV184" s="1073">
        <v>0.07341853626133879</v>
      </c>
      <c r="BW184" s="1073">
        <v>0.07341853626133879</v>
      </c>
      <c r="BX184" s="1073">
        <v>0.07341853626133879</v>
      </c>
      <c r="BY184" s="1073">
        <v>0.07341853626133879</v>
      </c>
      <c r="BZ184" s="1073">
        <v>0.07341853626133879</v>
      </c>
      <c r="CA184" s="1073">
        <v>0.07341853626133879</v>
      </c>
      <c r="CB184" s="1073">
        <v>0.07341853626133879</v>
      </c>
    </row>
    <row r="185">
      <c r="Y185" s="1056">
        <f t="shared" si="13"/>
        <v>5500000</v>
      </c>
      <c r="Z185" s="1073">
        <v>0.06261153809879116</v>
      </c>
      <c r="AA185" s="1064">
        <v>0.07239459092672729</v>
      </c>
      <c r="AB185" s="1064">
        <v>0.0821776437546634</v>
      </c>
      <c r="AC185" s="1064">
        <v>0.0919606965825995</v>
      </c>
      <c r="AD185" s="1064">
        <v>0.10174374941053561</v>
      </c>
      <c r="AE185" s="1064">
        <v>0.11152680223847176</v>
      </c>
      <c r="AF185" s="1064">
        <v>0.12130985506640789</v>
      </c>
      <c r="AG185" s="577"/>
      <c r="AJ185" s="1056">
        <f t="shared" si="14"/>
        <v>5500000</v>
      </c>
      <c r="AK185" s="804">
        <v>0.05130263919417428</v>
      </c>
      <c r="AL185" s="821">
        <v>0.05420344520026132</v>
      </c>
      <c r="AM185" s="902">
        <v>0.057047832952969696</v>
      </c>
      <c r="AN185" s="763">
        <v>0.059846848552434564</v>
      </c>
      <c r="AO185" s="1187">
        <v>0.06261153809879116</v>
      </c>
      <c r="AP185" s="852">
        <v>0.06371027694889377</v>
      </c>
      <c r="AQ185" s="831">
        <v>0.06480599795692932</v>
      </c>
      <c r="AR185" s="853">
        <v>0.06589940807330646</v>
      </c>
      <c r="AS185" s="713">
        <v>0.06699121424843389</v>
      </c>
      <c r="AT185" s="832">
        <v>0.06808212343272023</v>
      </c>
      <c r="AU185" s="610"/>
      <c r="AW185" s="1072">
        <v>0.98</v>
      </c>
      <c r="AX185" s="594">
        <v>0.15710832354028112</v>
      </c>
      <c r="AY185" s="594">
        <v>0.15710832354028112</v>
      </c>
      <c r="AZ185" s="594">
        <v>0.15710832354028112</v>
      </c>
      <c r="BA185" s="594">
        <v>0.15710832354028112</v>
      </c>
      <c r="BB185" s="594">
        <v>0.15710832354028112</v>
      </c>
      <c r="BC185" s="594">
        <v>0.15710832354028112</v>
      </c>
      <c r="BD185" s="594">
        <v>0.15710832354028112</v>
      </c>
      <c r="BE185" s="594">
        <v>0.15710832354028112</v>
      </c>
      <c r="BF185" s="594">
        <v>0.15710832354028112</v>
      </c>
      <c r="BG185" s="594">
        <v>0.15710832354028112</v>
      </c>
      <c r="BH185" s="594">
        <v>0.15710832354028115</v>
      </c>
      <c r="BI185" s="594">
        <v>0.15710832354028112</v>
      </c>
      <c r="BJ185" s="594">
        <v>0.15710832354028112</v>
      </c>
      <c r="BK185" s="594">
        <v>0.15710832354028112</v>
      </c>
      <c r="BN185" s="1056">
        <f t="shared" si="15"/>
        <v>4500000</v>
      </c>
      <c r="BO185" s="594">
        <v>0.06921965980691078</v>
      </c>
      <c r="BP185" s="594">
        <v>0.06921965980691078</v>
      </c>
      <c r="BQ185" s="594">
        <v>0.06921965980691078</v>
      </c>
      <c r="BR185" s="594">
        <v>0.06921965980691078</v>
      </c>
      <c r="BS185" s="594">
        <v>0.06921965980691078</v>
      </c>
      <c r="BT185" s="594">
        <v>0.06921965980691078</v>
      </c>
      <c r="BU185" s="594">
        <v>0.06921965980691078</v>
      </c>
      <c r="BV185" s="594">
        <v>0.06921965980691078</v>
      </c>
      <c r="BW185" s="594">
        <v>0.06921965980691078</v>
      </c>
      <c r="BX185" s="594">
        <v>0.06921965980691078</v>
      </c>
      <c r="BY185" s="594">
        <v>0.06921965980691078</v>
      </c>
      <c r="BZ185" s="594">
        <v>0.06921965980691078</v>
      </c>
      <c r="CA185" s="594">
        <v>0.06921965980691078</v>
      </c>
      <c r="CB185" s="594">
        <v>0.06921965980691078</v>
      </c>
    </row>
    <row r="186">
      <c r="Y186" s="1056">
        <f t="shared" si="13"/>
        <v>6000000</v>
      </c>
      <c r="Z186" s="1073">
        <v>0.0599459838341014</v>
      </c>
      <c r="AA186" s="1064">
        <v>0.06931254380817974</v>
      </c>
      <c r="AB186" s="1064">
        <v>0.07867910378225808</v>
      </c>
      <c r="AC186" s="1064">
        <v>0.08804566375633643</v>
      </c>
      <c r="AD186" s="1064">
        <v>0.09741222373041478</v>
      </c>
      <c r="AE186" s="1064">
        <v>0.10677878370449312</v>
      </c>
      <c r="AF186" s="1064">
        <v>0.11614534367857147</v>
      </c>
      <c r="AG186" s="577"/>
      <c r="AJ186" s="1056">
        <f t="shared" si="14"/>
        <v>6000000</v>
      </c>
      <c r="AK186" s="843">
        <v>0.049118537463945226</v>
      </c>
      <c r="AL186" s="804">
        <v>0.051895847768515364</v>
      </c>
      <c r="AM186" s="914">
        <v>0.054619141707928504</v>
      </c>
      <c r="AN186" s="902">
        <v>0.057298995117889016</v>
      </c>
      <c r="AO186" s="1188">
        <v>0.0599459838341014</v>
      </c>
      <c r="AP186" s="763">
        <v>0.06099794619353466</v>
      </c>
      <c r="AQ186" s="822">
        <v>0.06204701918916599</v>
      </c>
      <c r="AR186" s="916">
        <v>0.06309387967448049</v>
      </c>
      <c r="AS186" s="1189">
        <v>0.06413920450296325</v>
      </c>
      <c r="AT186" s="831">
        <v>0.06518367052809936</v>
      </c>
      <c r="AU186" s="610"/>
      <c r="AW186" s="1072">
        <v>1.0</v>
      </c>
      <c r="AX186" s="577">
        <v>0.1596667323555375</v>
      </c>
      <c r="AY186" s="577">
        <v>0.1596667323555375</v>
      </c>
      <c r="AZ186" s="577">
        <v>0.1596667323555375</v>
      </c>
      <c r="BA186" s="577">
        <v>0.1596667323555375</v>
      </c>
      <c r="BB186" s="577">
        <v>0.15966673235553747</v>
      </c>
      <c r="BC186" s="577">
        <v>0.15966673235553747</v>
      </c>
      <c r="BD186" s="577">
        <v>0.1596667323555375</v>
      </c>
      <c r="BE186" s="577">
        <v>0.15966673235553747</v>
      </c>
      <c r="BF186" s="577">
        <v>0.1596667323555375</v>
      </c>
      <c r="BG186" s="577">
        <v>0.1596667323555375</v>
      </c>
      <c r="BH186" s="577">
        <v>0.1596667323555375</v>
      </c>
      <c r="BI186" s="577">
        <v>0.15966673235553747</v>
      </c>
      <c r="BJ186" s="577">
        <v>0.1596667323555375</v>
      </c>
      <c r="BK186" s="577">
        <v>0.1596667323555375</v>
      </c>
      <c r="BN186" s="1056">
        <f t="shared" si="15"/>
        <v>5000000</v>
      </c>
      <c r="BO186" s="577">
        <v>0.06566753515555472</v>
      </c>
      <c r="BP186" s="577">
        <v>0.06566753515555472</v>
      </c>
      <c r="BQ186" s="577">
        <v>0.06566753515555472</v>
      </c>
      <c r="BR186" s="577">
        <v>0.06566753515555472</v>
      </c>
      <c r="BS186" s="577">
        <v>0.06566753515555472</v>
      </c>
      <c r="BT186" s="577">
        <v>0.06566753515555472</v>
      </c>
      <c r="BU186" s="577">
        <v>0.06566753515555472</v>
      </c>
      <c r="BV186" s="577">
        <v>0.06566753515555472</v>
      </c>
      <c r="BW186" s="577">
        <v>0.06566753515555472</v>
      </c>
      <c r="BX186" s="577">
        <v>0.06566753515555472</v>
      </c>
      <c r="BY186" s="577">
        <v>0.06566753515555472</v>
      </c>
      <c r="BZ186" s="577">
        <v>0.06566753515555472</v>
      </c>
      <c r="CA186" s="577">
        <v>0.06566753515555472</v>
      </c>
      <c r="CB186" s="577">
        <v>0.06566753515555472</v>
      </c>
    </row>
    <row r="187">
      <c r="Y187" s="1056">
        <f t="shared" si="13"/>
        <v>6500000</v>
      </c>
      <c r="Z187" s="1073">
        <v>0.05759423831630552</v>
      </c>
      <c r="AA187" s="1064">
        <v>0.06659333805322826</v>
      </c>
      <c r="AB187" s="1064">
        <v>0.07559243779015101</v>
      </c>
      <c r="AC187" s="1064">
        <v>0.08459153752707374</v>
      </c>
      <c r="AD187" s="1064">
        <v>0.09359063726399648</v>
      </c>
      <c r="AE187" s="1064">
        <v>0.10258973700091921</v>
      </c>
      <c r="AF187" s="1064">
        <v>0.11158883673784198</v>
      </c>
      <c r="AG187" s="577"/>
      <c r="AJ187" s="1056">
        <f t="shared" si="14"/>
        <v>6500000</v>
      </c>
      <c r="AK187" s="820">
        <v>0.047191564330245336</v>
      </c>
      <c r="AL187" s="762">
        <v>0.0498599177599333</v>
      </c>
      <c r="AM187" s="804">
        <v>0.052476373944654146</v>
      </c>
      <c r="AN187" s="1192">
        <v>0.05505109381868562</v>
      </c>
      <c r="AO187" s="1193">
        <v>0.05759423831630552</v>
      </c>
      <c r="AP187" s="931">
        <v>0.05860493105923649</v>
      </c>
      <c r="AQ187" s="932">
        <v>0.05961284779121979</v>
      </c>
      <c r="AR187" s="763">
        <v>0.06061863881204924</v>
      </c>
      <c r="AS187" s="1194">
        <v>0.061622954421518626</v>
      </c>
      <c r="AT187" s="822">
        <v>0.0626264449194217</v>
      </c>
      <c r="AU187" s="610"/>
      <c r="AV187" s="610"/>
      <c r="BN187" s="1056">
        <f t="shared" si="15"/>
        <v>5500000</v>
      </c>
      <c r="BO187" s="577">
        <v>0.06261153809879116</v>
      </c>
      <c r="BP187" s="577">
        <v>0.06261153809879116</v>
      </c>
      <c r="BQ187" s="577">
        <v>0.06261153809879116</v>
      </c>
      <c r="BR187" s="577">
        <v>0.06261153809879116</v>
      </c>
      <c r="BS187" s="577">
        <v>0.06261153809879116</v>
      </c>
      <c r="BT187" s="577">
        <v>0.06261153809879116</v>
      </c>
      <c r="BU187" s="577">
        <v>0.06261153809879116</v>
      </c>
      <c r="BV187" s="577">
        <v>0.06261153809879116</v>
      </c>
      <c r="BW187" s="577">
        <v>0.06261153809879116</v>
      </c>
      <c r="BX187" s="577">
        <v>0.06261153809879116</v>
      </c>
      <c r="BY187" s="577">
        <v>0.06261153809879116</v>
      </c>
      <c r="BZ187" s="577">
        <v>0.06261153809879116</v>
      </c>
      <c r="CA187" s="577">
        <v>0.06261153809879116</v>
      </c>
      <c r="CB187" s="577">
        <v>0.06261153809879116</v>
      </c>
    </row>
    <row r="188">
      <c r="D188" s="213"/>
      <c r="G188" s="214"/>
      <c r="H188" s="214"/>
      <c r="I188" s="214"/>
      <c r="J188" s="214"/>
      <c r="K188" s="214"/>
      <c r="L188" s="214"/>
      <c r="M188" s="214"/>
      <c r="N188" s="214"/>
      <c r="O188" s="214"/>
      <c r="P188" s="214"/>
      <c r="Q188" s="214"/>
      <c r="R188" s="214"/>
      <c r="S188" s="214"/>
      <c r="T188" s="214"/>
      <c r="U188" s="214"/>
      <c r="V188" s="214"/>
      <c r="W188" s="214"/>
      <c r="Y188" s="1056">
        <f t="shared" si="13"/>
        <v>7000000</v>
      </c>
      <c r="Z188" s="1073">
        <v>0.05549919673425152</v>
      </c>
      <c r="AA188" s="1064">
        <v>0.0641709462239783</v>
      </c>
      <c r="AB188" s="1064">
        <v>0.07284269571370511</v>
      </c>
      <c r="AC188" s="1064">
        <v>0.08151444520343189</v>
      </c>
      <c r="AD188" s="1064">
        <v>0.0901861946931587</v>
      </c>
      <c r="AE188" s="1064">
        <v>0.0988579441828855</v>
      </c>
      <c r="AF188" s="1064">
        <v>0.10752969367261228</v>
      </c>
      <c r="AG188" s="577"/>
      <c r="AJ188" s="1056">
        <f t="shared" si="14"/>
        <v>7000000</v>
      </c>
      <c r="AK188" s="944">
        <v>0.04547492925555159</v>
      </c>
      <c r="AL188" s="880">
        <v>0.048046218958828046</v>
      </c>
      <c r="AM188" s="762">
        <v>0.05056749922552548</v>
      </c>
      <c r="AN188" s="887">
        <v>0.053048561376910955</v>
      </c>
      <c r="AO188" s="1195">
        <v>0.05549919673425152</v>
      </c>
      <c r="AP188" s="844">
        <v>0.05647312463081898</v>
      </c>
      <c r="AQ188" s="902">
        <v>0.05744437749630307</v>
      </c>
      <c r="AR188" s="931">
        <v>0.05841358197526488</v>
      </c>
      <c r="AS188" s="1196">
        <v>0.05938136471226553</v>
      </c>
      <c r="AT188" s="763">
        <v>0.060348352351866065</v>
      </c>
      <c r="AU188" s="610"/>
      <c r="AV188" s="610"/>
      <c r="BN188" s="1056">
        <f t="shared" si="15"/>
        <v>6000000</v>
      </c>
      <c r="BO188" s="577">
        <v>0.0599459838341014</v>
      </c>
      <c r="BP188" s="577">
        <v>0.0599459838341014</v>
      </c>
      <c r="BQ188" s="577">
        <v>0.0599459838341014</v>
      </c>
      <c r="BR188" s="577">
        <v>0.0599459838341014</v>
      </c>
      <c r="BS188" s="577">
        <v>0.05994598383410139</v>
      </c>
      <c r="BT188" s="577">
        <v>0.05994598383410139</v>
      </c>
      <c r="BU188" s="577">
        <v>0.0599459838341014</v>
      </c>
      <c r="BV188" s="577">
        <v>0.05994598383410139</v>
      </c>
      <c r="BW188" s="577">
        <v>0.0599459838341014</v>
      </c>
      <c r="BX188" s="577">
        <v>0.0599459838341014</v>
      </c>
      <c r="BY188" s="577">
        <v>0.05994598383410141</v>
      </c>
      <c r="BZ188" s="577">
        <v>0.05994598383410139</v>
      </c>
      <c r="CA188" s="577">
        <v>0.0599459838341014</v>
      </c>
      <c r="CB188" s="577">
        <v>0.0599459838341014</v>
      </c>
    </row>
    <row r="189">
      <c r="D189" s="173"/>
      <c r="E189" s="216"/>
      <c r="F189" s="214"/>
      <c r="G189" s="214"/>
      <c r="H189" s="214"/>
      <c r="I189" s="214"/>
      <c r="J189" s="214"/>
      <c r="K189" s="214"/>
      <c r="L189" s="214"/>
      <c r="M189" s="214"/>
      <c r="N189" s="214"/>
      <c r="O189" s="214"/>
      <c r="P189" s="214"/>
      <c r="Q189" s="214"/>
      <c r="R189" s="214"/>
      <c r="S189" s="214"/>
      <c r="T189" s="214"/>
      <c r="U189" s="214"/>
      <c r="V189" s="214"/>
      <c r="W189" s="214"/>
      <c r="Y189" s="1056">
        <f t="shared" si="13"/>
        <v>7500000</v>
      </c>
      <c r="Z189" s="1073">
        <v>0.05361731793246166</v>
      </c>
      <c r="AA189" s="1064">
        <v>0.06199502385940882</v>
      </c>
      <c r="AB189" s="1064">
        <v>0.07037272978635595</v>
      </c>
      <c r="AC189" s="1064">
        <v>0.07875043571330309</v>
      </c>
      <c r="AD189" s="1064">
        <v>0.08712814164025023</v>
      </c>
      <c r="AE189" s="1064">
        <v>0.09550584756719736</v>
      </c>
      <c r="AF189" s="1064">
        <v>0.10388355349414449</v>
      </c>
      <c r="AG189" s="577"/>
      <c r="AJ189" s="1056">
        <f t="shared" si="14"/>
        <v>7500000</v>
      </c>
      <c r="AK189" s="803">
        <v>0.04393295548990065</v>
      </c>
      <c r="AL189" s="956">
        <v>0.04641705734415244</v>
      </c>
      <c r="AM189" s="843">
        <v>0.04885284549264882</v>
      </c>
      <c r="AN189" s="804">
        <v>0.05124977925041137</v>
      </c>
      <c r="AO189" s="1199">
        <v>0.05361731793246166</v>
      </c>
      <c r="AP189" s="914">
        <v>0.054558221670647195</v>
      </c>
      <c r="AQ189" s="844">
        <v>0.055496541083283606</v>
      </c>
      <c r="AR189" s="844">
        <v>0.05643288156653228</v>
      </c>
      <c r="AS189" s="1193">
        <v>0.057367848516554576</v>
      </c>
      <c r="AT189" s="1200">
        <v>0.05830204732951189</v>
      </c>
      <c r="AU189" s="610"/>
      <c r="AV189" s="610"/>
      <c r="AW189" s="610"/>
      <c r="AX189" s="610"/>
      <c r="AY189" s="610"/>
      <c r="AZ189" s="610"/>
      <c r="BA189" s="610"/>
      <c r="BB189" s="610"/>
      <c r="BC189" s="610"/>
      <c r="BD189" s="610"/>
      <c r="BE189" s="610"/>
      <c r="BF189" s="610"/>
      <c r="BG189" s="610"/>
      <c r="BH189" s="610"/>
      <c r="BI189" s="610"/>
      <c r="BJ189" s="610"/>
      <c r="BK189" s="610"/>
      <c r="BL189" s="610"/>
      <c r="BN189" s="1056">
        <f t="shared" si="15"/>
        <v>6500000</v>
      </c>
      <c r="BO189" s="577">
        <v>0.05759423831630552</v>
      </c>
      <c r="BP189" s="577">
        <v>0.05759423831630552</v>
      </c>
      <c r="BQ189" s="577">
        <v>0.05759423831630552</v>
      </c>
      <c r="BR189" s="577">
        <v>0.05759423831630552</v>
      </c>
      <c r="BS189" s="577">
        <v>0.057594238316305515</v>
      </c>
      <c r="BT189" s="577">
        <v>0.057594238316305515</v>
      </c>
      <c r="BU189" s="577">
        <v>0.05759423831630552</v>
      </c>
      <c r="BV189" s="577">
        <v>0.057594238316305515</v>
      </c>
      <c r="BW189" s="577">
        <v>0.05759423831630552</v>
      </c>
      <c r="BX189" s="577">
        <v>0.05759423831630552</v>
      </c>
      <c r="BY189" s="577">
        <v>0.05759423831630553</v>
      </c>
      <c r="BZ189" s="577">
        <v>0.057594238316305515</v>
      </c>
      <c r="CA189" s="577">
        <v>0.057594238316305515</v>
      </c>
      <c r="CB189" s="577">
        <v>0.05759423831630552</v>
      </c>
    </row>
    <row r="190">
      <c r="D190" s="173"/>
      <c r="E190" s="216"/>
      <c r="F190" s="214"/>
      <c r="G190" s="174"/>
      <c r="H190" s="174"/>
      <c r="I190" s="174"/>
      <c r="J190" s="174"/>
      <c r="K190" s="174"/>
      <c r="L190" s="174"/>
      <c r="M190" s="174"/>
      <c r="N190" s="174"/>
      <c r="O190" s="174"/>
      <c r="P190" s="174"/>
      <c r="Q190" s="174"/>
      <c r="R190" s="174"/>
      <c r="S190" s="174"/>
      <c r="T190" s="174"/>
      <c r="U190" s="174"/>
      <c r="V190" s="174"/>
      <c r="W190" s="174"/>
      <c r="Y190" s="1056">
        <f t="shared" si="13"/>
        <v>8000000</v>
      </c>
      <c r="Z190" s="1073">
        <v>0.051914744855183104</v>
      </c>
      <c r="AA190" s="1064">
        <v>0.060026423738805464</v>
      </c>
      <c r="AB190" s="1064">
        <v>0.06813810262242781</v>
      </c>
      <c r="AC190" s="1064">
        <v>0.07624978150605015</v>
      </c>
      <c r="AD190" s="1064">
        <v>0.08436146038967252</v>
      </c>
      <c r="AE190" s="1064">
        <v>0.09247313927329488</v>
      </c>
      <c r="AF190" s="1064">
        <v>0.10058481815691721</v>
      </c>
      <c r="AG190" s="577"/>
      <c r="AJ190" s="1056">
        <f t="shared" si="14"/>
        <v>8000000</v>
      </c>
      <c r="AK190" s="967">
        <v>0.04253790124051424</v>
      </c>
      <c r="AL190" s="861">
        <v>0.04494312251846428</v>
      </c>
      <c r="AM190" s="880">
        <v>0.04730156425196825</v>
      </c>
      <c r="AN190" s="762">
        <v>0.04962238538341242</v>
      </c>
      <c r="AO190" s="1205">
        <v>0.051914744855183104</v>
      </c>
      <c r="AP190" s="887">
        <v>0.05282577098227731</v>
      </c>
      <c r="AQ190" s="887">
        <v>0.05373429484691829</v>
      </c>
      <c r="AR190" s="914">
        <v>0.05464090262141876</v>
      </c>
      <c r="AS190" s="1195">
        <v>0.055546180478091435</v>
      </c>
      <c r="AT190" s="844">
        <v>0.056450714589249044</v>
      </c>
      <c r="AU190" s="610"/>
      <c r="AV190" s="610"/>
      <c r="AW190" s="610"/>
      <c r="AX190" s="610"/>
      <c r="AY190" s="610"/>
      <c r="AZ190" s="610"/>
      <c r="BA190" s="610"/>
      <c r="BB190" s="610"/>
      <c r="BC190" s="610"/>
      <c r="BD190" s="610"/>
      <c r="BE190" s="610"/>
      <c r="BF190" s="610"/>
      <c r="BG190" s="610"/>
      <c r="BH190" s="610"/>
      <c r="BI190" s="610"/>
      <c r="BJ190" s="610"/>
      <c r="BK190" s="610"/>
      <c r="BL190" s="610"/>
      <c r="BN190" s="1056">
        <f t="shared" si="15"/>
        <v>7000000</v>
      </c>
      <c r="BO190" s="577">
        <v>0.05549919673425152</v>
      </c>
      <c r="BP190" s="577">
        <v>0.05549919673425152</v>
      </c>
      <c r="BQ190" s="577">
        <v>0.05549919673425152</v>
      </c>
      <c r="BR190" s="577">
        <v>0.05549919673425152</v>
      </c>
      <c r="BS190" s="577">
        <v>0.055499196734251514</v>
      </c>
      <c r="BT190" s="577">
        <v>0.055499196734251514</v>
      </c>
      <c r="BU190" s="577">
        <v>0.05549919673425152</v>
      </c>
      <c r="BV190" s="577">
        <v>0.055499196734251514</v>
      </c>
      <c r="BW190" s="577">
        <v>0.05549919673425152</v>
      </c>
      <c r="BX190" s="577">
        <v>0.05549919673425152</v>
      </c>
      <c r="BY190" s="577">
        <v>0.055499196734251514</v>
      </c>
      <c r="BZ190" s="577">
        <v>0.055499196734251514</v>
      </c>
      <c r="CA190" s="577">
        <v>0.05549919673425152</v>
      </c>
      <c r="CB190" s="577">
        <v>0.05549919673425152</v>
      </c>
    </row>
    <row r="191">
      <c r="D191" s="218"/>
      <c r="E191" s="219"/>
      <c r="F191" s="174"/>
      <c r="G191" s="220"/>
      <c r="H191" s="220"/>
      <c r="I191" s="220"/>
      <c r="J191" s="220"/>
      <c r="K191" s="220"/>
      <c r="L191" s="220"/>
      <c r="M191" s="220"/>
      <c r="N191" s="220"/>
      <c r="O191" s="220"/>
      <c r="P191" s="220"/>
      <c r="Q191" s="220"/>
      <c r="R191" s="220"/>
      <c r="S191" s="220"/>
      <c r="T191" s="220"/>
      <c r="U191" s="220"/>
      <c r="V191" s="220"/>
      <c r="W191" s="220"/>
      <c r="Y191" s="1056">
        <f t="shared" si="13"/>
        <v>8500000</v>
      </c>
      <c r="Z191" s="1073">
        <v>0.05036470036821433</v>
      </c>
      <c r="AA191" s="1064">
        <v>0.058234184800747824</v>
      </c>
      <c r="AB191" s="1064">
        <v>0.0661036692332813</v>
      </c>
      <c r="AC191" s="1064">
        <v>0.07397315366581479</v>
      </c>
      <c r="AD191" s="1064">
        <v>0.08184263809834828</v>
      </c>
      <c r="AE191" s="1064">
        <v>0.08971212253088179</v>
      </c>
      <c r="AF191" s="1064">
        <v>0.09758160696341528</v>
      </c>
      <c r="AG191" s="577"/>
      <c r="AJ191" s="1056">
        <f t="shared" si="14"/>
        <v>8500000</v>
      </c>
      <c r="AK191" s="980">
        <v>0.041267825860407704</v>
      </c>
      <c r="AL191" s="981">
        <v>0.04360123324440091</v>
      </c>
      <c r="AM191" s="982">
        <v>0.04588925780418953</v>
      </c>
      <c r="AN191" s="1005">
        <v>0.0481407850190389</v>
      </c>
      <c r="AO191" s="1208">
        <v>0.05036470036821433</v>
      </c>
      <c r="AP191" s="985">
        <v>0.05124852553285123</v>
      </c>
      <c r="AQ191" s="985">
        <v>0.05212992314633573</v>
      </c>
      <c r="AR191" s="986">
        <v>0.05300946187934081</v>
      </c>
      <c r="AS191" s="1209">
        <v>0.05388771040253945</v>
      </c>
      <c r="AT191" s="1210">
        <v>0.054765237386604645</v>
      </c>
      <c r="AU191" s="610"/>
      <c r="AV191" s="610"/>
      <c r="AW191" s="610"/>
      <c r="AX191" s="610"/>
      <c r="AY191" s="610"/>
      <c r="AZ191" s="610"/>
      <c r="BA191" s="610"/>
      <c r="BB191" s="610"/>
      <c r="BC191" s="610"/>
      <c r="BD191" s="610"/>
      <c r="BE191" s="610"/>
      <c r="BF191" s="610"/>
      <c r="BG191" s="610"/>
      <c r="BH191" s="610"/>
      <c r="BI191" s="610"/>
      <c r="BJ191" s="610"/>
      <c r="BK191" s="610"/>
      <c r="BL191" s="610"/>
      <c r="BN191" s="1056">
        <f t="shared" si="15"/>
        <v>7500000</v>
      </c>
      <c r="BO191" s="577">
        <v>0.05361731793246166</v>
      </c>
      <c r="BP191" s="577">
        <v>0.05361731793246166</v>
      </c>
      <c r="BQ191" s="577">
        <v>0.05361731793246166</v>
      </c>
      <c r="BR191" s="577">
        <v>0.05361731793246166</v>
      </c>
      <c r="BS191" s="577">
        <v>0.05361731793246166</v>
      </c>
      <c r="BT191" s="577">
        <v>0.05361731793246166</v>
      </c>
      <c r="BU191" s="577">
        <v>0.05361731793246166</v>
      </c>
      <c r="BV191" s="577">
        <v>0.05361731793246166</v>
      </c>
      <c r="BW191" s="577">
        <v>0.05361731793246167</v>
      </c>
      <c r="BX191" s="577">
        <v>0.05361731793246166</v>
      </c>
      <c r="BY191" s="577">
        <v>0.05361731793246166</v>
      </c>
      <c r="BZ191" s="577">
        <v>0.05361731793246166</v>
      </c>
      <c r="CA191" s="577">
        <v>0.05361731793246166</v>
      </c>
      <c r="CB191" s="577">
        <v>0.05361731793246167</v>
      </c>
    </row>
    <row r="192">
      <c r="E192" s="174"/>
      <c r="F192" s="220"/>
      <c r="G192" s="175"/>
      <c r="H192" s="175"/>
      <c r="I192" s="175"/>
      <c r="J192" s="175"/>
      <c r="K192" s="175"/>
      <c r="L192" s="175"/>
      <c r="M192" s="175"/>
      <c r="N192" s="175"/>
      <c r="O192" s="175"/>
      <c r="P192" s="175"/>
      <c r="Q192" s="175"/>
      <c r="R192" s="175"/>
      <c r="S192" s="175"/>
      <c r="T192" s="175"/>
      <c r="U192" s="175"/>
      <c r="V192" s="175"/>
      <c r="W192" s="175"/>
      <c r="X192" s="1222"/>
      <c r="Y192" s="1056">
        <f t="shared" si="13"/>
        <v>9000000</v>
      </c>
      <c r="Z192" s="1073">
        <v>0.04894569084089253</v>
      </c>
      <c r="AA192" s="1064">
        <v>0.05659345503478197</v>
      </c>
      <c r="AB192" s="1064">
        <v>0.06424121922867145</v>
      </c>
      <c r="AC192" s="1064">
        <v>0.0718889834225609</v>
      </c>
      <c r="AD192" s="1064">
        <v>0.07953674761645037</v>
      </c>
      <c r="AE192" s="1064">
        <v>0.08718451181033982</v>
      </c>
      <c r="AF192" s="1064">
        <v>0.09483227600422925</v>
      </c>
      <c r="AG192" s="577"/>
      <c r="AI192" s="1222"/>
      <c r="AJ192" s="1056">
        <f t="shared" si="14"/>
        <v>9000000</v>
      </c>
      <c r="AK192" s="994">
        <v>0.0401051178994817</v>
      </c>
      <c r="AL192" s="967">
        <v>0.04237278226733856</v>
      </c>
      <c r="AM192" s="861">
        <v>0.044596342457730566</v>
      </c>
      <c r="AN192" s="820">
        <v>0.04678443360435084</v>
      </c>
      <c r="AO192" s="737">
        <v>0.04894569084089253</v>
      </c>
      <c r="AP192" s="762">
        <v>0.049804614510634435</v>
      </c>
      <c r="AQ192" s="785">
        <v>0.05066117902471102</v>
      </c>
      <c r="AR192" s="804">
        <v>0.05151593703167867</v>
      </c>
      <c r="AS192" s="1205">
        <v>0.052369441180093707</v>
      </c>
      <c r="AT192" s="887">
        <v>0.053222244118512486</v>
      </c>
      <c r="AU192" s="610"/>
      <c r="AV192" s="610"/>
      <c r="AW192" s="610"/>
      <c r="AX192" s="610"/>
      <c r="AY192" s="610"/>
      <c r="AZ192" s="610"/>
      <c r="BA192" s="610"/>
      <c r="BB192" s="610"/>
      <c r="BC192" s="610"/>
      <c r="BD192" s="610"/>
      <c r="BE192" s="610"/>
      <c r="BF192" s="610"/>
      <c r="BG192" s="610"/>
      <c r="BH192" s="610"/>
      <c r="BI192" s="610"/>
      <c r="BJ192" s="610"/>
      <c r="BK192" s="610"/>
      <c r="BL192" s="610"/>
      <c r="BN192" s="1056">
        <f t="shared" si="15"/>
        <v>8000000</v>
      </c>
      <c r="BO192" s="577">
        <v>0.051914744855183104</v>
      </c>
      <c r="BP192" s="577">
        <v>0.051914744855183104</v>
      </c>
      <c r="BQ192" s="577">
        <v>0.051914744855183104</v>
      </c>
      <c r="BR192" s="577">
        <v>0.051914744855183104</v>
      </c>
      <c r="BS192" s="577">
        <v>0.051914744855183104</v>
      </c>
      <c r="BT192" s="577">
        <v>0.051914744855183104</v>
      </c>
      <c r="BU192" s="577">
        <v>0.051914744855183104</v>
      </c>
      <c r="BV192" s="577">
        <v>0.051914744855183104</v>
      </c>
      <c r="BW192" s="577">
        <v>0.0519147448551831</v>
      </c>
      <c r="BX192" s="577">
        <v>0.051914744855183104</v>
      </c>
      <c r="BY192" s="577">
        <v>0.051914744855183104</v>
      </c>
      <c r="BZ192" s="577">
        <v>0.051914744855183104</v>
      </c>
      <c r="CA192" s="577">
        <v>0.051914744855183104</v>
      </c>
      <c r="CB192" s="577">
        <v>0.0519147448551831</v>
      </c>
    </row>
    <row r="193">
      <c r="E193" s="174"/>
      <c r="F193" s="175"/>
      <c r="G193" s="220"/>
      <c r="H193" s="220"/>
      <c r="I193" s="220"/>
      <c r="J193" s="220"/>
      <c r="K193" s="220"/>
      <c r="L193" s="220"/>
      <c r="M193" s="220"/>
      <c r="N193" s="220"/>
      <c r="O193" s="220"/>
      <c r="P193" s="220"/>
      <c r="Q193" s="220"/>
      <c r="R193" s="220"/>
      <c r="S193" s="220"/>
      <c r="T193" s="220"/>
      <c r="U193" s="220"/>
      <c r="V193" s="220"/>
      <c r="W193" s="220"/>
      <c r="X193" s="1222"/>
      <c r="Y193" s="1056">
        <f t="shared" si="13"/>
        <v>9500000</v>
      </c>
      <c r="Z193" s="1073">
        <v>0.047640237158619196</v>
      </c>
      <c r="AA193" s="1064">
        <v>0.05508402421465345</v>
      </c>
      <c r="AB193" s="1064">
        <v>0.0625278112706877</v>
      </c>
      <c r="AC193" s="1064">
        <v>0.06997159832672195</v>
      </c>
      <c r="AD193" s="1064">
        <v>0.0774153853827562</v>
      </c>
      <c r="AE193" s="1064">
        <v>0.08485917243879045</v>
      </c>
      <c r="AF193" s="1064">
        <v>0.0923029594948247</v>
      </c>
      <c r="AG193" s="577"/>
      <c r="AI193" s="1222"/>
      <c r="AJ193" s="1056">
        <f t="shared" si="14"/>
        <v>9500000</v>
      </c>
      <c r="AK193" s="1002">
        <v>0.03903545532162421</v>
      </c>
      <c r="AL193" s="980">
        <v>0.04124263774003221</v>
      </c>
      <c r="AM193" s="981">
        <v>0.0434068923043633</v>
      </c>
      <c r="AN193" s="982">
        <v>0.04553662383657359</v>
      </c>
      <c r="AO193" s="1215">
        <v>0.047640237158619196</v>
      </c>
      <c r="AP193" s="1005">
        <v>0.048476252068709494</v>
      </c>
      <c r="AQ193" s="1006">
        <v>0.049309970745291615</v>
      </c>
      <c r="AR193" s="1007">
        <v>0.050141931096970745</v>
      </c>
      <c r="AS193" s="1216">
        <v>0.05097267103235207</v>
      </c>
      <c r="AT193" s="985">
        <v>0.0518027284600408</v>
      </c>
      <c r="AU193" s="610"/>
      <c r="AV193" s="610"/>
      <c r="AW193" s="610"/>
      <c r="AX193" s="610"/>
      <c r="AY193" s="610"/>
      <c r="AZ193" s="610"/>
      <c r="BA193" s="610"/>
      <c r="BB193" s="610"/>
      <c r="BC193" s="610"/>
      <c r="BD193" s="610"/>
      <c r="BE193" s="610"/>
      <c r="BF193" s="610"/>
      <c r="BG193" s="610"/>
      <c r="BH193" s="610"/>
      <c r="BI193" s="610"/>
      <c r="BJ193" s="610"/>
      <c r="BK193" s="610"/>
      <c r="BL193" s="610"/>
      <c r="BN193" s="1056">
        <f t="shared" si="15"/>
        <v>8500000</v>
      </c>
      <c r="BO193" s="594">
        <v>0.05036470036821433</v>
      </c>
      <c r="BP193" s="594">
        <v>0.05036470036821433</v>
      </c>
      <c r="BQ193" s="594">
        <v>0.05036470036821433</v>
      </c>
      <c r="BR193" s="594">
        <v>0.05036470036821433</v>
      </c>
      <c r="BS193" s="594">
        <v>0.05036470036821433</v>
      </c>
      <c r="BT193" s="594">
        <v>0.05036470036821433</v>
      </c>
      <c r="BU193" s="594">
        <v>0.05036470036821433</v>
      </c>
      <c r="BV193" s="594">
        <v>0.05036470036821433</v>
      </c>
      <c r="BW193" s="594">
        <v>0.05036470036821434</v>
      </c>
      <c r="BX193" s="594">
        <v>0.05036470036821433</v>
      </c>
      <c r="BY193" s="594">
        <v>0.05036470036821433</v>
      </c>
      <c r="BZ193" s="594">
        <v>0.05036470036821433</v>
      </c>
      <c r="CA193" s="594">
        <v>0.05036470036821433</v>
      </c>
      <c r="CB193" s="594">
        <v>0.05036470036821434</v>
      </c>
    </row>
    <row r="194">
      <c r="E194" s="174"/>
      <c r="F194" s="220"/>
      <c r="G194" s="220"/>
      <c r="H194" s="220"/>
      <c r="I194" s="220"/>
      <c r="J194" s="220"/>
      <c r="K194" s="220"/>
      <c r="L194" s="220"/>
      <c r="M194" s="220"/>
      <c r="N194" s="220"/>
      <c r="O194" s="220"/>
      <c r="P194" s="220"/>
      <c r="Q194" s="220"/>
      <c r="R194" s="220"/>
      <c r="S194" s="220"/>
      <c r="T194" s="220"/>
      <c r="U194" s="220"/>
      <c r="V194" s="220"/>
      <c r="W194" s="220"/>
      <c r="X194" s="1222"/>
      <c r="Y194" s="1056">
        <f t="shared" si="13"/>
        <v>10000000</v>
      </c>
      <c r="Z194" s="1073">
        <v>0.046433959412298755</v>
      </c>
      <c r="AA194" s="1064">
        <v>0.05368926557047042</v>
      </c>
      <c r="AB194" s="1064">
        <v>0.0609445717286421</v>
      </c>
      <c r="AC194" s="1064">
        <v>0.06819987788681378</v>
      </c>
      <c r="AD194" s="1064">
        <v>0.07545518404498547</v>
      </c>
      <c r="AE194" s="1064">
        <v>0.08271049020315714</v>
      </c>
      <c r="AF194" s="1064">
        <v>0.08996579636132883</v>
      </c>
      <c r="AG194" s="610"/>
      <c r="AI194" s="1222"/>
      <c r="AJ194" s="1056">
        <f t="shared" si="14"/>
        <v>10000000</v>
      </c>
      <c r="AK194" s="819">
        <v>0.03804705551758499</v>
      </c>
      <c r="AL194" s="994">
        <v>0.04019835082895508</v>
      </c>
      <c r="AM194" s="967">
        <v>0.04230780524379</v>
      </c>
      <c r="AN194" s="861">
        <v>0.04438361076920085</v>
      </c>
      <c r="AO194" s="1219">
        <v>0.046433959412298755</v>
      </c>
      <c r="AP194" s="880">
        <v>0.04724880595208316</v>
      </c>
      <c r="AQ194" s="880">
        <v>0.048061414400290374</v>
      </c>
      <c r="AR194" s="843">
        <v>0.04887230904537552</v>
      </c>
      <c r="AS194" s="1220">
        <v>0.04968201417579368</v>
      </c>
      <c r="AT194" s="762">
        <v>0.05049105408000001</v>
      </c>
      <c r="AU194" s="610"/>
      <c r="AV194" s="610"/>
      <c r="AW194" s="610"/>
      <c r="AX194" s="610"/>
      <c r="AY194" s="610"/>
      <c r="AZ194" s="610"/>
      <c r="BA194" s="610"/>
      <c r="BB194" s="610"/>
      <c r="BC194" s="610"/>
      <c r="BD194" s="610"/>
      <c r="BE194" s="610"/>
      <c r="BF194" s="610"/>
      <c r="BG194" s="610"/>
      <c r="BH194" s="610"/>
      <c r="BI194" s="610"/>
      <c r="BJ194" s="610"/>
      <c r="BK194" s="610"/>
      <c r="BL194" s="610"/>
      <c r="BM194" s="1227"/>
      <c r="BN194" s="1056">
        <f t="shared" si="15"/>
        <v>9000000</v>
      </c>
      <c r="BO194" s="577">
        <v>0.04894569084089253</v>
      </c>
      <c r="BP194" s="577">
        <v>0.04894569084089253</v>
      </c>
      <c r="BQ194" s="577">
        <v>0.04894569084089253</v>
      </c>
      <c r="BR194" s="577">
        <v>0.04894569084089253</v>
      </c>
      <c r="BS194" s="577">
        <v>0.04894569084089253</v>
      </c>
      <c r="BT194" s="577">
        <v>0.04894569084089253</v>
      </c>
      <c r="BU194" s="577">
        <v>0.04894569084089253</v>
      </c>
      <c r="BV194" s="577">
        <v>0.04894569084089253</v>
      </c>
      <c r="BW194" s="577">
        <v>0.04894569084089253</v>
      </c>
      <c r="BX194" s="577">
        <v>0.04894569084089253</v>
      </c>
      <c r="BY194" s="577">
        <v>0.04894569084089253</v>
      </c>
      <c r="BZ194" s="577">
        <v>0.04894569084089253</v>
      </c>
      <c r="CA194" s="577">
        <v>0.04894569084089253</v>
      </c>
      <c r="CB194" s="577">
        <v>0.04894569084089253</v>
      </c>
    </row>
    <row r="195">
      <c r="E195" s="174"/>
      <c r="F195" s="220"/>
      <c r="G195" s="220"/>
      <c r="H195" s="220"/>
      <c r="I195" s="220"/>
      <c r="J195" s="220"/>
      <c r="K195" s="220"/>
      <c r="L195" s="220"/>
      <c r="M195" s="220"/>
      <c r="N195" s="220"/>
      <c r="O195" s="220"/>
      <c r="P195" s="220"/>
      <c r="Q195" s="220"/>
      <c r="R195" s="220"/>
      <c r="S195" s="220"/>
      <c r="T195" s="220"/>
      <c r="U195" s="220"/>
      <c r="V195" s="220"/>
      <c r="W195" s="220"/>
      <c r="X195" s="610"/>
      <c r="Y195" s="610"/>
      <c r="Z195" s="610"/>
      <c r="AA195" s="610"/>
      <c r="AB195" s="610"/>
      <c r="AC195" s="610"/>
      <c r="AD195" s="610"/>
      <c r="AE195" s="610"/>
      <c r="AF195" s="610"/>
      <c r="AG195" s="610"/>
      <c r="AI195" s="610"/>
      <c r="AJ195" s="610"/>
      <c r="AK195" s="610"/>
      <c r="AL195" s="610"/>
      <c r="AM195" s="610"/>
      <c r="AN195" s="610"/>
      <c r="AO195" s="610"/>
      <c r="AP195" s="610"/>
      <c r="AQ195" s="610"/>
      <c r="AR195" s="610"/>
      <c r="AS195" s="610"/>
      <c r="AT195" s="610"/>
      <c r="AU195" s="610"/>
      <c r="AV195" s="610"/>
      <c r="AW195" s="610"/>
      <c r="AX195" s="610"/>
      <c r="AY195" s="610"/>
      <c r="AZ195" s="610"/>
      <c r="BA195" s="610"/>
      <c r="BB195" s="610"/>
      <c r="BC195" s="610"/>
      <c r="BD195" s="610"/>
      <c r="BE195" s="610"/>
      <c r="BF195" s="610"/>
      <c r="BG195" s="610"/>
      <c r="BH195" s="610"/>
      <c r="BI195" s="610"/>
      <c r="BJ195" s="610"/>
      <c r="BK195" s="610"/>
      <c r="BL195" s="610"/>
      <c r="BM195" s="1227"/>
      <c r="BN195" s="1056">
        <f t="shared" si="15"/>
        <v>9500000</v>
      </c>
      <c r="BO195" s="594">
        <v>0.047640237158619196</v>
      </c>
      <c r="BP195" s="594">
        <v>0.047640237158619196</v>
      </c>
      <c r="BQ195" s="594">
        <v>0.04764023715861919</v>
      </c>
      <c r="BR195" s="594">
        <v>0.047640237158619196</v>
      </c>
      <c r="BS195" s="594">
        <v>0.047640237158619196</v>
      </c>
      <c r="BT195" s="594">
        <v>0.047640237158619196</v>
      </c>
      <c r="BU195" s="594">
        <v>0.047640237158619196</v>
      </c>
      <c r="BV195" s="594">
        <v>0.047640237158619196</v>
      </c>
      <c r="BW195" s="594">
        <v>0.047640237158619196</v>
      </c>
      <c r="BX195" s="594">
        <v>0.047640237158619196</v>
      </c>
      <c r="BY195" s="594">
        <v>0.047640237158619196</v>
      </c>
      <c r="BZ195" s="594">
        <v>0.047640237158619196</v>
      </c>
      <c r="CA195" s="594">
        <v>0.047640237158619196</v>
      </c>
      <c r="CB195" s="594">
        <v>0.047640237158619196</v>
      </c>
    </row>
    <row r="196">
      <c r="E196" s="174"/>
      <c r="F196" s="220"/>
      <c r="G196" s="220"/>
      <c r="H196" s="220"/>
      <c r="I196" s="220"/>
      <c r="J196" s="220"/>
      <c r="K196" s="220"/>
      <c r="L196" s="220"/>
      <c r="M196" s="220"/>
      <c r="N196" s="220"/>
      <c r="O196" s="220"/>
      <c r="P196" s="220"/>
      <c r="Q196" s="220"/>
      <c r="R196" s="220"/>
      <c r="S196" s="220"/>
      <c r="T196" s="220"/>
      <c r="U196" s="220"/>
      <c r="V196" s="220"/>
      <c r="W196" s="220"/>
      <c r="X196" s="610"/>
      <c r="Y196" s="610"/>
      <c r="Z196" s="610"/>
      <c r="AA196" s="610"/>
      <c r="AB196" s="610"/>
      <c r="AC196" s="610"/>
      <c r="AD196" s="610"/>
      <c r="AE196" s="610"/>
      <c r="AF196" s="610"/>
      <c r="AG196" s="610"/>
      <c r="AI196" s="610"/>
      <c r="AJ196" s="610"/>
      <c r="AK196" s="610"/>
      <c r="AL196" s="610"/>
      <c r="AM196" s="610"/>
      <c r="AN196" s="610"/>
      <c r="AO196" s="610"/>
      <c r="AP196" s="610"/>
      <c r="AQ196" s="610"/>
      <c r="AR196" s="610"/>
      <c r="AS196" s="610"/>
      <c r="AT196" s="610"/>
      <c r="AU196" s="610"/>
      <c r="AV196" s="610"/>
      <c r="AW196" s="610"/>
      <c r="AX196" s="610"/>
      <c r="AY196" s="610"/>
      <c r="AZ196" s="610"/>
      <c r="BA196" s="610"/>
      <c r="BB196" s="610"/>
      <c r="BC196" s="610"/>
      <c r="BD196" s="610"/>
      <c r="BE196" s="610"/>
      <c r="BF196" s="610"/>
      <c r="BG196" s="610"/>
      <c r="BH196" s="610"/>
      <c r="BI196" s="610"/>
      <c r="BJ196" s="610"/>
      <c r="BK196" s="610"/>
      <c r="BL196" s="610"/>
      <c r="BM196" s="1222"/>
      <c r="BN196" s="1056">
        <f t="shared" si="15"/>
        <v>10000000</v>
      </c>
      <c r="BO196" s="594">
        <v>0.046433959412298755</v>
      </c>
      <c r="BP196" s="594">
        <v>0.046433959412298755</v>
      </c>
      <c r="BQ196" s="594">
        <v>0.046433959412298755</v>
      </c>
      <c r="BR196" s="594">
        <v>0.046433959412298755</v>
      </c>
      <c r="BS196" s="594">
        <v>0.046433959412298755</v>
      </c>
      <c r="BT196" s="594">
        <v>0.046433959412298755</v>
      </c>
      <c r="BU196" s="594">
        <v>0.046433959412298755</v>
      </c>
      <c r="BV196" s="594">
        <v>0.046433959412298755</v>
      </c>
      <c r="BW196" s="594">
        <v>0.046433959412298755</v>
      </c>
      <c r="BX196" s="594">
        <v>0.046433959412298755</v>
      </c>
      <c r="BY196" s="594">
        <v>0.046433959412298755</v>
      </c>
      <c r="BZ196" s="594">
        <v>0.046433959412298755</v>
      </c>
      <c r="CA196" s="594">
        <v>0.046433959412298755</v>
      </c>
      <c r="CB196" s="594">
        <v>0.046433959412298755</v>
      </c>
    </row>
    <row r="197">
      <c r="E197" s="174"/>
      <c r="F197" s="220"/>
      <c r="G197" s="220"/>
      <c r="H197" s="220"/>
      <c r="I197" s="220"/>
      <c r="J197" s="220"/>
      <c r="K197" s="220"/>
      <c r="L197" s="220"/>
      <c r="M197" s="220"/>
      <c r="N197" s="220"/>
      <c r="O197" s="220"/>
      <c r="P197" s="220"/>
      <c r="Q197" s="220"/>
      <c r="R197" s="220"/>
      <c r="S197" s="220"/>
      <c r="T197" s="220"/>
      <c r="U197" s="220"/>
      <c r="V197" s="220"/>
      <c r="W197" s="220"/>
    </row>
    <row r="198">
      <c r="E198" s="174"/>
      <c r="F198" s="220"/>
      <c r="G198" s="220"/>
      <c r="H198" s="220"/>
      <c r="I198" s="220"/>
      <c r="J198" s="220"/>
      <c r="K198" s="220"/>
      <c r="L198" s="220"/>
      <c r="M198" s="220"/>
      <c r="N198" s="220"/>
      <c r="O198" s="220"/>
      <c r="P198" s="220"/>
      <c r="Q198" s="220"/>
      <c r="R198" s="220"/>
      <c r="S198" s="220"/>
      <c r="T198" s="220"/>
      <c r="U198" s="220"/>
      <c r="V198" s="220"/>
      <c r="W198" s="220"/>
    </row>
    <row r="199">
      <c r="E199" s="174"/>
      <c r="F199" s="220"/>
      <c r="G199" s="175"/>
      <c r="H199" s="175"/>
      <c r="I199" s="175"/>
      <c r="J199" s="175"/>
      <c r="K199" s="175"/>
      <c r="L199" s="175"/>
      <c r="M199" s="175"/>
      <c r="N199" s="175"/>
      <c r="O199" s="175"/>
      <c r="P199" s="175"/>
      <c r="Q199" s="175"/>
      <c r="R199" s="175"/>
      <c r="S199" s="175"/>
      <c r="T199" s="175"/>
      <c r="U199" s="175"/>
      <c r="V199" s="175"/>
      <c r="W199" s="175"/>
    </row>
    <row r="200">
      <c r="E200" s="174"/>
      <c r="F200" s="175"/>
      <c r="G200" s="220"/>
      <c r="H200" s="220"/>
      <c r="I200" s="220"/>
      <c r="J200" s="220"/>
      <c r="K200" s="220"/>
      <c r="L200" s="220"/>
      <c r="M200" s="220"/>
      <c r="N200" s="220"/>
      <c r="O200" s="220"/>
      <c r="P200" s="220"/>
      <c r="Q200" s="220"/>
      <c r="R200" s="220"/>
      <c r="S200" s="220"/>
      <c r="T200" s="220"/>
      <c r="U200" s="220"/>
      <c r="V200" s="220"/>
      <c r="W200" s="220"/>
    </row>
    <row r="201">
      <c r="E201" s="174"/>
      <c r="F201" s="220"/>
      <c r="G201" s="220"/>
      <c r="H201" s="220"/>
      <c r="I201" s="220"/>
      <c r="J201" s="220"/>
      <c r="K201" s="220"/>
      <c r="L201" s="220"/>
      <c r="M201" s="220"/>
      <c r="N201" s="220"/>
      <c r="O201" s="220"/>
      <c r="P201" s="220"/>
      <c r="Q201" s="220"/>
      <c r="R201" s="220"/>
      <c r="S201" s="220"/>
      <c r="T201" s="220"/>
      <c r="U201" s="220"/>
      <c r="V201" s="220"/>
      <c r="W201" s="220"/>
    </row>
    <row r="202">
      <c r="E202" s="174"/>
      <c r="F202" s="220"/>
      <c r="G202" s="220"/>
      <c r="H202" s="220"/>
      <c r="I202" s="220"/>
      <c r="J202" s="220"/>
      <c r="K202" s="220"/>
      <c r="L202" s="220"/>
      <c r="M202" s="220"/>
      <c r="N202" s="220"/>
      <c r="O202" s="220"/>
      <c r="P202" s="220"/>
      <c r="Q202" s="220"/>
      <c r="R202" s="220"/>
      <c r="S202" s="220"/>
      <c r="T202" s="220"/>
      <c r="U202" s="220"/>
      <c r="V202" s="220"/>
      <c r="W202" s="220"/>
      <c r="X202" s="1125" t="s">
        <v>152</v>
      </c>
      <c r="Y202" s="556"/>
      <c r="Z202" s="556"/>
      <c r="AA202" s="556"/>
      <c r="AB202" s="556"/>
      <c r="AC202" s="556"/>
      <c r="AD202" s="556"/>
      <c r="AE202" s="556"/>
      <c r="AF202" s="556"/>
      <c r="AG202" s="556"/>
      <c r="AH202" s="556"/>
      <c r="AI202" s="556"/>
      <c r="AJ202" s="556"/>
      <c r="AK202" s="556"/>
      <c r="AL202" s="556"/>
      <c r="AM202" s="556"/>
      <c r="AN202" s="556"/>
      <c r="AO202" s="556"/>
      <c r="AP202" s="556"/>
      <c r="AQ202" s="556"/>
      <c r="AR202" s="556"/>
      <c r="AS202" s="556"/>
      <c r="AT202" s="556"/>
      <c r="AU202" s="556"/>
      <c r="AV202" s="556"/>
      <c r="AW202" s="556"/>
      <c r="AX202" s="556"/>
      <c r="AY202" s="556"/>
      <c r="AZ202" s="556"/>
      <c r="BA202" s="556"/>
      <c r="BB202" s="556"/>
      <c r="BC202" s="556"/>
      <c r="BD202" s="556"/>
      <c r="BE202" s="556"/>
      <c r="BF202" s="556"/>
      <c r="BG202" s="556"/>
      <c r="BH202" s="556"/>
      <c r="BI202" s="556"/>
      <c r="BJ202" s="556"/>
      <c r="BK202" s="556"/>
      <c r="BL202" s="556"/>
      <c r="BM202" s="556"/>
      <c r="BN202" s="556"/>
      <c r="BO202" s="556"/>
      <c r="BP202" s="556"/>
      <c r="BQ202" s="556"/>
      <c r="BR202" s="556"/>
      <c r="BS202" s="556"/>
      <c r="BT202" s="556"/>
      <c r="BU202" s="556"/>
      <c r="BV202" s="556"/>
      <c r="BW202" s="556"/>
      <c r="BX202" s="556"/>
      <c r="BY202" s="556"/>
      <c r="BZ202" s="556"/>
      <c r="CA202" s="556"/>
      <c r="CB202" s="557"/>
    </row>
    <row r="203">
      <c r="E203" s="174"/>
      <c r="F203" s="220"/>
      <c r="G203" s="220"/>
      <c r="H203" s="220"/>
      <c r="I203" s="220"/>
      <c r="J203" s="220"/>
      <c r="K203" s="220"/>
      <c r="L203" s="220"/>
      <c r="M203" s="220"/>
      <c r="N203" s="220"/>
      <c r="O203" s="220"/>
      <c r="P203" s="220"/>
      <c r="Q203" s="220"/>
      <c r="R203" s="220"/>
      <c r="S203" s="220"/>
      <c r="T203" s="220"/>
      <c r="U203" s="220"/>
      <c r="V203" s="220"/>
      <c r="W203" s="220"/>
      <c r="X203" s="559"/>
      <c r="CB203" s="560"/>
    </row>
    <row r="204">
      <c r="E204" s="174"/>
      <c r="F204" s="220"/>
      <c r="G204" s="220"/>
      <c r="H204" s="220"/>
      <c r="I204" s="220"/>
      <c r="J204" s="220"/>
      <c r="K204" s="220"/>
      <c r="L204" s="220"/>
      <c r="M204" s="220"/>
      <c r="N204" s="220"/>
      <c r="O204" s="220"/>
      <c r="P204" s="220"/>
      <c r="Q204" s="220"/>
      <c r="R204" s="220"/>
      <c r="S204" s="220"/>
      <c r="T204" s="220"/>
      <c r="U204" s="220"/>
      <c r="V204" s="220"/>
      <c r="W204" s="220"/>
      <c r="X204" s="559"/>
      <c r="CB204" s="560"/>
    </row>
    <row r="205">
      <c r="E205" s="174"/>
      <c r="F205" s="220"/>
      <c r="G205" s="220"/>
      <c r="H205" s="220"/>
      <c r="I205" s="220"/>
      <c r="J205" s="220"/>
      <c r="K205" s="220"/>
      <c r="L205" s="220"/>
      <c r="M205" s="220"/>
      <c r="N205" s="220"/>
      <c r="O205" s="220"/>
      <c r="P205" s="220"/>
      <c r="Q205" s="220"/>
      <c r="R205" s="220"/>
      <c r="S205" s="220"/>
      <c r="T205" s="220"/>
      <c r="U205" s="220"/>
      <c r="V205" s="220"/>
      <c r="W205" s="220"/>
      <c r="X205" s="574"/>
      <c r="Y205" s="575"/>
      <c r="Z205" s="575"/>
      <c r="AA205" s="575"/>
      <c r="AB205" s="575"/>
      <c r="AC205" s="575"/>
      <c r="AD205" s="575"/>
      <c r="AE205" s="575"/>
      <c r="AF205" s="575"/>
      <c r="AG205" s="575"/>
      <c r="AH205" s="575"/>
      <c r="AI205" s="575"/>
      <c r="AJ205" s="575"/>
      <c r="AK205" s="575"/>
      <c r="AL205" s="575"/>
      <c r="AM205" s="575"/>
      <c r="AN205" s="575"/>
      <c r="AO205" s="575"/>
      <c r="AP205" s="575"/>
      <c r="AQ205" s="575"/>
      <c r="AR205" s="575"/>
      <c r="AS205" s="575"/>
      <c r="AT205" s="575"/>
      <c r="AU205" s="575"/>
      <c r="AV205" s="575"/>
      <c r="AW205" s="575"/>
      <c r="AX205" s="575"/>
      <c r="AY205" s="575"/>
      <c r="AZ205" s="575"/>
      <c r="BA205" s="575"/>
      <c r="BB205" s="575"/>
      <c r="BC205" s="575"/>
      <c r="BD205" s="575"/>
      <c r="BE205" s="575"/>
      <c r="BF205" s="575"/>
      <c r="BG205" s="575"/>
      <c r="BH205" s="575"/>
      <c r="BI205" s="575"/>
      <c r="BJ205" s="575"/>
      <c r="BK205" s="575"/>
      <c r="BL205" s="575"/>
      <c r="BM205" s="575"/>
      <c r="BN205" s="575"/>
      <c r="BO205" s="575"/>
      <c r="BP205" s="575"/>
      <c r="BQ205" s="575"/>
      <c r="BR205" s="575"/>
      <c r="BS205" s="575"/>
      <c r="BT205" s="575"/>
      <c r="BU205" s="575"/>
      <c r="BV205" s="575"/>
      <c r="BW205" s="575"/>
      <c r="BX205" s="575"/>
      <c r="BY205" s="575"/>
      <c r="BZ205" s="575"/>
      <c r="CA205" s="575"/>
      <c r="CB205" s="576"/>
    </row>
    <row r="206">
      <c r="E206" s="174"/>
      <c r="F206" s="220"/>
      <c r="G206" s="220"/>
      <c r="H206" s="220"/>
      <c r="I206" s="220"/>
      <c r="J206" s="220"/>
      <c r="K206" s="220"/>
      <c r="L206" s="220"/>
      <c r="M206" s="220"/>
      <c r="N206" s="220"/>
      <c r="O206" s="220"/>
      <c r="P206" s="220"/>
      <c r="Q206" s="220"/>
      <c r="R206" s="220"/>
      <c r="S206" s="220"/>
      <c r="T206" s="220"/>
      <c r="U206" s="220"/>
      <c r="V206" s="220"/>
      <c r="W206" s="220"/>
    </row>
    <row r="207">
      <c r="E207" s="174"/>
      <c r="F207" s="220"/>
      <c r="G207" s="220"/>
      <c r="H207" s="220"/>
      <c r="I207" s="220"/>
      <c r="J207" s="220"/>
      <c r="K207" s="220"/>
      <c r="L207" s="220"/>
      <c r="M207" s="220"/>
      <c r="N207" s="220"/>
      <c r="O207" s="220"/>
      <c r="P207" s="220"/>
      <c r="Q207" s="220"/>
      <c r="R207" s="220"/>
      <c r="S207" s="220"/>
      <c r="T207" s="220"/>
      <c r="U207" s="220"/>
    </row>
    <row r="208">
      <c r="E208" s="174"/>
      <c r="F208" s="220"/>
      <c r="G208" s="220"/>
      <c r="H208" s="220"/>
      <c r="I208" s="220"/>
      <c r="J208" s="220"/>
      <c r="K208" s="220"/>
      <c r="L208" s="220"/>
      <c r="M208" s="220"/>
      <c r="N208" s="220"/>
      <c r="O208" s="220"/>
      <c r="P208" s="220"/>
      <c r="Q208" s="220"/>
      <c r="R208" s="220"/>
      <c r="S208" s="220"/>
      <c r="T208" s="220"/>
      <c r="U208" s="220"/>
    </row>
    <row r="209">
      <c r="E209" s="174"/>
      <c r="F209" s="220"/>
      <c r="G209" s="220"/>
      <c r="H209" s="220"/>
      <c r="I209" s="220"/>
      <c r="J209" s="220"/>
      <c r="K209" s="220"/>
      <c r="L209" s="220"/>
      <c r="M209" s="220"/>
      <c r="N209" s="220"/>
      <c r="O209" s="220"/>
      <c r="P209" s="220"/>
      <c r="Q209" s="220"/>
      <c r="R209" s="220"/>
      <c r="S209" s="220"/>
      <c r="T209" s="220"/>
      <c r="U209" s="220"/>
    </row>
    <row r="210">
      <c r="E210" s="174"/>
      <c r="F210" s="220"/>
      <c r="G210" s="220"/>
      <c r="H210" s="220"/>
      <c r="I210" s="220"/>
      <c r="J210" s="220"/>
      <c r="K210" s="220"/>
      <c r="L210" s="220"/>
      <c r="M210" s="220"/>
      <c r="N210" s="220"/>
      <c r="O210" s="220"/>
      <c r="P210" s="220"/>
      <c r="Q210" s="220"/>
      <c r="R210" s="220"/>
      <c r="S210" s="220"/>
      <c r="T210" s="220"/>
      <c r="U210" s="220"/>
    </row>
    <row r="211">
      <c r="E211" s="174"/>
      <c r="F211" s="220"/>
      <c r="G211" s="220"/>
      <c r="H211" s="220"/>
      <c r="I211" s="220"/>
      <c r="J211" s="220"/>
      <c r="K211" s="220"/>
      <c r="L211" s="220"/>
      <c r="M211" s="220"/>
      <c r="N211" s="220"/>
      <c r="O211" s="220"/>
      <c r="P211" s="220"/>
      <c r="Q211" s="220"/>
      <c r="R211" s="220"/>
      <c r="S211" s="220"/>
      <c r="T211" s="220"/>
      <c r="U211" s="220"/>
    </row>
    <row r="212">
      <c r="E212" s="174"/>
      <c r="F212" s="220"/>
      <c r="G212" s="220"/>
      <c r="H212" s="220"/>
      <c r="I212" s="220"/>
      <c r="J212" s="220"/>
      <c r="K212" s="220"/>
      <c r="L212" s="220"/>
      <c r="M212" s="220"/>
      <c r="N212" s="220"/>
      <c r="O212" s="220"/>
      <c r="P212" s="220"/>
      <c r="Q212" s="220"/>
      <c r="R212" s="220"/>
      <c r="S212" s="220"/>
      <c r="T212" s="220"/>
      <c r="U212" s="220"/>
    </row>
    <row r="213">
      <c r="E213" s="174"/>
      <c r="F213" s="220"/>
      <c r="G213" s="220"/>
      <c r="H213" s="220"/>
      <c r="I213" s="220"/>
      <c r="J213" s="220"/>
      <c r="K213" s="220"/>
      <c r="L213" s="220"/>
      <c r="M213" s="220"/>
      <c r="N213" s="220"/>
      <c r="O213" s="220"/>
      <c r="P213" s="220"/>
      <c r="Q213" s="220"/>
      <c r="R213" s="220"/>
      <c r="S213" s="220"/>
      <c r="T213" s="220"/>
      <c r="U213" s="220"/>
    </row>
    <row r="214">
      <c r="E214" s="174"/>
      <c r="F214" s="220"/>
      <c r="G214" s="220"/>
      <c r="H214" s="220"/>
      <c r="I214" s="220"/>
      <c r="J214" s="220"/>
      <c r="K214" s="220"/>
      <c r="L214" s="220"/>
      <c r="M214" s="220"/>
      <c r="N214" s="220"/>
      <c r="O214" s="220"/>
      <c r="P214" s="220"/>
      <c r="Q214" s="220"/>
      <c r="R214" s="220"/>
      <c r="S214" s="220"/>
      <c r="T214" s="220"/>
      <c r="U214" s="220"/>
    </row>
    <row r="215">
      <c r="E215" s="174"/>
      <c r="F215" s="220"/>
      <c r="G215" s="220"/>
      <c r="H215" s="220"/>
      <c r="I215" s="220"/>
      <c r="J215" s="220"/>
      <c r="K215" s="220"/>
      <c r="L215" s="220"/>
      <c r="M215" s="220"/>
      <c r="N215" s="220"/>
      <c r="O215" s="220"/>
      <c r="P215" s="220"/>
      <c r="Q215" s="220"/>
      <c r="R215" s="220"/>
      <c r="S215" s="220"/>
      <c r="T215" s="220"/>
      <c r="U215" s="220"/>
    </row>
    <row r="216">
      <c r="E216" s="174"/>
      <c r="F216" s="220"/>
      <c r="G216" s="220"/>
      <c r="H216" s="220"/>
      <c r="I216" s="220"/>
      <c r="J216" s="220"/>
      <c r="K216" s="220"/>
      <c r="L216" s="220"/>
      <c r="M216" s="220"/>
      <c r="N216" s="220"/>
      <c r="O216" s="220"/>
      <c r="P216" s="220"/>
      <c r="Q216" s="220"/>
      <c r="R216" s="220"/>
      <c r="S216" s="220"/>
      <c r="T216" s="220"/>
      <c r="U216" s="220"/>
      <c r="V216" s="220"/>
      <c r="W216" s="220"/>
    </row>
    <row r="217">
      <c r="E217" s="174"/>
      <c r="F217" s="220"/>
      <c r="G217" s="220"/>
      <c r="H217" s="220"/>
      <c r="I217" s="220"/>
      <c r="J217" s="220"/>
      <c r="K217" s="220"/>
      <c r="L217" s="220"/>
      <c r="M217" s="220"/>
      <c r="N217" s="220"/>
      <c r="O217" s="220"/>
      <c r="P217" s="220"/>
      <c r="Q217" s="220"/>
      <c r="R217" s="220"/>
      <c r="S217" s="220"/>
      <c r="T217" s="220"/>
      <c r="U217" s="220"/>
      <c r="V217" s="220"/>
      <c r="W217" s="220"/>
    </row>
    <row r="218">
      <c r="E218" s="174"/>
      <c r="F218" s="220"/>
      <c r="G218" s="220"/>
      <c r="H218" s="220"/>
      <c r="I218" s="220"/>
      <c r="J218" s="220"/>
      <c r="K218" s="220"/>
      <c r="L218" s="220"/>
      <c r="M218" s="220"/>
      <c r="N218" s="220"/>
      <c r="O218" s="220"/>
      <c r="P218" s="220"/>
      <c r="Q218" s="220"/>
      <c r="R218" s="220"/>
      <c r="S218" s="220"/>
      <c r="T218" s="220"/>
      <c r="U218" s="220"/>
      <c r="V218" s="220"/>
      <c r="W218" s="220"/>
    </row>
    <row r="219">
      <c r="E219" s="174"/>
      <c r="F219" s="220"/>
      <c r="G219" s="220"/>
      <c r="H219" s="220"/>
      <c r="I219" s="220"/>
      <c r="J219" s="220"/>
      <c r="K219" s="220"/>
      <c r="L219" s="220"/>
      <c r="M219" s="220"/>
      <c r="N219" s="220"/>
      <c r="O219" s="220"/>
      <c r="P219" s="220"/>
      <c r="Q219" s="220"/>
      <c r="R219" s="220"/>
      <c r="S219" s="220"/>
      <c r="T219" s="220"/>
      <c r="U219" s="220"/>
      <c r="V219" s="220"/>
      <c r="W219" s="220"/>
    </row>
    <row r="220">
      <c r="E220" s="174"/>
      <c r="F220" s="220"/>
      <c r="G220" s="220"/>
      <c r="H220" s="220"/>
      <c r="I220" s="220"/>
      <c r="J220" s="220"/>
      <c r="K220" s="220"/>
      <c r="L220" s="220"/>
      <c r="M220" s="220"/>
      <c r="N220" s="220"/>
      <c r="O220" s="220"/>
      <c r="P220" s="220"/>
      <c r="Q220" s="220"/>
      <c r="R220" s="220"/>
      <c r="S220" s="220"/>
      <c r="T220" s="220"/>
      <c r="U220" s="220"/>
      <c r="V220" s="220"/>
      <c r="W220" s="220"/>
    </row>
    <row r="221">
      <c r="E221" s="174"/>
      <c r="F221" s="220"/>
      <c r="G221" s="220"/>
      <c r="H221" s="220"/>
      <c r="I221" s="220"/>
      <c r="J221" s="220"/>
      <c r="K221" s="220"/>
      <c r="L221" s="220"/>
      <c r="M221" s="220"/>
      <c r="N221" s="220"/>
      <c r="O221" s="220"/>
      <c r="P221" s="220"/>
      <c r="Q221" s="220"/>
      <c r="R221" s="220"/>
      <c r="S221" s="220"/>
      <c r="T221" s="220"/>
      <c r="U221" s="220"/>
      <c r="V221" s="220"/>
      <c r="W221" s="220"/>
      <c r="X221" s="1134"/>
    </row>
    <row r="222">
      <c r="E222" s="174"/>
      <c r="F222" s="220"/>
      <c r="G222" s="220"/>
      <c r="H222" s="220"/>
      <c r="I222" s="220"/>
      <c r="J222" s="220"/>
      <c r="K222" s="220"/>
      <c r="L222" s="220"/>
      <c r="M222" s="220"/>
      <c r="N222" s="220"/>
      <c r="O222" s="220"/>
      <c r="P222" s="220"/>
      <c r="Q222" s="220"/>
      <c r="R222" s="220"/>
      <c r="S222" s="220"/>
      <c r="T222" s="220"/>
      <c r="U222" s="220"/>
      <c r="V222" s="220"/>
      <c r="W222" s="220"/>
    </row>
    <row r="223">
      <c r="E223" s="174"/>
      <c r="F223" s="220"/>
      <c r="G223" s="220"/>
      <c r="H223" s="220"/>
      <c r="I223" s="220"/>
      <c r="J223" s="220"/>
      <c r="K223" s="220"/>
      <c r="L223" s="220"/>
      <c r="M223" s="220"/>
      <c r="N223" s="220"/>
      <c r="O223" s="220"/>
      <c r="P223" s="220"/>
      <c r="Q223" s="220"/>
      <c r="R223" s="220"/>
      <c r="S223" s="220"/>
      <c r="T223" s="220"/>
      <c r="U223" s="220"/>
      <c r="V223" s="220"/>
      <c r="W223" s="220"/>
    </row>
    <row r="224">
      <c r="E224" s="174"/>
      <c r="F224" s="220"/>
      <c r="G224" s="220"/>
      <c r="H224" s="220"/>
      <c r="I224" s="220"/>
      <c r="J224" s="220"/>
      <c r="K224" s="220"/>
      <c r="L224" s="220"/>
      <c r="M224" s="220"/>
      <c r="N224" s="220"/>
      <c r="O224" s="220"/>
      <c r="P224" s="220"/>
      <c r="Q224" s="220"/>
      <c r="R224" s="220"/>
      <c r="S224" s="220"/>
      <c r="T224" s="220"/>
      <c r="U224" s="220"/>
      <c r="V224" s="220"/>
      <c r="W224" s="220"/>
    </row>
    <row r="225">
      <c r="E225" s="174"/>
      <c r="F225" s="220"/>
      <c r="G225" s="220"/>
      <c r="H225" s="220"/>
      <c r="I225" s="220"/>
      <c r="J225" s="220"/>
      <c r="K225" s="220"/>
      <c r="L225" s="220"/>
      <c r="M225" s="220"/>
      <c r="N225" s="220"/>
      <c r="O225" s="220"/>
      <c r="P225" s="220"/>
      <c r="Q225" s="220"/>
      <c r="R225" s="220"/>
      <c r="S225" s="220"/>
      <c r="T225" s="220"/>
      <c r="U225" s="220"/>
      <c r="V225" s="220"/>
      <c r="W225" s="220"/>
    </row>
    <row r="226">
      <c r="E226" s="174"/>
      <c r="F226" s="220"/>
      <c r="G226" s="220"/>
      <c r="H226" s="220"/>
      <c r="I226" s="220"/>
      <c r="J226" s="220"/>
      <c r="K226" s="220"/>
      <c r="L226" s="220"/>
      <c r="M226" s="220"/>
      <c r="N226" s="220"/>
      <c r="O226" s="220"/>
      <c r="P226" s="220"/>
      <c r="Q226" s="220"/>
      <c r="R226" s="220"/>
      <c r="S226" s="220"/>
      <c r="T226" s="220"/>
      <c r="U226" s="220"/>
      <c r="V226" s="220"/>
      <c r="W226" s="220"/>
    </row>
    <row r="227">
      <c r="E227" s="174"/>
      <c r="F227" s="220"/>
      <c r="G227" s="220"/>
      <c r="H227" s="220"/>
      <c r="I227" s="220"/>
      <c r="J227" s="220"/>
      <c r="K227" s="220"/>
      <c r="L227" s="220"/>
      <c r="M227" s="220"/>
      <c r="N227" s="220"/>
      <c r="O227" s="220"/>
      <c r="P227" s="220"/>
      <c r="Q227" s="220"/>
      <c r="R227" s="220"/>
      <c r="S227" s="220"/>
      <c r="T227" s="220"/>
      <c r="U227" s="220"/>
      <c r="V227" s="220"/>
      <c r="W227" s="220"/>
    </row>
    <row r="228">
      <c r="E228" s="174"/>
      <c r="F228" s="220"/>
      <c r="G228" s="220"/>
      <c r="H228" s="220"/>
      <c r="I228" s="220"/>
      <c r="J228" s="220"/>
      <c r="K228" s="220"/>
      <c r="L228" s="220"/>
      <c r="M228" s="220"/>
      <c r="N228" s="220"/>
      <c r="O228" s="220"/>
      <c r="P228" s="220"/>
      <c r="Q228" s="220"/>
      <c r="R228" s="220"/>
      <c r="S228" s="220"/>
      <c r="T228" s="220"/>
      <c r="U228" s="220"/>
      <c r="V228" s="220"/>
      <c r="W228" s="220"/>
      <c r="BS228" s="171"/>
    </row>
    <row r="229">
      <c r="E229" s="174"/>
      <c r="F229" s="220"/>
      <c r="G229" s="175"/>
      <c r="H229" s="175"/>
      <c r="I229" s="175"/>
      <c r="J229" s="175"/>
      <c r="K229" s="175"/>
      <c r="L229" s="175"/>
      <c r="M229" s="175"/>
      <c r="N229" s="175"/>
      <c r="O229" s="175"/>
      <c r="P229" s="175"/>
      <c r="Q229" s="175"/>
      <c r="R229" s="175"/>
      <c r="S229" s="175"/>
      <c r="T229" s="175"/>
      <c r="U229" s="175"/>
      <c r="V229" s="175"/>
      <c r="W229" s="175"/>
      <c r="BS229" s="172"/>
    </row>
    <row r="230">
      <c r="E230" s="174"/>
      <c r="F230" s="175"/>
      <c r="BS230" s="173"/>
    </row>
    <row r="231">
      <c r="BS231" s="174"/>
    </row>
    <row r="232">
      <c r="BS232" s="175"/>
    </row>
    <row r="233">
      <c r="BS233" s="175"/>
      <c r="CZ233" s="38"/>
    </row>
    <row r="234">
      <c r="BC234" s="176"/>
      <c r="BD234" s="177"/>
      <c r="BE234" s="51"/>
      <c r="BF234" s="51"/>
      <c r="BG234" s="51"/>
      <c r="BH234" s="51"/>
      <c r="BI234" s="51"/>
      <c r="BJ234" s="51"/>
      <c r="BK234" s="51"/>
      <c r="BL234" s="51"/>
      <c r="BM234" s="51"/>
      <c r="BN234" s="51"/>
      <c r="BO234" s="51"/>
      <c r="BP234" s="51"/>
      <c r="BQ234" s="51"/>
      <c r="BR234" s="51"/>
      <c r="BS234" s="175"/>
      <c r="CG234" s="580"/>
      <c r="CH234" s="569"/>
      <c r="CI234" s="569"/>
      <c r="CJ234" s="569"/>
      <c r="CK234" s="569"/>
      <c r="CL234" s="569"/>
      <c r="CM234" s="569"/>
      <c r="CN234" s="569"/>
      <c r="CO234" s="569"/>
      <c r="CP234" s="569"/>
      <c r="CQ234" s="569"/>
      <c r="CR234" s="569"/>
      <c r="CS234" s="569"/>
      <c r="CT234" s="569"/>
      <c r="CU234" s="569"/>
      <c r="CV234" s="569"/>
    </row>
    <row r="235">
      <c r="BC235" s="176"/>
      <c r="BD235" s="177"/>
      <c r="BE235" s="51"/>
      <c r="BF235" s="51"/>
      <c r="BG235" s="51"/>
      <c r="BH235" s="51"/>
      <c r="BI235" s="51"/>
      <c r="BJ235" s="51"/>
      <c r="BK235" s="51"/>
      <c r="BL235" s="51"/>
      <c r="BM235" s="51"/>
      <c r="BN235" s="51"/>
      <c r="BO235" s="51"/>
      <c r="BP235" s="51"/>
      <c r="BQ235" s="51"/>
      <c r="BR235" s="51"/>
      <c r="BS235" s="175"/>
      <c r="CG235" s="584"/>
      <c r="CH235" s="581"/>
      <c r="CI235" s="581"/>
    </row>
    <row r="236">
      <c r="BC236" s="176"/>
      <c r="BD236" s="177"/>
      <c r="BE236" s="51"/>
      <c r="BF236" s="51"/>
      <c r="BG236" s="51"/>
      <c r="BH236" s="51"/>
      <c r="BI236" s="51"/>
      <c r="BJ236" s="51"/>
      <c r="BK236" s="51"/>
      <c r="BL236" s="51"/>
      <c r="BM236" s="51"/>
      <c r="BN236" s="51"/>
      <c r="BO236" s="51"/>
      <c r="BP236" s="51"/>
      <c r="BQ236" s="51"/>
      <c r="BR236" s="51"/>
      <c r="BS236" s="175"/>
      <c r="CG236" s="584"/>
      <c r="CH236" s="581"/>
      <c r="CI236" s="581"/>
      <c r="CJ236" s="581"/>
      <c r="CK236" s="581"/>
      <c r="CL236" s="581"/>
      <c r="CM236" s="581"/>
      <c r="CN236" s="581"/>
      <c r="CO236" s="581"/>
      <c r="CP236" s="581"/>
      <c r="CQ236" s="581"/>
      <c r="CR236" s="581"/>
      <c r="CS236" s="581"/>
      <c r="CT236" s="581"/>
      <c r="CU236" s="581"/>
      <c r="CV236" s="581"/>
    </row>
    <row r="237">
      <c r="BC237" s="176"/>
      <c r="BD237" s="177"/>
      <c r="BE237" s="51"/>
      <c r="BF237" s="51"/>
      <c r="BG237" s="51"/>
      <c r="BH237" s="51"/>
      <c r="BI237" s="51"/>
      <c r="BJ237" s="51"/>
      <c r="BK237" s="51"/>
      <c r="BL237" s="51"/>
      <c r="BM237" s="51"/>
      <c r="BN237" s="51"/>
      <c r="BO237" s="51"/>
      <c r="BP237" s="51"/>
      <c r="BQ237" s="51"/>
      <c r="BR237" s="51"/>
      <c r="BS237" s="175"/>
      <c r="BZ237" s="1228"/>
      <c r="CG237" s="584"/>
      <c r="CH237" s="581"/>
      <c r="CI237" s="581"/>
      <c r="CJ237" s="581"/>
      <c r="CK237" s="581"/>
      <c r="CL237" s="581"/>
      <c r="CM237" s="581"/>
      <c r="CN237" s="581"/>
      <c r="CO237" s="581"/>
      <c r="CP237" s="581"/>
      <c r="CQ237" s="581"/>
      <c r="CR237" s="581"/>
      <c r="CS237" s="581"/>
      <c r="CT237" s="581"/>
      <c r="CU237" s="581"/>
      <c r="CV237" s="581"/>
    </row>
    <row r="238">
      <c r="X238" s="1221" t="s">
        <v>84</v>
      </c>
      <c r="Y238" s="1222"/>
      <c r="Z238" s="1222"/>
      <c r="AA238" s="1222"/>
      <c r="AB238" s="1222"/>
      <c r="AC238" s="1222"/>
      <c r="AD238" s="1222"/>
      <c r="AE238" s="1222"/>
      <c r="AF238" s="1222"/>
      <c r="AG238" s="610"/>
      <c r="AH238" s="1221" t="s">
        <v>84</v>
      </c>
      <c r="AI238" s="1222"/>
      <c r="AJ238" s="1222"/>
      <c r="AK238" s="1222"/>
      <c r="AL238" s="1222"/>
      <c r="AM238" s="1222"/>
      <c r="AN238" s="1222"/>
      <c r="AO238" s="1222"/>
      <c r="AP238" s="1222"/>
      <c r="AQ238" s="1222"/>
      <c r="AR238" s="1222"/>
      <c r="AS238" s="1222"/>
      <c r="AT238" s="610"/>
      <c r="AU238" s="1136" t="s">
        <v>153</v>
      </c>
      <c r="AV238" s="1046"/>
      <c r="AW238" s="1046"/>
      <c r="AX238" s="1046"/>
      <c r="AY238" s="1046"/>
      <c r="AZ238" s="1046"/>
      <c r="BA238" s="1046"/>
      <c r="BB238" s="1223"/>
      <c r="BC238" s="1223"/>
      <c r="BD238" s="1223"/>
      <c r="BE238" s="1223"/>
      <c r="BF238" s="1223"/>
      <c r="BH238" s="1229"/>
      <c r="BI238" s="1136" t="s">
        <v>154</v>
      </c>
      <c r="BJ238" s="1046"/>
      <c r="BK238" s="1046"/>
      <c r="BL238" s="1046"/>
      <c r="BM238" s="1046"/>
      <c r="BN238" s="1046"/>
      <c r="BO238" s="1046"/>
      <c r="BP238" s="1223"/>
      <c r="BQ238" s="1223"/>
      <c r="BR238" s="1223"/>
      <c r="BS238" s="1223"/>
      <c r="BT238" s="1223"/>
      <c r="BZ238" s="1221" t="s">
        <v>84</v>
      </c>
      <c r="CA238" s="1222"/>
      <c r="CB238" s="1222"/>
      <c r="CC238" s="1222"/>
      <c r="CD238" s="1222"/>
      <c r="CE238" s="1222"/>
      <c r="CF238" s="1222"/>
      <c r="CG238" s="1222"/>
      <c r="CH238" s="1222"/>
      <c r="CI238" s="1222"/>
      <c r="CJ238" s="1222"/>
      <c r="CK238" s="1222"/>
      <c r="CL238" s="1222"/>
      <c r="CM238" s="1222"/>
      <c r="CN238" s="1222"/>
      <c r="CO238" s="1222"/>
      <c r="CP238" s="610"/>
      <c r="CQ238" s="1221" t="s">
        <v>84</v>
      </c>
      <c r="CR238" s="1222"/>
      <c r="CS238" s="1222"/>
      <c r="CT238" s="1222"/>
      <c r="CU238" s="1222"/>
      <c r="CV238" s="1222"/>
      <c r="CW238" s="1222"/>
      <c r="CX238" s="1222"/>
      <c r="CY238" s="1222"/>
      <c r="CZ238" s="1222"/>
      <c r="DA238" s="1222"/>
      <c r="DB238" s="1222"/>
      <c r="DC238" s="1222"/>
      <c r="DD238" s="1222"/>
      <c r="DE238" s="1222"/>
      <c r="DF238" s="1222"/>
      <c r="DH238" s="1230" t="s">
        <v>155</v>
      </c>
      <c r="DI238" s="678"/>
      <c r="DJ238" s="678"/>
      <c r="DK238" s="678"/>
      <c r="DL238" s="678"/>
      <c r="DM238" s="498"/>
      <c r="DN238" s="498"/>
      <c r="DO238" s="498"/>
      <c r="DP238" s="498"/>
      <c r="DQ238" s="498"/>
      <c r="DR238" s="498"/>
      <c r="DS238" s="498"/>
      <c r="DT238" s="498"/>
      <c r="DU238" s="498"/>
      <c r="DV238" s="498"/>
      <c r="DW238" s="498"/>
    </row>
    <row r="239">
      <c r="X239" s="1052" t="s">
        <v>57</v>
      </c>
      <c r="AG239" s="610"/>
      <c r="AH239" s="1224" t="s">
        <v>58</v>
      </c>
      <c r="AI239" s="1100"/>
      <c r="AJ239" s="1100"/>
      <c r="AK239" s="1100"/>
      <c r="AL239" s="1101" t="s">
        <v>59</v>
      </c>
      <c r="AM239" s="1101"/>
      <c r="AN239" s="1101"/>
      <c r="AO239" s="1101"/>
      <c r="AP239" s="1101"/>
      <c r="AQ239" s="1101"/>
      <c r="AR239" s="1101"/>
      <c r="AS239" s="1101"/>
      <c r="AT239" s="610"/>
      <c r="AU239" s="1139" t="s">
        <v>58</v>
      </c>
      <c r="AV239" s="1046"/>
      <c r="AW239" s="1046"/>
      <c r="AX239" s="1046"/>
      <c r="AY239" s="1047" t="s">
        <v>59</v>
      </c>
      <c r="AZ239" s="1048"/>
      <c r="BA239" s="1048"/>
      <c r="BB239" s="1049"/>
      <c r="BC239" s="1049"/>
      <c r="BD239" s="1049"/>
      <c r="BE239" s="1049"/>
      <c r="BF239" s="1223"/>
      <c r="BH239" s="541"/>
      <c r="BI239" s="1139" t="s">
        <v>58</v>
      </c>
      <c r="BJ239" s="1046"/>
      <c r="BK239" s="1046"/>
      <c r="BL239" s="1046"/>
      <c r="BM239" s="1047" t="s">
        <v>59</v>
      </c>
      <c r="BN239" s="1048"/>
      <c r="BO239" s="1048"/>
      <c r="BP239" s="1049"/>
      <c r="BQ239" s="1049"/>
      <c r="BR239" s="1049"/>
      <c r="BS239" s="1049"/>
      <c r="BT239" s="1223"/>
      <c r="BZ239" s="1224" t="s">
        <v>58</v>
      </c>
      <c r="CA239" s="1052"/>
      <c r="CB239" s="1052" t="s">
        <v>44</v>
      </c>
      <c r="CP239" s="610"/>
      <c r="CQ239" s="1224" t="s">
        <v>58</v>
      </c>
      <c r="CR239" s="1052"/>
      <c r="CS239" s="1052" t="s">
        <v>44</v>
      </c>
      <c r="DH239" s="1231" t="s">
        <v>58</v>
      </c>
      <c r="DI239" s="498"/>
      <c r="DJ239" s="498"/>
    </row>
    <row r="240">
      <c r="X240" s="1100"/>
      <c r="Y240" s="1103">
        <f>$F$76</f>
        <v>0.1584540747</v>
      </c>
      <c r="Z240" s="681">
        <v>64.0</v>
      </c>
      <c r="AA240" s="681">
        <f t="shared" ref="AA240:AF240" si="16">Z240+10</f>
        <v>74</v>
      </c>
      <c r="AB240" s="681">
        <f t="shared" si="16"/>
        <v>84</v>
      </c>
      <c r="AC240" s="681">
        <f t="shared" si="16"/>
        <v>94</v>
      </c>
      <c r="AD240" s="681">
        <f t="shared" si="16"/>
        <v>104</v>
      </c>
      <c r="AE240" s="681">
        <f t="shared" si="16"/>
        <v>114</v>
      </c>
      <c r="AF240" s="681">
        <f t="shared" si="16"/>
        <v>124</v>
      </c>
      <c r="AG240" s="610"/>
      <c r="AH240" s="1100"/>
      <c r="AI240" s="683">
        <f>$F$76</f>
        <v>0.1584540747</v>
      </c>
      <c r="AJ240" s="684">
        <f t="shared" ref="AJ240:AL240" si="17">AK240-0.05</f>
        <v>0.7</v>
      </c>
      <c r="AK240" s="684">
        <f t="shared" si="17"/>
        <v>0.75</v>
      </c>
      <c r="AL240" s="684">
        <f t="shared" si="17"/>
        <v>0.8</v>
      </c>
      <c r="AM240" s="684">
        <v>0.85</v>
      </c>
      <c r="AN240" s="684">
        <v>0.9</v>
      </c>
      <c r="AO240" s="684">
        <f t="shared" ref="AO240:AS240" si="18">AN240+0.02</f>
        <v>0.92</v>
      </c>
      <c r="AP240" s="684">
        <f t="shared" si="18"/>
        <v>0.94</v>
      </c>
      <c r="AQ240" s="684">
        <f t="shared" si="18"/>
        <v>0.96</v>
      </c>
      <c r="AR240" s="684">
        <f t="shared" si="18"/>
        <v>0.98</v>
      </c>
      <c r="AS240" s="684">
        <f t="shared" si="18"/>
        <v>1</v>
      </c>
      <c r="AT240" s="610"/>
      <c r="AU240" s="1046"/>
      <c r="AV240" s="683">
        <f>F77</f>
        <v>0.01218471338</v>
      </c>
      <c r="AW240" s="684">
        <f t="shared" ref="AW240:AY240" si="19">AX240-0.05</f>
        <v>0.7</v>
      </c>
      <c r="AX240" s="684">
        <f t="shared" si="19"/>
        <v>0.75</v>
      </c>
      <c r="AY240" s="684">
        <f t="shared" si="19"/>
        <v>0.8</v>
      </c>
      <c r="AZ240" s="684">
        <v>0.85</v>
      </c>
      <c r="BA240" s="684">
        <v>0.9</v>
      </c>
      <c r="BB240" s="684">
        <f t="shared" ref="BB240:BF240" si="20">BA240+0.02</f>
        <v>0.92</v>
      </c>
      <c r="BC240" s="684">
        <f t="shared" si="20"/>
        <v>0.94</v>
      </c>
      <c r="BD240" s="684">
        <f t="shared" si="20"/>
        <v>0.96</v>
      </c>
      <c r="BE240" s="684">
        <f t="shared" si="20"/>
        <v>0.98</v>
      </c>
      <c r="BF240" s="684">
        <f t="shared" si="20"/>
        <v>1</v>
      </c>
      <c r="BH240" s="578"/>
      <c r="BI240" s="1232" t="s">
        <v>156</v>
      </c>
      <c r="BJ240" s="1233">
        <f>(F74/12)</f>
        <v>16.94538333</v>
      </c>
      <c r="BK240" s="684">
        <f t="shared" ref="BK240:BM240" si="21">BL240-0.05</f>
        <v>0.7</v>
      </c>
      <c r="BL240" s="684">
        <f t="shared" si="21"/>
        <v>0.75</v>
      </c>
      <c r="BM240" s="684">
        <f t="shared" si="21"/>
        <v>0.8</v>
      </c>
      <c r="BN240" s="684">
        <v>0.85</v>
      </c>
      <c r="BO240" s="684">
        <v>0.9</v>
      </c>
      <c r="BP240" s="684">
        <f t="shared" ref="BP240:BT240" si="22">BO240+0.02</f>
        <v>0.92</v>
      </c>
      <c r="BQ240" s="684">
        <f t="shared" si="22"/>
        <v>0.94</v>
      </c>
      <c r="BR240" s="684">
        <f t="shared" si="22"/>
        <v>0.96</v>
      </c>
      <c r="BS240" s="684">
        <f t="shared" si="22"/>
        <v>0.98</v>
      </c>
      <c r="BT240" s="684">
        <f t="shared" si="22"/>
        <v>1</v>
      </c>
      <c r="BZ240" s="1224" t="s">
        <v>63</v>
      </c>
      <c r="CA240" s="1052"/>
      <c r="CB240" s="1052"/>
      <c r="CC240" s="1052"/>
      <c r="CD240" s="1052"/>
      <c r="CE240" s="1052"/>
      <c r="CF240" s="1052"/>
      <c r="CG240" s="1052"/>
      <c r="CH240" s="1052"/>
      <c r="CI240" s="1052"/>
      <c r="CJ240" s="1052"/>
      <c r="CK240" s="1052"/>
      <c r="CL240" s="1052"/>
      <c r="CM240" s="1052"/>
      <c r="CN240" s="1052"/>
      <c r="CO240" s="1052"/>
      <c r="CP240" s="610"/>
      <c r="CQ240" s="1224" t="s">
        <v>63</v>
      </c>
      <c r="CR240" s="1052"/>
      <c r="CS240" s="1052"/>
      <c r="CT240" s="1052"/>
      <c r="CU240" s="1052"/>
      <c r="CV240" s="1052"/>
      <c r="CW240" s="1052"/>
      <c r="CX240" s="1052"/>
      <c r="CY240" s="1052"/>
      <c r="CZ240" s="1052"/>
      <c r="DA240" s="1052"/>
      <c r="DB240" s="1052"/>
      <c r="DC240" s="1052"/>
      <c r="DD240" s="1052"/>
      <c r="DE240" s="1052"/>
      <c r="DF240" s="1052"/>
      <c r="DH240" s="1231" t="s">
        <v>63</v>
      </c>
      <c r="DI240" s="678"/>
      <c r="DJ240" s="498"/>
      <c r="DK240" s="498"/>
      <c r="DL240" s="498"/>
      <c r="DM240" s="498"/>
      <c r="DN240" s="498"/>
      <c r="DO240" s="498"/>
      <c r="DP240" s="498"/>
      <c r="DQ240" s="498"/>
      <c r="DR240" s="498"/>
      <c r="DS240" s="498"/>
      <c r="DT240" s="498"/>
      <c r="DU240" s="498"/>
      <c r="DV240" s="498"/>
      <c r="DW240" s="498"/>
    </row>
    <row r="241">
      <c r="X241" s="1225" t="s">
        <v>66</v>
      </c>
      <c r="Y241" s="1062">
        <v>524288.0</v>
      </c>
      <c r="Z241" s="590">
        <v>0.1771629755958651</v>
      </c>
      <c r="AA241" s="590">
        <v>0.20953877882076524</v>
      </c>
      <c r="AB241" s="590">
        <v>0.24191458204566513</v>
      </c>
      <c r="AC241" s="590">
        <v>0.2742903852705651</v>
      </c>
      <c r="AD241" s="590">
        <v>0.30666618849546506</v>
      </c>
      <c r="AE241" s="590">
        <v>0.33904199172036514</v>
      </c>
      <c r="AF241" s="590">
        <v>0.37141779494526495</v>
      </c>
      <c r="AG241" s="610"/>
      <c r="AH241" s="1225" t="s">
        <v>66</v>
      </c>
      <c r="AI241" s="1062">
        <v>524288.0</v>
      </c>
      <c r="AJ241" s="704">
        <v>0.1401609221100466</v>
      </c>
      <c r="AK241" s="705">
        <v>0.14965218911088582</v>
      </c>
      <c r="AL241" s="706">
        <v>0.15895885889791117</v>
      </c>
      <c r="AM241" s="1144">
        <v>0.16811707366245887</v>
      </c>
      <c r="AN241" s="1234">
        <v>0.1771629755958651</v>
      </c>
      <c r="AO241" s="709">
        <v>0.18075798462736736</v>
      </c>
      <c r="AP241" s="710">
        <v>0.18434311945674628</v>
      </c>
      <c r="AQ241" s="711">
        <v>0.1879206931842473</v>
      </c>
      <c r="AR241" s="712">
        <v>0.19149301891011608</v>
      </c>
      <c r="AS241" s="1141">
        <v>0.19506240973459796</v>
      </c>
      <c r="AT241" s="610"/>
      <c r="AU241" s="1225" t="s">
        <v>66</v>
      </c>
      <c r="AV241" s="1062">
        <v>525288.0</v>
      </c>
      <c r="AW241" s="704">
        <v>0.04758656349246127</v>
      </c>
      <c r="AX241" s="705">
        <v>0.04507309120289059</v>
      </c>
      <c r="AY241" s="706">
        <v>0.04285363033776941</v>
      </c>
      <c r="AZ241" s="1144">
        <v>0.04087308805956556</v>
      </c>
      <c r="BA241" s="1234">
        <v>0.03908870208747315</v>
      </c>
      <c r="BB241" s="709">
        <v>0.038422079045442224</v>
      </c>
      <c r="BC241" s="710">
        <v>0.03777955204493437</v>
      </c>
      <c r="BD241" s="711">
        <v>0.03715945037288025</v>
      </c>
      <c r="BE241" s="712">
        <v>0.03656024234570756</v>
      </c>
      <c r="BF241" s="1141">
        <v>0.035980521592816374</v>
      </c>
      <c r="BH241" s="588"/>
      <c r="BI241" s="1225" t="s">
        <v>66</v>
      </c>
      <c r="BJ241" s="1062">
        <v>525288.0</v>
      </c>
      <c r="BK241" s="1235">
        <v>16.945383333333336</v>
      </c>
      <c r="BL241" s="1236">
        <v>16.945383333333336</v>
      </c>
      <c r="BM241" s="1237">
        <v>16.945383333333336</v>
      </c>
      <c r="BN241" s="1238">
        <v>16.945383333333336</v>
      </c>
      <c r="BO241" s="1239">
        <v>16.945383333333336</v>
      </c>
      <c r="BP241" s="1240">
        <v>16.945383333333336</v>
      </c>
      <c r="BQ241" s="1241">
        <v>16.945383333333336</v>
      </c>
      <c r="BR241" s="1242">
        <v>16.945383333333336</v>
      </c>
      <c r="BS241" s="1243">
        <v>16.945383333333336</v>
      </c>
      <c r="BT241" s="1244">
        <v>16.945383333333336</v>
      </c>
      <c r="BZ241" s="1224" t="s">
        <v>68</v>
      </c>
      <c r="CA241" s="1052"/>
      <c r="CB241" s="1052"/>
      <c r="CC241" s="1052"/>
      <c r="CD241" s="1052"/>
      <c r="CE241" s="1052"/>
      <c r="CF241" s="1052"/>
      <c r="CG241" s="1052"/>
      <c r="CH241" s="1052"/>
      <c r="CI241" s="1052"/>
      <c r="CJ241" s="1052"/>
      <c r="CK241" s="1052"/>
      <c r="CL241" s="1052"/>
      <c r="CM241" s="1052"/>
      <c r="CN241" s="1052"/>
      <c r="CO241" s="1052"/>
      <c r="CP241" s="610"/>
      <c r="CQ241" s="1224" t="s">
        <v>68</v>
      </c>
      <c r="CR241" s="1052"/>
      <c r="CS241" s="1052"/>
      <c r="CT241" s="1052"/>
      <c r="CU241" s="1052"/>
      <c r="CV241" s="1052"/>
      <c r="CW241" s="1052"/>
      <c r="CX241" s="1052"/>
      <c r="CY241" s="1052"/>
      <c r="CZ241" s="1052"/>
      <c r="DA241" s="1052"/>
      <c r="DB241" s="1052"/>
      <c r="DC241" s="1052"/>
      <c r="DD241" s="1052"/>
      <c r="DE241" s="1052"/>
      <c r="DF241" s="1052"/>
      <c r="DH241" s="1231" t="s">
        <v>68</v>
      </c>
      <c r="DI241" s="678"/>
      <c r="DJ241" s="498"/>
      <c r="DK241" s="498"/>
      <c r="DL241" s="498"/>
      <c r="DM241" s="498"/>
      <c r="DN241" s="498"/>
      <c r="DO241" s="498"/>
      <c r="DP241" s="498"/>
      <c r="DQ241" s="498"/>
      <c r="DR241" s="498"/>
      <c r="DS241" s="498"/>
      <c r="DT241" s="498"/>
      <c r="DU241" s="498"/>
      <c r="DV241" s="498"/>
      <c r="DW241" s="498"/>
    </row>
    <row r="242">
      <c r="Y242" s="1062">
        <v>1000000.0</v>
      </c>
      <c r="Z242" s="591">
        <v>0.11999038284033625</v>
      </c>
      <c r="AA242" s="591">
        <v>0.14343296844718478</v>
      </c>
      <c r="AB242" s="591">
        <v>0.16687555405403334</v>
      </c>
      <c r="AC242" s="591">
        <v>0.19031813966088193</v>
      </c>
      <c r="AD242" s="591">
        <v>0.21376072526773052</v>
      </c>
      <c r="AE242" s="591">
        <v>0.23720331087457916</v>
      </c>
      <c r="AF242" s="591">
        <v>0.2606458964814278</v>
      </c>
      <c r="AG242" s="610"/>
      <c r="AI242" s="1062">
        <v>1000000.0</v>
      </c>
      <c r="AJ242" s="727">
        <v>0.09319803423218302</v>
      </c>
      <c r="AK242" s="728">
        <v>0.10007044563272881</v>
      </c>
      <c r="AL242" s="729">
        <v>0.1068091943729985</v>
      </c>
      <c r="AM242" s="1150">
        <v>0.11344045019489872</v>
      </c>
      <c r="AN242" s="1245">
        <v>0.11999038284033625</v>
      </c>
      <c r="AO242" s="732">
        <v>0.12259344743128882</v>
      </c>
      <c r="AP242" s="733">
        <v>0.12518936233619438</v>
      </c>
      <c r="AQ242" s="734">
        <v>0.12777980241853512</v>
      </c>
      <c r="AR242" s="735">
        <v>0.13036644254179292</v>
      </c>
      <c r="AS242" s="1153">
        <v>0.13295095756944983</v>
      </c>
      <c r="AT242" s="610"/>
      <c r="AV242" s="1062">
        <v>1000000.0</v>
      </c>
      <c r="AW242" s="727">
        <v>0.06565769060976816</v>
      </c>
      <c r="AX242" s="728">
        <v>0.06218972037125742</v>
      </c>
      <c r="AY242" s="729">
        <v>0.0591274131965504</v>
      </c>
      <c r="AZ242" s="1150">
        <v>0.05639475459298316</v>
      </c>
      <c r="BA242" s="1245">
        <v>0.05393274318712455</v>
      </c>
      <c r="BB242" s="732">
        <v>0.05301296822892772</v>
      </c>
      <c r="BC242" s="733">
        <v>0.05212643984966264</v>
      </c>
      <c r="BD242" s="734">
        <v>0.051270852878420654</v>
      </c>
      <c r="BE242" s="735">
        <v>0.05044409397062041</v>
      </c>
      <c r="BF242" s="1153">
        <v>0.049644222682595565</v>
      </c>
      <c r="BJ242" s="1062">
        <v>1000000.0</v>
      </c>
      <c r="BK242" s="1246">
        <v>16.945383333333336</v>
      </c>
      <c r="BL242" s="1247">
        <v>16.945383333333336</v>
      </c>
      <c r="BM242" s="1248">
        <v>16.945383333333336</v>
      </c>
      <c r="BN242" s="1249">
        <v>16.945383333333336</v>
      </c>
      <c r="BO242" s="1250">
        <v>16.945383333333336</v>
      </c>
      <c r="BP242" s="1251">
        <v>16.945383333333336</v>
      </c>
      <c r="BQ242" s="1252">
        <v>16.945383333333336</v>
      </c>
      <c r="BR242" s="1253">
        <v>16.945383333333336</v>
      </c>
      <c r="BS242" s="1254">
        <v>16.945383333333336</v>
      </c>
      <c r="BT242" s="1255">
        <v>16.945383333333336</v>
      </c>
      <c r="BZ242" s="1100"/>
      <c r="CA242" s="1054">
        <f>F75</f>
        <v>16485.15629</v>
      </c>
      <c r="CB242" s="1062">
        <v>1.0</v>
      </c>
      <c r="CC242" s="1056">
        <f t="shared" ref="CC242:CF242" si="23">CB242+1</f>
        <v>2</v>
      </c>
      <c r="CD242" s="1056">
        <f t="shared" si="23"/>
        <v>3</v>
      </c>
      <c r="CE242" s="1056">
        <f t="shared" si="23"/>
        <v>4</v>
      </c>
      <c r="CF242" s="1056">
        <f t="shared" si="23"/>
        <v>5</v>
      </c>
      <c r="CG242" s="1062">
        <v>10.0</v>
      </c>
      <c r="CH242" s="1062">
        <v>15.0</v>
      </c>
      <c r="CI242" s="1062">
        <v>20.0</v>
      </c>
      <c r="CJ242" s="1062">
        <v>25.0</v>
      </c>
      <c r="CK242" s="1062">
        <v>30.0</v>
      </c>
      <c r="CL242" s="1062">
        <v>35.0</v>
      </c>
      <c r="CM242" s="1062">
        <v>40.0</v>
      </c>
      <c r="CN242" s="1062">
        <v>45.0</v>
      </c>
      <c r="CO242" s="1062">
        <v>50.0</v>
      </c>
      <c r="CP242" s="610"/>
      <c r="CQ242" s="1100"/>
      <c r="CR242" s="1054">
        <f>$F$76</f>
        <v>0.1584540747</v>
      </c>
      <c r="CS242" s="1062">
        <v>1.0</v>
      </c>
      <c r="CT242" s="1056">
        <f t="shared" ref="CT242:CW242" si="24">CS242+1</f>
        <v>2</v>
      </c>
      <c r="CU242" s="1056">
        <f t="shared" si="24"/>
        <v>3</v>
      </c>
      <c r="CV242" s="1056">
        <f t="shared" si="24"/>
        <v>4</v>
      </c>
      <c r="CW242" s="1056">
        <f t="shared" si="24"/>
        <v>5</v>
      </c>
      <c r="CX242" s="1062">
        <v>10.0</v>
      </c>
      <c r="CY242" s="1062">
        <v>15.0</v>
      </c>
      <c r="CZ242" s="1062">
        <v>20.0</v>
      </c>
      <c r="DA242" s="1062">
        <v>25.0</v>
      </c>
      <c r="DB242" s="1062">
        <v>30.0</v>
      </c>
      <c r="DC242" s="1062">
        <v>35.0</v>
      </c>
      <c r="DD242" s="1062">
        <v>40.0</v>
      </c>
      <c r="DE242" s="1062">
        <v>45.0</v>
      </c>
      <c r="DF242" s="1062">
        <v>50.0</v>
      </c>
      <c r="DH242" s="498"/>
      <c r="DI242" s="1103">
        <f>(F74/12)</f>
        <v>16.94538333</v>
      </c>
      <c r="DJ242" s="681">
        <v>1.0</v>
      </c>
      <c r="DK242" s="681">
        <f t="shared" ref="DK242:DN242" si="25">DJ242+1</f>
        <v>2</v>
      </c>
      <c r="DL242" s="681">
        <f t="shared" si="25"/>
        <v>3</v>
      </c>
      <c r="DM242" s="681">
        <f t="shared" si="25"/>
        <v>4</v>
      </c>
      <c r="DN242" s="681">
        <f t="shared" si="25"/>
        <v>5</v>
      </c>
      <c r="DO242" s="681">
        <v>10.0</v>
      </c>
      <c r="DP242" s="681">
        <v>15.0</v>
      </c>
      <c r="DQ242" s="681">
        <v>20.0</v>
      </c>
      <c r="DR242" s="681">
        <v>25.0</v>
      </c>
      <c r="DS242" s="681">
        <v>30.0</v>
      </c>
      <c r="DT242" s="681">
        <v>35.0</v>
      </c>
      <c r="DU242" s="681">
        <v>40.0</v>
      </c>
      <c r="DV242" s="681">
        <v>45.0</v>
      </c>
      <c r="DW242" s="681">
        <v>50.0</v>
      </c>
    </row>
    <row r="243">
      <c r="Y243" s="1056">
        <f t="shared" ref="Y243:Y260" si="26">Y242+500000</f>
        <v>1500000</v>
      </c>
      <c r="Z243" s="590">
        <v>0.09245889733152861</v>
      </c>
      <c r="AA243" s="590">
        <v>0.111599688327626</v>
      </c>
      <c r="AB243" s="590">
        <v>0.13074047932372332</v>
      </c>
      <c r="AC243" s="590">
        <v>0.1498812703198208</v>
      </c>
      <c r="AD243" s="590">
        <v>0.16902206131591824</v>
      </c>
      <c r="AE243" s="590">
        <v>0.18816285231201557</v>
      </c>
      <c r="AF243" s="590">
        <v>0.20730364330811293</v>
      </c>
      <c r="AG243" s="610"/>
      <c r="AI243" s="1056">
        <f t="shared" ref="AI243:AI260" si="27">AI242+500000</f>
        <v>1500000</v>
      </c>
      <c r="AJ243" s="751">
        <v>0.07058303629794778</v>
      </c>
      <c r="AK243" s="752">
        <v>0.07619433670922214</v>
      </c>
      <c r="AL243" s="753">
        <v>0.08169650201538335</v>
      </c>
      <c r="AM243" s="1156">
        <v>0.08711089972122195</v>
      </c>
      <c r="AN243" s="1154">
        <v>0.09245889733152861</v>
      </c>
      <c r="AO243" s="756">
        <v>0.09458429066997538</v>
      </c>
      <c r="AP243" s="757">
        <v>0.09670384631421015</v>
      </c>
      <c r="AQ243" s="758">
        <v>0.09881893178453942</v>
      </c>
      <c r="AR243" s="759">
        <v>0.10093091460126992</v>
      </c>
      <c r="AS243" s="1159">
        <v>0.10304116228470814</v>
      </c>
      <c r="AT243" s="610"/>
      <c r="AV243" s="1056">
        <f t="shared" ref="AV243:AV260" si="28">AV242+500000</f>
        <v>1500000</v>
      </c>
      <c r="AW243" s="751">
        <v>0.08041391984172926</v>
      </c>
      <c r="AX243" s="752">
        <v>0.07616654107797455</v>
      </c>
      <c r="AY243" s="753">
        <v>0.07241599607112646</v>
      </c>
      <c r="AZ243" s="1156">
        <v>0.06906918646114339</v>
      </c>
      <c r="BA243" s="1154">
        <v>0.06605385061851046</v>
      </c>
      <c r="BB243" s="756">
        <v>0.06492736095562449</v>
      </c>
      <c r="BC243" s="757">
        <v>0.06384158986977646</v>
      </c>
      <c r="BD243" s="758">
        <v>0.06279371411471842</v>
      </c>
      <c r="BE243" s="759">
        <v>0.06178114538251274</v>
      </c>
      <c r="BF243" s="1159">
        <v>0.06080150712473092</v>
      </c>
      <c r="BJ243" s="1056">
        <f t="shared" ref="BJ243:BJ260" si="29">BJ242+500000</f>
        <v>1500000</v>
      </c>
      <c r="BK243" s="1256">
        <v>16.945383333333336</v>
      </c>
      <c r="BL243" s="1257">
        <v>16.945383333333336</v>
      </c>
      <c r="BM243" s="1258">
        <v>16.945383333333336</v>
      </c>
      <c r="BN243" s="1259">
        <v>16.945383333333336</v>
      </c>
      <c r="BO243" s="1260">
        <v>16.945383333333336</v>
      </c>
      <c r="BP243" s="1261">
        <v>16.945383333333336</v>
      </c>
      <c r="BQ243" s="1262">
        <v>16.945383333333336</v>
      </c>
      <c r="BR243" s="1263">
        <v>16.945383333333336</v>
      </c>
      <c r="BS243" s="1264">
        <v>16.945383333333336</v>
      </c>
      <c r="BT243" s="1265">
        <v>16.945383333333336</v>
      </c>
      <c r="BZ243" s="1225" t="s">
        <v>66</v>
      </c>
      <c r="CA243" s="1062">
        <v>524288.0</v>
      </c>
      <c r="CB243" s="1266">
        <v>1207.7058313427892</v>
      </c>
      <c r="CC243" s="1266">
        <v>2601.1045974902663</v>
      </c>
      <c r="CD243" s="1266">
        <v>3994.5206015920357</v>
      </c>
      <c r="CE243" s="1266">
        <v>5387.953826814157</v>
      </c>
      <c r="CF243" s="1266">
        <v>6781.4042563391295</v>
      </c>
      <c r="CG243" s="1266">
        <v>13748.913881043007</v>
      </c>
      <c r="CH243" s="1266">
        <v>20716.851100117736</v>
      </c>
      <c r="CI243" s="1266">
        <v>27499.53814977406</v>
      </c>
      <c r="CJ243" s="1266">
        <v>34468.32431637762</v>
      </c>
      <c r="CK243" s="1266">
        <v>41437.53185639945</v>
      </c>
      <c r="CL243" s="1266">
        <v>48221.483036366786</v>
      </c>
      <c r="CM243" s="1266">
        <v>55191.52717281398</v>
      </c>
      <c r="CN243" s="1266">
        <v>62161.98655223381</v>
      </c>
      <c r="CO243" s="1266">
        <v>68947.18347102888</v>
      </c>
      <c r="CP243" s="610"/>
      <c r="CQ243" s="1225" t="s">
        <v>66</v>
      </c>
      <c r="CR243" s="1062">
        <v>524288.0</v>
      </c>
      <c r="CS243" s="1073">
        <v>0.15652008138932835</v>
      </c>
      <c r="CT243" s="1073">
        <v>0.1776476726390425</v>
      </c>
      <c r="CU243" s="1073">
        <v>0.184691510577815</v>
      </c>
      <c r="CV243" s="1073">
        <v>0.1882144092311942</v>
      </c>
      <c r="CW243" s="1073">
        <v>0.19032893140503795</v>
      </c>
      <c r="CX243" s="1073">
        <v>0.19456383474837033</v>
      </c>
      <c r="CY243" s="1073">
        <v>0.19598195591868434</v>
      </c>
      <c r="CZ243" s="1073">
        <v>0.19458329503208527</v>
      </c>
      <c r="DA243" s="1073">
        <v>0.19543800293603963</v>
      </c>
      <c r="DB243" s="1073">
        <v>0.1960110043798422</v>
      </c>
      <c r="DC243" s="1073">
        <v>0.19521583860714287</v>
      </c>
      <c r="DD243" s="1073">
        <v>0.1956781195040794</v>
      </c>
      <c r="DE243" s="1073">
        <v>0.19603977109563336</v>
      </c>
      <c r="DF243" s="1073">
        <v>0.1954859478418943</v>
      </c>
      <c r="DH243" s="703" t="s">
        <v>66</v>
      </c>
      <c r="DI243" s="681">
        <v>524288.0</v>
      </c>
      <c r="DJ243" s="1267">
        <v>16.945383333333336</v>
      </c>
      <c r="DK243" s="1268">
        <v>18.41635543294271</v>
      </c>
      <c r="DL243" s="1240">
        <v>19.88589103636106</v>
      </c>
      <c r="DM243" s="1269">
        <v>21.353991546416694</v>
      </c>
      <c r="DN243" s="1242">
        <v>22.82065836456798</v>
      </c>
      <c r="DO243" s="1270">
        <v>30.132536032073745</v>
      </c>
      <c r="DP243" s="1271">
        <v>37.40878083534171</v>
      </c>
      <c r="DQ243" s="1270">
        <v>60.12253975681017</v>
      </c>
      <c r="DR243" s="1271">
        <v>67.32803893267595</v>
      </c>
      <c r="DS243" s="1271">
        <v>74.49842365701853</v>
      </c>
      <c r="DT243" s="1271">
        <v>97.10683838590315</v>
      </c>
      <c r="DU243" s="1271">
        <v>104.2075067414657</v>
      </c>
      <c r="DV243" s="1244">
        <v>111.27357151597596</v>
      </c>
      <c r="DW243" s="1271">
        <v>133.778174675882</v>
      </c>
    </row>
    <row r="244">
      <c r="Y244" s="1056">
        <f t="shared" si="26"/>
        <v>2000000</v>
      </c>
      <c r="Z244" s="590">
        <v>0.07604686696385757</v>
      </c>
      <c r="AA244" s="590">
        <v>0.09262327821500636</v>
      </c>
      <c r="AB244" s="590">
        <v>0.10919968946615516</v>
      </c>
      <c r="AC244" s="590">
        <v>0.1257761007173039</v>
      </c>
      <c r="AD244" s="590">
        <v>0.14235251196845267</v>
      </c>
      <c r="AE244" s="590">
        <v>0.1589289232196015</v>
      </c>
      <c r="AF244" s="590">
        <v>0.17550533447075026</v>
      </c>
      <c r="AG244" s="610"/>
      <c r="AI244" s="1056">
        <f t="shared" si="27"/>
        <v>2000000</v>
      </c>
      <c r="AJ244" s="740">
        <v>0.05710181557911844</v>
      </c>
      <c r="AK244" s="766">
        <v>0.06196134428354814</v>
      </c>
      <c r="AL244" s="775">
        <v>0.06672635921450511</v>
      </c>
      <c r="AM244" s="799">
        <v>0.07141536517395354</v>
      </c>
      <c r="AN244" s="752">
        <v>0.07604686696385757</v>
      </c>
      <c r="AO244" s="778">
        <v>0.07788751158798671</v>
      </c>
      <c r="AP244" s="779">
        <v>0.07972310062062866</v>
      </c>
      <c r="AQ244" s="780">
        <v>0.0815548183691092</v>
      </c>
      <c r="AR244" s="781">
        <v>0.08338384914075402</v>
      </c>
      <c r="AS244" s="1165">
        <v>0.08521137724288876</v>
      </c>
      <c r="AT244" s="610"/>
      <c r="AV244" s="1056">
        <f t="shared" si="28"/>
        <v>2000000</v>
      </c>
      <c r="AW244" s="740">
        <v>0.09285399653443076</v>
      </c>
      <c r="AX244" s="766">
        <v>0.08794954598922257</v>
      </c>
      <c r="AY244" s="775">
        <v>0.0836187896505995</v>
      </c>
      <c r="AZ244" s="799">
        <v>0.07975422679209918</v>
      </c>
      <c r="BA244" s="752">
        <v>0.07627241687121669</v>
      </c>
      <c r="BB244" s="778">
        <v>0.07497165865100358</v>
      </c>
      <c r="BC244" s="779">
        <v>0.07371791819361827</v>
      </c>
      <c r="BD244" s="780">
        <v>0.07250793549509815</v>
      </c>
      <c r="BE244" s="781">
        <v>0.07133872183487427</v>
      </c>
      <c r="BF244" s="1165">
        <v>0.07020753301119671</v>
      </c>
      <c r="BJ244" s="1056">
        <f t="shared" si="29"/>
        <v>2000000</v>
      </c>
      <c r="BK244" s="1272">
        <v>16.945383333333336</v>
      </c>
      <c r="BL244" s="1273">
        <v>16.945383333333336</v>
      </c>
      <c r="BM244" s="1274">
        <v>16.945383333333336</v>
      </c>
      <c r="BN244" s="1275">
        <v>16.945383333333336</v>
      </c>
      <c r="BO244" s="1257">
        <v>16.945383333333336</v>
      </c>
      <c r="BP244" s="1276">
        <v>16.945383333333336</v>
      </c>
      <c r="BQ244" s="1277">
        <v>16.945383333333336</v>
      </c>
      <c r="BR244" s="1278">
        <v>16.945383333333336</v>
      </c>
      <c r="BS244" s="1279">
        <v>16.945383333333336</v>
      </c>
      <c r="BT244" s="1280">
        <v>16.945383333333336</v>
      </c>
      <c r="CA244" s="1062">
        <v>1000000.0</v>
      </c>
      <c r="CB244" s="1281">
        <v>818.3650484850582</v>
      </c>
      <c r="CC244" s="1281">
        <v>1822.4230317748038</v>
      </c>
      <c r="CD244" s="1281">
        <v>2826.498253018842</v>
      </c>
      <c r="CE244" s="1281">
        <v>3830.5906953832327</v>
      </c>
      <c r="CF244" s="1281">
        <v>4834.700342050474</v>
      </c>
      <c r="CG244" s="1281">
        <v>9855.506052465696</v>
      </c>
      <c r="CH244" s="1281">
        <v>14876.739357251774</v>
      </c>
      <c r="CI244" s="1281">
        <v>19712.72249261944</v>
      </c>
      <c r="CJ244" s="1281">
        <v>24734.804744934343</v>
      </c>
      <c r="CK244" s="1281">
        <v>29757.308370667524</v>
      </c>
      <c r="CL244" s="1281">
        <v>34594.5556363462</v>
      </c>
      <c r="CM244" s="1281">
        <v>39617.89585850474</v>
      </c>
      <c r="CN244" s="1281">
        <v>44641.65132363591</v>
      </c>
      <c r="CO244" s="1281">
        <v>49480.14432814232</v>
      </c>
      <c r="CP244" s="610"/>
      <c r="CR244" s="1062">
        <v>1000000.0</v>
      </c>
      <c r="CS244" s="1075">
        <v>0.10056518182144698</v>
      </c>
      <c r="CT244" s="1075">
        <v>0.1216927730711611</v>
      </c>
      <c r="CU244" s="1075">
        <v>0.12873661100993358</v>
      </c>
      <c r="CV244" s="1075">
        <v>0.13225950966331282</v>
      </c>
      <c r="CW244" s="1075">
        <v>0.1343740318371566</v>
      </c>
      <c r="CX244" s="1075">
        <v>0.13860893518048895</v>
      </c>
      <c r="CY244" s="1075">
        <v>0.14002705635080295</v>
      </c>
      <c r="CZ244" s="1075">
        <v>0.13862839546420389</v>
      </c>
      <c r="DA244" s="1075">
        <v>0.13948310336815825</v>
      </c>
      <c r="DB244" s="1075">
        <v>0.14005610481196082</v>
      </c>
      <c r="DC244" s="1075">
        <v>0.13926093903926148</v>
      </c>
      <c r="DD244" s="1075">
        <v>0.13972321993619802</v>
      </c>
      <c r="DE244" s="1075">
        <v>0.14008487152775198</v>
      </c>
      <c r="DF244" s="1075">
        <v>0.13953104827401294</v>
      </c>
      <c r="DI244" s="681">
        <v>1000000.0</v>
      </c>
      <c r="DJ244" s="1282">
        <v>16.945383333333336</v>
      </c>
      <c r="DK244" s="1247">
        <v>18.41635543294271</v>
      </c>
      <c r="DL244" s="1283">
        <v>19.88589103636106</v>
      </c>
      <c r="DM244" s="1249">
        <v>21.353991546416694</v>
      </c>
      <c r="DN244" s="1284">
        <v>22.82065836456798</v>
      </c>
      <c r="DO244" s="1285">
        <v>30.132536032073745</v>
      </c>
      <c r="DP244" s="1251">
        <v>37.40878083534171</v>
      </c>
      <c r="DQ244" s="1285">
        <v>60.12253975681017</v>
      </c>
      <c r="DR244" s="1251">
        <v>67.32803893267595</v>
      </c>
      <c r="DS244" s="1251">
        <v>74.49842365701853</v>
      </c>
      <c r="DT244" s="1251">
        <v>97.10683838590315</v>
      </c>
      <c r="DU244" s="1251">
        <v>104.2075067414657</v>
      </c>
      <c r="DV244" s="1286">
        <v>111.27357151597596</v>
      </c>
      <c r="DW244" s="1251">
        <v>133.778174675882</v>
      </c>
    </row>
    <row r="245">
      <c r="Y245" s="1056">
        <f t="shared" si="26"/>
        <v>2500000</v>
      </c>
      <c r="Z245" s="590">
        <v>0.06484674985074154</v>
      </c>
      <c r="AA245" s="590">
        <v>0.07967314280296595</v>
      </c>
      <c r="AB245" s="590">
        <v>0.09449953575519038</v>
      </c>
      <c r="AC245" s="590">
        <v>0.10932592870741477</v>
      </c>
      <c r="AD245" s="590">
        <v>0.12415232165963919</v>
      </c>
      <c r="AE245" s="590">
        <v>0.13897871461186356</v>
      </c>
      <c r="AF245" s="590">
        <v>0.15380510756408802</v>
      </c>
      <c r="AG245" s="610"/>
      <c r="AI245" s="1056">
        <f t="shared" si="27"/>
        <v>2500000</v>
      </c>
      <c r="AJ245" s="795">
        <v>0.047901780757340286</v>
      </c>
      <c r="AK245" s="714">
        <v>0.052248275366026775</v>
      </c>
      <c r="AL245" s="740">
        <v>0.05651023428579528</v>
      </c>
      <c r="AM245" s="1168">
        <v>0.060704208714686625</v>
      </c>
      <c r="AN245" s="1287">
        <v>0.06484674985074154</v>
      </c>
      <c r="AO245" s="798">
        <v>0.06649307245153047</v>
      </c>
      <c r="AP245" s="715">
        <v>0.06813487319382666</v>
      </c>
      <c r="AQ245" s="751">
        <v>0.06977321135430482</v>
      </c>
      <c r="AR245" s="799">
        <v>0.07140914620963949</v>
      </c>
      <c r="AS245" s="1171">
        <v>0.0730437370365053</v>
      </c>
      <c r="AT245" s="610"/>
      <c r="AV245" s="1056">
        <f t="shared" si="28"/>
        <v>2500000</v>
      </c>
      <c r="AW245" s="795">
        <v>0.10381392411675851</v>
      </c>
      <c r="AX245" s="714">
        <v>0.09833058171107285</v>
      </c>
      <c r="AY245" s="740">
        <v>0.0934886489274982</v>
      </c>
      <c r="AZ245" s="1168">
        <v>0.08916793630003436</v>
      </c>
      <c r="BA245" s="1287">
        <v>0.08527515446612119</v>
      </c>
      <c r="BB245" s="798">
        <v>0.08382086256477711</v>
      </c>
      <c r="BC245" s="715">
        <v>0.08241913812034948</v>
      </c>
      <c r="BD245" s="751">
        <v>0.08106633633760467</v>
      </c>
      <c r="BE245" s="799">
        <v>0.0797591157253637</v>
      </c>
      <c r="BF245" s="1171">
        <v>0.07849440817279815</v>
      </c>
      <c r="BJ245" s="1056">
        <f t="shared" si="29"/>
        <v>2500000</v>
      </c>
      <c r="BK245" s="1288">
        <v>16.945383333333336</v>
      </c>
      <c r="BL245" s="1289">
        <v>16.945383333333336</v>
      </c>
      <c r="BM245" s="1272">
        <v>16.945383333333336</v>
      </c>
      <c r="BN245" s="1290">
        <v>16.945383333333336</v>
      </c>
      <c r="BO245" s="1291">
        <v>16.945383333333336</v>
      </c>
      <c r="BP245" s="1292">
        <v>16.945383333333336</v>
      </c>
      <c r="BQ245" s="1293">
        <v>16.945383333333336</v>
      </c>
      <c r="BR245" s="1256">
        <v>16.945383333333336</v>
      </c>
      <c r="BS245" s="1275">
        <v>16.945383333333336</v>
      </c>
      <c r="BT245" s="1294">
        <v>16.945383333333336</v>
      </c>
      <c r="CA245" s="1056">
        <f t="shared" ref="CA245:CA262" si="30">CA244+500000</f>
        <v>1500000</v>
      </c>
      <c r="CB245" s="1266">
        <v>630.8778346889188</v>
      </c>
      <c r="CC245" s="1266">
        <v>1447.4486041825253</v>
      </c>
      <c r="CD245" s="1266">
        <v>2264.0366116304244</v>
      </c>
      <c r="CE245" s="1266">
        <v>3080.641840198675</v>
      </c>
      <c r="CF245" s="1266">
        <v>3897.2642730697785</v>
      </c>
      <c r="CG245" s="1266">
        <v>7980.633914504304</v>
      </c>
      <c r="CH245" s="1266">
        <v>12064.431150309683</v>
      </c>
      <c r="CI245" s="1266">
        <v>15962.978216696654</v>
      </c>
      <c r="CJ245" s="1266">
        <v>20047.62440003086</v>
      </c>
      <c r="CK245" s="1266">
        <v>24132.691956783343</v>
      </c>
      <c r="CL245" s="1266">
        <v>28032.503153481324</v>
      </c>
      <c r="CM245" s="1266">
        <v>32118.407306659166</v>
      </c>
      <c r="CN245" s="1266">
        <v>36204.72670280964</v>
      </c>
      <c r="CO245" s="1266">
        <v>40105.78363833536</v>
      </c>
      <c r="CP245" s="610"/>
      <c r="CR245" s="1056">
        <f t="shared" ref="CR245:CR262" si="31">CR244+500000</f>
        <v>1500000</v>
      </c>
      <c r="CS245" s="1073">
        <v>0.0736200769669722</v>
      </c>
      <c r="CT245" s="1073">
        <v>0.09474766821668634</v>
      </c>
      <c r="CU245" s="1073">
        <v>0.1017915061554588</v>
      </c>
      <c r="CV245" s="1073">
        <v>0.10531440480883804</v>
      </c>
      <c r="CW245" s="1073">
        <v>0.1074289269826818</v>
      </c>
      <c r="CX245" s="1073">
        <v>0.11166383032601417</v>
      </c>
      <c r="CY245" s="1073">
        <v>0.11308195149632817</v>
      </c>
      <c r="CZ245" s="1073">
        <v>0.1116832906097291</v>
      </c>
      <c r="DA245" s="1073">
        <v>0.11253799851368346</v>
      </c>
      <c r="DB245" s="1073">
        <v>0.11311099995748605</v>
      </c>
      <c r="DC245" s="1073">
        <v>0.11231583418478669</v>
      </c>
      <c r="DD245" s="1073">
        <v>0.11277811508172322</v>
      </c>
      <c r="DE245" s="1073">
        <v>0.11313976667327719</v>
      </c>
      <c r="DF245" s="1073">
        <v>0.11258594341953816</v>
      </c>
      <c r="DI245" s="681">
        <f t="shared" ref="DI245:DI262" si="32">DI244+500000</f>
        <v>1500000</v>
      </c>
      <c r="DJ245" s="1295">
        <v>16.945383333333336</v>
      </c>
      <c r="DK245" s="1296">
        <v>18.41635543294271</v>
      </c>
      <c r="DL245" s="1297">
        <v>19.88589103636106</v>
      </c>
      <c r="DM245" s="1298">
        <v>21.353991546416694</v>
      </c>
      <c r="DN245" s="1299">
        <v>22.82065836456798</v>
      </c>
      <c r="DO245" s="1259">
        <v>30.132536032073745</v>
      </c>
      <c r="DP245" s="1300">
        <v>37.40878083534171</v>
      </c>
      <c r="DQ245" s="1259">
        <v>60.12253975681017</v>
      </c>
      <c r="DR245" s="1300">
        <v>67.32803893267595</v>
      </c>
      <c r="DS245" s="1300">
        <v>74.49842365701853</v>
      </c>
      <c r="DT245" s="1301">
        <v>97.10683838590315</v>
      </c>
      <c r="DU245" s="1300">
        <v>104.2075067414657</v>
      </c>
      <c r="DV245" s="1300">
        <v>111.27357151597596</v>
      </c>
      <c r="DW245" s="1300">
        <v>133.778174675882</v>
      </c>
    </row>
    <row r="246">
      <c r="Y246" s="1056">
        <f t="shared" si="26"/>
        <v>3000000</v>
      </c>
      <c r="Z246" s="590">
        <v>0.056579166864440505</v>
      </c>
      <c r="AA246" s="590">
        <v>0.0701137499750554</v>
      </c>
      <c r="AB246" s="590">
        <v>0.08364833308567024</v>
      </c>
      <c r="AC246" s="590">
        <v>0.09718291619628512</v>
      </c>
      <c r="AD246" s="590">
        <v>0.11071749930690004</v>
      </c>
      <c r="AE246" s="590">
        <v>0.12425208241751488</v>
      </c>
      <c r="AF246" s="590">
        <v>0.13778666552812976</v>
      </c>
      <c r="AG246" s="610"/>
      <c r="AI246" s="1056">
        <f t="shared" si="27"/>
        <v>3000000</v>
      </c>
      <c r="AJ246" s="764">
        <v>0.04111059718330094</v>
      </c>
      <c r="AK246" s="739">
        <v>0.04507838575538792</v>
      </c>
      <c r="AL246" s="795">
        <v>0.048969004154583856</v>
      </c>
      <c r="AM246" s="714">
        <v>0.05279756148842322</v>
      </c>
      <c r="AN246" s="740">
        <v>0.056579166864440505</v>
      </c>
      <c r="AO246" s="813">
        <v>0.05808204690674495</v>
      </c>
      <c r="AP246" s="814">
        <v>0.059580799075885565</v>
      </c>
      <c r="AQ246" s="766">
        <v>0.06107639035474454</v>
      </c>
      <c r="AR246" s="815">
        <v>0.06256978772620411</v>
      </c>
      <c r="AS246" s="1176">
        <v>0.0640619581731465</v>
      </c>
      <c r="AT246" s="610"/>
      <c r="AV246" s="1056">
        <f t="shared" si="28"/>
        <v>3000000</v>
      </c>
      <c r="AW246" s="764">
        <v>0.11372245604375647</v>
      </c>
      <c r="AX246" s="739">
        <v>0.10771575539151906</v>
      </c>
      <c r="AY246" s="795">
        <v>0.10241168377654385</v>
      </c>
      <c r="AZ246" s="714">
        <v>0.09767858023542515</v>
      </c>
      <c r="BA246" s="740">
        <v>0.09341425139166397</v>
      </c>
      <c r="BB246" s="813">
        <v>0.09182115443253752</v>
      </c>
      <c r="BC246" s="814">
        <v>0.09028564223729868</v>
      </c>
      <c r="BD246" s="766">
        <v>0.08880372213281362</v>
      </c>
      <c r="BE246" s="815">
        <v>0.08737173369889346</v>
      </c>
      <c r="BF246" s="1176">
        <v>0.08598631598851886</v>
      </c>
      <c r="BJ246" s="1056">
        <f t="shared" si="29"/>
        <v>3000000</v>
      </c>
      <c r="BK246" s="1302">
        <v>16.945383333333336</v>
      </c>
      <c r="BL246" s="1303">
        <v>16.945383333333336</v>
      </c>
      <c r="BM246" s="1288">
        <v>16.945383333333336</v>
      </c>
      <c r="BN246" s="1289">
        <v>16.945383333333336</v>
      </c>
      <c r="BO246" s="1272">
        <v>16.945383333333336</v>
      </c>
      <c r="BP246" s="1304">
        <v>16.945383333333336</v>
      </c>
      <c r="BQ246" s="1305">
        <v>16.945383333333336</v>
      </c>
      <c r="BR246" s="1273">
        <v>16.945383333333336</v>
      </c>
      <c r="BS246" s="1306">
        <v>16.945383333333336</v>
      </c>
      <c r="BT246" s="1307">
        <v>16.945383333333336</v>
      </c>
      <c r="CA246" s="1056">
        <f t="shared" si="30"/>
        <v>2000000</v>
      </c>
      <c r="CB246" s="1266">
        <v>519.1132208475084</v>
      </c>
      <c r="CC246" s="1266">
        <v>1223.9193764997044</v>
      </c>
      <c r="CD246" s="1266">
        <v>1928.7427701061927</v>
      </c>
      <c r="CE246" s="1266">
        <v>2633.583384833033</v>
      </c>
      <c r="CF246" s="1266">
        <v>3338.441203862726</v>
      </c>
      <c r="CG246" s="1266">
        <v>6862.987776090198</v>
      </c>
      <c r="CH246" s="1266">
        <v>10387.961942688526</v>
      </c>
      <c r="CI246" s="1266">
        <v>13727.685939868445</v>
      </c>
      <c r="CJ246" s="1266">
        <v>17253.5090539956</v>
      </c>
      <c r="CK246" s="1266">
        <v>20779.753541541028</v>
      </c>
      <c r="CL246" s="1266">
        <v>24120.741669031955</v>
      </c>
      <c r="CM246" s="1266">
        <v>27647.822753002747</v>
      </c>
      <c r="CN246" s="1266">
        <v>31175.319079946166</v>
      </c>
      <c r="CO246" s="1266">
        <v>34517.552946264834</v>
      </c>
      <c r="CP246" s="610"/>
      <c r="CR246" s="1056">
        <f t="shared" si="31"/>
        <v>2000000</v>
      </c>
      <c r="CS246" s="1073">
        <v>0.057557599009135596</v>
      </c>
      <c r="CT246" s="1073">
        <v>0.07868519025884974</v>
      </c>
      <c r="CU246" s="1073">
        <v>0.08572902819762221</v>
      </c>
      <c r="CV246" s="1073">
        <v>0.08925192685100143</v>
      </c>
      <c r="CW246" s="1073">
        <v>0.09136644902484521</v>
      </c>
      <c r="CX246" s="1073">
        <v>0.09560135236817759</v>
      </c>
      <c r="CY246" s="1073">
        <v>0.0970194735384916</v>
      </c>
      <c r="CZ246" s="1073">
        <v>0.09562081265189253</v>
      </c>
      <c r="DA246" s="1073">
        <v>0.09647552055584688</v>
      </c>
      <c r="DB246" s="1073">
        <v>0.09704852199964946</v>
      </c>
      <c r="DC246" s="1073">
        <v>0.09625335622695011</v>
      </c>
      <c r="DD246" s="1073">
        <v>0.09671563712388663</v>
      </c>
      <c r="DE246" s="1073">
        <v>0.0970772887154406</v>
      </c>
      <c r="DF246" s="1073">
        <v>0.09652346546170157</v>
      </c>
      <c r="DI246" s="681">
        <f t="shared" si="32"/>
        <v>2000000</v>
      </c>
      <c r="DJ246" s="1308">
        <v>16.945383333333336</v>
      </c>
      <c r="DK246" s="1303">
        <v>18.41635543294271</v>
      </c>
      <c r="DL246" s="1309">
        <v>19.88589103636106</v>
      </c>
      <c r="DM246" s="1304">
        <v>21.353991546416694</v>
      </c>
      <c r="DN246" s="1273">
        <v>22.82065836456798</v>
      </c>
      <c r="DO246" s="1274">
        <v>30.132536032073745</v>
      </c>
      <c r="DP246" s="1310">
        <v>37.40878083534171</v>
      </c>
      <c r="DQ246" s="1274">
        <v>60.12253975681017</v>
      </c>
      <c r="DR246" s="1293">
        <v>67.32803893267595</v>
      </c>
      <c r="DS246" s="1310">
        <v>74.49842365701853</v>
      </c>
      <c r="DT246" s="1293">
        <v>97.10683838590315</v>
      </c>
      <c r="DU246" s="1293">
        <v>104.2075067414657</v>
      </c>
      <c r="DV246" s="1310">
        <v>111.27357151597596</v>
      </c>
      <c r="DW246" s="1293">
        <v>133.778174675882</v>
      </c>
    </row>
    <row r="247">
      <c r="Y247" s="1056">
        <f t="shared" si="26"/>
        <v>3500000</v>
      </c>
      <c r="Z247" s="590">
        <v>0.05015360510594116</v>
      </c>
      <c r="AA247" s="590">
        <v>0.06268419419179051</v>
      </c>
      <c r="AB247" s="590">
        <v>0.07521478327763989</v>
      </c>
      <c r="AC247" s="590">
        <v>0.08774537236348923</v>
      </c>
      <c r="AD247" s="590">
        <v>0.10027596144933858</v>
      </c>
      <c r="AE247" s="590">
        <v>0.11280655053518797</v>
      </c>
      <c r="AF247" s="590">
        <v>0.12533713962103732</v>
      </c>
      <c r="AG247" s="610"/>
      <c r="AI247" s="1056">
        <f t="shared" si="27"/>
        <v>3500000</v>
      </c>
      <c r="AJ247" s="831">
        <v>0.03583249238040987</v>
      </c>
      <c r="AK247" s="832">
        <v>0.039505950792095804</v>
      </c>
      <c r="AL247" s="833">
        <v>0.04310796350661633</v>
      </c>
      <c r="AM247" s="856">
        <v>0.046652518839416436</v>
      </c>
      <c r="AN247" s="787">
        <v>0.05015360510594116</v>
      </c>
      <c r="AO247" s="836">
        <v>0.05154500165665362</v>
      </c>
      <c r="AP247" s="714">
        <v>0.052932576539421704</v>
      </c>
      <c r="AQ247" s="837">
        <v>0.0543172250064339</v>
      </c>
      <c r="AR247" s="838">
        <v>0.05569984230987867</v>
      </c>
      <c r="AS247" s="740">
        <v>0.05708132370194453</v>
      </c>
      <c r="AT247" s="610"/>
      <c r="AV247" s="1056">
        <f t="shared" si="28"/>
        <v>3500000</v>
      </c>
      <c r="AW247" s="831">
        <v>0.12283429153427856</v>
      </c>
      <c r="AX247" s="832">
        <v>0.11634631330426061</v>
      </c>
      <c r="AY247" s="833">
        <v>0.11061726117385395</v>
      </c>
      <c r="AZ247" s="856">
        <v>0.10550492504906955</v>
      </c>
      <c r="BA247" s="787">
        <v>0.1008989234675433</v>
      </c>
      <c r="BB247" s="836">
        <v>0.09917818208428988</v>
      </c>
      <c r="BC247" s="714">
        <v>0.0975196393548589</v>
      </c>
      <c r="BD247" s="837">
        <v>0.09591898269937135</v>
      </c>
      <c r="BE247" s="838">
        <v>0.0943722584121454</v>
      </c>
      <c r="BF247" s="740">
        <v>0.09287583625549209</v>
      </c>
      <c r="BJ247" s="1056">
        <f t="shared" si="29"/>
        <v>3500000</v>
      </c>
      <c r="BK247" s="1311">
        <v>16.945383333333336</v>
      </c>
      <c r="BL247" s="1312">
        <v>16.945383333333336</v>
      </c>
      <c r="BM247" s="1313">
        <v>16.945383333333336</v>
      </c>
      <c r="BN247" s="1314">
        <v>16.945383333333336</v>
      </c>
      <c r="BO247" s="1315">
        <v>16.945383333333336</v>
      </c>
      <c r="BP247" s="1316">
        <v>16.945383333333336</v>
      </c>
      <c r="BQ247" s="1289">
        <v>16.945383333333336</v>
      </c>
      <c r="BR247" s="1309">
        <v>16.945383333333336</v>
      </c>
      <c r="BS247" s="1317">
        <v>16.945383333333336</v>
      </c>
      <c r="BT247" s="1272">
        <v>16.945383333333336</v>
      </c>
      <c r="CA247" s="1056">
        <f t="shared" si="30"/>
        <v>2500000</v>
      </c>
      <c r="CB247" s="1266">
        <v>442.84131931655725</v>
      </c>
      <c r="CC247" s="1266">
        <v>1071.375573437802</v>
      </c>
      <c r="CD247" s="1266">
        <v>1699.9270655133394</v>
      </c>
      <c r="CE247" s="1266">
        <v>2328.495778709229</v>
      </c>
      <c r="CF247" s="1266">
        <v>2957.0816962079707</v>
      </c>
      <c r="CG247" s="1266">
        <v>6100.268760780687</v>
      </c>
      <c r="CH247" s="1266">
        <v>9243.88341972426</v>
      </c>
      <c r="CI247" s="1266">
        <v>12202.247909249423</v>
      </c>
      <c r="CJ247" s="1266">
        <v>15346.71151572182</v>
      </c>
      <c r="CK247" s="1266">
        <v>18491.596495612495</v>
      </c>
      <c r="CL247" s="1266">
        <v>21451.22511544867</v>
      </c>
      <c r="CM247" s="1266">
        <v>24596.946691764704</v>
      </c>
      <c r="CN247" s="1266">
        <v>27743.083511053366</v>
      </c>
      <c r="CO247" s="1266">
        <v>30703.95786971728</v>
      </c>
      <c r="CP247" s="610"/>
      <c r="CR247" s="1056">
        <f t="shared" si="31"/>
        <v>2500000</v>
      </c>
      <c r="CS247" s="1073">
        <v>0.04659602812336689</v>
      </c>
      <c r="CT247" s="1073">
        <v>0.06772361937308102</v>
      </c>
      <c r="CU247" s="1073">
        <v>0.07476745731185352</v>
      </c>
      <c r="CV247" s="1073">
        <v>0.07829035596523272</v>
      </c>
      <c r="CW247" s="1073">
        <v>0.08040487813907651</v>
      </c>
      <c r="CX247" s="1073">
        <v>0.08463978148240887</v>
      </c>
      <c r="CY247" s="1073">
        <v>0.08605790265272288</v>
      </c>
      <c r="CZ247" s="1073">
        <v>0.08465924176612383</v>
      </c>
      <c r="DA247" s="1073">
        <v>0.08551394967007818</v>
      </c>
      <c r="DB247" s="1073">
        <v>0.08608695111388076</v>
      </c>
      <c r="DC247" s="1073">
        <v>0.0852917853411814</v>
      </c>
      <c r="DD247" s="1073">
        <v>0.08575406623811792</v>
      </c>
      <c r="DE247" s="1073">
        <v>0.08611571782967191</v>
      </c>
      <c r="DF247" s="1073">
        <v>0.08556189457593288</v>
      </c>
      <c r="DI247" s="681">
        <f t="shared" si="32"/>
        <v>2500000</v>
      </c>
      <c r="DJ247" s="1318">
        <v>16.945383333333336</v>
      </c>
      <c r="DK247" s="1319">
        <v>18.41635543294271</v>
      </c>
      <c r="DL247" s="1312">
        <v>19.88589103636106</v>
      </c>
      <c r="DM247" s="1303">
        <v>21.353991546416694</v>
      </c>
      <c r="DN247" s="1314">
        <v>22.82065836456798</v>
      </c>
      <c r="DO247" s="1289">
        <v>30.132536032073745</v>
      </c>
      <c r="DP247" s="1309">
        <v>37.40878083534171</v>
      </c>
      <c r="DQ247" s="1289">
        <v>60.12253975681017</v>
      </c>
      <c r="DR247" s="1320">
        <v>67.32803893267595</v>
      </c>
      <c r="DS247" s="1309">
        <v>74.49842365701853</v>
      </c>
      <c r="DT247" s="1320">
        <v>97.10683838590315</v>
      </c>
      <c r="DU247" s="1309">
        <v>104.2075067414657</v>
      </c>
      <c r="DV247" s="1309">
        <v>111.27357151597596</v>
      </c>
      <c r="DW247" s="1309">
        <v>133.778174675882</v>
      </c>
    </row>
    <row r="248">
      <c r="Y248" s="1056">
        <f t="shared" si="26"/>
        <v>4000000</v>
      </c>
      <c r="Z248" s="590">
        <v>0.044974108898420774</v>
      </c>
      <c r="AA248" s="590">
        <v>0.05669540170184504</v>
      </c>
      <c r="AB248" s="590">
        <v>0.06841669450526933</v>
      </c>
      <c r="AC248" s="590">
        <v>0.08013798730869362</v>
      </c>
      <c r="AD248" s="590">
        <v>0.09185928011211791</v>
      </c>
      <c r="AE248" s="590">
        <v>0.10358057291554222</v>
      </c>
      <c r="AF248" s="590">
        <v>0.11530186571896653</v>
      </c>
      <c r="AG248" s="610"/>
      <c r="AI248" s="1056">
        <f t="shared" si="27"/>
        <v>4000000</v>
      </c>
      <c r="AJ248" s="763">
        <v>0.03157793459434416</v>
      </c>
      <c r="AK248" s="852">
        <v>0.03501414029461705</v>
      </c>
      <c r="AL248" s="853">
        <v>0.0383835146647519</v>
      </c>
      <c r="AM248" s="890">
        <v>0.04169914257570201</v>
      </c>
      <c r="AN248" s="739">
        <v>0.044974108898420774</v>
      </c>
      <c r="AO248" s="856">
        <v>0.04627564119389706</v>
      </c>
      <c r="AP248" s="857">
        <v>0.047573598646349836</v>
      </c>
      <c r="AQ248" s="795">
        <v>0.04886881868752021</v>
      </c>
      <c r="AR248" s="787">
        <v>0.050162138749149106</v>
      </c>
      <c r="AS248" s="836">
        <v>0.05145439626297756</v>
      </c>
      <c r="AT248" s="610"/>
      <c r="AV248" s="1056">
        <f t="shared" si="28"/>
        <v>4000000</v>
      </c>
      <c r="AW248" s="763">
        <v>0.13131538121953631</v>
      </c>
      <c r="AX248" s="852">
        <v>0.12437944074251484</v>
      </c>
      <c r="AY248" s="853">
        <v>0.1182548263931008</v>
      </c>
      <c r="AZ248" s="890">
        <v>0.11278950918596632</v>
      </c>
      <c r="BA248" s="739">
        <v>0.1078654863742491</v>
      </c>
      <c r="BB248" s="856">
        <v>0.10602593645785544</v>
      </c>
      <c r="BC248" s="857">
        <v>0.10425287969932528</v>
      </c>
      <c r="BD248" s="795">
        <v>0.10254170575684131</v>
      </c>
      <c r="BE248" s="787">
        <v>0.10088818794124083</v>
      </c>
      <c r="BF248" s="836">
        <v>0.09928844536519113</v>
      </c>
      <c r="BJ248" s="1056">
        <f t="shared" si="29"/>
        <v>4000000</v>
      </c>
      <c r="BK248" s="1321">
        <v>16.945383333333336</v>
      </c>
      <c r="BL248" s="1322">
        <v>16.945383333333336</v>
      </c>
      <c r="BM248" s="1323">
        <v>16.945383333333336</v>
      </c>
      <c r="BN248" s="1324">
        <v>16.945383333333336</v>
      </c>
      <c r="BO248" s="1303">
        <v>16.945383333333336</v>
      </c>
      <c r="BP248" s="1314">
        <v>16.945383333333336</v>
      </c>
      <c r="BQ248" s="1325">
        <v>16.945383333333336</v>
      </c>
      <c r="BR248" s="1288">
        <v>16.945383333333336</v>
      </c>
      <c r="BS248" s="1315">
        <v>16.945383333333336</v>
      </c>
      <c r="BT248" s="1316">
        <v>16.945383333333336</v>
      </c>
      <c r="CA248" s="1056">
        <f t="shared" si="30"/>
        <v>3000000</v>
      </c>
      <c r="CB248" s="1266">
        <v>386.5397405864861</v>
      </c>
      <c r="CC248" s="1266">
        <v>958.7724159776598</v>
      </c>
      <c r="CD248" s="1266">
        <v>1531.0223293231259</v>
      </c>
      <c r="CE248" s="1266">
        <v>2103.289463788944</v>
      </c>
      <c r="CF248" s="1266">
        <v>2675.5738025576147</v>
      </c>
      <c r="CG248" s="1266">
        <v>5537.2529734799755</v>
      </c>
      <c r="CH248" s="1266">
        <v>8399.359738773192</v>
      </c>
      <c r="CI248" s="1266">
        <v>11076.216334648</v>
      </c>
      <c r="CJ248" s="1266">
        <v>13939.172047470041</v>
      </c>
      <c r="CK248" s="1266">
        <v>16802.54913371036</v>
      </c>
      <c r="CL248" s="1266">
        <v>19480.669859896178</v>
      </c>
      <c r="CM248" s="1266">
        <v>22344.883542561856</v>
      </c>
      <c r="CN248" s="1266">
        <v>25209.512468200166</v>
      </c>
      <c r="CO248" s="1266">
        <v>27888.878933213724</v>
      </c>
      <c r="CP248" s="610"/>
      <c r="CR248" s="1056">
        <f t="shared" si="31"/>
        <v>3000000</v>
      </c>
      <c r="CS248" s="1073">
        <v>0.038504532646753874</v>
      </c>
      <c r="CT248" s="1073">
        <v>0.05963212389646801</v>
      </c>
      <c r="CU248" s="1073">
        <v>0.0666759618352405</v>
      </c>
      <c r="CV248" s="1073">
        <v>0.0701988604886197</v>
      </c>
      <c r="CW248" s="1073">
        <v>0.0723133826624635</v>
      </c>
      <c r="CX248" s="1073">
        <v>0.07654828600579586</v>
      </c>
      <c r="CY248" s="1073">
        <v>0.07796640717610986</v>
      </c>
      <c r="CZ248" s="1073">
        <v>0.07656774628951082</v>
      </c>
      <c r="DA248" s="1073">
        <v>0.07742245419346516</v>
      </c>
      <c r="DB248" s="1073">
        <v>0.07799545563726774</v>
      </c>
      <c r="DC248" s="1073">
        <v>0.07720028986456838</v>
      </c>
      <c r="DD248" s="1073">
        <v>0.07766257076150491</v>
      </c>
      <c r="DE248" s="1073">
        <v>0.07802422235305888</v>
      </c>
      <c r="DF248" s="1073">
        <v>0.07747039909931985</v>
      </c>
      <c r="DI248" s="681">
        <f t="shared" si="32"/>
        <v>3000000</v>
      </c>
      <c r="DJ248" s="1326">
        <v>16.945383333333336</v>
      </c>
      <c r="DK248" s="1327">
        <v>18.41635543294271</v>
      </c>
      <c r="DL248" s="1328">
        <v>19.88589103636106</v>
      </c>
      <c r="DM248" s="1329">
        <v>21.353991546416694</v>
      </c>
      <c r="DN248" s="1330">
        <v>22.82065836456798</v>
      </c>
      <c r="DO248" s="1324">
        <v>30.132536032073745</v>
      </c>
      <c r="DP248" s="1331">
        <v>37.40878083534171</v>
      </c>
      <c r="DQ248" s="1324">
        <v>60.12253975681017</v>
      </c>
      <c r="DR248" s="1332">
        <v>67.32803893267595</v>
      </c>
      <c r="DS248" s="1331">
        <v>74.49842365701853</v>
      </c>
      <c r="DT248" s="1332">
        <v>97.10683838590315</v>
      </c>
      <c r="DU248" s="1332">
        <v>104.2075067414657</v>
      </c>
      <c r="DV248" s="1331">
        <v>111.27357151597596</v>
      </c>
      <c r="DW248" s="1332">
        <v>133.778174675882</v>
      </c>
    </row>
    <row r="249">
      <c r="Y249" s="1056">
        <f t="shared" si="26"/>
        <v>4500000</v>
      </c>
      <c r="Z249" s="591">
        <v>0.04068385629474014</v>
      </c>
      <c r="AA249" s="591">
        <v>0.05173479712883932</v>
      </c>
      <c r="AB249" s="591">
        <v>0.06278573796293853</v>
      </c>
      <c r="AC249" s="591">
        <v>0.07383667879703772</v>
      </c>
      <c r="AD249" s="591">
        <v>0.08488761963113689</v>
      </c>
      <c r="AE249" s="591">
        <v>0.0959385604652361</v>
      </c>
      <c r="AF249" s="591">
        <v>0.1069895012993353</v>
      </c>
      <c r="AG249" s="610"/>
      <c r="AI249" s="1056">
        <f t="shared" si="27"/>
        <v>4500000</v>
      </c>
      <c r="AJ249" s="867">
        <v>0.0280538220382474</v>
      </c>
      <c r="AK249" s="868">
        <v>0.031293507841200524</v>
      </c>
      <c r="AL249" s="869">
        <v>0.034470184461838506</v>
      </c>
      <c r="AM249" s="1182">
        <v>0.03759618843480412</v>
      </c>
      <c r="AN249" s="1333">
        <v>0.04068385629474014</v>
      </c>
      <c r="AO249" s="872">
        <v>0.04191095271082623</v>
      </c>
      <c r="AP249" s="873">
        <v>0.04313467873258754</v>
      </c>
      <c r="AQ249" s="874">
        <v>0.04435582389824125</v>
      </c>
      <c r="AR249" s="875">
        <v>0.04557517774600444</v>
      </c>
      <c r="AS249" s="1185">
        <v>0.046793529814094285</v>
      </c>
      <c r="AT249" s="610"/>
      <c r="AV249" s="1056">
        <f t="shared" si="28"/>
        <v>4500000</v>
      </c>
      <c r="AW249" s="867">
        <v>0.13928099480164613</v>
      </c>
      <c r="AX249" s="868">
        <v>0.1319243189838339</v>
      </c>
      <c r="AY249" s="869">
        <v>0.12542818447589926</v>
      </c>
      <c r="AZ249" s="1182">
        <v>0.11963134018814878</v>
      </c>
      <c r="BA249" s="1333">
        <v>0.11440862530682504</v>
      </c>
      <c r="BB249" s="872">
        <v>0.11245748797650539</v>
      </c>
      <c r="BC249" s="873">
        <v>0.11057687729042741</v>
      </c>
      <c r="BD249" s="874">
        <v>0.10876190324264721</v>
      </c>
      <c r="BE249" s="875">
        <v>0.1070080827523114</v>
      </c>
      <c r="BF249" s="1185">
        <v>0.10531129951679503</v>
      </c>
      <c r="BJ249" s="1056">
        <f t="shared" si="29"/>
        <v>4500000</v>
      </c>
      <c r="BK249" s="1334">
        <v>16.945383333333336</v>
      </c>
      <c r="BL249" s="1335">
        <v>16.945383333333336</v>
      </c>
      <c r="BM249" s="1336">
        <v>16.945383333333336</v>
      </c>
      <c r="BN249" s="1337">
        <v>16.945383333333336</v>
      </c>
      <c r="BO249" s="1338">
        <v>16.945383333333336</v>
      </c>
      <c r="BP249" s="1339">
        <v>16.945383333333336</v>
      </c>
      <c r="BQ249" s="1340">
        <v>16.945383333333336</v>
      </c>
      <c r="BR249" s="1341">
        <v>16.945383333333336</v>
      </c>
      <c r="BS249" s="1342">
        <v>16.945383333333336</v>
      </c>
      <c r="BT249" s="1343">
        <v>16.945383333333336</v>
      </c>
      <c r="CA249" s="1056">
        <f t="shared" si="30"/>
        <v>3500000</v>
      </c>
      <c r="CB249" s="1266">
        <v>342.7821790560463</v>
      </c>
      <c r="CC249" s="1266">
        <v>871.2572929167801</v>
      </c>
      <c r="CD249" s="1266">
        <v>1399.7496447318063</v>
      </c>
      <c r="CE249" s="1266">
        <v>1928.2592176671849</v>
      </c>
      <c r="CF249" s="1266">
        <v>2456.7859949054155</v>
      </c>
      <c r="CG249" s="1266">
        <v>5099.677358175577</v>
      </c>
      <c r="CH249" s="1266">
        <v>7742.996315816595</v>
      </c>
      <c r="CI249" s="1266">
        <v>10201.065104039202</v>
      </c>
      <c r="CJ249" s="1266">
        <v>12845.233009209045</v>
      </c>
      <c r="CK249" s="1266">
        <v>15489.822287797168</v>
      </c>
      <c r="CL249" s="1266">
        <v>17949.155206330783</v>
      </c>
      <c r="CM249" s="1266">
        <v>20594.581081344262</v>
      </c>
      <c r="CN249" s="1266">
        <v>23240.422199330373</v>
      </c>
      <c r="CO249" s="1266">
        <v>25701.00085669173</v>
      </c>
      <c r="CP249" s="610"/>
      <c r="CR249" s="1056">
        <f t="shared" si="31"/>
        <v>3500000</v>
      </c>
      <c r="CS249" s="1073">
        <v>0.03221582602116044</v>
      </c>
      <c r="CT249" s="1073">
        <v>0.05334341727087457</v>
      </c>
      <c r="CU249" s="1073">
        <v>0.06038725520964705</v>
      </c>
      <c r="CV249" s="1073">
        <v>0.06391015386302627</v>
      </c>
      <c r="CW249" s="1073">
        <v>0.06602467603687005</v>
      </c>
      <c r="CX249" s="1073">
        <v>0.07025957938020241</v>
      </c>
      <c r="CY249" s="1073">
        <v>0.07167770055051642</v>
      </c>
      <c r="CZ249" s="1073">
        <v>0.07027903966391737</v>
      </c>
      <c r="DA249" s="1073">
        <v>0.07113374756787172</v>
      </c>
      <c r="DB249" s="1073">
        <v>0.0717067490116743</v>
      </c>
      <c r="DC249" s="1073">
        <v>0.07091158323897494</v>
      </c>
      <c r="DD249" s="1073">
        <v>0.07137386413591147</v>
      </c>
      <c r="DE249" s="1073">
        <v>0.07173551572746545</v>
      </c>
      <c r="DF249" s="1073">
        <v>0.07118169247372641</v>
      </c>
      <c r="DI249" s="681">
        <f t="shared" si="32"/>
        <v>3500000</v>
      </c>
      <c r="DJ249" s="1344">
        <v>16.945383333333336</v>
      </c>
      <c r="DK249" s="1345">
        <v>18.41635543294271</v>
      </c>
      <c r="DL249" s="1327">
        <v>19.88589103636106</v>
      </c>
      <c r="DM249" s="1346">
        <v>21.353991546416694</v>
      </c>
      <c r="DN249" s="1347">
        <v>22.82065836456798</v>
      </c>
      <c r="DO249" s="1329">
        <v>30.132536032073745</v>
      </c>
      <c r="DP249" s="1311">
        <v>37.40878083534171</v>
      </c>
      <c r="DQ249" s="1329">
        <v>60.12253975681017</v>
      </c>
      <c r="DR249" s="1322">
        <v>67.32803893267595</v>
      </c>
      <c r="DS249" s="1311">
        <v>74.49842365701853</v>
      </c>
      <c r="DT249" s="1322">
        <v>97.10683838590315</v>
      </c>
      <c r="DU249" s="1311">
        <v>104.2075067414657</v>
      </c>
      <c r="DV249" s="1311">
        <v>111.27357151597596</v>
      </c>
      <c r="DW249" s="1322">
        <v>133.778174675882</v>
      </c>
    </row>
    <row r="250">
      <c r="Y250" s="1056">
        <f t="shared" si="26"/>
        <v>5000000</v>
      </c>
      <c r="Z250" s="590">
        <v>0.03705443013765292</v>
      </c>
      <c r="AA250" s="590">
        <v>0.04753827313470724</v>
      </c>
      <c r="AB250" s="590">
        <v>0.05802211613176156</v>
      </c>
      <c r="AC250" s="590">
        <v>0.0685059591288159</v>
      </c>
      <c r="AD250" s="590">
        <v>0.0789898021258702</v>
      </c>
      <c r="AE250" s="590">
        <v>0.08947364512292452</v>
      </c>
      <c r="AF250" s="590">
        <v>0.09995748811997883</v>
      </c>
      <c r="AG250" s="610"/>
      <c r="AI250" s="1056">
        <f t="shared" si="27"/>
        <v>5000000</v>
      </c>
      <c r="AJ250" s="887">
        <v>0.02507252758471242</v>
      </c>
      <c r="AK250" s="844">
        <v>0.02814596339690542</v>
      </c>
      <c r="AL250" s="763">
        <v>0.031159623450212233</v>
      </c>
      <c r="AM250" s="916">
        <v>0.034125211209004254</v>
      </c>
      <c r="AN250" s="853">
        <v>0.03705443013765292</v>
      </c>
      <c r="AO250" s="853">
        <v>0.03821855601269143</v>
      </c>
      <c r="AP250" s="832">
        <v>0.039379484450926205</v>
      </c>
      <c r="AQ250" s="786">
        <v>0.04053796447407698</v>
      </c>
      <c r="AR250" s="890">
        <v>0.041694745103863555</v>
      </c>
      <c r="AS250" s="890">
        <v>0.0428505753620057</v>
      </c>
      <c r="AT250" s="610"/>
      <c r="AV250" s="1056">
        <f t="shared" si="28"/>
        <v>5000000</v>
      </c>
      <c r="AW250" s="887">
        <v>0.14681505944909126</v>
      </c>
      <c r="AX250" s="844">
        <v>0.13906044225183506</v>
      </c>
      <c r="AY250" s="763">
        <v>0.13221291524120488</v>
      </c>
      <c r="AZ250" s="916">
        <v>0.12610250484432886</v>
      </c>
      <c r="BA250" s="853">
        <v>0.12059727997944919</v>
      </c>
      <c r="BB250" s="853">
        <v>0.1185406006489191</v>
      </c>
      <c r="BC250" s="832">
        <v>0.11655826292889962</v>
      </c>
      <c r="BD250" s="786">
        <v>0.1146451123005394</v>
      </c>
      <c r="BE250" s="890">
        <v>0.11279642318169458</v>
      </c>
      <c r="BF250" s="890">
        <v>0.1110078566084207</v>
      </c>
      <c r="BJ250" s="1056">
        <f t="shared" si="29"/>
        <v>5000000</v>
      </c>
      <c r="BK250" s="1348">
        <v>16.945383333333336</v>
      </c>
      <c r="BL250" s="1349">
        <v>16.945383333333336</v>
      </c>
      <c r="BM250" s="1321">
        <v>16.945383333333336</v>
      </c>
      <c r="BN250" s="1329">
        <v>16.945383333333336</v>
      </c>
      <c r="BO250" s="1323">
        <v>16.945383333333336</v>
      </c>
      <c r="BP250" s="1323">
        <v>16.945383333333336</v>
      </c>
      <c r="BQ250" s="1312">
        <v>16.945383333333336</v>
      </c>
      <c r="BR250" s="1350">
        <v>16.945383333333336</v>
      </c>
      <c r="BS250" s="1324">
        <v>16.945383333333336</v>
      </c>
      <c r="BT250" s="1324">
        <v>16.945383333333336</v>
      </c>
      <c r="CA250" s="1056">
        <f t="shared" si="30"/>
        <v>4000000</v>
      </c>
      <c r="CB250" s="1266">
        <v>307.5102242425291</v>
      </c>
      <c r="CC250" s="1266">
        <v>800.7133832897457</v>
      </c>
      <c r="CD250" s="1266">
        <v>1293.9337802912546</v>
      </c>
      <c r="CE250" s="1266">
        <v>1787.171398413116</v>
      </c>
      <c r="CF250" s="1266">
        <v>2280.4262208378295</v>
      </c>
      <c r="CG250" s="1266">
        <v>4746.957810040405</v>
      </c>
      <c r="CH250" s="1266">
        <v>7213.916993613837</v>
      </c>
      <c r="CI250" s="1266">
        <v>9495.626007768858</v>
      </c>
      <c r="CJ250" s="1266">
        <v>11963.434138871115</v>
      </c>
      <c r="CK250" s="1266">
        <v>14431.663643391652</v>
      </c>
      <c r="CL250" s="1266">
        <v>16714.636787857682</v>
      </c>
      <c r="CM250" s="1266">
        <v>19183.702888803575</v>
      </c>
      <c r="CN250" s="1266">
        <v>21653.1842327221</v>
      </c>
      <c r="CO250" s="1266">
        <v>23937.40311601587</v>
      </c>
      <c r="CP250" s="610"/>
      <c r="CR250" s="1056">
        <f t="shared" si="31"/>
        <v>4000000</v>
      </c>
      <c r="CS250" s="1073">
        <v>0.027146645560108183</v>
      </c>
      <c r="CT250" s="1073">
        <v>0.04827423680982232</v>
      </c>
      <c r="CU250" s="1073">
        <v>0.05531807474859479</v>
      </c>
      <c r="CV250" s="1073">
        <v>0.058840973401974014</v>
      </c>
      <c r="CW250" s="1073">
        <v>0.060955495575817795</v>
      </c>
      <c r="CX250" s="1073">
        <v>0.06519039891915016</v>
      </c>
      <c r="CY250" s="1073">
        <v>0.06660852008946416</v>
      </c>
      <c r="CZ250" s="1073">
        <v>0.06520985920286511</v>
      </c>
      <c r="DA250" s="1073">
        <v>0.06606456710681946</v>
      </c>
      <c r="DB250" s="1073">
        <v>0.06663756855062204</v>
      </c>
      <c r="DC250" s="1073">
        <v>0.06584240277792268</v>
      </c>
      <c r="DD250" s="1073">
        <v>0.0663046836748592</v>
      </c>
      <c r="DE250" s="1073">
        <v>0.06666633526641319</v>
      </c>
      <c r="DF250" s="1073">
        <v>0.06611251201267415</v>
      </c>
      <c r="DI250" s="681">
        <f t="shared" si="32"/>
        <v>4000000</v>
      </c>
      <c r="DJ250" s="1351">
        <v>16.945383333333336</v>
      </c>
      <c r="DK250" s="1352">
        <v>18.41635543294271</v>
      </c>
      <c r="DL250" s="1353">
        <v>19.88589103636106</v>
      </c>
      <c r="DM250" s="1354">
        <v>21.353991546416694</v>
      </c>
      <c r="DN250" s="1355">
        <v>22.82065836456798</v>
      </c>
      <c r="DO250" s="1349">
        <v>30.132536032073745</v>
      </c>
      <c r="DP250" s="1356">
        <v>37.40878083534171</v>
      </c>
      <c r="DQ250" s="1349">
        <v>60.12253975681017</v>
      </c>
      <c r="DR250" s="1347">
        <v>67.32803893267595</v>
      </c>
      <c r="DS250" s="1328">
        <v>74.49842365701853</v>
      </c>
      <c r="DT250" s="1347">
        <v>97.10683838590315</v>
      </c>
      <c r="DU250" s="1347">
        <v>104.2075067414657</v>
      </c>
      <c r="DV250" s="1328">
        <v>111.27357151597596</v>
      </c>
      <c r="DW250" s="1347">
        <v>133.778174675882</v>
      </c>
    </row>
    <row r="251">
      <c r="Y251" s="1056">
        <f t="shared" si="26"/>
        <v>5500000</v>
      </c>
      <c r="Z251" s="590">
        <v>0.033931928327485664</v>
      </c>
      <c r="AA251" s="590">
        <v>0.04392788041670134</v>
      </c>
      <c r="AB251" s="590">
        <v>0.053923832505917015</v>
      </c>
      <c r="AC251" s="590">
        <v>0.06391978459513267</v>
      </c>
      <c r="AD251" s="590">
        <v>0.07391573668434838</v>
      </c>
      <c r="AE251" s="590">
        <v>0.08391168877356407</v>
      </c>
      <c r="AF251" s="590">
        <v>0.09390764086277975</v>
      </c>
      <c r="AG251" s="610"/>
      <c r="AI251" s="1056">
        <f t="shared" si="27"/>
        <v>5500000</v>
      </c>
      <c r="AJ251" s="804">
        <v>0.022507632495270647</v>
      </c>
      <c r="AK251" s="821">
        <v>0.025438038562644285</v>
      </c>
      <c r="AL251" s="902">
        <v>0.02831145068017622</v>
      </c>
      <c r="AM251" s="763">
        <v>0.03113902766330909</v>
      </c>
      <c r="AN251" s="822">
        <v>0.033931928327485664</v>
      </c>
      <c r="AO251" s="852">
        <v>0.035041878798507675</v>
      </c>
      <c r="AP251" s="831">
        <v>0.03614878063315582</v>
      </c>
      <c r="AQ251" s="853">
        <v>0.03725334799561847</v>
      </c>
      <c r="AR251" s="853">
        <v>0.03835629505008393</v>
      </c>
      <c r="AS251" s="832">
        <v>0.03945833596074055</v>
      </c>
      <c r="AT251" s="610"/>
      <c r="AV251" s="1056">
        <f t="shared" si="28"/>
        <v>5500000</v>
      </c>
      <c r="AW251" s="804">
        <v>0.15398093339483368</v>
      </c>
      <c r="AX251" s="821">
        <v>0.145847822264179</v>
      </c>
      <c r="AY251" s="902">
        <v>0.13866607534734596</v>
      </c>
      <c r="AZ251" s="763">
        <v>0.1322574228571515</v>
      </c>
      <c r="BA251" s="822">
        <v>0.12648349430769937</v>
      </c>
      <c r="BB251" s="852">
        <v>0.1243264308279907</v>
      </c>
      <c r="BC251" s="831">
        <v>0.12224733748717287</v>
      </c>
      <c r="BD251" s="853">
        <v>0.1202408081802664</v>
      </c>
      <c r="BE251" s="853">
        <v>0.11830188667490603</v>
      </c>
      <c r="BF251" s="832">
        <v>0.11642602222731502</v>
      </c>
      <c r="BJ251" s="1056">
        <f t="shared" si="29"/>
        <v>5500000</v>
      </c>
      <c r="BK251" s="1355">
        <v>16.945383333333336</v>
      </c>
      <c r="BL251" s="1357">
        <v>16.945383333333336</v>
      </c>
      <c r="BM251" s="1347">
        <v>16.945383333333336</v>
      </c>
      <c r="BN251" s="1321">
        <v>16.945383333333336</v>
      </c>
      <c r="BO251" s="1358">
        <v>16.945383333333336</v>
      </c>
      <c r="BP251" s="1322">
        <v>16.945383333333336</v>
      </c>
      <c r="BQ251" s="1311">
        <v>16.945383333333336</v>
      </c>
      <c r="BR251" s="1323">
        <v>16.945383333333336</v>
      </c>
      <c r="BS251" s="1323">
        <v>16.945383333333336</v>
      </c>
      <c r="BT251" s="1312">
        <v>16.945383333333336</v>
      </c>
      <c r="CA251" s="1056">
        <f t="shared" si="30"/>
        <v>4500000</v>
      </c>
      <c r="CB251" s="1359">
        <v>278.29394723167223</v>
      </c>
      <c r="CC251" s="1359">
        <v>742.280829268032</v>
      </c>
      <c r="CD251" s="1359">
        <v>1206.284949258684</v>
      </c>
      <c r="CE251" s="1359">
        <v>1670.3062903696887</v>
      </c>
      <c r="CF251" s="1359">
        <v>2134.3448357835455</v>
      </c>
      <c r="CG251" s="1359">
        <v>4454.795039931838</v>
      </c>
      <c r="CH251" s="1359">
        <v>6775.672838450983</v>
      </c>
      <c r="CI251" s="1359">
        <v>8911.300467551722</v>
      </c>
      <c r="CJ251" s="1359">
        <v>11233.027213599693</v>
      </c>
      <c r="CK251" s="1359">
        <v>13555.175333065945</v>
      </c>
      <c r="CL251" s="1359">
        <v>15692.06709247769</v>
      </c>
      <c r="CM251" s="1359">
        <v>18015.051808369302</v>
      </c>
      <c r="CN251" s="1359">
        <v>20338.45176723354</v>
      </c>
      <c r="CO251" s="1359">
        <v>22476.589265473027</v>
      </c>
      <c r="CP251" s="610"/>
      <c r="CR251" s="1056">
        <f t="shared" si="31"/>
        <v>4500000</v>
      </c>
      <c r="CS251" s="594">
        <v>0.022947769105680166</v>
      </c>
      <c r="CT251" s="594">
        <v>0.044075360355394305</v>
      </c>
      <c r="CU251" s="594">
        <v>0.051119198294166786</v>
      </c>
      <c r="CV251" s="594">
        <v>0.054642096947546</v>
      </c>
      <c r="CW251" s="594">
        <v>0.05675661912138978</v>
      </c>
      <c r="CX251" s="594">
        <v>0.06099152246472214</v>
      </c>
      <c r="CY251" s="594">
        <v>0.062409643635036156</v>
      </c>
      <c r="CZ251" s="594">
        <v>0.0610109827484371</v>
      </c>
      <c r="DA251" s="594">
        <v>0.06186569065239145</v>
      </c>
      <c r="DB251" s="594">
        <v>0.06243869209619403</v>
      </c>
      <c r="DC251" s="594">
        <v>0.06164352632349467</v>
      </c>
      <c r="DD251" s="594">
        <v>0.06210580722043119</v>
      </c>
      <c r="DE251" s="594">
        <v>0.06246745881198518</v>
      </c>
      <c r="DF251" s="594">
        <v>0.06191363555824614</v>
      </c>
      <c r="DI251" s="681">
        <f t="shared" si="32"/>
        <v>4500000</v>
      </c>
      <c r="DJ251" s="1360">
        <v>16.945383333333336</v>
      </c>
      <c r="DK251" s="1361">
        <v>18.41635543294271</v>
      </c>
      <c r="DL251" s="1362">
        <v>19.88589103636106</v>
      </c>
      <c r="DM251" s="1363">
        <v>21.353991546416694</v>
      </c>
      <c r="DN251" s="1364">
        <v>22.82065836456798</v>
      </c>
      <c r="DO251" s="1365">
        <v>30.132536032073745</v>
      </c>
      <c r="DP251" s="1366">
        <v>37.40878083534171</v>
      </c>
      <c r="DQ251" s="1365">
        <v>60.12253975681017</v>
      </c>
      <c r="DR251" s="1365">
        <v>67.32803893267595</v>
      </c>
      <c r="DS251" s="1366">
        <v>74.49842365701853</v>
      </c>
      <c r="DT251" s="1365">
        <v>97.10683838590315</v>
      </c>
      <c r="DU251" s="1367">
        <v>104.2075067414657</v>
      </c>
      <c r="DV251" s="1366">
        <v>111.27357151597596</v>
      </c>
      <c r="DW251" s="1365">
        <v>133.778174675882</v>
      </c>
    </row>
    <row r="252">
      <c r="Y252" s="1056">
        <f t="shared" si="26"/>
        <v>6000000</v>
      </c>
      <c r="Z252" s="590">
        <v>0.031208366144016952</v>
      </c>
      <c r="AA252" s="590">
        <v>0.04077876164206565</v>
      </c>
      <c r="AB252" s="590">
        <v>0.05034915714011431</v>
      </c>
      <c r="AC252" s="590">
        <v>0.05991955263816304</v>
      </c>
      <c r="AD252" s="590">
        <v>0.06948994813621175</v>
      </c>
      <c r="AE252" s="590">
        <v>0.07906034363426044</v>
      </c>
      <c r="AF252" s="590">
        <v>0.08863073913230912</v>
      </c>
      <c r="AG252" s="610"/>
      <c r="AI252" s="1056">
        <f t="shared" si="27"/>
        <v>6000000</v>
      </c>
      <c r="AJ252" s="843">
        <v>0.020270435627226534</v>
      </c>
      <c r="AK252" s="804">
        <v>0.023076085832863715</v>
      </c>
      <c r="AL252" s="914">
        <v>0.025827168485944324</v>
      </c>
      <c r="AM252" s="902">
        <v>0.028534367338863626</v>
      </c>
      <c r="AN252" s="763">
        <v>0.031208366144016952</v>
      </c>
      <c r="AO252" s="763">
        <v>0.03227106281324034</v>
      </c>
      <c r="AP252" s="822">
        <v>0.033330840635357725</v>
      </c>
      <c r="AQ252" s="916">
        <v>0.03438838337052236</v>
      </c>
      <c r="AR252" s="852">
        <v>0.03544437477888761</v>
      </c>
      <c r="AS252" s="831">
        <v>0.03649949862060672</v>
      </c>
      <c r="AT252" s="610"/>
      <c r="AV252" s="1056">
        <f t="shared" si="28"/>
        <v>6000000</v>
      </c>
      <c r="AW252" s="843">
        <v>0.1608278396834585</v>
      </c>
      <c r="AX252" s="804">
        <v>0.1523330821559491</v>
      </c>
      <c r="AY252" s="914">
        <v>0.14483199214225292</v>
      </c>
      <c r="AZ252" s="902">
        <v>0.13813837292228678</v>
      </c>
      <c r="BA252" s="763">
        <v>0.13210770123702092</v>
      </c>
      <c r="BB252" s="763">
        <v>0.12985472191124897</v>
      </c>
      <c r="BC252" s="822">
        <v>0.12768317973955293</v>
      </c>
      <c r="BD252" s="916">
        <v>0.12558742822943683</v>
      </c>
      <c r="BE252" s="852">
        <v>0.12356229076502548</v>
      </c>
      <c r="BF252" s="831">
        <v>0.12160301424946184</v>
      </c>
      <c r="BJ252" s="1056">
        <f t="shared" si="29"/>
        <v>6000000</v>
      </c>
      <c r="BK252" s="1354">
        <v>16.945383333333336</v>
      </c>
      <c r="BL252" s="1355">
        <v>16.945383333333336</v>
      </c>
      <c r="BM252" s="1368">
        <v>16.945383333333336</v>
      </c>
      <c r="BN252" s="1347">
        <v>16.945383333333336</v>
      </c>
      <c r="BO252" s="1321">
        <v>16.945383333333336</v>
      </c>
      <c r="BP252" s="1321">
        <v>16.945383333333336</v>
      </c>
      <c r="BQ252" s="1358">
        <v>16.945383333333336</v>
      </c>
      <c r="BR252" s="1329">
        <v>16.945383333333336</v>
      </c>
      <c r="BS252" s="1322">
        <v>16.945383333333336</v>
      </c>
      <c r="BT252" s="1311">
        <v>16.945383333333336</v>
      </c>
      <c r="CA252" s="1056">
        <f t="shared" si="30"/>
        <v>5000000</v>
      </c>
      <c r="CB252" s="1369">
        <v>253.5778454560009</v>
      </c>
      <c r="CC252" s="1369">
        <v>692.8486257166893</v>
      </c>
      <c r="CD252" s="1369">
        <v>1132.13664393167</v>
      </c>
      <c r="CE252" s="1369">
        <v>1571.4418832670033</v>
      </c>
      <c r="CF252" s="1369">
        <v>2010.7643269051887</v>
      </c>
      <c r="CG252" s="1369">
        <v>4207.634022175123</v>
      </c>
      <c r="CH252" s="1369">
        <v>6404.931311815913</v>
      </c>
      <c r="CI252" s="1369">
        <v>8416.978432038295</v>
      </c>
      <c r="CJ252" s="1369">
        <v>10615.12466920791</v>
      </c>
      <c r="CK252" s="1369">
        <v>12813.692279795805</v>
      </c>
      <c r="CL252" s="1369">
        <v>14827.003530329193</v>
      </c>
      <c r="CM252" s="1369">
        <v>17026.407737342448</v>
      </c>
      <c r="CN252" s="1369">
        <v>19226.227187328328</v>
      </c>
      <c r="CO252" s="1369">
        <v>21240.78417668946</v>
      </c>
      <c r="CP252" s="610"/>
      <c r="CR252" s="1056">
        <f t="shared" si="31"/>
        <v>5000000</v>
      </c>
      <c r="CS252" s="577">
        <v>0.019395644454324103</v>
      </c>
      <c r="CT252" s="577">
        <v>0.04052323570403824</v>
      </c>
      <c r="CU252" s="577">
        <v>0.04756707364281073</v>
      </c>
      <c r="CV252" s="577">
        <v>0.05108997229618994</v>
      </c>
      <c r="CW252" s="577">
        <v>0.053204494470033725</v>
      </c>
      <c r="CX252" s="577">
        <v>0.057439397813366086</v>
      </c>
      <c r="CY252" s="577">
        <v>0.05885751898368009</v>
      </c>
      <c r="CZ252" s="577">
        <v>0.05745885809708103</v>
      </c>
      <c r="DA252" s="577">
        <v>0.0583135660010354</v>
      </c>
      <c r="DB252" s="577">
        <v>0.058886567444837966</v>
      </c>
      <c r="DC252" s="577">
        <v>0.05809140167213862</v>
      </c>
      <c r="DD252" s="577">
        <v>0.05855368256907514</v>
      </c>
      <c r="DE252" s="577">
        <v>0.05891533416062913</v>
      </c>
      <c r="DF252" s="577">
        <v>0.05836151090689008</v>
      </c>
      <c r="DI252" s="681">
        <f t="shared" si="32"/>
        <v>5000000</v>
      </c>
      <c r="DJ252" s="1370">
        <v>16.945383333333336</v>
      </c>
      <c r="DK252" s="1371">
        <v>18.41635543294271</v>
      </c>
      <c r="DL252" s="1372">
        <v>19.88589103636106</v>
      </c>
      <c r="DM252" s="1373">
        <v>21.353991546416694</v>
      </c>
      <c r="DN252" s="1345">
        <v>22.82065836456798</v>
      </c>
      <c r="DO252" s="1308">
        <v>30.132536032073745</v>
      </c>
      <c r="DP252" s="1354">
        <v>37.40878083534171</v>
      </c>
      <c r="DQ252" s="1308">
        <v>60.12253975681017</v>
      </c>
      <c r="DR252" s="1374">
        <v>67.32803893267595</v>
      </c>
      <c r="DS252" s="1354">
        <v>74.49842365701853</v>
      </c>
      <c r="DT252" s="1374">
        <v>97.10683838590315</v>
      </c>
      <c r="DU252" s="1375">
        <v>104.2075067414657</v>
      </c>
      <c r="DV252" s="1354">
        <v>111.27357151597596</v>
      </c>
      <c r="DW252" s="1374">
        <v>133.778174675882</v>
      </c>
    </row>
    <row r="253">
      <c r="Y253" s="1056">
        <f t="shared" si="26"/>
        <v>6500000</v>
      </c>
      <c r="Z253" s="590">
        <v>0.028805441828328213</v>
      </c>
      <c r="AA253" s="590">
        <v>0.03800038040205053</v>
      </c>
      <c r="AB253" s="590">
        <v>0.047195318975772865</v>
      </c>
      <c r="AC253" s="590">
        <v>0.056390257549495185</v>
      </c>
      <c r="AD253" s="590">
        <v>0.06558519612321752</v>
      </c>
      <c r="AE253" s="590">
        <v>0.07478013469693982</v>
      </c>
      <c r="AF253" s="590">
        <v>0.08397507327066217</v>
      </c>
      <c r="AG253" s="610"/>
      <c r="AI253" s="1056">
        <f t="shared" si="27"/>
        <v>6500000</v>
      </c>
      <c r="AJ253" s="820">
        <v>0.018296618107716375</v>
      </c>
      <c r="AK253" s="762">
        <v>0.02099219963362565</v>
      </c>
      <c r="AL253" s="804">
        <v>0.02363535435084363</v>
      </c>
      <c r="AM253" s="1192">
        <v>0.02623634687665095</v>
      </c>
      <c r="AN253" s="902">
        <v>0.028805441828328213</v>
      </c>
      <c r="AO253" s="931">
        <v>0.02982644776251355</v>
      </c>
      <c r="AP253" s="932">
        <v>0.030844649359108935</v>
      </c>
      <c r="AQ253" s="763">
        <v>0.03186070355362032</v>
      </c>
      <c r="AR253" s="738">
        <v>0.0328752672815537</v>
      </c>
      <c r="AS253" s="822">
        <v>0.03388899747841495</v>
      </c>
      <c r="AT253" s="610"/>
      <c r="AV253" s="1056">
        <f t="shared" si="28"/>
        <v>6500000</v>
      </c>
      <c r="AW253" s="820">
        <v>0.16739492281832283</v>
      </c>
      <c r="AX253" s="762">
        <v>0.15855329885896013</v>
      </c>
      <c r="AY253" s="804">
        <v>0.15074591683873706</v>
      </c>
      <c r="AZ253" s="1192">
        <v>0.14377897706694873</v>
      </c>
      <c r="BA253" s="902">
        <v>0.13750205496636822</v>
      </c>
      <c r="BB253" s="931">
        <v>0.1351570797363884</v>
      </c>
      <c r="BC253" s="932">
        <v>0.13289686698377517</v>
      </c>
      <c r="BD253" s="763">
        <v>0.1307155396528059</v>
      </c>
      <c r="BE253" s="738">
        <v>0.12860770975085078</v>
      </c>
      <c r="BF253" s="822">
        <v>0.1265684300978502</v>
      </c>
      <c r="BJ253" s="1056">
        <f t="shared" si="29"/>
        <v>6500000</v>
      </c>
      <c r="BK253" s="1308">
        <v>16.945383333333336</v>
      </c>
      <c r="BL253" s="1327">
        <v>16.945383333333336</v>
      </c>
      <c r="BM253" s="1355">
        <v>16.945383333333336</v>
      </c>
      <c r="BN253" s="1346">
        <v>16.945383333333336</v>
      </c>
      <c r="BO253" s="1347">
        <v>16.945383333333336</v>
      </c>
      <c r="BP253" s="1328">
        <v>16.945383333333336</v>
      </c>
      <c r="BQ253" s="1319">
        <v>16.945383333333336</v>
      </c>
      <c r="BR253" s="1321">
        <v>16.945383333333336</v>
      </c>
      <c r="BS253" s="1376">
        <v>16.945383333333336</v>
      </c>
      <c r="BT253" s="1358">
        <v>16.945383333333336</v>
      </c>
      <c r="CA253" s="1056">
        <f t="shared" si="30"/>
        <v>5500000</v>
      </c>
      <c r="CB253" s="1369">
        <v>232.3138579289066</v>
      </c>
      <c r="CC253" s="1369">
        <v>650.3206506625007</v>
      </c>
      <c r="CD253" s="1369">
        <v>1068.3446813503872</v>
      </c>
      <c r="CE253" s="1369">
        <v>1486.3859331586261</v>
      </c>
      <c r="CF253" s="1369">
        <v>1904.4443892697172</v>
      </c>
      <c r="CG253" s="1369">
        <v>3994.994146904181</v>
      </c>
      <c r="CH253" s="1369">
        <v>6085.971498909499</v>
      </c>
      <c r="CI253" s="1369">
        <v>7991.698681496409</v>
      </c>
      <c r="CJ253" s="1369">
        <v>10083.524981030554</v>
      </c>
      <c r="CK253" s="1369">
        <v>12175.772653982976</v>
      </c>
      <c r="CL253" s="1369">
        <v>14082.763966880895</v>
      </c>
      <c r="CM253" s="1369">
        <v>16175.848236258675</v>
      </c>
      <c r="CN253" s="1369">
        <v>18269.347748609085</v>
      </c>
      <c r="CO253" s="1369">
        <v>20177.58480033475</v>
      </c>
      <c r="CP253" s="610"/>
      <c r="CR253" s="1056">
        <f t="shared" si="31"/>
        <v>5500000</v>
      </c>
      <c r="CS253" s="577">
        <v>0.016339647397560553</v>
      </c>
      <c r="CT253" s="577">
        <v>0.037467238647274685</v>
      </c>
      <c r="CU253" s="577">
        <v>0.04451107658604718</v>
      </c>
      <c r="CV253" s="577">
        <v>0.04803397523942639</v>
      </c>
      <c r="CW253" s="577">
        <v>0.050148497413270175</v>
      </c>
      <c r="CX253" s="577">
        <v>0.054383400756602536</v>
      </c>
      <c r="CY253" s="577">
        <v>0.055801521926916536</v>
      </c>
      <c r="CZ253" s="577">
        <v>0.054402861040317496</v>
      </c>
      <c r="DA253" s="577">
        <v>0.05525756894427184</v>
      </c>
      <c r="DB253" s="577">
        <v>0.055830570388074416</v>
      </c>
      <c r="DC253" s="577">
        <v>0.05503540461537506</v>
      </c>
      <c r="DD253" s="577">
        <v>0.05549768551231159</v>
      </c>
      <c r="DE253" s="577">
        <v>0.055859337103865564</v>
      </c>
      <c r="DF253" s="577">
        <v>0.05530551385012652</v>
      </c>
      <c r="DI253" s="681">
        <f t="shared" si="32"/>
        <v>5500000</v>
      </c>
      <c r="DJ253" s="1377">
        <v>16.945383333333336</v>
      </c>
      <c r="DK253" s="1378">
        <v>18.41635543294271</v>
      </c>
      <c r="DL253" s="1379">
        <v>19.88589103636106</v>
      </c>
      <c r="DM253" s="1352">
        <v>21.353991546416694</v>
      </c>
      <c r="DN253" s="1380">
        <v>22.82065836456798</v>
      </c>
      <c r="DO253" s="1381">
        <v>30.132536032073745</v>
      </c>
      <c r="DP253" s="1382">
        <v>37.40878083534171</v>
      </c>
      <c r="DQ253" s="1381">
        <v>60.12253975681017</v>
      </c>
      <c r="DR253" s="1353">
        <v>67.32803893267595</v>
      </c>
      <c r="DS253" s="1382">
        <v>74.49842365701853</v>
      </c>
      <c r="DT253" s="1353">
        <v>97.10683838590315</v>
      </c>
      <c r="DU253" s="1382">
        <v>104.2075067414657</v>
      </c>
      <c r="DV253" s="1382">
        <v>111.27357151597596</v>
      </c>
      <c r="DW253" s="1353">
        <v>133.778174675882</v>
      </c>
    </row>
    <row r="254">
      <c r="Y254" s="1056">
        <f t="shared" si="26"/>
        <v>7000000</v>
      </c>
      <c r="Z254" s="590">
        <v>0.02666480785164911</v>
      </c>
      <c r="AA254" s="590">
        <v>0.035525272366515315</v>
      </c>
      <c r="AB254" s="590">
        <v>0.04438573688138156</v>
      </c>
      <c r="AC254" s="590">
        <v>0.05324620139624776</v>
      </c>
      <c r="AD254" s="590">
        <v>0.06210666591111399</v>
      </c>
      <c r="AE254" s="590">
        <v>0.07096713042598021</v>
      </c>
      <c r="AF254" s="590">
        <v>0.07982759494084643</v>
      </c>
      <c r="AG254" s="610"/>
      <c r="AI254" s="1056">
        <f t="shared" si="27"/>
        <v>7000000</v>
      </c>
      <c r="AJ254" s="944">
        <v>0.016538251929288966</v>
      </c>
      <c r="AK254" s="880">
        <v>0.019135779282598867</v>
      </c>
      <c r="AL254" s="762">
        <v>0.02168278689895648</v>
      </c>
      <c r="AM254" s="887">
        <v>0.024189166011070382</v>
      </c>
      <c r="AN254" s="844">
        <v>0.02666480785164911</v>
      </c>
      <c r="AO254" s="844">
        <v>0.027648673787977456</v>
      </c>
      <c r="AP254" s="902">
        <v>0.028629837396986903</v>
      </c>
      <c r="AQ254" s="931">
        <v>0.029608931717570765</v>
      </c>
      <c r="AR254" s="932">
        <v>0.03058658978862244</v>
      </c>
      <c r="AS254" s="763">
        <v>0.03156344464903522</v>
      </c>
      <c r="AT254" s="610"/>
      <c r="AV254" s="1056">
        <f t="shared" si="28"/>
        <v>7000000</v>
      </c>
      <c r="AW254" s="944">
        <v>0.1737139210122674</v>
      </c>
      <c r="AX254" s="880">
        <v>0.1645385342069946</v>
      </c>
      <c r="AY254" s="762">
        <v>0.15643643098463106</v>
      </c>
      <c r="AZ254" s="887">
        <v>0.14920649590155102</v>
      </c>
      <c r="BA254" s="844">
        <v>0.14269262599664467</v>
      </c>
      <c r="BB254" s="844">
        <v>0.14025913019511105</v>
      </c>
      <c r="BC254" s="902">
        <v>0.13791359657337446</v>
      </c>
      <c r="BD254" s="931">
        <v>0.13564992622248126</v>
      </c>
      <c r="BE254" s="932">
        <v>0.13346252775823442</v>
      </c>
      <c r="BF254" s="763">
        <v>0.13134626724925977</v>
      </c>
      <c r="BJ254" s="1056">
        <f t="shared" si="29"/>
        <v>7000000</v>
      </c>
      <c r="BK254" s="1383">
        <v>16.945383333333336</v>
      </c>
      <c r="BL254" s="1374">
        <v>16.945383333333336</v>
      </c>
      <c r="BM254" s="1327">
        <v>16.945383333333336</v>
      </c>
      <c r="BN254" s="1348">
        <v>16.945383333333336</v>
      </c>
      <c r="BO254" s="1349">
        <v>16.945383333333336</v>
      </c>
      <c r="BP254" s="1349">
        <v>16.945383333333336</v>
      </c>
      <c r="BQ254" s="1347">
        <v>16.945383333333336</v>
      </c>
      <c r="BR254" s="1328">
        <v>16.945383333333336</v>
      </c>
      <c r="BS254" s="1319">
        <v>16.945383333333336</v>
      </c>
      <c r="BT254" s="1321">
        <v>16.945383333333336</v>
      </c>
      <c r="CA254" s="1056">
        <f t="shared" si="30"/>
        <v>6000000</v>
      </c>
      <c r="CB254" s="1369">
        <v>213.7666173444594</v>
      </c>
      <c r="CC254" s="1369">
        <v>613.2261694936063</v>
      </c>
      <c r="CD254" s="1369">
        <v>1012.7029595970457</v>
      </c>
      <c r="CE254" s="1369">
        <v>1412.1969708208374</v>
      </c>
      <c r="CF254" s="1369">
        <v>1811.7081863474814</v>
      </c>
      <c r="CG254" s="1369">
        <v>3809.5217410597093</v>
      </c>
      <c r="CH254" s="1369">
        <v>5807.762890142792</v>
      </c>
      <c r="CI254" s="1369">
        <v>7620.753869807466</v>
      </c>
      <c r="CJ254" s="1369">
        <v>9619.843966419374</v>
      </c>
      <c r="CK254" s="1369">
        <v>11619.355436449561</v>
      </c>
      <c r="CL254" s="1369">
        <v>13433.610546425243</v>
      </c>
      <c r="CM254" s="1369">
        <v>15433.958612880788</v>
      </c>
      <c r="CN254" s="1369">
        <v>17434.721922308963</v>
      </c>
      <c r="CO254" s="1369">
        <v>19250.22277111239</v>
      </c>
      <c r="CP254" s="610"/>
      <c r="CR254" s="1056">
        <f t="shared" si="31"/>
        <v>6000000</v>
      </c>
      <c r="CS254" s="577">
        <v>0.013674093132870794</v>
      </c>
      <c r="CT254" s="577">
        <v>0.03480168438258493</v>
      </c>
      <c r="CU254" s="577">
        <v>0.04184552232135741</v>
      </c>
      <c r="CV254" s="577">
        <v>0.04536842097473663</v>
      </c>
      <c r="CW254" s="577">
        <v>0.047482943148580405</v>
      </c>
      <c r="CX254" s="577">
        <v>0.051717846491912765</v>
      </c>
      <c r="CY254" s="577">
        <v>0.053135967662226766</v>
      </c>
      <c r="CZ254" s="577">
        <v>0.05173730677562771</v>
      </c>
      <c r="DA254" s="577">
        <v>0.05259201467958207</v>
      </c>
      <c r="DB254" s="577">
        <v>0.053165016123384645</v>
      </c>
      <c r="DC254" s="577">
        <v>0.052369850350685296</v>
      </c>
      <c r="DD254" s="577">
        <v>0.052832131247621816</v>
      </c>
      <c r="DE254" s="577">
        <v>0.0531937828391758</v>
      </c>
      <c r="DF254" s="577">
        <v>0.052639959585436755</v>
      </c>
      <c r="DI254" s="681">
        <f t="shared" si="32"/>
        <v>6000000</v>
      </c>
      <c r="DJ254" s="1384">
        <v>16.945383333333336</v>
      </c>
      <c r="DK254" s="1385">
        <v>18.41635543294271</v>
      </c>
      <c r="DL254" s="1386">
        <v>19.88589103636106</v>
      </c>
      <c r="DM254" s="1387">
        <v>21.353991546416694</v>
      </c>
      <c r="DN254" s="1372">
        <v>22.82065836456798</v>
      </c>
      <c r="DO254" s="1388">
        <v>30.132536032073745</v>
      </c>
      <c r="DP254" s="1345">
        <v>37.40878083534171</v>
      </c>
      <c r="DQ254" s="1388">
        <v>60.12253975681017</v>
      </c>
      <c r="DR254" s="1389">
        <v>67.32803893267595</v>
      </c>
      <c r="DS254" s="1345">
        <v>74.49842365701853</v>
      </c>
      <c r="DT254" s="1389">
        <v>97.10683838590315</v>
      </c>
      <c r="DU254" s="1345">
        <v>104.2075067414657</v>
      </c>
      <c r="DV254" s="1345">
        <v>111.27357151597596</v>
      </c>
      <c r="DW254" s="1345">
        <v>133.778174675882</v>
      </c>
    </row>
    <row r="255">
      <c r="Y255" s="1056">
        <f t="shared" si="26"/>
        <v>7500000</v>
      </c>
      <c r="Z255" s="590">
        <v>0.02474197551380408</v>
      </c>
      <c r="AA255" s="590">
        <v>0.03330199747588203</v>
      </c>
      <c r="AB255" s="590">
        <v>0.041862019437959946</v>
      </c>
      <c r="AC255" s="590">
        <v>0.050422041400037886</v>
      </c>
      <c r="AD255" s="590">
        <v>0.058982063362115845</v>
      </c>
      <c r="AE255" s="590">
        <v>0.06754208532419374</v>
      </c>
      <c r="AF255" s="590">
        <v>0.07610210728627169</v>
      </c>
      <c r="AG255" s="610"/>
      <c r="AI255" s="1056">
        <f t="shared" si="27"/>
        <v>7500000</v>
      </c>
      <c r="AJ255" s="803">
        <v>0.014958793046318962</v>
      </c>
      <c r="AK255" s="956">
        <v>0.017468242878675374</v>
      </c>
      <c r="AL255" s="843">
        <v>0.019928886008278857</v>
      </c>
      <c r="AM255" s="804">
        <v>0.022350278273773658</v>
      </c>
      <c r="AN255" s="887">
        <v>0.02474197551380408</v>
      </c>
      <c r="AO255" s="914">
        <v>0.02569248031054252</v>
      </c>
      <c r="AP255" s="844">
        <v>0.026640374411062973</v>
      </c>
      <c r="AQ255" s="844">
        <v>0.027597627485463433</v>
      </c>
      <c r="AR255" s="902">
        <v>0.028542134914567592</v>
      </c>
      <c r="AS255" s="1200">
        <v>0.02948586636847346</v>
      </c>
      <c r="AT255" s="610"/>
      <c r="AV255" s="1056">
        <f t="shared" si="28"/>
        <v>7500000</v>
      </c>
      <c r="AW255" s="803">
        <v>0.1798109911033258</v>
      </c>
      <c r="AX255" s="956">
        <v>0.1703135634613812</v>
      </c>
      <c r="AY255" s="843">
        <v>0.16192708987339652</v>
      </c>
      <c r="AZ255" s="804">
        <v>0.15444339607772475</v>
      </c>
      <c r="BA255" s="887">
        <v>0.14770090015860596</v>
      </c>
      <c r="BB255" s="914">
        <v>0.1451819926964421</v>
      </c>
      <c r="BC255" s="844">
        <v>0.14275413474048215</v>
      </c>
      <c r="BD255" s="844">
        <v>0.14041101332019837</v>
      </c>
      <c r="BE255" s="902">
        <v>0.13814684080309572</v>
      </c>
      <c r="BF255" s="1200">
        <v>0.13595630306533613</v>
      </c>
      <c r="BJ255" s="1056">
        <f t="shared" si="29"/>
        <v>7500000</v>
      </c>
      <c r="BK255" s="1353">
        <v>16.945383333333336</v>
      </c>
      <c r="BL255" s="1390">
        <v>16.945383333333336</v>
      </c>
      <c r="BM255" s="1354">
        <v>16.945383333333336</v>
      </c>
      <c r="BN255" s="1355">
        <v>16.945383333333336</v>
      </c>
      <c r="BO255" s="1348">
        <v>16.945383333333336</v>
      </c>
      <c r="BP255" s="1368">
        <v>16.945383333333336</v>
      </c>
      <c r="BQ255" s="1349">
        <v>16.945383333333336</v>
      </c>
      <c r="BR255" s="1349">
        <v>16.945383333333336</v>
      </c>
      <c r="BS255" s="1347">
        <v>16.945383333333336</v>
      </c>
      <c r="BT255" s="1356">
        <v>16.945383333333336</v>
      </c>
      <c r="CA255" s="1056">
        <f t="shared" si="30"/>
        <v>6500000</v>
      </c>
      <c r="CB255" s="1369">
        <v>197.4028949885643</v>
      </c>
      <c r="CC255" s="1369">
        <v>580.4987247818161</v>
      </c>
      <c r="CD255" s="1369">
        <v>963.6117925293604</v>
      </c>
      <c r="CE255" s="1369">
        <v>1346.742081397257</v>
      </c>
      <c r="CF255" s="1369">
        <v>1729.8895745680059</v>
      </c>
      <c r="CG255" s="1369">
        <v>3645.884517500758</v>
      </c>
      <c r="CH255" s="1369">
        <v>5562.307054804364</v>
      </c>
      <c r="CI255" s="1369">
        <v>7293.479422689565</v>
      </c>
      <c r="CJ255" s="1369">
        <v>9210.750907521995</v>
      </c>
      <c r="CK255" s="1369">
        <v>11128.443765772707</v>
      </c>
      <c r="CL255" s="1369">
        <v>12860.880263968915</v>
      </c>
      <c r="CM255" s="1369">
        <v>14779.409718644984</v>
      </c>
      <c r="CN255" s="1369">
        <v>16698.35441629368</v>
      </c>
      <c r="CO255" s="1369">
        <v>18432.03665331763</v>
      </c>
      <c r="CP255" s="610"/>
      <c r="CR255" s="1056">
        <f t="shared" si="31"/>
        <v>6500000</v>
      </c>
      <c r="CS255" s="577">
        <v>0.01132234761507491</v>
      </c>
      <c r="CT255" s="577">
        <v>0.032449938864789044</v>
      </c>
      <c r="CU255" s="577">
        <v>0.03949377680356154</v>
      </c>
      <c r="CV255" s="577">
        <v>0.04301667545694074</v>
      </c>
      <c r="CW255" s="577">
        <v>0.04513119763078453</v>
      </c>
      <c r="CX255" s="577">
        <v>0.04936610097411689</v>
      </c>
      <c r="CY255" s="577">
        <v>0.050784222144430895</v>
      </c>
      <c r="CZ255" s="577">
        <v>0.04938556125783184</v>
      </c>
      <c r="DA255" s="577">
        <v>0.05024026916178619</v>
      </c>
      <c r="DB255" s="577">
        <v>0.050813270605588774</v>
      </c>
      <c r="DC255" s="577">
        <v>0.05001810483288942</v>
      </c>
      <c r="DD255" s="577">
        <v>0.05048038572982594</v>
      </c>
      <c r="DE255" s="577">
        <v>0.05084203732137992</v>
      </c>
      <c r="DF255" s="577">
        <v>0.05028821406764088</v>
      </c>
      <c r="DI255" s="681">
        <f t="shared" si="32"/>
        <v>6500000</v>
      </c>
      <c r="DJ255" s="1391">
        <v>16.945383333333336</v>
      </c>
      <c r="DK255" s="1344">
        <v>18.41635543294271</v>
      </c>
      <c r="DL255" s="1392">
        <v>19.88589103636106</v>
      </c>
      <c r="DM255" s="1393">
        <v>21.353991546416694</v>
      </c>
      <c r="DN255" s="1379">
        <v>22.82065836456798</v>
      </c>
      <c r="DO255" s="1380">
        <v>30.132536032073745</v>
      </c>
      <c r="DP255" s="1373">
        <v>37.40878083534171</v>
      </c>
      <c r="DQ255" s="1380">
        <v>60.12253975681017</v>
      </c>
      <c r="DR255" s="1380">
        <v>67.32803893267595</v>
      </c>
      <c r="DS255" s="1373">
        <v>74.49842365701853</v>
      </c>
      <c r="DT255" s="1380">
        <v>97.10683838590315</v>
      </c>
      <c r="DU255" s="1373">
        <v>104.2075067414657</v>
      </c>
      <c r="DV255" s="1373">
        <v>111.27357151597596</v>
      </c>
      <c r="DW255" s="1380">
        <v>133.778174675882</v>
      </c>
    </row>
    <row r="256">
      <c r="Y256" s="1056">
        <f t="shared" si="26"/>
        <v>8000000</v>
      </c>
      <c r="Z256" s="590">
        <v>0.02300235096018143</v>
      </c>
      <c r="AA256" s="590">
        <v>0.03129055658575583</v>
      </c>
      <c r="AB256" s="590">
        <v>0.03957876221133023</v>
      </c>
      <c r="AC256" s="590">
        <v>0.047866967836904604</v>
      </c>
      <c r="AD256" s="590">
        <v>0.05615517346247898</v>
      </c>
      <c r="AE256" s="590">
        <v>0.06444337908805339</v>
      </c>
      <c r="AF256" s="590">
        <v>0.07273158471362778</v>
      </c>
      <c r="AG256" s="610"/>
      <c r="AI256" s="1056">
        <f t="shared" si="27"/>
        <v>8000000</v>
      </c>
      <c r="AJ256" s="967">
        <v>0.01354118336423663</v>
      </c>
      <c r="AK256" s="861">
        <v>0.015970947716451474</v>
      </c>
      <c r="AL256" s="880">
        <v>0.01835345518192997</v>
      </c>
      <c r="AM256" s="762">
        <v>0.02069795816165418</v>
      </c>
      <c r="AN256" s="804">
        <v>0.023013709056606192</v>
      </c>
      <c r="AO256" s="887">
        <v>0.02393403136867076</v>
      </c>
      <c r="AP256" s="887">
        <v>0.024851825884991734</v>
      </c>
      <c r="AQ256" s="914">
        <v>0.025767684759232013</v>
      </c>
      <c r="AR256" s="844">
        <v>0.026682200145054416</v>
      </c>
      <c r="AS256" s="844">
        <v>0.02759596419612178</v>
      </c>
      <c r="AT256" s="610"/>
      <c r="AV256" s="1056">
        <f t="shared" si="28"/>
        <v>8000000</v>
      </c>
      <c r="AW256" s="967">
        <v>0.18570799306886152</v>
      </c>
      <c r="AX256" s="861">
        <v>0.17589909197844514</v>
      </c>
      <c r="AY256" s="880">
        <v>0.167237579301199</v>
      </c>
      <c r="AZ256" s="762">
        <v>0.15950845358419835</v>
      </c>
      <c r="BA256" s="804">
        <v>0.15254483374243338</v>
      </c>
      <c r="BB256" s="887">
        <v>0.14994331730200716</v>
      </c>
      <c r="BC256" s="887">
        <v>0.14743583638723654</v>
      </c>
      <c r="BD256" s="914">
        <v>0.1450158709901963</v>
      </c>
      <c r="BE256" s="844">
        <v>0.14267744366974855</v>
      </c>
      <c r="BF256" s="844">
        <v>0.14041506602239343</v>
      </c>
      <c r="BJ256" s="1056">
        <f t="shared" si="29"/>
        <v>8000000</v>
      </c>
      <c r="BK256" s="1381">
        <v>16.945383333333336</v>
      </c>
      <c r="BL256" s="1382">
        <v>16.945383333333336</v>
      </c>
      <c r="BM256" s="1374">
        <v>16.945383333333336</v>
      </c>
      <c r="BN256" s="1327">
        <v>16.945383333333336</v>
      </c>
      <c r="BO256" s="1355">
        <v>16.945383333333336</v>
      </c>
      <c r="BP256" s="1348">
        <v>16.945383333333336</v>
      </c>
      <c r="BQ256" s="1348">
        <v>16.945383333333336</v>
      </c>
      <c r="BR256" s="1368">
        <v>16.945383333333336</v>
      </c>
      <c r="BS256" s="1349">
        <v>16.945383333333336</v>
      </c>
      <c r="BT256" s="1349">
        <v>16.945383333333336</v>
      </c>
      <c r="CA256" s="1056">
        <f t="shared" si="30"/>
        <v>7000000</v>
      </c>
      <c r="CB256" s="1369">
        <v>182.82534885809775</v>
      </c>
      <c r="CC256" s="1369">
        <v>551.343632520883</v>
      </c>
      <c r="CD256" s="1369">
        <v>919.8791541379605</v>
      </c>
      <c r="CE256" s="1369">
        <v>1288.4318968753907</v>
      </c>
      <c r="CF256" s="1369">
        <v>1657.0018439156731</v>
      </c>
      <c r="CG256" s="1369">
        <v>3500.1090561960928</v>
      </c>
      <c r="CH256" s="1369">
        <v>5343.643862847366</v>
      </c>
      <c r="CI256" s="1369">
        <v>7001.928500080234</v>
      </c>
      <c r="CJ256" s="1369">
        <v>8846.312254260332</v>
      </c>
      <c r="CK256" s="1369">
        <v>10691.11738185871</v>
      </c>
      <c r="CL256" s="1369">
        <v>12350.666149402585</v>
      </c>
      <c r="CM256" s="1369">
        <v>14196.307873426322</v>
      </c>
      <c r="CN256" s="1369">
        <v>16042.36484042269</v>
      </c>
      <c r="CO256" s="1369">
        <v>17703.159346794306</v>
      </c>
      <c r="CP256" s="610"/>
      <c r="CR256" s="1056">
        <f t="shared" si="31"/>
        <v>7000000</v>
      </c>
      <c r="CS256" s="577">
        <v>0.009227306033020908</v>
      </c>
      <c r="CT256" s="577">
        <v>0.030354897282735042</v>
      </c>
      <c r="CU256" s="577">
        <v>0.03739873522150754</v>
      </c>
      <c r="CV256" s="577">
        <v>0.040921633874886745</v>
      </c>
      <c r="CW256" s="577">
        <v>0.04303615604873053</v>
      </c>
      <c r="CX256" s="577">
        <v>0.04727105939206289</v>
      </c>
      <c r="CY256" s="577">
        <v>0.048689180562376894</v>
      </c>
      <c r="CZ256" s="577">
        <v>0.04729051967577785</v>
      </c>
      <c r="DA256" s="577">
        <v>0.0481452275797322</v>
      </c>
      <c r="DB256" s="577">
        <v>0.04871822902353477</v>
      </c>
      <c r="DC256" s="577">
        <v>0.04792306325083542</v>
      </c>
      <c r="DD256" s="577">
        <v>0.048385344147771944</v>
      </c>
      <c r="DE256" s="577">
        <v>0.04874699573932592</v>
      </c>
      <c r="DF256" s="577">
        <v>0.04819317248558688</v>
      </c>
      <c r="DI256" s="681">
        <f t="shared" si="32"/>
        <v>7000000</v>
      </c>
      <c r="DJ256" s="1394">
        <v>16.945383333333336</v>
      </c>
      <c r="DK256" s="1395">
        <v>18.41635543294271</v>
      </c>
      <c r="DL256" s="1378">
        <v>19.88589103636106</v>
      </c>
      <c r="DM256" s="1371">
        <v>21.353991546416694</v>
      </c>
      <c r="DN256" s="1393">
        <v>22.82065836456798</v>
      </c>
      <c r="DO256" s="1372">
        <v>30.132536032073745</v>
      </c>
      <c r="DP256" s="1352">
        <v>37.40878083534171</v>
      </c>
      <c r="DQ256" s="1372">
        <v>60.12253975681017</v>
      </c>
      <c r="DR256" s="1352">
        <v>67.32803893267595</v>
      </c>
      <c r="DS256" s="1396">
        <v>74.49842365701853</v>
      </c>
      <c r="DT256" s="1372">
        <v>97.10683838590315</v>
      </c>
      <c r="DU256" s="1352">
        <v>104.2075067414657</v>
      </c>
      <c r="DV256" s="1396">
        <v>111.27357151597596</v>
      </c>
      <c r="DW256" s="1352">
        <v>133.778174675882</v>
      </c>
    </row>
    <row r="257">
      <c r="Y257" s="1056">
        <f t="shared" si="26"/>
        <v>8500000</v>
      </c>
      <c r="Z257" s="591">
        <v>0.021418574331310718</v>
      </c>
      <c r="AA257" s="591">
        <v>0.02945931485862406</v>
      </c>
      <c r="AB257" s="591">
        <v>0.037500055385937425</v>
      </c>
      <c r="AC257" s="591">
        <v>0.045540795913250776</v>
      </c>
      <c r="AD257" s="591">
        <v>0.053581536440564105</v>
      </c>
      <c r="AE257" s="591">
        <v>0.06162227696787748</v>
      </c>
      <c r="AF257" s="591">
        <v>0.06966301749519081</v>
      </c>
      <c r="AG257" s="610"/>
      <c r="AI257" s="1056">
        <f t="shared" si="27"/>
        <v>8500000</v>
      </c>
      <c r="AJ257" s="980">
        <v>0.012240232669849199</v>
      </c>
      <c r="AK257" s="981">
        <v>0.014597450333270891</v>
      </c>
      <c r="AL257" s="982">
        <v>0.016908822082445124</v>
      </c>
      <c r="AM257" s="1005">
        <v>0.01918332406479295</v>
      </c>
      <c r="AN257" s="1007">
        <v>0.021429932427735474</v>
      </c>
      <c r="AO257" s="985">
        <v>0.02232277621650133</v>
      </c>
      <c r="AP257" s="985">
        <v>0.02321316768318466</v>
      </c>
      <c r="AQ257" s="986">
        <v>0.024101681301220406</v>
      </c>
      <c r="AR257" s="986">
        <v>0.024988891544043514</v>
      </c>
      <c r="AS257" s="1210">
        <v>0.025875372885088954</v>
      </c>
      <c r="AT257" s="610"/>
      <c r="AV257" s="1056">
        <f t="shared" si="28"/>
        <v>8500000</v>
      </c>
      <c r="AW257" s="980">
        <v>0.1914234177360971</v>
      </c>
      <c r="AX257" s="981">
        <v>0.18131263391934144</v>
      </c>
      <c r="AY257" s="982">
        <v>0.17238455100786332</v>
      </c>
      <c r="AZ257" s="1005">
        <v>0.16441755057664542</v>
      </c>
      <c r="BA257" s="1007">
        <v>0.1572396155405845</v>
      </c>
      <c r="BB257" s="985">
        <v>0.15455803377291996</v>
      </c>
      <c r="BC257" s="985">
        <v>0.15197338160646498</v>
      </c>
      <c r="BD257" s="986">
        <v>0.1494789383708808</v>
      </c>
      <c r="BE257" s="986">
        <v>0.1470685426608718</v>
      </c>
      <c r="BF257" s="1210">
        <v>0.14473653715960136</v>
      </c>
      <c r="BJ257" s="1056">
        <f t="shared" si="29"/>
        <v>8500000</v>
      </c>
      <c r="BK257" s="1397">
        <v>16.945383333333336</v>
      </c>
      <c r="BL257" s="1363">
        <v>16.945383333333336</v>
      </c>
      <c r="BM257" s="1364">
        <v>16.945383333333336</v>
      </c>
      <c r="BN257" s="1398">
        <v>16.945383333333336</v>
      </c>
      <c r="BO257" s="1399">
        <v>16.945383333333336</v>
      </c>
      <c r="BP257" s="1365">
        <v>16.945383333333336</v>
      </c>
      <c r="BQ257" s="1365">
        <v>16.945383333333336</v>
      </c>
      <c r="BR257" s="1366">
        <v>16.945383333333336</v>
      </c>
      <c r="BS257" s="1366">
        <v>16.945383333333336</v>
      </c>
      <c r="BT257" s="1400">
        <v>16.945383333333336</v>
      </c>
      <c r="CA257" s="1056">
        <f t="shared" si="30"/>
        <v>7500000</v>
      </c>
      <c r="CB257" s="1369">
        <v>169.73101446396015</v>
      </c>
      <c r="CC257" s="1369">
        <v>525.1549637326078</v>
      </c>
      <c r="CD257" s="1369">
        <v>880.5961509555477</v>
      </c>
      <c r="CE257" s="1369">
        <v>1236.0545592988403</v>
      </c>
      <c r="CF257" s="1369">
        <v>1591.5301719449849</v>
      </c>
      <c r="CG257" s="1369">
        <v>3369.1657122547163</v>
      </c>
      <c r="CH257" s="1369">
        <v>5147.2288469353025</v>
      </c>
      <c r="CI257" s="1369">
        <v>6740.04181219748</v>
      </c>
      <c r="CJ257" s="1369">
        <v>8518.953894406892</v>
      </c>
      <c r="CK257" s="1369">
        <v>10298.287350034583</v>
      </c>
      <c r="CL257" s="1369">
        <v>11892.364445607767</v>
      </c>
      <c r="CM257" s="1369">
        <v>13672.534497660816</v>
      </c>
      <c r="CN257" s="1369">
        <v>15453.119792686497</v>
      </c>
      <c r="CO257" s="1369">
        <v>17048.442627087425</v>
      </c>
      <c r="CP257" s="610"/>
      <c r="CR257" s="1056">
        <f t="shared" si="31"/>
        <v>7500000</v>
      </c>
      <c r="CS257" s="577">
        <v>0.007345427231231046</v>
      </c>
      <c r="CT257" s="577">
        <v>0.028473018480945182</v>
      </c>
      <c r="CU257" s="577">
        <v>0.03551685641971766</v>
      </c>
      <c r="CV257" s="577">
        <v>0.03903975507309688</v>
      </c>
      <c r="CW257" s="577">
        <v>0.041154277246940665</v>
      </c>
      <c r="CX257" s="577">
        <v>0.045389180590273026</v>
      </c>
      <c r="CY257" s="577">
        <v>0.046807301760587026</v>
      </c>
      <c r="CZ257" s="577">
        <v>0.04540864087398798</v>
      </c>
      <c r="DA257" s="577">
        <v>0.04626334877794234</v>
      </c>
      <c r="DB257" s="577">
        <v>0.046836350221744906</v>
      </c>
      <c r="DC257" s="577">
        <v>0.04604118444904556</v>
      </c>
      <c r="DD257" s="577">
        <v>0.04650346534598208</v>
      </c>
      <c r="DE257" s="577">
        <v>0.04686511693753607</v>
      </c>
      <c r="DF257" s="577">
        <v>0.04631129368379703</v>
      </c>
      <c r="DI257" s="681">
        <f t="shared" si="32"/>
        <v>7500000</v>
      </c>
      <c r="DJ257" s="1401">
        <v>16.945383333333336</v>
      </c>
      <c r="DK257" s="1402">
        <v>18.41635543294271</v>
      </c>
      <c r="DL257" s="1403">
        <v>19.88589103636106</v>
      </c>
      <c r="DM257" s="1392">
        <v>21.353991546416694</v>
      </c>
      <c r="DN257" s="1386">
        <v>22.82065836456798</v>
      </c>
      <c r="DO257" s="1387">
        <v>30.132536032073745</v>
      </c>
      <c r="DP257" s="1404">
        <v>37.40878083534171</v>
      </c>
      <c r="DQ257" s="1387">
        <v>60.12253975681017</v>
      </c>
      <c r="DR257" s="1318">
        <v>67.32803893267595</v>
      </c>
      <c r="DS257" s="1404">
        <v>74.49842365701853</v>
      </c>
      <c r="DT257" s="1405">
        <v>97.10683838590315</v>
      </c>
      <c r="DU257" s="1318">
        <v>104.2075067414657</v>
      </c>
      <c r="DV257" s="1404">
        <v>111.27357151597596</v>
      </c>
      <c r="DW257" s="1318">
        <v>133.778174675882</v>
      </c>
    </row>
    <row r="258">
      <c r="X258" s="1222"/>
      <c r="Y258" s="1056">
        <f t="shared" si="26"/>
        <v>9000000</v>
      </c>
      <c r="Z258" s="590">
        <v>0.019968684251115604</v>
      </c>
      <c r="AA258" s="590">
        <v>0.02778287945339846</v>
      </c>
      <c r="AB258" s="590">
        <v>0.035597074655681335</v>
      </c>
      <c r="AC258" s="590">
        <v>0.04341126985796419</v>
      </c>
      <c r="AD258" s="590">
        <v>0.051225465060247055</v>
      </c>
      <c r="AE258" s="590">
        <v>0.05903966026252989</v>
      </c>
      <c r="AF258" s="590">
        <v>0.06685385546481275</v>
      </c>
      <c r="AG258" s="610"/>
      <c r="AH258" s="1406"/>
      <c r="AI258" s="1056">
        <f t="shared" si="27"/>
        <v>9000000</v>
      </c>
      <c r="AJ258" s="994">
        <v>0.01104925947815596</v>
      </c>
      <c r="AK258" s="967">
        <v>0.013340063278337883</v>
      </c>
      <c r="AL258" s="861">
        <v>0.015586312858427778</v>
      </c>
      <c r="AM258" s="820">
        <v>0.01779673146572786</v>
      </c>
      <c r="AN258" s="843">
        <v>0.019980042347540368</v>
      </c>
      <c r="AO258" s="762">
        <v>0.020847730544524552</v>
      </c>
      <c r="AP258" s="785">
        <v>0.021713035512826405</v>
      </c>
      <c r="AQ258" s="804">
        <v>0.02257651554027331</v>
      </c>
      <c r="AR258" s="804">
        <v>0.023438728914692578</v>
      </c>
      <c r="AS258" s="887">
        <v>0.024300233923911556</v>
      </c>
      <c r="AT258" s="610"/>
      <c r="AU258" s="1222"/>
      <c r="AV258" s="1056">
        <f t="shared" si="28"/>
        <v>9000000</v>
      </c>
      <c r="AW258" s="994">
        <v>0.19697307182930449</v>
      </c>
      <c r="AX258" s="967">
        <v>0.18656916111377228</v>
      </c>
      <c r="AY258" s="861">
        <v>0.17738223958965124</v>
      </c>
      <c r="AZ258" s="820">
        <v>0.1691842637789495</v>
      </c>
      <c r="BA258" s="843">
        <v>0.1617982295613737</v>
      </c>
      <c r="BB258" s="762">
        <v>0.1590389046867832</v>
      </c>
      <c r="BC258" s="785">
        <v>0.15637931954898798</v>
      </c>
      <c r="BD258" s="804">
        <v>0.153812558635262</v>
      </c>
      <c r="BE258" s="804">
        <v>0.15133228191186127</v>
      </c>
      <c r="BF258" s="887">
        <v>0.14893266804778674</v>
      </c>
      <c r="BH258" s="569"/>
      <c r="BI258" s="1222"/>
      <c r="BJ258" s="1056">
        <f t="shared" si="29"/>
        <v>9000000</v>
      </c>
      <c r="BK258" s="1389">
        <v>16.945383333333336</v>
      </c>
      <c r="BL258" s="1381">
        <v>16.945383333333336</v>
      </c>
      <c r="BM258" s="1382">
        <v>16.945383333333336</v>
      </c>
      <c r="BN258" s="1308">
        <v>16.945383333333336</v>
      </c>
      <c r="BO258" s="1354">
        <v>16.945383333333336</v>
      </c>
      <c r="BP258" s="1327">
        <v>16.945383333333336</v>
      </c>
      <c r="BQ258" s="1407">
        <v>16.945383333333336</v>
      </c>
      <c r="BR258" s="1355">
        <v>16.945383333333336</v>
      </c>
      <c r="BS258" s="1355">
        <v>16.945383333333336</v>
      </c>
      <c r="BT258" s="1348">
        <v>16.945383333333336</v>
      </c>
      <c r="CA258" s="1056">
        <f t="shared" si="30"/>
        <v>8000000</v>
      </c>
      <c r="CB258" s="1369">
        <v>157.8843104237542</v>
      </c>
      <c r="CC258" s="1369">
        <v>501.4615556521959</v>
      </c>
      <c r="CD258" s="1369">
        <v>845.05603883493</v>
      </c>
      <c r="CE258" s="1369">
        <v>1188.6677431380165</v>
      </c>
      <c r="CF258" s="1369">
        <v>1532.2966517439552</v>
      </c>
      <c r="CG258" s="1369">
        <v>3250.698671852657</v>
      </c>
      <c r="CH258" s="1369">
        <v>4969.528286332213</v>
      </c>
      <c r="CI258" s="1369">
        <v>6503.107731393362</v>
      </c>
      <c r="CJ258" s="1369">
        <v>8222.786293401743</v>
      </c>
      <c r="CK258" s="1369">
        <v>9942.886228828404</v>
      </c>
      <c r="CL258" s="1369">
        <v>11477.729804200559</v>
      </c>
      <c r="CM258" s="1369">
        <v>13198.666336052578</v>
      </c>
      <c r="CN258" s="1369">
        <v>14920.018110877229</v>
      </c>
      <c r="CO258" s="1369">
        <v>16456.107425077127</v>
      </c>
      <c r="CP258" s="610"/>
      <c r="CR258" s="1056">
        <f t="shared" si="31"/>
        <v>8000000</v>
      </c>
      <c r="CS258" s="577">
        <v>0.005642854153952492</v>
      </c>
      <c r="CT258" s="577">
        <v>0.026770445403666628</v>
      </c>
      <c r="CU258" s="577">
        <v>0.03381428334243911</v>
      </c>
      <c r="CV258" s="577">
        <v>0.03733718199581833</v>
      </c>
      <c r="CW258" s="577">
        <v>0.039451704169662115</v>
      </c>
      <c r="CX258" s="577">
        <v>0.04368660751299447</v>
      </c>
      <c r="CY258" s="577">
        <v>0.045104728683308476</v>
      </c>
      <c r="CZ258" s="577">
        <v>0.04370606779670942</v>
      </c>
      <c r="DA258" s="577">
        <v>0.04456077570066378</v>
      </c>
      <c r="DB258" s="577">
        <v>0.045133777144466355</v>
      </c>
      <c r="DC258" s="577">
        <v>0.044338611371767</v>
      </c>
      <c r="DD258" s="577">
        <v>0.04480089226870352</v>
      </c>
      <c r="DE258" s="577">
        <v>0.045162543860257504</v>
      </c>
      <c r="DF258" s="577">
        <v>0.044608720606518465</v>
      </c>
      <c r="DI258" s="681">
        <f t="shared" si="32"/>
        <v>8000000</v>
      </c>
      <c r="DJ258" s="1408">
        <v>16.945383333333336</v>
      </c>
      <c r="DK258" s="1409">
        <v>18.41635543294271</v>
      </c>
      <c r="DL258" s="1410">
        <v>19.88589103636106</v>
      </c>
      <c r="DM258" s="1378">
        <v>21.353991546416694</v>
      </c>
      <c r="DN258" s="1392">
        <v>22.82065836456798</v>
      </c>
      <c r="DO258" s="1411">
        <v>30.132536032073745</v>
      </c>
      <c r="DP258" s="1379">
        <v>37.40878083534171</v>
      </c>
      <c r="DQ258" s="1412">
        <v>60.12253975681017</v>
      </c>
      <c r="DR258" s="1379">
        <v>67.32803893267595</v>
      </c>
      <c r="DS258" s="1379">
        <v>74.49842365701853</v>
      </c>
      <c r="DT258" s="1412">
        <v>97.10683838590315</v>
      </c>
      <c r="DU258" s="1379">
        <v>104.2075067414657</v>
      </c>
      <c r="DV258" s="1379">
        <v>111.27357151597596</v>
      </c>
      <c r="DW258" s="1379">
        <v>133.778174675882</v>
      </c>
    </row>
    <row r="259">
      <c r="X259" s="1222"/>
      <c r="Y259" s="1056">
        <f t="shared" si="26"/>
        <v>9500000</v>
      </c>
      <c r="Z259" s="591">
        <v>0.01863482122367376</v>
      </c>
      <c r="AA259" s="591">
        <v>0.02624060032791884</v>
      </c>
      <c r="AB259" s="591">
        <v>0.03384637943216389</v>
      </c>
      <c r="AC259" s="591">
        <v>0.04145215853640899</v>
      </c>
      <c r="AD259" s="591">
        <v>0.04905793764065406</v>
      </c>
      <c r="AE259" s="591">
        <v>0.05666371674489913</v>
      </c>
      <c r="AF259" s="591">
        <v>0.0642694958491442</v>
      </c>
      <c r="AG259" s="610"/>
      <c r="AH259" s="1222"/>
      <c r="AI259" s="1056">
        <f t="shared" si="27"/>
        <v>9500000</v>
      </c>
      <c r="AJ259" s="1002">
        <v>0.009953593586807672</v>
      </c>
      <c r="AK259" s="980">
        <v>0.012183298274791263</v>
      </c>
      <c r="AL259" s="981">
        <v>0.014369637069370623</v>
      </c>
      <c r="AM259" s="982">
        <v>0.01652110055599122</v>
      </c>
      <c r="AN259" s="1413">
        <v>0.01864617932009851</v>
      </c>
      <c r="AO259" s="1005">
        <v>0.0194907249945775</v>
      </c>
      <c r="AP259" s="1006">
        <v>0.02033295100459413</v>
      </c>
      <c r="AQ259" s="1007">
        <v>0.021173400747616918</v>
      </c>
      <c r="AR259" s="1008">
        <v>0.022012617621114377</v>
      </c>
      <c r="AS259" s="985">
        <v>0.022851145022555027</v>
      </c>
      <c r="AT259" s="610"/>
      <c r="AU259" s="1222"/>
      <c r="AV259" s="1056">
        <f t="shared" si="28"/>
        <v>9500000</v>
      </c>
      <c r="AW259" s="1002">
        <v>0.2023705936987298</v>
      </c>
      <c r="AX259" s="980">
        <v>0.19168159154865216</v>
      </c>
      <c r="AY259" s="981">
        <v>0.18224292693407404</v>
      </c>
      <c r="AZ259" s="982">
        <v>0.1738203074534922</v>
      </c>
      <c r="BA259" s="1413">
        <v>0.1662318786606202</v>
      </c>
      <c r="BB259" s="1005">
        <v>0.16339694184467582</v>
      </c>
      <c r="BC259" s="1006">
        <v>0.16066447786709023</v>
      </c>
      <c r="BD259" s="1007">
        <v>0.15802738171394934</v>
      </c>
      <c r="BE259" s="1008">
        <v>0.15547913961978777</v>
      </c>
      <c r="BF259" s="985">
        <v>0.15301377073555114</v>
      </c>
      <c r="BH259" s="569"/>
      <c r="BI259" s="1222"/>
      <c r="BJ259" s="1056">
        <f t="shared" si="29"/>
        <v>9500000</v>
      </c>
      <c r="BK259" s="1362">
        <v>16.945383333333336</v>
      </c>
      <c r="BL259" s="1397">
        <v>16.945383333333336</v>
      </c>
      <c r="BM259" s="1363">
        <v>16.945383333333336</v>
      </c>
      <c r="BN259" s="1364">
        <v>16.945383333333336</v>
      </c>
      <c r="BO259" s="1414">
        <v>16.945383333333336</v>
      </c>
      <c r="BP259" s="1398">
        <v>16.945383333333336</v>
      </c>
      <c r="BQ259" s="1415">
        <v>16.945383333333336</v>
      </c>
      <c r="BR259" s="1399">
        <v>16.945383333333336</v>
      </c>
      <c r="BS259" s="1416">
        <v>16.945383333333336</v>
      </c>
      <c r="BT259" s="1365">
        <v>16.945383333333336</v>
      </c>
      <c r="CA259" s="1056">
        <f t="shared" si="30"/>
        <v>8500000</v>
      </c>
      <c r="CB259" s="1359">
        <v>147.09891828327494</v>
      </c>
      <c r="CC259" s="1359">
        <v>479.8907713712374</v>
      </c>
      <c r="CD259" s="1359">
        <v>812.6998624134922</v>
      </c>
      <c r="CE259" s="1359">
        <v>1145.5261745760995</v>
      </c>
      <c r="CF259" s="1359">
        <v>1478.3696910415588</v>
      </c>
      <c r="CG259" s="1359">
        <v>3142.844750447864</v>
      </c>
      <c r="CH259" s="1359">
        <v>4807.747404225024</v>
      </c>
      <c r="CI259" s="1359">
        <v>6287.3998885837755</v>
      </c>
      <c r="CJ259" s="1359">
        <v>7953.151489889761</v>
      </c>
      <c r="CK259" s="1359">
        <v>9619.324464614027</v>
      </c>
      <c r="CL259" s="1359">
        <v>11100.241079283785</v>
      </c>
      <c r="CM259" s="1359">
        <v>12767.250650433407</v>
      </c>
      <c r="CN259" s="1359">
        <v>14434.675464555663</v>
      </c>
      <c r="CO259" s="1359">
        <v>15916.837818053162</v>
      </c>
      <c r="CP259" s="610"/>
      <c r="CR259" s="1056">
        <f t="shared" si="31"/>
        <v>8500000</v>
      </c>
      <c r="CS259" s="594">
        <v>0.004092809666983721</v>
      </c>
      <c r="CT259" s="594">
        <v>0.025220400916697857</v>
      </c>
      <c r="CU259" s="594">
        <v>0.03226423885547034</v>
      </c>
      <c r="CV259" s="594">
        <v>0.035787137508849556</v>
      </c>
      <c r="CW259" s="594">
        <v>0.037901659682693344</v>
      </c>
      <c r="CX259" s="594">
        <v>0.0421365630260257</v>
      </c>
      <c r="CY259" s="594">
        <v>0.043554684196339705</v>
      </c>
      <c r="CZ259" s="594">
        <v>0.04215602330974066</v>
      </c>
      <c r="DA259" s="594">
        <v>0.043010731213695</v>
      </c>
      <c r="DB259" s="594">
        <v>0.043583732657497584</v>
      </c>
      <c r="DC259" s="594">
        <v>0.04278856688479823</v>
      </c>
      <c r="DD259" s="594">
        <v>0.04325084778173475</v>
      </c>
      <c r="DE259" s="594">
        <v>0.04361249937328873</v>
      </c>
      <c r="DF259" s="594">
        <v>0.043058676119549694</v>
      </c>
      <c r="DI259" s="681">
        <f t="shared" si="32"/>
        <v>8500000</v>
      </c>
      <c r="DJ259" s="1417">
        <v>16.945383333333336</v>
      </c>
      <c r="DK259" s="1418">
        <v>18.41635543294271</v>
      </c>
      <c r="DL259" s="1419">
        <v>19.88589103636106</v>
      </c>
      <c r="DM259" s="1420">
        <v>21.353991546416694</v>
      </c>
      <c r="DN259" s="1421">
        <v>22.82065836456798</v>
      </c>
      <c r="DO259" s="1422">
        <v>30.132536032073745</v>
      </c>
      <c r="DP259" s="1423">
        <v>37.40878083534171</v>
      </c>
      <c r="DQ259" s="1422">
        <v>60.12253975681017</v>
      </c>
      <c r="DR259" s="1422">
        <v>67.32803893267595</v>
      </c>
      <c r="DS259" s="1423">
        <v>74.49842365701853</v>
      </c>
      <c r="DT259" s="1422">
        <v>97.10683838590315</v>
      </c>
      <c r="DU259" s="1422">
        <v>104.2075067414657</v>
      </c>
      <c r="DV259" s="1423">
        <v>111.27357151597596</v>
      </c>
      <c r="DW259" s="1422">
        <v>133.778174675882</v>
      </c>
    </row>
    <row r="260">
      <c r="X260" s="1222"/>
      <c r="Y260" s="1056">
        <f t="shared" si="26"/>
        <v>10000000</v>
      </c>
      <c r="Z260" s="591">
        <v>0.017402292403623416</v>
      </c>
      <c r="AA260" s="591">
        <v>0.024815488879735618</v>
      </c>
      <c r="AB260" s="591">
        <v>0.03222868535584784</v>
      </c>
      <c r="AC260" s="591">
        <v>0.03964188183196003</v>
      </c>
      <c r="AD260" s="591">
        <v>0.04705507830807224</v>
      </c>
      <c r="AE260" s="591">
        <v>0.05446827478418443</v>
      </c>
      <c r="AF260" s="591">
        <v>0.06188147126029665</v>
      </c>
      <c r="AG260" s="610"/>
      <c r="AH260" s="1222"/>
      <c r="AI260" s="1056">
        <f t="shared" si="27"/>
        <v>10000000</v>
      </c>
      <c r="AJ260" s="819">
        <v>0.008941165953347551</v>
      </c>
      <c r="AK260" s="994">
        <v>0.011114413257690794</v>
      </c>
      <c r="AL260" s="967">
        <v>0.013245392717575043</v>
      </c>
      <c r="AM260" s="861">
        <v>0.015342379932020716</v>
      </c>
      <c r="AN260" s="956">
        <v>0.017413650500048176</v>
      </c>
      <c r="AO260" s="880">
        <v>0.018236811800442638</v>
      </c>
      <c r="AP260" s="880">
        <v>0.019057712171590746</v>
      </c>
      <c r="AQ260" s="843">
        <v>0.019876881251829816</v>
      </c>
      <c r="AR260" s="762">
        <v>0.02069484867949715</v>
      </c>
      <c r="AS260" s="762">
        <v>0.02151214409293005</v>
      </c>
      <c r="AT260" s="610"/>
      <c r="AU260" s="1222"/>
      <c r="AV260" s="1056">
        <f t="shared" si="28"/>
        <v>10000000</v>
      </c>
      <c r="AW260" s="819">
        <v>0.20762784823351702</v>
      </c>
      <c r="AX260" s="994">
        <v>0.1966611634221457</v>
      </c>
      <c r="AY260" s="967">
        <v>0.1869772978549964</v>
      </c>
      <c r="AZ260" s="861">
        <v>0.17833587260006872</v>
      </c>
      <c r="BA260" s="956">
        <v>0.17055030893224238</v>
      </c>
      <c r="BB260" s="880">
        <v>0.16764172512955422</v>
      </c>
      <c r="BC260" s="880">
        <v>0.16483827624069897</v>
      </c>
      <c r="BD260" s="843">
        <v>0.16213267267520934</v>
      </c>
      <c r="BE260" s="762">
        <v>0.1595182314507274</v>
      </c>
      <c r="BF260" s="762">
        <v>0.1569888163455963</v>
      </c>
      <c r="BH260" s="569"/>
      <c r="BI260" s="1222"/>
      <c r="BJ260" s="1056">
        <f t="shared" si="29"/>
        <v>10000000</v>
      </c>
      <c r="BK260" s="1373">
        <v>16.945383333333336</v>
      </c>
      <c r="BL260" s="1389">
        <v>16.945383333333336</v>
      </c>
      <c r="BM260" s="1381">
        <v>16.945383333333336</v>
      </c>
      <c r="BN260" s="1382">
        <v>16.945383333333336</v>
      </c>
      <c r="BO260" s="1390">
        <v>16.945383333333336</v>
      </c>
      <c r="BP260" s="1374">
        <v>16.945383333333336</v>
      </c>
      <c r="BQ260" s="1374">
        <v>16.945383333333336</v>
      </c>
      <c r="BR260" s="1354">
        <v>16.945383333333336</v>
      </c>
      <c r="BS260" s="1327">
        <v>16.945383333333336</v>
      </c>
      <c r="BT260" s="1327">
        <v>16.945383333333336</v>
      </c>
      <c r="BZ260" s="1227"/>
      <c r="CA260" s="1056">
        <f t="shared" si="30"/>
        <v>9000000</v>
      </c>
      <c r="CB260" s="1369">
        <v>137.22528282835265</v>
      </c>
      <c r="CC260" s="1369">
        <v>460.1435004613928</v>
      </c>
      <c r="CD260" s="1369">
        <v>783.0789560487253</v>
      </c>
      <c r="CE260" s="1369">
        <v>1106.0316327564103</v>
      </c>
      <c r="CF260" s="1369">
        <v>1429.0015137669475</v>
      </c>
      <c r="CG260" s="1369">
        <v>3044.1083958986414</v>
      </c>
      <c r="CH260" s="1369">
        <v>4659.642872401189</v>
      </c>
      <c r="CI260" s="1369">
        <v>6089.92717948533</v>
      </c>
      <c r="CJ260" s="1369">
        <v>7706.310603516705</v>
      </c>
      <c r="CK260" s="1369">
        <v>9323.115400966357</v>
      </c>
      <c r="CL260" s="1369">
        <v>10754.663838361506</v>
      </c>
      <c r="CM260" s="1369">
        <v>12372.305232236517</v>
      </c>
      <c r="CN260" s="1369">
        <v>13990.36186908416</v>
      </c>
      <c r="CO260" s="1369">
        <v>15423.156045307049</v>
      </c>
      <c r="CP260" s="610"/>
      <c r="CQ260" s="1227"/>
      <c r="CR260" s="1056">
        <f t="shared" si="31"/>
        <v>9000000</v>
      </c>
      <c r="CS260" s="577">
        <v>0.002673800139661921</v>
      </c>
      <c r="CT260" s="577">
        <v>0.023801391389376057</v>
      </c>
      <c r="CU260" s="577">
        <v>0.03084522932814854</v>
      </c>
      <c r="CV260" s="577">
        <v>0.03436812798152775</v>
      </c>
      <c r="CW260" s="577">
        <v>0.036482650155371533</v>
      </c>
      <c r="CX260" s="577">
        <v>0.040717553498703894</v>
      </c>
      <c r="CY260" s="577">
        <v>0.042135674669017895</v>
      </c>
      <c r="CZ260" s="577">
        <v>0.04073701378241885</v>
      </c>
      <c r="DA260" s="577">
        <v>0.0415917216863732</v>
      </c>
      <c r="DB260" s="577">
        <v>0.042164723130175774</v>
      </c>
      <c r="DC260" s="577">
        <v>0.041369557357476425</v>
      </c>
      <c r="DD260" s="577">
        <v>0.041831838254412945</v>
      </c>
      <c r="DE260" s="577">
        <v>0.04219348984596693</v>
      </c>
      <c r="DF260" s="577">
        <v>0.04163966659222789</v>
      </c>
      <c r="DH260" s="499"/>
      <c r="DI260" s="681">
        <f t="shared" si="32"/>
        <v>9000000</v>
      </c>
      <c r="DJ260" s="1424">
        <v>16.945383333333336</v>
      </c>
      <c r="DK260" s="1425">
        <v>18.41635543294271</v>
      </c>
      <c r="DL260" s="1426">
        <v>19.88589103636106</v>
      </c>
      <c r="DM260" s="1427">
        <v>21.353991546416694</v>
      </c>
      <c r="DN260" s="1428">
        <v>22.82065836456798</v>
      </c>
      <c r="DO260" s="1371">
        <v>30.132536032073745</v>
      </c>
      <c r="DP260" s="1429">
        <v>37.40878083534171</v>
      </c>
      <c r="DQ260" s="1371">
        <v>60.12253975681017</v>
      </c>
      <c r="DR260" s="1386">
        <v>67.32803893267595</v>
      </c>
      <c r="DS260" s="1393">
        <v>74.49842365701853</v>
      </c>
      <c r="DT260" s="1386">
        <v>97.10683838590315</v>
      </c>
      <c r="DU260" s="1386">
        <v>104.2075067414657</v>
      </c>
      <c r="DV260" s="1393">
        <v>111.27357151597596</v>
      </c>
      <c r="DW260" s="1386">
        <v>133.778174675882</v>
      </c>
    </row>
    <row r="261">
      <c r="X261" s="610"/>
      <c r="Y261" s="610"/>
      <c r="Z261" s="610"/>
      <c r="AA261" s="610"/>
      <c r="AB261" s="610"/>
      <c r="AC261" s="610"/>
      <c r="AD261" s="610"/>
      <c r="AE261" s="610"/>
      <c r="AF261" s="610"/>
      <c r="AG261" s="610"/>
      <c r="AH261" s="610"/>
      <c r="AI261" s="610"/>
      <c r="AJ261" s="610"/>
      <c r="AK261" s="610"/>
      <c r="AL261" s="610"/>
      <c r="AM261" s="610"/>
      <c r="AN261" s="610"/>
      <c r="AO261" s="610"/>
      <c r="AP261" s="610"/>
      <c r="AQ261" s="610"/>
      <c r="AR261" s="610"/>
      <c r="AS261" s="610"/>
      <c r="AT261" s="610"/>
      <c r="BZ261" s="1227"/>
      <c r="CA261" s="1056">
        <f t="shared" si="30"/>
        <v>9500000</v>
      </c>
      <c r="CB261" s="1359">
        <v>128.1417823205158</v>
      </c>
      <c r="CC261" s="1359">
        <v>441.9764994457191</v>
      </c>
      <c r="CD261" s="1359">
        <v>755.828454525215</v>
      </c>
      <c r="CE261" s="1359">
        <v>1069.697630725063</v>
      </c>
      <c r="CF261" s="1359">
        <v>1383.5840112277633</v>
      </c>
      <c r="CG261" s="1359">
        <v>2953.273390820273</v>
      </c>
      <c r="CH261" s="1359">
        <v>4523.390364783638</v>
      </c>
      <c r="CI261" s="1359">
        <v>5908.257169328594</v>
      </c>
      <c r="CJ261" s="1359">
        <v>7479.223090820785</v>
      </c>
      <c r="CK261" s="1359">
        <v>9050.610385731254</v>
      </c>
      <c r="CL261" s="1359">
        <v>10436.741320587216</v>
      </c>
      <c r="CM261" s="1359">
        <v>12008.965211923043</v>
      </c>
      <c r="CN261" s="1359">
        <v>13581.604346231503</v>
      </c>
      <c r="CO261" s="1359">
        <v>14968.981019915209</v>
      </c>
      <c r="CP261" s="610"/>
      <c r="CQ261" s="1227"/>
      <c r="CR261" s="1056">
        <f t="shared" si="31"/>
        <v>9500000</v>
      </c>
      <c r="CS261" s="594">
        <v>0.0013683464573885852</v>
      </c>
      <c r="CT261" s="594">
        <v>0.02249593770710272</v>
      </c>
      <c r="CU261" s="594">
        <v>0.0295397756458752</v>
      </c>
      <c r="CV261" s="594">
        <v>0.03306267429925442</v>
      </c>
      <c r="CW261" s="594">
        <v>0.0351771964730982</v>
      </c>
      <c r="CX261" s="594">
        <v>0.03941209981643056</v>
      </c>
      <c r="CY261" s="594">
        <v>0.04083022098674456</v>
      </c>
      <c r="CZ261" s="594">
        <v>0.039431560100145514</v>
      </c>
      <c r="DA261" s="594">
        <v>0.040286268004099866</v>
      </c>
      <c r="DB261" s="594">
        <v>0.04085926944790244</v>
      </c>
      <c r="DC261" s="594">
        <v>0.04006410367520309</v>
      </c>
      <c r="DD261" s="594">
        <v>0.04052638457213961</v>
      </c>
      <c r="DE261" s="594">
        <v>0.04088803616369359</v>
      </c>
      <c r="DF261" s="594">
        <v>0.04033421290995455</v>
      </c>
      <c r="DH261" s="499"/>
      <c r="DI261" s="681">
        <f t="shared" si="32"/>
        <v>9500000</v>
      </c>
      <c r="DJ261" s="1430">
        <v>16.945383333333336</v>
      </c>
      <c r="DK261" s="1360">
        <v>18.41635543294271</v>
      </c>
      <c r="DL261" s="1431">
        <v>19.88589103636106</v>
      </c>
      <c r="DM261" s="1432">
        <v>21.353991546416694</v>
      </c>
      <c r="DN261" s="1433">
        <v>22.82065836456798</v>
      </c>
      <c r="DO261" s="1434">
        <v>30.132536032073745</v>
      </c>
      <c r="DP261" s="1435">
        <v>37.40878083534171</v>
      </c>
      <c r="DQ261" s="1434">
        <v>60.12253975681017</v>
      </c>
      <c r="DR261" s="1436">
        <v>67.32803893267595</v>
      </c>
      <c r="DS261" s="1435">
        <v>74.49842365701853</v>
      </c>
      <c r="DT261" s="1436">
        <v>97.10683838590315</v>
      </c>
      <c r="DU261" s="1435">
        <v>104.2075067414657</v>
      </c>
      <c r="DV261" s="1435">
        <v>111.27357151597596</v>
      </c>
      <c r="DW261" s="1436">
        <v>133.778174675882</v>
      </c>
    </row>
    <row r="262">
      <c r="X262" s="610"/>
      <c r="Y262" s="610"/>
      <c r="Z262" s="610"/>
      <c r="AA262" s="610"/>
      <c r="AB262" s="610"/>
      <c r="AC262" s="610"/>
      <c r="AD262" s="610"/>
      <c r="AE262" s="610"/>
      <c r="AF262" s="610"/>
      <c r="AG262" s="610"/>
      <c r="AH262" s="610"/>
      <c r="AI262" s="610"/>
      <c r="AJ262" s="610"/>
      <c r="AK262" s="610"/>
      <c r="AL262" s="610"/>
      <c r="AM262" s="610"/>
      <c r="AN262" s="610"/>
      <c r="AO262" s="610"/>
      <c r="AP262" s="610"/>
      <c r="AQ262" s="610"/>
      <c r="AR262" s="610"/>
      <c r="AS262" s="610"/>
      <c r="AT262" s="610"/>
      <c r="BZ262" s="1222"/>
      <c r="CA262" s="1056">
        <f t="shared" si="30"/>
        <v>10000000</v>
      </c>
      <c r="CB262" s="1359">
        <v>119.74835965827862</v>
      </c>
      <c r="CC262" s="1359">
        <v>425.18965412124476</v>
      </c>
      <c r="CD262" s="1359">
        <v>730.6481865385033</v>
      </c>
      <c r="CE262" s="1359">
        <v>1036.1239400761142</v>
      </c>
      <c r="CF262" s="1359">
        <v>1341.6168979165775</v>
      </c>
      <c r="CG262" s="1359">
        <v>2869.3391641979015</v>
      </c>
      <c r="CH262" s="1359">
        <v>4397.48902485008</v>
      </c>
      <c r="CI262" s="1359">
        <v>5740.388716083851</v>
      </c>
      <c r="CJ262" s="1359">
        <v>7269.387524264855</v>
      </c>
      <c r="CK262" s="1359">
        <v>8798.807705864137</v>
      </c>
      <c r="CL262" s="1359">
        <v>10142.971527408916</v>
      </c>
      <c r="CM262" s="1359">
        <v>11673.228305433557</v>
      </c>
      <c r="CN262" s="1359">
        <v>13203.900326430828</v>
      </c>
      <c r="CO262" s="1359">
        <v>14549.309886803348</v>
      </c>
      <c r="CP262" s="610"/>
      <c r="CQ262" s="1222"/>
      <c r="CR262" s="1056">
        <f t="shared" si="31"/>
        <v>10000000</v>
      </c>
      <c r="CS262" s="594">
        <v>1.6206871106814015E-4</v>
      </c>
      <c r="CT262" s="594">
        <v>0.021289659960782276</v>
      </c>
      <c r="CU262" s="594">
        <v>0.028333497899554767</v>
      </c>
      <c r="CV262" s="594">
        <v>0.03185639655293397</v>
      </c>
      <c r="CW262" s="594">
        <v>0.03397091872677776</v>
      </c>
      <c r="CX262" s="594">
        <v>0.03820582207011012</v>
      </c>
      <c r="CY262" s="594">
        <v>0.03962394324042413</v>
      </c>
      <c r="CZ262" s="594">
        <v>0.03822528235382507</v>
      </c>
      <c r="DA262" s="594">
        <v>0.03907999025777943</v>
      </c>
      <c r="DB262" s="594">
        <v>0.039652991701582006</v>
      </c>
      <c r="DC262" s="594">
        <v>0.03885782592888265</v>
      </c>
      <c r="DD262" s="594">
        <v>0.03932010682581918</v>
      </c>
      <c r="DE262" s="594">
        <v>0.039681758417373154</v>
      </c>
      <c r="DF262" s="594">
        <v>0.03912793516363412</v>
      </c>
      <c r="DH262" s="498"/>
      <c r="DI262" s="681">
        <f t="shared" si="32"/>
        <v>10000000</v>
      </c>
      <c r="DJ262" s="1437">
        <v>16.945383333333336</v>
      </c>
      <c r="DK262" s="1438">
        <v>18.41635543294271</v>
      </c>
      <c r="DL262" s="1439">
        <v>19.88589103636106</v>
      </c>
      <c r="DM262" s="1440">
        <v>21.353991546416694</v>
      </c>
      <c r="DN262" s="1441">
        <v>22.82065836456798</v>
      </c>
      <c r="DO262" s="1421">
        <v>30.132536032073745</v>
      </c>
      <c r="DP262" s="1434">
        <v>37.40878083534171</v>
      </c>
      <c r="DQ262" s="1421">
        <v>60.12253975681017</v>
      </c>
      <c r="DR262" s="1434">
        <v>67.32803893267595</v>
      </c>
      <c r="DS262" s="1434">
        <v>74.49842365701853</v>
      </c>
      <c r="DT262" s="1434">
        <v>97.10683838590315</v>
      </c>
      <c r="DU262" s="1434">
        <v>104.2075067414657</v>
      </c>
      <c r="DV262" s="1434">
        <v>111.27357151597596</v>
      </c>
      <c r="DW262" s="1434">
        <v>133.778174675882</v>
      </c>
    </row>
    <row r="269">
      <c r="X269" s="1125" t="s">
        <v>157</v>
      </c>
      <c r="Y269" s="556"/>
      <c r="Z269" s="556"/>
      <c r="AA269" s="556"/>
      <c r="AB269" s="556"/>
      <c r="AC269" s="556"/>
      <c r="AD269" s="556"/>
      <c r="AE269" s="556"/>
      <c r="AF269" s="556"/>
      <c r="AG269" s="556"/>
      <c r="AH269" s="556"/>
      <c r="AI269" s="556"/>
      <c r="AJ269" s="556"/>
      <c r="AK269" s="556"/>
      <c r="AL269" s="556"/>
      <c r="AM269" s="556"/>
      <c r="AN269" s="556"/>
      <c r="AO269" s="556"/>
      <c r="AP269" s="556"/>
      <c r="AQ269" s="556"/>
      <c r="AR269" s="556"/>
      <c r="AS269" s="556"/>
      <c r="AT269" s="556"/>
      <c r="AU269" s="556"/>
      <c r="AV269" s="556"/>
      <c r="AW269" s="556"/>
      <c r="AX269" s="556"/>
      <c r="AY269" s="556"/>
      <c r="AZ269" s="556"/>
      <c r="BA269" s="556"/>
      <c r="BB269" s="556"/>
      <c r="BC269" s="556"/>
      <c r="BD269" s="556"/>
      <c r="BE269" s="556"/>
      <c r="BF269" s="556"/>
      <c r="BG269" s="556"/>
      <c r="BH269" s="556"/>
      <c r="BI269" s="556"/>
      <c r="BJ269" s="556"/>
      <c r="BK269" s="556"/>
      <c r="BL269" s="556"/>
      <c r="BM269" s="556"/>
      <c r="BN269" s="556"/>
      <c r="BO269" s="556"/>
      <c r="BP269" s="556"/>
      <c r="BQ269" s="556"/>
      <c r="BR269" s="556"/>
      <c r="BS269" s="556"/>
      <c r="BT269" s="556"/>
      <c r="BU269" s="556"/>
      <c r="BV269" s="556"/>
      <c r="BW269" s="556"/>
      <c r="BX269" s="556"/>
      <c r="BY269" s="556"/>
      <c r="BZ269" s="556"/>
      <c r="CA269" s="556"/>
      <c r="CB269" s="557"/>
    </row>
    <row r="270">
      <c r="X270" s="559"/>
      <c r="CB270" s="560"/>
    </row>
    <row r="271">
      <c r="X271" s="559"/>
      <c r="CB271" s="560"/>
    </row>
    <row r="272">
      <c r="X272" s="574"/>
      <c r="Y272" s="575"/>
      <c r="Z272" s="575"/>
      <c r="AA272" s="575"/>
      <c r="AB272" s="575"/>
      <c r="AC272" s="575"/>
      <c r="AD272" s="575"/>
      <c r="AE272" s="575"/>
      <c r="AF272" s="575"/>
      <c r="AG272" s="575"/>
      <c r="AH272" s="575"/>
      <c r="AI272" s="575"/>
      <c r="AJ272" s="575"/>
      <c r="AK272" s="575"/>
      <c r="AL272" s="575"/>
      <c r="AM272" s="575"/>
      <c r="AN272" s="575"/>
      <c r="AO272" s="575"/>
      <c r="AP272" s="575"/>
      <c r="AQ272" s="575"/>
      <c r="AR272" s="575"/>
      <c r="AS272" s="575"/>
      <c r="AT272" s="575"/>
      <c r="AU272" s="575"/>
      <c r="AV272" s="575"/>
      <c r="AW272" s="575"/>
      <c r="AX272" s="575"/>
      <c r="AY272" s="575"/>
      <c r="AZ272" s="575"/>
      <c r="BA272" s="575"/>
      <c r="BB272" s="575"/>
      <c r="BC272" s="575"/>
      <c r="BD272" s="575"/>
      <c r="BE272" s="575"/>
      <c r="BF272" s="575"/>
      <c r="BG272" s="575"/>
      <c r="BH272" s="575"/>
      <c r="BI272" s="575"/>
      <c r="BJ272" s="575"/>
      <c r="BK272" s="575"/>
      <c r="BL272" s="575"/>
      <c r="BM272" s="575"/>
      <c r="BN272" s="575"/>
      <c r="BO272" s="575"/>
      <c r="BP272" s="575"/>
      <c r="BQ272" s="575"/>
      <c r="BR272" s="575"/>
      <c r="BS272" s="575"/>
      <c r="BT272" s="575"/>
      <c r="BU272" s="575"/>
      <c r="BV272" s="575"/>
      <c r="BW272" s="575"/>
      <c r="BX272" s="575"/>
      <c r="BY272" s="575"/>
      <c r="BZ272" s="575"/>
      <c r="CA272" s="575"/>
      <c r="CB272" s="576"/>
    </row>
    <row r="277">
      <c r="BT277" s="171"/>
      <c r="BU277" s="23"/>
    </row>
    <row r="278">
      <c r="BT278" s="171"/>
      <c r="BU278" s="23"/>
    </row>
    <row r="279">
      <c r="X279" s="1134"/>
      <c r="BT279" s="171"/>
      <c r="BU279" s="23"/>
    </row>
    <row r="280">
      <c r="BT280" s="171"/>
      <c r="BU280" s="23"/>
    </row>
    <row r="281">
      <c r="BN281" s="171"/>
      <c r="BO281" s="171"/>
      <c r="BP281" s="171"/>
      <c r="BQ281" s="171"/>
      <c r="BR281" s="171"/>
      <c r="BT281" s="171"/>
      <c r="BU281" s="23"/>
    </row>
    <row r="282">
      <c r="BN282" s="172"/>
      <c r="BO282" s="172"/>
      <c r="BP282" s="172"/>
      <c r="BQ282" s="172"/>
      <c r="BR282" s="172"/>
      <c r="BT282" s="171"/>
      <c r="BU282" s="23"/>
    </row>
    <row r="283">
      <c r="BN283" s="173"/>
      <c r="BO283" s="173"/>
      <c r="BP283" s="173"/>
      <c r="BQ283" s="173"/>
      <c r="BR283" s="173"/>
      <c r="BT283" s="171"/>
      <c r="BU283" s="23"/>
    </row>
    <row r="284">
      <c r="BN284" s="174"/>
      <c r="BO284" s="174"/>
      <c r="BP284" s="174"/>
      <c r="BQ284" s="174"/>
      <c r="BR284" s="174"/>
      <c r="BT284" s="171"/>
      <c r="BU284" s="23"/>
    </row>
    <row r="285">
      <c r="BN285" s="175"/>
      <c r="BO285" s="175"/>
      <c r="BP285" s="175"/>
      <c r="BQ285" s="175"/>
      <c r="BR285" s="175"/>
      <c r="BT285" s="171"/>
      <c r="BU285" s="23"/>
    </row>
    <row r="286">
      <c r="BN286" s="175"/>
      <c r="BO286" s="175"/>
      <c r="BP286" s="175"/>
      <c r="BQ286" s="175"/>
      <c r="BR286" s="175"/>
      <c r="BT286" s="171"/>
      <c r="BU286" s="23"/>
    </row>
    <row r="287">
      <c r="BN287" s="175"/>
      <c r="BO287" s="175"/>
      <c r="BP287" s="175"/>
      <c r="BQ287" s="175"/>
      <c r="BR287" s="175"/>
      <c r="BT287" s="171"/>
      <c r="BU287" s="23"/>
    </row>
    <row r="288">
      <c r="BN288" s="175"/>
      <c r="BO288" s="175"/>
      <c r="BP288" s="175"/>
      <c r="BQ288" s="175"/>
      <c r="BR288" s="175"/>
      <c r="BT288" s="171"/>
      <c r="BU288" s="23"/>
    </row>
    <row r="289">
      <c r="BN289" s="175"/>
      <c r="BO289" s="175"/>
      <c r="BP289" s="175"/>
      <c r="BQ289" s="175"/>
      <c r="BR289" s="175"/>
      <c r="BT289" s="171"/>
      <c r="BU289" s="23"/>
    </row>
    <row r="290">
      <c r="BN290" s="175"/>
      <c r="BO290" s="175"/>
      <c r="BP290" s="175"/>
      <c r="BQ290" s="175"/>
      <c r="BR290" s="175"/>
    </row>
    <row r="291">
      <c r="BN291" s="175"/>
      <c r="BO291" s="175"/>
      <c r="BP291" s="175"/>
      <c r="BQ291" s="175"/>
      <c r="BR291" s="175"/>
    </row>
    <row r="292">
      <c r="BN292" s="175"/>
      <c r="BO292" s="175"/>
      <c r="BP292" s="175"/>
      <c r="BQ292" s="175"/>
      <c r="BR292" s="175"/>
    </row>
    <row r="293">
      <c r="BN293" s="175"/>
      <c r="BO293" s="175"/>
      <c r="BP293" s="175"/>
      <c r="BQ293" s="175"/>
      <c r="BR293" s="175"/>
    </row>
    <row r="294">
      <c r="BN294" s="175"/>
      <c r="BO294" s="175"/>
      <c r="BP294" s="175"/>
      <c r="BQ294" s="175"/>
      <c r="BR294" s="175"/>
    </row>
    <row r="295">
      <c r="BN295" s="175"/>
      <c r="BO295" s="175"/>
      <c r="BP295" s="175"/>
      <c r="BQ295" s="175"/>
      <c r="BR295" s="175"/>
    </row>
    <row r="296">
      <c r="BN296" s="175"/>
      <c r="BO296" s="175"/>
      <c r="BP296" s="175"/>
      <c r="BQ296" s="175"/>
      <c r="BR296" s="175"/>
    </row>
    <row r="297">
      <c r="BN297" s="175"/>
      <c r="BO297" s="175"/>
      <c r="BP297" s="175"/>
      <c r="BQ297" s="175"/>
      <c r="BR297" s="175"/>
    </row>
    <row r="298">
      <c r="BN298" s="175"/>
      <c r="BO298" s="175"/>
      <c r="BP298" s="175"/>
      <c r="BQ298" s="175"/>
      <c r="BR298" s="175"/>
    </row>
    <row r="299">
      <c r="BN299" s="175"/>
      <c r="BO299" s="175"/>
      <c r="BP299" s="175"/>
      <c r="BQ299" s="175"/>
      <c r="BR299" s="175"/>
    </row>
    <row r="300">
      <c r="BN300" s="175"/>
      <c r="BO300" s="175"/>
      <c r="BP300" s="175"/>
      <c r="BQ300" s="175"/>
      <c r="BR300" s="175"/>
    </row>
    <row r="301">
      <c r="BN301" s="175"/>
      <c r="BO301" s="175"/>
      <c r="BP301" s="175"/>
      <c r="BQ301" s="175"/>
      <c r="BR301" s="175"/>
    </row>
    <row r="306">
      <c r="X306" s="1221" t="s">
        <v>86</v>
      </c>
      <c r="Y306" s="1222"/>
      <c r="Z306" s="1222"/>
      <c r="AA306" s="1222"/>
      <c r="AB306" s="1222"/>
      <c r="AC306" s="1222"/>
      <c r="AD306" s="1222"/>
      <c r="AE306" s="1222"/>
      <c r="AF306" s="1222"/>
      <c r="AG306" s="610"/>
      <c r="AH306" s="1221" t="s">
        <v>86</v>
      </c>
      <c r="AI306" s="1222"/>
      <c r="AJ306" s="1222"/>
      <c r="AK306" s="1222"/>
      <c r="AL306" s="1222"/>
      <c r="AM306" s="1222"/>
      <c r="AN306" s="1222"/>
      <c r="AO306" s="1222"/>
      <c r="AP306" s="1222"/>
      <c r="AQ306" s="1222"/>
      <c r="AR306" s="1222"/>
      <c r="AS306" s="1222"/>
      <c r="AT306" s="610"/>
      <c r="AU306" s="1136" t="s">
        <v>154</v>
      </c>
      <c r="AV306" s="1046"/>
      <c r="AW306" s="1046"/>
      <c r="AX306" s="1046"/>
      <c r="AY306" s="1046"/>
      <c r="AZ306" s="1046"/>
      <c r="BA306" s="1046"/>
      <c r="BB306" s="1223"/>
      <c r="BC306" s="1223"/>
      <c r="BD306" s="1223"/>
      <c r="BE306" s="1223"/>
      <c r="BF306" s="1223"/>
      <c r="BL306" s="1221" t="s">
        <v>158</v>
      </c>
      <c r="BM306" s="1222"/>
      <c r="BN306" s="1222"/>
      <c r="BO306" s="1222"/>
      <c r="BP306" s="1222"/>
      <c r="BQ306" s="1222"/>
      <c r="BR306" s="1222"/>
      <c r="BS306" s="1222"/>
      <c r="BT306" s="1222"/>
      <c r="BU306" s="1222"/>
      <c r="BV306" s="1222"/>
      <c r="BW306" s="1222"/>
      <c r="BX306" s="1222"/>
      <c r="BY306" s="1222"/>
      <c r="BZ306" s="1222"/>
      <c r="CA306" s="1222"/>
      <c r="CB306" s="610"/>
      <c r="CC306" s="1221" t="s">
        <v>86</v>
      </c>
      <c r="CD306" s="1222"/>
      <c r="CE306" s="1222"/>
      <c r="CF306" s="1222"/>
      <c r="CG306" s="1222"/>
      <c r="CH306" s="1222"/>
      <c r="CI306" s="1222"/>
      <c r="CJ306" s="1222"/>
      <c r="CK306" s="1222"/>
      <c r="CL306" s="1222"/>
      <c r="CM306" s="1222"/>
      <c r="CN306" s="1222"/>
      <c r="CO306" s="1222"/>
      <c r="CP306" s="1222"/>
      <c r="CQ306" s="1222"/>
      <c r="CR306" s="1222"/>
      <c r="CT306" s="1230" t="s">
        <v>155</v>
      </c>
      <c r="CU306" s="678"/>
      <c r="CV306" s="678"/>
      <c r="CW306" s="678"/>
      <c r="CX306" s="678"/>
      <c r="CY306" s="498"/>
      <c r="CZ306" s="498"/>
      <c r="DA306" s="498"/>
      <c r="DB306" s="498"/>
      <c r="DC306" s="498"/>
      <c r="DD306" s="498"/>
      <c r="DE306" s="498"/>
      <c r="DF306" s="498"/>
      <c r="DG306" s="498"/>
      <c r="DH306" s="498"/>
      <c r="DI306" s="498"/>
    </row>
    <row r="307">
      <c r="X307" s="1052" t="s">
        <v>57</v>
      </c>
      <c r="AG307" s="569"/>
      <c r="AH307" s="1224" t="s">
        <v>58</v>
      </c>
      <c r="AI307" s="1100"/>
      <c r="AJ307" s="1100"/>
      <c r="AK307" s="1100"/>
      <c r="AL307" s="1101" t="s">
        <v>59</v>
      </c>
      <c r="AM307" s="1101"/>
      <c r="AN307" s="1101"/>
      <c r="AO307" s="1101"/>
      <c r="AP307" s="1101"/>
      <c r="AQ307" s="1101"/>
      <c r="AR307" s="1101"/>
      <c r="AS307" s="1101"/>
      <c r="AT307" s="610"/>
      <c r="AU307" s="1139" t="s">
        <v>58</v>
      </c>
      <c r="AV307" s="1046"/>
      <c r="AW307" s="1046"/>
      <c r="AX307" s="1046"/>
      <c r="AY307" s="1047" t="s">
        <v>59</v>
      </c>
      <c r="AZ307" s="1048"/>
      <c r="BA307" s="1048"/>
      <c r="BB307" s="1049"/>
      <c r="BC307" s="1049"/>
      <c r="BD307" s="1049"/>
      <c r="BE307" s="1049"/>
      <c r="BF307" s="1223"/>
      <c r="BL307" s="1224" t="s">
        <v>58</v>
      </c>
      <c r="BM307" s="1052"/>
      <c r="BN307" s="1052" t="s">
        <v>44</v>
      </c>
      <c r="CB307" s="610"/>
      <c r="CC307" s="1224" t="s">
        <v>58</v>
      </c>
      <c r="CD307" s="1052"/>
      <c r="CE307" s="1052" t="s">
        <v>44</v>
      </c>
      <c r="CT307" s="1231" t="s">
        <v>58</v>
      </c>
      <c r="CU307" s="498"/>
      <c r="CV307" s="498"/>
    </row>
    <row r="308">
      <c r="X308" s="1100"/>
      <c r="Y308" s="1103">
        <f>$F$76</f>
        <v>0.1584540747</v>
      </c>
      <c r="Z308" s="681">
        <v>64.0</v>
      </c>
      <c r="AA308" s="681">
        <f t="shared" ref="AA308:AF308" si="33">Z308+10</f>
        <v>74</v>
      </c>
      <c r="AB308" s="681">
        <f t="shared" si="33"/>
        <v>84</v>
      </c>
      <c r="AC308" s="681">
        <f t="shared" si="33"/>
        <v>94</v>
      </c>
      <c r="AD308" s="681">
        <f t="shared" si="33"/>
        <v>104</v>
      </c>
      <c r="AE308" s="681">
        <f t="shared" si="33"/>
        <v>114</v>
      </c>
      <c r="AF308" s="681">
        <f t="shared" si="33"/>
        <v>124</v>
      </c>
      <c r="AG308" s="596"/>
      <c r="AH308" s="1100"/>
      <c r="AI308" s="683">
        <f>$F$76</f>
        <v>0.1584540747</v>
      </c>
      <c r="AJ308" s="684">
        <f t="shared" ref="AJ308:AL308" si="34">AK308-0.05</f>
        <v>0.7</v>
      </c>
      <c r="AK308" s="684">
        <f t="shared" si="34"/>
        <v>0.75</v>
      </c>
      <c r="AL308" s="684">
        <f t="shared" si="34"/>
        <v>0.8</v>
      </c>
      <c r="AM308" s="684">
        <v>0.85</v>
      </c>
      <c r="AN308" s="684">
        <v>0.9</v>
      </c>
      <c r="AO308" s="684">
        <f t="shared" ref="AO308:AS308" si="35">AN308+0.02</f>
        <v>0.92</v>
      </c>
      <c r="AP308" s="684">
        <f t="shared" si="35"/>
        <v>0.94</v>
      </c>
      <c r="AQ308" s="684">
        <f t="shared" si="35"/>
        <v>0.96</v>
      </c>
      <c r="AR308" s="684">
        <f t="shared" si="35"/>
        <v>0.98</v>
      </c>
      <c r="AS308" s="684">
        <f t="shared" si="35"/>
        <v>1</v>
      </c>
      <c r="AT308" s="610"/>
      <c r="AU308" s="1232" t="s">
        <v>156</v>
      </c>
      <c r="AV308" s="1233">
        <f>(F74/12)</f>
        <v>16.94538333</v>
      </c>
      <c r="AW308" s="684">
        <f t="shared" ref="AW308:AY308" si="36">AX308-0.05</f>
        <v>0.7</v>
      </c>
      <c r="AX308" s="684">
        <f t="shared" si="36"/>
        <v>0.75</v>
      </c>
      <c r="AY308" s="684">
        <f t="shared" si="36"/>
        <v>0.8</v>
      </c>
      <c r="AZ308" s="684">
        <v>0.85</v>
      </c>
      <c r="BA308" s="684">
        <v>0.9</v>
      </c>
      <c r="BB308" s="684">
        <f t="shared" ref="BB308:BF308" si="37">BA308+0.02</f>
        <v>0.92</v>
      </c>
      <c r="BC308" s="684">
        <f t="shared" si="37"/>
        <v>0.94</v>
      </c>
      <c r="BD308" s="684">
        <f t="shared" si="37"/>
        <v>0.96</v>
      </c>
      <c r="BE308" s="684">
        <f t="shared" si="37"/>
        <v>0.98</v>
      </c>
      <c r="BF308" s="684">
        <f t="shared" si="37"/>
        <v>1</v>
      </c>
      <c r="BL308" s="1224" t="s">
        <v>159</v>
      </c>
      <c r="BM308" s="1052"/>
      <c r="BN308" s="1052"/>
      <c r="BO308" s="1052"/>
      <c r="BP308" s="1052"/>
      <c r="BQ308" s="1052"/>
      <c r="BR308" s="1052"/>
      <c r="BS308" s="1052"/>
      <c r="BT308" s="1052"/>
      <c r="BU308" s="1052"/>
      <c r="BV308" s="1052"/>
      <c r="BW308" s="1052"/>
      <c r="BX308" s="1052"/>
      <c r="BY308" s="1052"/>
      <c r="BZ308" s="1052"/>
      <c r="CA308" s="1052"/>
      <c r="CB308" s="610"/>
      <c r="CC308" s="1224" t="s">
        <v>159</v>
      </c>
      <c r="CD308" s="1052"/>
      <c r="CE308" s="1052"/>
      <c r="CF308" s="1052"/>
      <c r="CG308" s="1052"/>
      <c r="CH308" s="1052"/>
      <c r="CI308" s="1052"/>
      <c r="CJ308" s="1052"/>
      <c r="CK308" s="1052"/>
      <c r="CL308" s="1052"/>
      <c r="CM308" s="1052"/>
      <c r="CN308" s="1052"/>
      <c r="CO308" s="1052"/>
      <c r="CP308" s="1052"/>
      <c r="CQ308" s="1052"/>
      <c r="CR308" s="1052"/>
      <c r="CT308" s="1231" t="s">
        <v>63</v>
      </c>
      <c r="CU308" s="678"/>
      <c r="CV308" s="498"/>
      <c r="CW308" s="498"/>
      <c r="CX308" s="498"/>
      <c r="CY308" s="498"/>
      <c r="CZ308" s="498"/>
      <c r="DA308" s="498"/>
      <c r="DB308" s="498"/>
      <c r="DC308" s="498"/>
      <c r="DD308" s="498"/>
      <c r="DE308" s="498"/>
      <c r="DF308" s="498"/>
      <c r="DG308" s="498"/>
      <c r="DH308" s="498"/>
      <c r="DI308" s="498"/>
    </row>
    <row r="309">
      <c r="X309" s="1225" t="s">
        <v>66</v>
      </c>
      <c r="Y309" s="1062">
        <v>524288.0</v>
      </c>
      <c r="Z309" s="704">
        <v>0.14470514063935982</v>
      </c>
      <c r="AA309" s="705">
        <v>0.17708094386425993</v>
      </c>
      <c r="AB309" s="706">
        <v>0.2094567470891598</v>
      </c>
      <c r="AC309" s="1144">
        <v>0.2418325503140598</v>
      </c>
      <c r="AD309" s="1234">
        <v>0.2742083535389597</v>
      </c>
      <c r="AE309" s="709">
        <v>0.3065841567638598</v>
      </c>
      <c r="AF309" s="710">
        <v>0.33895995998875966</v>
      </c>
      <c r="AG309" s="587"/>
      <c r="AH309" s="1225" t="s">
        <v>66</v>
      </c>
      <c r="AI309" s="1062">
        <v>524288.0</v>
      </c>
      <c r="AJ309" s="704">
        <v>0.10636858472542134</v>
      </c>
      <c r="AK309" s="705">
        <v>0.11585985172626057</v>
      </c>
      <c r="AL309" s="706">
        <v>0.12516652151328594</v>
      </c>
      <c r="AM309" s="1144">
        <v>0.13432473627783365</v>
      </c>
      <c r="AN309" s="1234">
        <v>0.14337063821123988</v>
      </c>
      <c r="AO309" s="709">
        <v>0.1469656472427421</v>
      </c>
      <c r="AP309" s="710">
        <v>0.15055078207212103</v>
      </c>
      <c r="AQ309" s="711">
        <v>0.15412835579962209</v>
      </c>
      <c r="AR309" s="712">
        <v>0.15770068152549083</v>
      </c>
      <c r="AS309" s="1141">
        <v>0.16127007234997276</v>
      </c>
      <c r="AT309" s="610"/>
      <c r="AU309" s="1225" t="s">
        <v>66</v>
      </c>
      <c r="AV309" s="1062">
        <v>525288.0</v>
      </c>
      <c r="AW309" s="1235">
        <v>82.08333333333333</v>
      </c>
      <c r="AX309" s="1236">
        <v>82.08333333333333</v>
      </c>
      <c r="AY309" s="1237">
        <v>82.08333333333333</v>
      </c>
      <c r="AZ309" s="1238">
        <v>82.08333333333333</v>
      </c>
      <c r="BA309" s="1239">
        <v>82.08333333333333</v>
      </c>
      <c r="BB309" s="1240">
        <v>82.08333333333333</v>
      </c>
      <c r="BC309" s="1241">
        <v>82.08333333333333</v>
      </c>
      <c r="BD309" s="1242">
        <v>82.08333333333333</v>
      </c>
      <c r="BE309" s="1243">
        <v>82.08333333333333</v>
      </c>
      <c r="BF309" s="1244">
        <v>82.08333333333333</v>
      </c>
      <c r="BL309" s="1224" t="s">
        <v>68</v>
      </c>
      <c r="BM309" s="1052"/>
      <c r="BN309" s="1052"/>
      <c r="BO309" s="1052"/>
      <c r="BP309" s="1052"/>
      <c r="BQ309" s="1052"/>
      <c r="BR309" s="1052"/>
      <c r="BS309" s="1052"/>
      <c r="BT309" s="1052"/>
      <c r="BU309" s="1052"/>
      <c r="BV309" s="1052"/>
      <c r="BW309" s="1052"/>
      <c r="BX309" s="1052"/>
      <c r="BY309" s="1052"/>
      <c r="BZ309" s="1052"/>
      <c r="CA309" s="1052"/>
      <c r="CB309" s="610"/>
      <c r="CC309" s="1224" t="s">
        <v>68</v>
      </c>
      <c r="CD309" s="1052"/>
      <c r="CE309" s="1052"/>
      <c r="CF309" s="1052"/>
      <c r="CG309" s="1052"/>
      <c r="CH309" s="1052"/>
      <c r="CI309" s="1052"/>
      <c r="CJ309" s="1052"/>
      <c r="CK309" s="1052"/>
      <c r="CL309" s="1052"/>
      <c r="CM309" s="1052"/>
      <c r="CN309" s="1052"/>
      <c r="CO309" s="1052"/>
      <c r="CP309" s="1052"/>
      <c r="CQ309" s="1052"/>
      <c r="CR309" s="1052"/>
      <c r="CT309" s="1231" t="s">
        <v>68</v>
      </c>
      <c r="CU309" s="678"/>
      <c r="CV309" s="498"/>
      <c r="CW309" s="498"/>
      <c r="CX309" s="498"/>
      <c r="CY309" s="498"/>
      <c r="CZ309" s="498"/>
      <c r="DA309" s="498"/>
      <c r="DB309" s="498"/>
      <c r="DC309" s="498"/>
      <c r="DD309" s="498"/>
      <c r="DE309" s="498"/>
      <c r="DF309" s="498"/>
      <c r="DG309" s="498"/>
      <c r="DH309" s="498"/>
      <c r="DI309" s="498"/>
    </row>
    <row r="310">
      <c r="Y310" s="1062">
        <v>1000000.0</v>
      </c>
      <c r="Z310" s="727">
        <v>0.08753254788383098</v>
      </c>
      <c r="AA310" s="728">
        <v>0.11097513349067949</v>
      </c>
      <c r="AB310" s="729">
        <v>0.1344177190975281</v>
      </c>
      <c r="AC310" s="1150">
        <v>0.15786030470437667</v>
      </c>
      <c r="AD310" s="1245">
        <v>0.18130289031122526</v>
      </c>
      <c r="AE310" s="732">
        <v>0.20474547591807385</v>
      </c>
      <c r="AF310" s="733">
        <v>0.2281880615249225</v>
      </c>
      <c r="AG310" s="577"/>
      <c r="AI310" s="1062">
        <v>1000000.0</v>
      </c>
      <c r="AJ310" s="727">
        <v>0.059405696847557796</v>
      </c>
      <c r="AK310" s="728">
        <v>0.06627810824810357</v>
      </c>
      <c r="AL310" s="729">
        <v>0.07301685698837325</v>
      </c>
      <c r="AM310" s="1150">
        <v>0.07964811281027347</v>
      </c>
      <c r="AN310" s="1245">
        <v>0.08619804545571103</v>
      </c>
      <c r="AO310" s="732">
        <v>0.08880111004666358</v>
      </c>
      <c r="AP310" s="733">
        <v>0.09139702495156915</v>
      </c>
      <c r="AQ310" s="734">
        <v>0.09398746503390987</v>
      </c>
      <c r="AR310" s="735">
        <v>0.09657410515716765</v>
      </c>
      <c r="AS310" s="1153">
        <v>0.09915862018482459</v>
      </c>
      <c r="AT310" s="610"/>
      <c r="AV310" s="1062">
        <v>1000000.0</v>
      </c>
      <c r="AW310" s="1246">
        <v>82.08333333333333</v>
      </c>
      <c r="AX310" s="1247">
        <v>82.08333333333333</v>
      </c>
      <c r="AY310" s="1248">
        <v>82.08333333333333</v>
      </c>
      <c r="AZ310" s="1249">
        <v>82.08333333333333</v>
      </c>
      <c r="BA310" s="1250">
        <v>82.08333333333333</v>
      </c>
      <c r="BB310" s="1251">
        <v>82.08333333333333</v>
      </c>
      <c r="BC310" s="1252">
        <v>82.08333333333333</v>
      </c>
      <c r="BD310" s="1253">
        <v>82.08333333333333</v>
      </c>
      <c r="BE310" s="1254">
        <v>82.08333333333333</v>
      </c>
      <c r="BF310" s="1255">
        <v>82.08333333333333</v>
      </c>
      <c r="BL310" s="1100"/>
      <c r="BM310" s="1054">
        <f>F75</f>
        <v>16485.15629</v>
      </c>
      <c r="BN310" s="1062">
        <v>50.0</v>
      </c>
      <c r="BO310" s="1062">
        <v>100.0</v>
      </c>
      <c r="BP310" s="1062">
        <v>250.0</v>
      </c>
      <c r="BQ310" s="1062">
        <v>500.0</v>
      </c>
      <c r="BR310" s="1062">
        <f t="shared" ref="BR310:CA310" si="38">BQ310+250</f>
        <v>750</v>
      </c>
      <c r="BS310" s="1062">
        <f t="shared" si="38"/>
        <v>1000</v>
      </c>
      <c r="BT310" s="1062">
        <f t="shared" si="38"/>
        <v>1250</v>
      </c>
      <c r="BU310" s="1062">
        <f t="shared" si="38"/>
        <v>1500</v>
      </c>
      <c r="BV310" s="1062">
        <f t="shared" si="38"/>
        <v>1750</v>
      </c>
      <c r="BW310" s="1062">
        <f t="shared" si="38"/>
        <v>2000</v>
      </c>
      <c r="BX310" s="1062">
        <f t="shared" si="38"/>
        <v>2250</v>
      </c>
      <c r="BY310" s="1062">
        <f t="shared" si="38"/>
        <v>2500</v>
      </c>
      <c r="BZ310" s="1062">
        <f t="shared" si="38"/>
        <v>2750</v>
      </c>
      <c r="CA310" s="1062">
        <f t="shared" si="38"/>
        <v>3000</v>
      </c>
      <c r="CB310" s="610"/>
      <c r="CC310" s="1100"/>
      <c r="CD310" s="1054">
        <f>$F$76</f>
        <v>0.1584540747</v>
      </c>
      <c r="CE310" s="1062">
        <v>50.0</v>
      </c>
      <c r="CF310" s="1062">
        <v>100.0</v>
      </c>
      <c r="CG310" s="1062">
        <v>250.0</v>
      </c>
      <c r="CH310" s="1062">
        <v>500.0</v>
      </c>
      <c r="CI310" s="1062">
        <f t="shared" ref="CI310:CR310" si="39">CH310+250</f>
        <v>750</v>
      </c>
      <c r="CJ310" s="1062">
        <f t="shared" si="39"/>
        <v>1000</v>
      </c>
      <c r="CK310" s="1062">
        <f t="shared" si="39"/>
        <v>1250</v>
      </c>
      <c r="CL310" s="1062">
        <f t="shared" si="39"/>
        <v>1500</v>
      </c>
      <c r="CM310" s="1062">
        <f t="shared" si="39"/>
        <v>1750</v>
      </c>
      <c r="CN310" s="1062">
        <f t="shared" si="39"/>
        <v>2000</v>
      </c>
      <c r="CO310" s="1062">
        <f t="shared" si="39"/>
        <v>2250</v>
      </c>
      <c r="CP310" s="1062">
        <f t="shared" si="39"/>
        <v>2500</v>
      </c>
      <c r="CQ310" s="1062">
        <f t="shared" si="39"/>
        <v>2750</v>
      </c>
      <c r="CR310" s="1062">
        <f t="shared" si="39"/>
        <v>3000</v>
      </c>
      <c r="CT310" s="498"/>
      <c r="CU310" s="1233">
        <f>F74/12</f>
        <v>16.94538333</v>
      </c>
      <c r="CV310" s="681">
        <v>1.0</v>
      </c>
      <c r="CW310" s="681">
        <f t="shared" ref="CW310:CZ310" si="40">CV310+1</f>
        <v>2</v>
      </c>
      <c r="CX310" s="681">
        <f t="shared" si="40"/>
        <v>3</v>
      </c>
      <c r="CY310" s="681">
        <f t="shared" si="40"/>
        <v>4</v>
      </c>
      <c r="CZ310" s="681">
        <f t="shared" si="40"/>
        <v>5</v>
      </c>
      <c r="DA310" s="681">
        <v>10.0</v>
      </c>
      <c r="DB310" s="681">
        <v>15.0</v>
      </c>
      <c r="DC310" s="681">
        <v>20.0</v>
      </c>
      <c r="DD310" s="681">
        <v>25.0</v>
      </c>
      <c r="DE310" s="681">
        <v>30.0</v>
      </c>
      <c r="DF310" s="681">
        <v>35.0</v>
      </c>
      <c r="DG310" s="681">
        <v>40.0</v>
      </c>
      <c r="DH310" s="681">
        <v>45.0</v>
      </c>
      <c r="DI310" s="681">
        <v>50.0</v>
      </c>
    </row>
    <row r="311">
      <c r="Y311" s="1056">
        <f t="shared" ref="Y311:Y328" si="41">Y310+500000</f>
        <v>1500000</v>
      </c>
      <c r="Z311" s="751">
        <v>0.060001062375023326</v>
      </c>
      <c r="AA311" s="752">
        <v>0.07914185337112072</v>
      </c>
      <c r="AB311" s="753">
        <v>0.09828264436721805</v>
      </c>
      <c r="AC311" s="1156">
        <v>0.11742343536331548</v>
      </c>
      <c r="AD311" s="1154">
        <v>0.1365642263594129</v>
      </c>
      <c r="AE311" s="756">
        <v>0.1557050173555103</v>
      </c>
      <c r="AF311" s="757">
        <v>0.17484580835160765</v>
      </c>
      <c r="AG311" s="594"/>
      <c r="AI311" s="1056">
        <f t="shared" ref="AI311:AI328" si="42">AI310+500000</f>
        <v>1500000</v>
      </c>
      <c r="AJ311" s="751">
        <v>0.03679069891332253</v>
      </c>
      <c r="AK311" s="752">
        <v>0.042401999324596894</v>
      </c>
      <c r="AL311" s="753">
        <v>0.04790416463075812</v>
      </c>
      <c r="AM311" s="1156">
        <v>0.053318562336596716</v>
      </c>
      <c r="AN311" s="1154">
        <v>0.05866655994690338</v>
      </c>
      <c r="AO311" s="756">
        <v>0.06079195328535016</v>
      </c>
      <c r="AP311" s="757">
        <v>0.0629115089295849</v>
      </c>
      <c r="AQ311" s="758">
        <v>0.06502659439991418</v>
      </c>
      <c r="AR311" s="759">
        <v>0.06713857721664468</v>
      </c>
      <c r="AS311" s="1159">
        <v>0.0692488249000829</v>
      </c>
      <c r="AT311" s="610"/>
      <c r="AV311" s="1056">
        <f t="shared" ref="AV311:AV328" si="43">AV310+500000</f>
        <v>1500000</v>
      </c>
      <c r="AW311" s="1256">
        <v>82.08333333333333</v>
      </c>
      <c r="AX311" s="1257">
        <v>82.08333333333333</v>
      </c>
      <c r="AY311" s="1258">
        <v>82.08333333333333</v>
      </c>
      <c r="AZ311" s="1259">
        <v>82.08333333333333</v>
      </c>
      <c r="BA311" s="1260">
        <v>82.08333333333333</v>
      </c>
      <c r="BB311" s="1261">
        <v>82.08333333333333</v>
      </c>
      <c r="BC311" s="1262">
        <v>82.08333333333333</v>
      </c>
      <c r="BD311" s="1263">
        <v>82.08333333333333</v>
      </c>
      <c r="BE311" s="1264">
        <v>82.08333333333333</v>
      </c>
      <c r="BF311" s="1265">
        <v>82.08333333333333</v>
      </c>
      <c r="BL311" s="1225" t="s">
        <v>66</v>
      </c>
      <c r="BM311" s="1062">
        <v>524288.0</v>
      </c>
      <c r="BN311" s="1266">
        <v>68546.03431875107</v>
      </c>
      <c r="BO311" s="1266">
        <v>137318.8729782092</v>
      </c>
      <c r="BP311" s="1266">
        <v>343865.0146382868</v>
      </c>
      <c r="BQ311" s="1266">
        <v>688579.7805449762</v>
      </c>
      <c r="BR311" s="1266">
        <v>1034145.818723662</v>
      </c>
      <c r="BS311" s="1266">
        <v>1380047.5323985687</v>
      </c>
      <c r="BT311" s="1266">
        <v>1726357.6121201403</v>
      </c>
      <c r="BU311" s="1266">
        <v>2073173.2341215673</v>
      </c>
      <c r="BV311" s="1266">
        <v>2420053.7268401273</v>
      </c>
      <c r="BW311" s="1266">
        <v>2767316.144228562</v>
      </c>
      <c r="BX311" s="1266">
        <v>3114546.6046352787</v>
      </c>
      <c r="BY311" s="1266">
        <v>3461897.4704423854</v>
      </c>
      <c r="BZ311" s="1266">
        <v>3809528.32355589</v>
      </c>
      <c r="CA311" s="1266">
        <v>4157047.3737795283</v>
      </c>
      <c r="CB311" s="610"/>
      <c r="CC311" s="1225" t="s">
        <v>66</v>
      </c>
      <c r="CD311" s="1062">
        <v>524288.0</v>
      </c>
      <c r="CE311" s="1073">
        <v>0.20256206800944807</v>
      </c>
      <c r="CF311" s="1073">
        <v>0.20488360432440392</v>
      </c>
      <c r="CG311" s="1073">
        <v>0.20627652611337746</v>
      </c>
      <c r="CH311" s="1073">
        <v>0.20674083337636864</v>
      </c>
      <c r="CI311" s="1073">
        <v>0.20689560246403235</v>
      </c>
      <c r="CJ311" s="1073">
        <v>0.20697298700786423</v>
      </c>
      <c r="CK311" s="1073">
        <v>0.20683369482896688</v>
      </c>
      <c r="CL311" s="1073">
        <v>0.20689560246403235</v>
      </c>
      <c r="CM311" s="1073">
        <v>0.20693982220336488</v>
      </c>
      <c r="CN311" s="1073">
        <v>0.20697298700786423</v>
      </c>
      <c r="CO311" s="1073">
        <v>0.20689560246403238</v>
      </c>
      <c r="CP311" s="1073">
        <v>0.20692655628156512</v>
      </c>
      <c r="CQ311" s="1073">
        <v>0.20695188213227375</v>
      </c>
      <c r="CR311" s="1073">
        <v>0.2069729870078642</v>
      </c>
      <c r="CT311" s="703" t="s">
        <v>66</v>
      </c>
      <c r="CU311" s="681">
        <v>524288.0</v>
      </c>
      <c r="CV311" s="1267">
        <v>16.945383333333336</v>
      </c>
      <c r="CW311" s="1268">
        <v>18.41635543294271</v>
      </c>
      <c r="CX311" s="1240">
        <v>19.88589103636106</v>
      </c>
      <c r="CY311" s="1269">
        <v>21.353991546416694</v>
      </c>
      <c r="CZ311" s="1242">
        <v>22.82065836456798</v>
      </c>
      <c r="DA311" s="1270">
        <v>30.132536032073745</v>
      </c>
      <c r="DB311" s="1271">
        <v>37.40878083534171</v>
      </c>
      <c r="DC311" s="1270">
        <v>60.12253975681017</v>
      </c>
      <c r="DD311" s="1271">
        <v>67.32803893267595</v>
      </c>
      <c r="DE311" s="1271">
        <v>74.49842365701853</v>
      </c>
      <c r="DF311" s="1271">
        <v>97.10683838590315</v>
      </c>
      <c r="DG311" s="1271">
        <v>104.2075067414657</v>
      </c>
      <c r="DH311" s="1244">
        <v>111.27357151597596</v>
      </c>
      <c r="DI311" s="1271">
        <v>133.778174675882</v>
      </c>
    </row>
    <row r="312">
      <c r="Y312" s="1056">
        <f t="shared" si="41"/>
        <v>2000000</v>
      </c>
      <c r="Z312" s="740">
        <v>0.04358903200735228</v>
      </c>
      <c r="AA312" s="766">
        <v>0.06016544325850107</v>
      </c>
      <c r="AB312" s="775">
        <v>0.07674185450964988</v>
      </c>
      <c r="AC312" s="799">
        <v>0.09331826576079863</v>
      </c>
      <c r="AD312" s="752">
        <v>0.10989467701194737</v>
      </c>
      <c r="AE312" s="778">
        <v>0.1264710882630962</v>
      </c>
      <c r="AF312" s="779">
        <v>0.14304749951424497</v>
      </c>
      <c r="AG312" s="577"/>
      <c r="AI312" s="1056">
        <f t="shared" si="42"/>
        <v>2000000</v>
      </c>
      <c r="AJ312" s="740">
        <v>0.0233094781944932</v>
      </c>
      <c r="AK312" s="766">
        <v>0.028169006898922898</v>
      </c>
      <c r="AL312" s="775">
        <v>0.032934021829879874</v>
      </c>
      <c r="AM312" s="799">
        <v>0.0376230277893283</v>
      </c>
      <c r="AN312" s="752">
        <v>0.04225452957923233</v>
      </c>
      <c r="AO312" s="778">
        <v>0.04409517420336147</v>
      </c>
      <c r="AP312" s="779">
        <v>0.045930763236003425</v>
      </c>
      <c r="AQ312" s="780">
        <v>0.04776248098448397</v>
      </c>
      <c r="AR312" s="781">
        <v>0.04959151175612877</v>
      </c>
      <c r="AS312" s="1165">
        <v>0.05141903985826351</v>
      </c>
      <c r="AT312" s="610"/>
      <c r="AV312" s="1056">
        <f t="shared" si="43"/>
        <v>2000000</v>
      </c>
      <c r="AW312" s="1272">
        <v>82.08333333333333</v>
      </c>
      <c r="AX312" s="1273">
        <v>82.08333333333333</v>
      </c>
      <c r="AY312" s="1274">
        <v>82.08333333333333</v>
      </c>
      <c r="AZ312" s="1275">
        <v>82.08333333333333</v>
      </c>
      <c r="BA312" s="1257">
        <v>82.08333333333333</v>
      </c>
      <c r="BB312" s="1276">
        <v>82.08333333333333</v>
      </c>
      <c r="BC312" s="1277">
        <v>82.08333333333333</v>
      </c>
      <c r="BD312" s="1278">
        <v>82.08333333333333</v>
      </c>
      <c r="BE312" s="1279">
        <v>82.08333333333333</v>
      </c>
      <c r="BF312" s="1280">
        <v>82.08333333333333</v>
      </c>
      <c r="BM312" s="1062">
        <v>1000000.0</v>
      </c>
      <c r="BN312" s="1281">
        <v>49189.68131543923</v>
      </c>
      <c r="BO312" s="1281">
        <v>98606.1669715855</v>
      </c>
      <c r="BP312" s="1281">
        <v>247083.2496217275</v>
      </c>
      <c r="BQ312" s="1281">
        <v>495016.25051185774</v>
      </c>
      <c r="BR312" s="1281">
        <v>743800.5236739842</v>
      </c>
      <c r="BS312" s="1281">
        <v>992920.4723323317</v>
      </c>
      <c r="BT312" s="1281">
        <v>1242448.787037344</v>
      </c>
      <c r="BU312" s="1281">
        <v>1492482.6440222117</v>
      </c>
      <c r="BV312" s="1281">
        <v>1742581.3717242123</v>
      </c>
      <c r="BW312" s="1281">
        <v>1993062.0240960876</v>
      </c>
      <c r="BX312" s="1281">
        <v>2243510.7194862454</v>
      </c>
      <c r="BY312" s="1281">
        <v>2494079.8202767926</v>
      </c>
      <c r="BZ312" s="1281">
        <v>2744928.908373738</v>
      </c>
      <c r="CA312" s="1281">
        <v>2995666.193580817</v>
      </c>
      <c r="CB312" s="610"/>
      <c r="CD312" s="1062">
        <v>1000000.0</v>
      </c>
      <c r="CE312" s="1075">
        <v>0.1453894752539192</v>
      </c>
      <c r="CF312" s="1075">
        <v>0.1477110115688751</v>
      </c>
      <c r="CG312" s="1075">
        <v>0.1491039333578486</v>
      </c>
      <c r="CH312" s="1075">
        <v>0.1495682406208398</v>
      </c>
      <c r="CI312" s="1075">
        <v>0.14972300970850352</v>
      </c>
      <c r="CJ312" s="1075">
        <v>0.14980039425233538</v>
      </c>
      <c r="CK312" s="1075">
        <v>0.14966110207343802</v>
      </c>
      <c r="CL312" s="1075">
        <v>0.14972300970850352</v>
      </c>
      <c r="CM312" s="1075">
        <v>0.149767229447836</v>
      </c>
      <c r="CN312" s="1075">
        <v>0.14980039425233538</v>
      </c>
      <c r="CO312" s="1075">
        <v>0.14972300970850352</v>
      </c>
      <c r="CP312" s="1075">
        <v>0.14975396352603626</v>
      </c>
      <c r="CQ312" s="1075">
        <v>0.14977928937674487</v>
      </c>
      <c r="CR312" s="1075">
        <v>0.14980039425233538</v>
      </c>
      <c r="CU312" s="681">
        <v>1000000.0</v>
      </c>
      <c r="CV312" s="1282">
        <v>16.945383333333336</v>
      </c>
      <c r="CW312" s="1247">
        <v>18.41635543294271</v>
      </c>
      <c r="CX312" s="1283">
        <v>19.88589103636106</v>
      </c>
      <c r="CY312" s="1249">
        <v>21.353991546416694</v>
      </c>
      <c r="CZ312" s="1284">
        <v>22.82065836456798</v>
      </c>
      <c r="DA312" s="1285">
        <v>30.132536032073745</v>
      </c>
      <c r="DB312" s="1251">
        <v>37.40878083534171</v>
      </c>
      <c r="DC312" s="1285">
        <v>60.12253975681017</v>
      </c>
      <c r="DD312" s="1251">
        <v>67.32803893267595</v>
      </c>
      <c r="DE312" s="1251">
        <v>74.49842365701853</v>
      </c>
      <c r="DF312" s="1251">
        <v>97.10683838590315</v>
      </c>
      <c r="DG312" s="1251">
        <v>104.2075067414657</v>
      </c>
      <c r="DH312" s="1286">
        <v>111.27357151597596</v>
      </c>
      <c r="DI312" s="1251">
        <v>133.778174675882</v>
      </c>
    </row>
    <row r="313">
      <c r="Y313" s="1056">
        <f t="shared" si="41"/>
        <v>2500000</v>
      </c>
      <c r="Z313" s="795">
        <v>0.032388914894236245</v>
      </c>
      <c r="AA313" s="714">
        <v>0.04721530784646066</v>
      </c>
      <c r="AB313" s="740">
        <v>0.06204170079868509</v>
      </c>
      <c r="AC313" s="1168">
        <v>0.07686809375090947</v>
      </c>
      <c r="AD313" s="1287">
        <v>0.0916944867031339</v>
      </c>
      <c r="AE313" s="798">
        <v>0.1065208796553583</v>
      </c>
      <c r="AF313" s="715">
        <v>0.1213472726075827</v>
      </c>
      <c r="AG313" s="577"/>
      <c r="AI313" s="1056">
        <f t="shared" si="42"/>
        <v>2500000</v>
      </c>
      <c r="AJ313" s="795">
        <v>0.014109443372715053</v>
      </c>
      <c r="AK313" s="714">
        <v>0.018455937981401528</v>
      </c>
      <c r="AL313" s="740">
        <v>0.022717896901170046</v>
      </c>
      <c r="AM313" s="1168">
        <v>0.02691187133006138</v>
      </c>
      <c r="AN313" s="1287">
        <v>0.031054412466116295</v>
      </c>
      <c r="AO313" s="798">
        <v>0.03270073506690522</v>
      </c>
      <c r="AP313" s="715">
        <v>0.034342535809201435</v>
      </c>
      <c r="AQ313" s="751">
        <v>0.03598087396967958</v>
      </c>
      <c r="AR313" s="799">
        <v>0.03761680882501425</v>
      </c>
      <c r="AS313" s="1171">
        <v>0.03925139965188005</v>
      </c>
      <c r="AT313" s="610"/>
      <c r="AV313" s="1056">
        <f t="shared" si="43"/>
        <v>2500000</v>
      </c>
      <c r="AW313" s="1288">
        <v>82.08333333333333</v>
      </c>
      <c r="AX313" s="1289">
        <v>82.08333333333333</v>
      </c>
      <c r="AY313" s="1272">
        <v>82.08333333333333</v>
      </c>
      <c r="AZ313" s="1290">
        <v>82.08333333333333</v>
      </c>
      <c r="BA313" s="1291">
        <v>82.08333333333333</v>
      </c>
      <c r="BB313" s="1292">
        <v>82.08333333333333</v>
      </c>
      <c r="BC313" s="1293">
        <v>82.08333333333333</v>
      </c>
      <c r="BD313" s="1256">
        <v>82.08333333333333</v>
      </c>
      <c r="BE313" s="1275">
        <v>82.08333333333333</v>
      </c>
      <c r="BF313" s="1294">
        <v>82.08333333333333</v>
      </c>
      <c r="BM313" s="1056">
        <f t="shared" ref="BM313:BM330" si="44">BM312+500000</f>
        <v>1500000</v>
      </c>
      <c r="BN313" s="1266">
        <v>39868.62158157731</v>
      </c>
      <c r="BO313" s="1266">
        <v>79964.04750386166</v>
      </c>
      <c r="BP313" s="1266">
        <v>200477.95095241794</v>
      </c>
      <c r="BQ313" s="1266">
        <v>401805.6531732386</v>
      </c>
      <c r="BR313" s="1266">
        <v>603984.6276660556</v>
      </c>
      <c r="BS313" s="1266">
        <v>806499.2776550935</v>
      </c>
      <c r="BT313" s="1266">
        <v>1009422.293690796</v>
      </c>
      <c r="BU313" s="1266">
        <v>1212850.8520063544</v>
      </c>
      <c r="BV313" s="1266">
        <v>1416344.2810390454</v>
      </c>
      <c r="BW313" s="1266">
        <v>1620219.634741611</v>
      </c>
      <c r="BX313" s="1266">
        <v>1824063.0314624594</v>
      </c>
      <c r="BY313" s="1266">
        <v>2028026.833583697</v>
      </c>
      <c r="BZ313" s="1266">
        <v>2232270.623011333</v>
      </c>
      <c r="CA313" s="1266">
        <v>2436402.6095491024</v>
      </c>
      <c r="CB313" s="610"/>
      <c r="CD313" s="1056">
        <f t="shared" ref="CD313:CD330" si="45">CD312+500000</f>
        <v>1500000</v>
      </c>
      <c r="CE313" s="1073">
        <v>0.11785798974511157</v>
      </c>
      <c r="CF313" s="1073">
        <v>0.12017952606006745</v>
      </c>
      <c r="CG313" s="1073">
        <v>0.12157244784904098</v>
      </c>
      <c r="CH313" s="1073">
        <v>0.12203675511203216</v>
      </c>
      <c r="CI313" s="1073">
        <v>0.12219152419969587</v>
      </c>
      <c r="CJ313" s="1073">
        <v>0.12226890874352775</v>
      </c>
      <c r="CK313" s="1073">
        <v>0.1221296165646304</v>
      </c>
      <c r="CL313" s="1073">
        <v>0.12219152419969587</v>
      </c>
      <c r="CM313" s="1073">
        <v>0.12223574393902836</v>
      </c>
      <c r="CN313" s="1073">
        <v>0.12226890874352775</v>
      </c>
      <c r="CO313" s="1073">
        <v>0.12219152419969588</v>
      </c>
      <c r="CP313" s="1073">
        <v>0.12222247801722863</v>
      </c>
      <c r="CQ313" s="1073">
        <v>0.12224780386793722</v>
      </c>
      <c r="CR313" s="1073">
        <v>0.12226890874352773</v>
      </c>
      <c r="CU313" s="681">
        <f t="shared" ref="CU313:CU330" si="46">CU312+500000</f>
        <v>1500000</v>
      </c>
      <c r="CV313" s="1295">
        <v>16.945383333333336</v>
      </c>
      <c r="CW313" s="1296">
        <v>18.41635543294271</v>
      </c>
      <c r="CX313" s="1297">
        <v>19.88589103636106</v>
      </c>
      <c r="CY313" s="1298">
        <v>21.353991546416694</v>
      </c>
      <c r="CZ313" s="1299">
        <v>22.82065836456798</v>
      </c>
      <c r="DA313" s="1259">
        <v>30.132536032073745</v>
      </c>
      <c r="DB313" s="1300">
        <v>37.40878083534171</v>
      </c>
      <c r="DC313" s="1259">
        <v>60.12253975681017</v>
      </c>
      <c r="DD313" s="1300">
        <v>67.32803893267595</v>
      </c>
      <c r="DE313" s="1300">
        <v>74.49842365701853</v>
      </c>
      <c r="DF313" s="1301">
        <v>97.10683838590315</v>
      </c>
      <c r="DG313" s="1300">
        <v>104.2075067414657</v>
      </c>
      <c r="DH313" s="1300">
        <v>111.27357151597596</v>
      </c>
      <c r="DI313" s="1300">
        <v>133.778174675882</v>
      </c>
    </row>
    <row r="314">
      <c r="Y314" s="1056">
        <f t="shared" si="41"/>
        <v>3000000</v>
      </c>
      <c r="Z314" s="764">
        <v>0.024121331907935216</v>
      </c>
      <c r="AA314" s="739">
        <v>0.0376559150185501</v>
      </c>
      <c r="AB314" s="795">
        <v>0.05119049812916495</v>
      </c>
      <c r="AC314" s="714">
        <v>0.06472508123977984</v>
      </c>
      <c r="AD314" s="740">
        <v>0.07825966435039475</v>
      </c>
      <c r="AE314" s="813">
        <v>0.09179424746100957</v>
      </c>
      <c r="AF314" s="814">
        <v>0.10532883057162448</v>
      </c>
      <c r="AG314" s="577"/>
      <c r="AI314" s="1056">
        <f t="shared" si="42"/>
        <v>3000000</v>
      </c>
      <c r="AJ314" s="764">
        <v>0.007318259798675704</v>
      </c>
      <c r="AK314" s="739">
        <v>0.01128604837076267</v>
      </c>
      <c r="AL314" s="795">
        <v>0.015176666769958611</v>
      </c>
      <c r="AM314" s="714">
        <v>0.019005224103797975</v>
      </c>
      <c r="AN314" s="740">
        <v>0.022786829479815255</v>
      </c>
      <c r="AO314" s="813">
        <v>0.024289709522119698</v>
      </c>
      <c r="AP314" s="814">
        <v>0.02578846169126033</v>
      </c>
      <c r="AQ314" s="766">
        <v>0.0272840529701193</v>
      </c>
      <c r="AR314" s="815">
        <v>0.02877745034157887</v>
      </c>
      <c r="AS314" s="1176">
        <v>0.030269620788521256</v>
      </c>
      <c r="AT314" s="610"/>
      <c r="AV314" s="1056">
        <f t="shared" si="43"/>
        <v>3000000</v>
      </c>
      <c r="AW314" s="1302">
        <v>82.08333333333333</v>
      </c>
      <c r="AX314" s="1303">
        <v>82.08333333333333</v>
      </c>
      <c r="AY314" s="1288">
        <v>82.08333333333333</v>
      </c>
      <c r="AZ314" s="1289">
        <v>82.08333333333333</v>
      </c>
      <c r="BA314" s="1272">
        <v>82.08333333333333</v>
      </c>
      <c r="BB314" s="1304">
        <v>82.08333333333333</v>
      </c>
      <c r="BC314" s="1305">
        <v>82.08333333333333</v>
      </c>
      <c r="BD314" s="1273">
        <v>82.08333333333333</v>
      </c>
      <c r="BE314" s="1306">
        <v>82.08333333333333</v>
      </c>
      <c r="BF314" s="1307">
        <v>82.08333333333333</v>
      </c>
      <c r="BM314" s="1056">
        <f t="shared" si="44"/>
        <v>2000000</v>
      </c>
      <c r="BN314" s="1266">
        <v>34312.164580298595</v>
      </c>
      <c r="BO314" s="1266">
        <v>68851.13350130423</v>
      </c>
      <c r="BP314" s="1266">
        <v>172695.66594602438</v>
      </c>
      <c r="BQ314" s="1266">
        <v>346241.0831604515</v>
      </c>
      <c r="BR314" s="1266">
        <v>520637.7726468749</v>
      </c>
      <c r="BS314" s="1266">
        <v>695370.1376295192</v>
      </c>
      <c r="BT314" s="1266">
        <v>870510.8686588282</v>
      </c>
      <c r="BU314" s="1266">
        <v>1046157.141967993</v>
      </c>
      <c r="BV314" s="1266">
        <v>1221868.2859942904</v>
      </c>
      <c r="BW314" s="1266">
        <v>1397961.3546904626</v>
      </c>
      <c r="BX314" s="1266">
        <v>1574022.4664049172</v>
      </c>
      <c r="BY314" s="1266">
        <v>1750203.9835197614</v>
      </c>
      <c r="BZ314" s="1266">
        <v>1926665.4879410039</v>
      </c>
      <c r="CA314" s="1266">
        <v>2103015.1894723796</v>
      </c>
      <c r="CB314" s="610"/>
      <c r="CD314" s="1056">
        <f t="shared" si="45"/>
        <v>2000000</v>
      </c>
      <c r="CE314" s="1073">
        <v>0.10144595937744051</v>
      </c>
      <c r="CF314" s="1073">
        <v>0.10376749569239639</v>
      </c>
      <c r="CG314" s="1073">
        <v>0.10516041748136992</v>
      </c>
      <c r="CH314" s="1073">
        <v>0.10562472474436109</v>
      </c>
      <c r="CI314" s="1073">
        <v>0.10577949383202483</v>
      </c>
      <c r="CJ314" s="1073">
        <v>0.10585687837585668</v>
      </c>
      <c r="CK314" s="1073">
        <v>0.10571758619695934</v>
      </c>
      <c r="CL314" s="1073">
        <v>0.10577949383202483</v>
      </c>
      <c r="CM314" s="1073">
        <v>0.10582371357135731</v>
      </c>
      <c r="CN314" s="1073">
        <v>0.10585687837585668</v>
      </c>
      <c r="CO314" s="1073">
        <v>0.10577949383202481</v>
      </c>
      <c r="CP314" s="1073">
        <v>0.10581044764955758</v>
      </c>
      <c r="CQ314" s="1073">
        <v>0.10583577350026617</v>
      </c>
      <c r="CR314" s="1073">
        <v>0.10585687837585668</v>
      </c>
      <c r="CU314" s="681">
        <f t="shared" si="46"/>
        <v>2000000</v>
      </c>
      <c r="CV314" s="1308">
        <v>16.945383333333336</v>
      </c>
      <c r="CW314" s="1303">
        <v>18.41635543294271</v>
      </c>
      <c r="CX314" s="1309">
        <v>19.88589103636106</v>
      </c>
      <c r="CY314" s="1304">
        <v>21.353991546416694</v>
      </c>
      <c r="CZ314" s="1273">
        <v>22.82065836456798</v>
      </c>
      <c r="DA314" s="1274">
        <v>30.132536032073745</v>
      </c>
      <c r="DB314" s="1310">
        <v>37.40878083534171</v>
      </c>
      <c r="DC314" s="1274">
        <v>60.12253975681017</v>
      </c>
      <c r="DD314" s="1293">
        <v>67.32803893267595</v>
      </c>
      <c r="DE314" s="1310">
        <v>74.49842365701853</v>
      </c>
      <c r="DF314" s="1293">
        <v>97.10683838590315</v>
      </c>
      <c r="DG314" s="1293">
        <v>104.2075067414657</v>
      </c>
      <c r="DH314" s="1310">
        <v>111.27357151597596</v>
      </c>
      <c r="DI314" s="1293">
        <v>133.778174675882</v>
      </c>
    </row>
    <row r="315">
      <c r="Y315" s="1056">
        <f t="shared" si="41"/>
        <v>3500000</v>
      </c>
      <c r="Z315" s="831">
        <v>0.017695770149435863</v>
      </c>
      <c r="AA315" s="832">
        <v>0.03022635923528521</v>
      </c>
      <c r="AB315" s="833">
        <v>0.0427569483211346</v>
      </c>
      <c r="AC315" s="856">
        <v>0.05528753740698393</v>
      </c>
      <c r="AD315" s="787">
        <v>0.0678181264928333</v>
      </c>
      <c r="AE315" s="836">
        <v>0.08034871557868269</v>
      </c>
      <c r="AF315" s="714">
        <v>0.09287930466453201</v>
      </c>
      <c r="AG315" s="577"/>
      <c r="AI315" s="1056">
        <f t="shared" si="42"/>
        <v>3500000</v>
      </c>
      <c r="AJ315" s="831">
        <v>0.002040154995784636</v>
      </c>
      <c r="AK315" s="832">
        <v>0.005713613407470563</v>
      </c>
      <c r="AL315" s="833">
        <v>0.009315626121991093</v>
      </c>
      <c r="AM315" s="856">
        <v>0.0128601814547912</v>
      </c>
      <c r="AN315" s="787">
        <v>0.016361267721315922</v>
      </c>
      <c r="AO315" s="836">
        <v>0.01775266427202838</v>
      </c>
      <c r="AP315" s="714">
        <v>0.01914023915479647</v>
      </c>
      <c r="AQ315" s="837">
        <v>0.020524887621808662</v>
      </c>
      <c r="AR315" s="838">
        <v>0.021907504925253438</v>
      </c>
      <c r="AS315" s="740">
        <v>0.023288986317319287</v>
      </c>
      <c r="AT315" s="610"/>
      <c r="AV315" s="1056">
        <f t="shared" si="43"/>
        <v>3500000</v>
      </c>
      <c r="AW315" s="1311">
        <v>82.08333333333333</v>
      </c>
      <c r="AX315" s="1312">
        <v>82.08333333333333</v>
      </c>
      <c r="AY315" s="1313">
        <v>82.08333333333333</v>
      </c>
      <c r="AZ315" s="1314">
        <v>82.08333333333333</v>
      </c>
      <c r="BA315" s="1315">
        <v>82.08333333333333</v>
      </c>
      <c r="BB315" s="1316">
        <v>82.08333333333333</v>
      </c>
      <c r="BC315" s="1289">
        <v>82.08333333333333</v>
      </c>
      <c r="BD315" s="1309">
        <v>82.08333333333333</v>
      </c>
      <c r="BE315" s="1317">
        <v>82.08333333333333</v>
      </c>
      <c r="BF315" s="1272">
        <v>82.08333333333333</v>
      </c>
      <c r="BM315" s="1056">
        <f t="shared" si="44"/>
        <v>2500000</v>
      </c>
      <c r="BN315" s="1266">
        <v>30520.252930482042</v>
      </c>
      <c r="BO315" s="1266">
        <v>61267.31020167111</v>
      </c>
      <c r="BP315" s="1266">
        <v>153736.10769694156</v>
      </c>
      <c r="BQ315" s="1266">
        <v>308321.96666228585</v>
      </c>
      <c r="BR315" s="1266">
        <v>463759.0978996264</v>
      </c>
      <c r="BS315" s="1266">
        <v>619531.9046331879</v>
      </c>
      <c r="BT315" s="1266">
        <v>775713.0774134141</v>
      </c>
      <c r="BU315" s="1266">
        <v>932399.792473496</v>
      </c>
      <c r="BV315" s="1266">
        <v>1089151.3782507107</v>
      </c>
      <c r="BW315" s="1266">
        <v>1246284.8886978</v>
      </c>
      <c r="BX315" s="1266">
        <v>1403386.442163172</v>
      </c>
      <c r="BY315" s="1266">
        <v>1560608.4010289332</v>
      </c>
      <c r="BZ315" s="1266">
        <v>1718110.3472010929</v>
      </c>
      <c r="CA315" s="1266">
        <v>1875500.4904833857</v>
      </c>
      <c r="CB315" s="610"/>
      <c r="CD315" s="1056">
        <f t="shared" si="45"/>
        <v>2500000</v>
      </c>
      <c r="CE315" s="1073">
        <v>0.0902458422643245</v>
      </c>
      <c r="CF315" s="1073">
        <v>0.09256737857928037</v>
      </c>
      <c r="CG315" s="1073">
        <v>0.09396030036825388</v>
      </c>
      <c r="CH315" s="1073">
        <v>0.09442460763124506</v>
      </c>
      <c r="CI315" s="1073">
        <v>0.0945793767189088</v>
      </c>
      <c r="CJ315" s="1073">
        <v>0.09465676126274065</v>
      </c>
      <c r="CK315" s="1073">
        <v>0.09451746908384331</v>
      </c>
      <c r="CL315" s="1073">
        <v>0.0945793767189088</v>
      </c>
      <c r="CM315" s="1073">
        <v>0.0946235964582413</v>
      </c>
      <c r="CN315" s="1073">
        <v>0.09465676126274065</v>
      </c>
      <c r="CO315" s="1073">
        <v>0.0945793767189088</v>
      </c>
      <c r="CP315" s="1073">
        <v>0.09461033053644154</v>
      </c>
      <c r="CQ315" s="1073">
        <v>0.09463565638715016</v>
      </c>
      <c r="CR315" s="1073">
        <v>0.09465676126274065</v>
      </c>
      <c r="CU315" s="681">
        <f t="shared" si="46"/>
        <v>2500000</v>
      </c>
      <c r="CV315" s="1318">
        <v>16.945383333333336</v>
      </c>
      <c r="CW315" s="1319">
        <v>18.41635543294271</v>
      </c>
      <c r="CX315" s="1312">
        <v>19.88589103636106</v>
      </c>
      <c r="CY315" s="1303">
        <v>21.353991546416694</v>
      </c>
      <c r="CZ315" s="1314">
        <v>22.82065836456798</v>
      </c>
      <c r="DA315" s="1289">
        <v>30.132536032073745</v>
      </c>
      <c r="DB315" s="1309">
        <v>37.40878083534171</v>
      </c>
      <c r="DC315" s="1289">
        <v>60.12253975681017</v>
      </c>
      <c r="DD315" s="1320">
        <v>67.32803893267595</v>
      </c>
      <c r="DE315" s="1309">
        <v>74.49842365701853</v>
      </c>
      <c r="DF315" s="1320">
        <v>97.10683838590315</v>
      </c>
      <c r="DG315" s="1309">
        <v>104.2075067414657</v>
      </c>
      <c r="DH315" s="1309">
        <v>111.27357151597596</v>
      </c>
      <c r="DI315" s="1309">
        <v>133.778174675882</v>
      </c>
    </row>
    <row r="316">
      <c r="Y316" s="1056">
        <f t="shared" si="41"/>
        <v>4000000</v>
      </c>
      <c r="Z316" s="763">
        <v>0.01251627394191549</v>
      </c>
      <c r="AA316" s="852">
        <v>0.024237566745339747</v>
      </c>
      <c r="AB316" s="853">
        <v>0.035958859548764044</v>
      </c>
      <c r="AC316" s="890">
        <v>0.047680152352188344</v>
      </c>
      <c r="AD316" s="739">
        <v>0.059401445155612624</v>
      </c>
      <c r="AE316" s="856">
        <v>0.07112273795903692</v>
      </c>
      <c r="AF316" s="857">
        <v>0.08284403076246125</v>
      </c>
      <c r="AG316" s="577"/>
      <c r="AI316" s="1056">
        <f t="shared" si="42"/>
        <v>4000000</v>
      </c>
      <c r="AJ316" s="763">
        <v>-0.0022144027902810753</v>
      </c>
      <c r="AK316" s="852">
        <v>0.001221802909991813</v>
      </c>
      <c r="AL316" s="853">
        <v>0.004591177280126652</v>
      </c>
      <c r="AM316" s="890">
        <v>0.007906805191076761</v>
      </c>
      <c r="AN316" s="739">
        <v>0.011181771513795543</v>
      </c>
      <c r="AO316" s="856">
        <v>0.012483303809271812</v>
      </c>
      <c r="AP316" s="857">
        <v>0.013781261261724598</v>
      </c>
      <c r="AQ316" s="795">
        <v>0.015076481302894962</v>
      </c>
      <c r="AR316" s="787">
        <v>0.016369801364523855</v>
      </c>
      <c r="AS316" s="836">
        <v>0.01766205887835232</v>
      </c>
      <c r="AT316" s="610"/>
      <c r="AV316" s="1056">
        <f t="shared" si="43"/>
        <v>4000000</v>
      </c>
      <c r="AW316" s="1321">
        <v>82.08333333333333</v>
      </c>
      <c r="AX316" s="1322">
        <v>82.08333333333333</v>
      </c>
      <c r="AY316" s="1323">
        <v>82.08333333333333</v>
      </c>
      <c r="AZ316" s="1324">
        <v>82.08333333333333</v>
      </c>
      <c r="BA316" s="1303">
        <v>82.08333333333333</v>
      </c>
      <c r="BB316" s="1314">
        <v>82.08333333333333</v>
      </c>
      <c r="BC316" s="1325">
        <v>82.08333333333333</v>
      </c>
      <c r="BD316" s="1288">
        <v>82.08333333333333</v>
      </c>
      <c r="BE316" s="1315">
        <v>82.08333333333333</v>
      </c>
      <c r="BF316" s="1316">
        <v>82.08333333333333</v>
      </c>
      <c r="BM316" s="1056">
        <f t="shared" si="44"/>
        <v>3000000</v>
      </c>
      <c r="BN316" s="1266">
        <v>27721.18003463996</v>
      </c>
      <c r="BO316" s="1266">
        <v>55669.16440998695</v>
      </c>
      <c r="BP316" s="1266">
        <v>139740.7432177312</v>
      </c>
      <c r="BQ316" s="1266">
        <v>280331.2377038651</v>
      </c>
      <c r="BR316" s="1266">
        <v>421773.0044619952</v>
      </c>
      <c r="BS316" s="1266">
        <v>563550.4467163464</v>
      </c>
      <c r="BT316" s="1266">
        <v>705736.2550173622</v>
      </c>
      <c r="BU316" s="1266">
        <v>848427.6055982336</v>
      </c>
      <c r="BV316" s="1266">
        <v>991183.826896238</v>
      </c>
      <c r="BW316" s="1266">
        <v>1134321.972864117</v>
      </c>
      <c r="BX316" s="1266">
        <v>1277428.1618502785</v>
      </c>
      <c r="BY316" s="1266">
        <v>1420654.7562368293</v>
      </c>
      <c r="BZ316" s="1266">
        <v>1564161.3379297785</v>
      </c>
      <c r="CA316" s="1266">
        <v>1707556.116732861</v>
      </c>
      <c r="CB316" s="610"/>
      <c r="CD316" s="1056">
        <f t="shared" si="45"/>
        <v>3000000</v>
      </c>
      <c r="CE316" s="1073">
        <v>0.08197825927802345</v>
      </c>
      <c r="CF316" s="1073">
        <v>0.08429979559297933</v>
      </c>
      <c r="CG316" s="1073">
        <v>0.08569271738195286</v>
      </c>
      <c r="CH316" s="1073">
        <v>0.08615702464494403</v>
      </c>
      <c r="CI316" s="1073">
        <v>0.08631179373260776</v>
      </c>
      <c r="CJ316" s="1073">
        <v>0.08638917827643962</v>
      </c>
      <c r="CK316" s="1073">
        <v>0.08624988609754228</v>
      </c>
      <c r="CL316" s="1073">
        <v>0.08631179373260776</v>
      </c>
      <c r="CM316" s="1073">
        <v>0.08635601347194025</v>
      </c>
      <c r="CN316" s="1073">
        <v>0.08638917827643962</v>
      </c>
      <c r="CO316" s="1073">
        <v>0.08631179373260775</v>
      </c>
      <c r="CP316" s="1073">
        <v>0.08634274755014051</v>
      </c>
      <c r="CQ316" s="1073">
        <v>0.08636807340084912</v>
      </c>
      <c r="CR316" s="1073">
        <v>0.08638917827643962</v>
      </c>
      <c r="CU316" s="681">
        <f t="shared" si="46"/>
        <v>3000000</v>
      </c>
      <c r="CV316" s="1326">
        <v>16.945383333333336</v>
      </c>
      <c r="CW316" s="1327">
        <v>18.41635543294271</v>
      </c>
      <c r="CX316" s="1328">
        <v>19.88589103636106</v>
      </c>
      <c r="CY316" s="1329">
        <v>21.353991546416694</v>
      </c>
      <c r="CZ316" s="1330">
        <v>22.82065836456798</v>
      </c>
      <c r="DA316" s="1324">
        <v>30.132536032073745</v>
      </c>
      <c r="DB316" s="1331">
        <v>37.40878083534171</v>
      </c>
      <c r="DC316" s="1324">
        <v>60.12253975681017</v>
      </c>
      <c r="DD316" s="1332">
        <v>67.32803893267595</v>
      </c>
      <c r="DE316" s="1331">
        <v>74.49842365701853</v>
      </c>
      <c r="DF316" s="1332">
        <v>97.10683838590315</v>
      </c>
      <c r="DG316" s="1332">
        <v>104.2075067414657</v>
      </c>
      <c r="DH316" s="1331">
        <v>111.27357151597596</v>
      </c>
      <c r="DI316" s="1332">
        <v>133.778174675882</v>
      </c>
    </row>
    <row r="317">
      <c r="Y317" s="1056">
        <f t="shared" si="41"/>
        <v>4500000</v>
      </c>
      <c r="Z317" s="867">
        <v>0.008226021338234841</v>
      </c>
      <c r="AA317" s="868">
        <v>0.019276962172334027</v>
      </c>
      <c r="AB317" s="869">
        <v>0.030327903006433225</v>
      </c>
      <c r="AC317" s="1182">
        <v>0.04137884384053243</v>
      </c>
      <c r="AD317" s="1333">
        <v>0.0524297846746316</v>
      </c>
      <c r="AE317" s="872">
        <v>0.06348072550873082</v>
      </c>
      <c r="AF317" s="873">
        <v>0.07453166634283001</v>
      </c>
      <c r="AG317" s="577"/>
      <c r="AI317" s="1056">
        <f t="shared" si="42"/>
        <v>4500000</v>
      </c>
      <c r="AJ317" s="867">
        <v>-0.005738515346377836</v>
      </c>
      <c r="AK317" s="868">
        <v>-0.00249882954342472</v>
      </c>
      <c r="AL317" s="869">
        <v>6.778470772132716E-4</v>
      </c>
      <c r="AM317" s="1182">
        <v>0.0038038510501788823</v>
      </c>
      <c r="AN317" s="1333">
        <v>0.006891518910114891</v>
      </c>
      <c r="AO317" s="872">
        <v>0.008118615326200986</v>
      </c>
      <c r="AP317" s="873">
        <v>0.009342341347962305</v>
      </c>
      <c r="AQ317" s="874">
        <v>0.010563486513615999</v>
      </c>
      <c r="AR317" s="875">
        <v>0.011782840361379209</v>
      </c>
      <c r="AS317" s="1185">
        <v>0.013001192429469045</v>
      </c>
      <c r="AT317" s="610"/>
      <c r="AV317" s="1056">
        <f t="shared" si="43"/>
        <v>4500000</v>
      </c>
      <c r="AW317" s="1334">
        <v>82.08333333333333</v>
      </c>
      <c r="AX317" s="1335">
        <v>82.08333333333333</v>
      </c>
      <c r="AY317" s="1336">
        <v>82.08333333333333</v>
      </c>
      <c r="AZ317" s="1337">
        <v>82.08333333333333</v>
      </c>
      <c r="BA317" s="1338">
        <v>82.08333333333333</v>
      </c>
      <c r="BB317" s="1339">
        <v>82.08333333333333</v>
      </c>
      <c r="BC317" s="1340">
        <v>82.08333333333333</v>
      </c>
      <c r="BD317" s="1341">
        <v>82.08333333333333</v>
      </c>
      <c r="BE317" s="1342">
        <v>82.08333333333333</v>
      </c>
      <c r="BF317" s="1343">
        <v>82.08333333333333</v>
      </c>
      <c r="BM317" s="1056">
        <f t="shared" si="44"/>
        <v>3500000</v>
      </c>
      <c r="BN317" s="1266">
        <v>25545.741845682423</v>
      </c>
      <c r="BO317" s="1266">
        <v>51318.288032071876</v>
      </c>
      <c r="BP317" s="1266">
        <v>128863.5522729435</v>
      </c>
      <c r="BQ317" s="1266">
        <v>258576.8558142897</v>
      </c>
      <c r="BR317" s="1266">
        <v>389141.4316276322</v>
      </c>
      <c r="BS317" s="1266">
        <v>520041.6829371956</v>
      </c>
      <c r="BT317" s="1266">
        <v>651350.3002934237</v>
      </c>
      <c r="BU317" s="1266">
        <v>783164.4599295076</v>
      </c>
      <c r="BV317" s="1266">
        <v>915043.4902827241</v>
      </c>
      <c r="BW317" s="1266">
        <v>1047304.4453058153</v>
      </c>
      <c r="BX317" s="1266">
        <v>1179533.4433471893</v>
      </c>
      <c r="BY317" s="1266">
        <v>1311882.8467889524</v>
      </c>
      <c r="BZ317" s="1266">
        <v>1444512.237537114</v>
      </c>
      <c r="CA317" s="1266">
        <v>1577029.8253954088</v>
      </c>
      <c r="CB317" s="610"/>
      <c r="CD317" s="1056">
        <f t="shared" si="45"/>
        <v>3500000</v>
      </c>
      <c r="CE317" s="1073">
        <v>0.0755526975195241</v>
      </c>
      <c r="CF317" s="1073">
        <v>0.07787423383447999</v>
      </c>
      <c r="CG317" s="1073">
        <v>0.07926715562345352</v>
      </c>
      <c r="CH317" s="1073">
        <v>0.07973146288644468</v>
      </c>
      <c r="CI317" s="1073">
        <v>0.07988623197410842</v>
      </c>
      <c r="CJ317" s="1073">
        <v>0.07996361651794028</v>
      </c>
      <c r="CK317" s="1073">
        <v>0.07982432433904292</v>
      </c>
      <c r="CL317" s="1073">
        <v>0.07988623197410842</v>
      </c>
      <c r="CM317" s="1073">
        <v>0.07993045171344092</v>
      </c>
      <c r="CN317" s="1073">
        <v>0.07996361651794028</v>
      </c>
      <c r="CO317" s="1073">
        <v>0.07988623197410841</v>
      </c>
      <c r="CP317" s="1073">
        <v>0.07991718579164116</v>
      </c>
      <c r="CQ317" s="1073">
        <v>0.07994251164234978</v>
      </c>
      <c r="CR317" s="1073">
        <v>0.07996361651794028</v>
      </c>
      <c r="CU317" s="681">
        <f t="shared" si="46"/>
        <v>3500000</v>
      </c>
      <c r="CV317" s="1344">
        <v>16.945383333333336</v>
      </c>
      <c r="CW317" s="1345">
        <v>18.41635543294271</v>
      </c>
      <c r="CX317" s="1327">
        <v>19.88589103636106</v>
      </c>
      <c r="CY317" s="1346">
        <v>21.353991546416694</v>
      </c>
      <c r="CZ317" s="1347">
        <v>22.82065836456798</v>
      </c>
      <c r="DA317" s="1329">
        <v>30.132536032073745</v>
      </c>
      <c r="DB317" s="1311">
        <v>37.40878083534171</v>
      </c>
      <c r="DC317" s="1329">
        <v>60.12253975681017</v>
      </c>
      <c r="DD317" s="1322">
        <v>67.32803893267595</v>
      </c>
      <c r="DE317" s="1311">
        <v>74.49842365701853</v>
      </c>
      <c r="DF317" s="1322">
        <v>97.10683838590315</v>
      </c>
      <c r="DG317" s="1311">
        <v>104.2075067414657</v>
      </c>
      <c r="DH317" s="1311">
        <v>111.27357151597596</v>
      </c>
      <c r="DI317" s="1322">
        <v>133.778174675882</v>
      </c>
    </row>
    <row r="318">
      <c r="Y318" s="1056">
        <f t="shared" si="41"/>
        <v>5000000</v>
      </c>
      <c r="Z318" s="887">
        <v>0.004596595181147639</v>
      </c>
      <c r="AA318" s="844">
        <v>0.015080438178201943</v>
      </c>
      <c r="AB318" s="763">
        <v>0.02556428117525626</v>
      </c>
      <c r="AC318" s="916">
        <v>0.03604812417231062</v>
      </c>
      <c r="AD318" s="853">
        <v>0.046531967169364905</v>
      </c>
      <c r="AE318" s="853">
        <v>0.05701581016641922</v>
      </c>
      <c r="AF318" s="832">
        <v>0.06749965316347352</v>
      </c>
      <c r="AG318" s="594"/>
      <c r="AI318" s="1056">
        <f t="shared" si="42"/>
        <v>5000000</v>
      </c>
      <c r="AJ318" s="887">
        <v>-0.008719809799912815</v>
      </c>
      <c r="AK318" s="844">
        <v>-0.005646373987719825</v>
      </c>
      <c r="AL318" s="763">
        <v>-0.0026327139344130067</v>
      </c>
      <c r="AM318" s="916">
        <v>3.3287382437902405E-4</v>
      </c>
      <c r="AN318" s="853">
        <v>0.003262092753027688</v>
      </c>
      <c r="AO318" s="853">
        <v>0.00442621862806619</v>
      </c>
      <c r="AP318" s="832">
        <v>0.0055871470663009576</v>
      </c>
      <c r="AQ318" s="786">
        <v>0.006745627089451734</v>
      </c>
      <c r="AR318" s="890">
        <v>0.007902407719238318</v>
      </c>
      <c r="AS318" s="890">
        <v>0.009058237977380456</v>
      </c>
      <c r="AT318" s="610"/>
      <c r="AV318" s="1056">
        <f t="shared" si="43"/>
        <v>5000000</v>
      </c>
      <c r="AW318" s="1348">
        <v>82.08333333333333</v>
      </c>
      <c r="AX318" s="1349">
        <v>82.08333333333333</v>
      </c>
      <c r="AY318" s="1321">
        <v>82.08333333333333</v>
      </c>
      <c r="AZ318" s="1329">
        <v>82.08333333333333</v>
      </c>
      <c r="BA318" s="1323">
        <v>82.08333333333333</v>
      </c>
      <c r="BB318" s="1323">
        <v>82.08333333333333</v>
      </c>
      <c r="BC318" s="1312">
        <v>82.08333333333333</v>
      </c>
      <c r="BD318" s="1350">
        <v>82.08333333333333</v>
      </c>
      <c r="BE318" s="1324">
        <v>82.08333333333333</v>
      </c>
      <c r="BF318" s="1324">
        <v>82.08333333333333</v>
      </c>
      <c r="BM318" s="1056">
        <f t="shared" si="44"/>
        <v>4000000</v>
      </c>
      <c r="BN318" s="1266">
        <v>23792.171609664325</v>
      </c>
      <c r="BO318" s="1266">
        <v>47811.14756003568</v>
      </c>
      <c r="BP318" s="1266">
        <v>120095.70109285299</v>
      </c>
      <c r="BQ318" s="1266">
        <v>241041.1534541087</v>
      </c>
      <c r="BR318" s="1266">
        <v>362837.87808736064</v>
      </c>
      <c r="BS318" s="1266">
        <v>484970.27821683354</v>
      </c>
      <c r="BT318" s="1266">
        <v>607511.0443929712</v>
      </c>
      <c r="BU318" s="1266">
        <v>730557.3528489645</v>
      </c>
      <c r="BV318" s="1266">
        <v>853668.5320220906</v>
      </c>
      <c r="BW318" s="1266">
        <v>977161.6358650912</v>
      </c>
      <c r="BX318" s="1266">
        <v>1100622.7827263747</v>
      </c>
      <c r="BY318" s="1266">
        <v>1224204.3349880474</v>
      </c>
      <c r="BZ318" s="1266">
        <v>1348065.8745561184</v>
      </c>
      <c r="CA318" s="1266">
        <v>1471815.6112343227</v>
      </c>
      <c r="CB318" s="610"/>
      <c r="CD318" s="1056">
        <f t="shared" si="45"/>
        <v>4000000</v>
      </c>
      <c r="CE318" s="1073">
        <v>0.07037320131200372</v>
      </c>
      <c r="CF318" s="1073">
        <v>0.0726947376269596</v>
      </c>
      <c r="CG318" s="1073">
        <v>0.07408765941593312</v>
      </c>
      <c r="CH318" s="1073">
        <v>0.0745519666789243</v>
      </c>
      <c r="CI318" s="1073">
        <v>0.07470673576658804</v>
      </c>
      <c r="CJ318" s="1073">
        <v>0.0747841203104199</v>
      </c>
      <c r="CK318" s="1073">
        <v>0.07464482813152255</v>
      </c>
      <c r="CL318" s="1073">
        <v>0.07470673576658804</v>
      </c>
      <c r="CM318" s="1073">
        <v>0.07475095550592052</v>
      </c>
      <c r="CN318" s="1073">
        <v>0.0747841203104199</v>
      </c>
      <c r="CO318" s="1073">
        <v>0.07470673576658804</v>
      </c>
      <c r="CP318" s="1073">
        <v>0.07473768958412079</v>
      </c>
      <c r="CQ318" s="1073">
        <v>0.0747630154348294</v>
      </c>
      <c r="CR318" s="1073">
        <v>0.0747841203104199</v>
      </c>
      <c r="CU318" s="681">
        <f t="shared" si="46"/>
        <v>4000000</v>
      </c>
      <c r="CV318" s="1351">
        <v>16.945383333333336</v>
      </c>
      <c r="CW318" s="1352">
        <v>18.41635543294271</v>
      </c>
      <c r="CX318" s="1353">
        <v>19.88589103636106</v>
      </c>
      <c r="CY318" s="1354">
        <v>21.353991546416694</v>
      </c>
      <c r="CZ318" s="1355">
        <v>22.82065836456798</v>
      </c>
      <c r="DA318" s="1349">
        <v>30.132536032073745</v>
      </c>
      <c r="DB318" s="1356">
        <v>37.40878083534171</v>
      </c>
      <c r="DC318" s="1349">
        <v>60.12253975681017</v>
      </c>
      <c r="DD318" s="1347">
        <v>67.32803893267595</v>
      </c>
      <c r="DE318" s="1328">
        <v>74.49842365701853</v>
      </c>
      <c r="DF318" s="1347">
        <v>97.10683838590315</v>
      </c>
      <c r="DG318" s="1347">
        <v>104.2075067414657</v>
      </c>
      <c r="DH318" s="1328">
        <v>111.27357151597596</v>
      </c>
      <c r="DI318" s="1347">
        <v>133.778174675882</v>
      </c>
    </row>
    <row r="319">
      <c r="Y319" s="1056">
        <f t="shared" si="41"/>
        <v>5500000</v>
      </c>
      <c r="Z319" s="804">
        <v>0.0014740933709803635</v>
      </c>
      <c r="AA319" s="821">
        <v>0.011470045460196051</v>
      </c>
      <c r="AB319" s="902">
        <v>0.02146599754941171</v>
      </c>
      <c r="AC319" s="763">
        <v>0.03146194963862738</v>
      </c>
      <c r="AD319" s="822">
        <v>0.04145790172784309</v>
      </c>
      <c r="AE319" s="852">
        <v>0.051453853817058776</v>
      </c>
      <c r="AF319" s="831">
        <v>0.06144980590627446</v>
      </c>
      <c r="AG319" s="577"/>
      <c r="AI319" s="1056">
        <f t="shared" si="42"/>
        <v>5500000</v>
      </c>
      <c r="AJ319" s="804">
        <v>-0.011284704889354593</v>
      </c>
      <c r="AK319" s="821">
        <v>-0.008354298821980955</v>
      </c>
      <c r="AL319" s="902">
        <v>-0.005480886704449027</v>
      </c>
      <c r="AM319" s="763">
        <v>-0.0026533097213161504</v>
      </c>
      <c r="AN319" s="822">
        <v>1.3959094286041446E-4</v>
      </c>
      <c r="AO319" s="852">
        <v>0.001249541413882427</v>
      </c>
      <c r="AP319" s="831">
        <v>0.0023564432485305787</v>
      </c>
      <c r="AQ319" s="853">
        <v>0.003461010610993225</v>
      </c>
      <c r="AR319" s="853">
        <v>0.004563957665458693</v>
      </c>
      <c r="AS319" s="832">
        <v>0.005665998576115312</v>
      </c>
      <c r="AT319" s="610"/>
      <c r="AV319" s="1056">
        <f t="shared" si="43"/>
        <v>5500000</v>
      </c>
      <c r="AW319" s="1355">
        <v>82.08333333333333</v>
      </c>
      <c r="AX319" s="1357">
        <v>82.08333333333333</v>
      </c>
      <c r="AY319" s="1347">
        <v>82.08333333333333</v>
      </c>
      <c r="AZ319" s="1321">
        <v>82.08333333333333</v>
      </c>
      <c r="BA319" s="1358">
        <v>82.08333333333333</v>
      </c>
      <c r="BB319" s="1322">
        <v>82.08333333333333</v>
      </c>
      <c r="BC319" s="1311">
        <v>82.08333333333333</v>
      </c>
      <c r="BD319" s="1323">
        <v>82.08333333333333</v>
      </c>
      <c r="BE319" s="1323">
        <v>82.08333333333333</v>
      </c>
      <c r="BF319" s="1312">
        <v>82.08333333333333</v>
      </c>
      <c r="BM319" s="1056">
        <f t="shared" si="44"/>
        <v>4500000</v>
      </c>
      <c r="BN319" s="1359">
        <v>22339.663688162203</v>
      </c>
      <c r="BO319" s="1359">
        <v>44906.131717031436</v>
      </c>
      <c r="BP319" s="1359">
        <v>112833.16148534241</v>
      </c>
      <c r="BQ319" s="1359">
        <v>226516.07423908752</v>
      </c>
      <c r="BR319" s="1359">
        <v>341050.25926482887</v>
      </c>
      <c r="BS319" s="1359">
        <v>455920.1197867912</v>
      </c>
      <c r="BT319" s="1359">
        <v>571198.3463554183</v>
      </c>
      <c r="BU319" s="1359">
        <v>686982.115203901</v>
      </c>
      <c r="BV319" s="1359">
        <v>802830.7547695165</v>
      </c>
      <c r="BW319" s="1359">
        <v>919061.3190050066</v>
      </c>
      <c r="BX319" s="1359">
        <v>1035259.9262587795</v>
      </c>
      <c r="BY319" s="1359">
        <v>1151578.9389129416</v>
      </c>
      <c r="BZ319" s="1359">
        <v>1268177.938873502</v>
      </c>
      <c r="CA319" s="1359">
        <v>1384665.1359441956</v>
      </c>
      <c r="CB319" s="610"/>
      <c r="CD319" s="1056">
        <f t="shared" si="45"/>
        <v>4500000</v>
      </c>
      <c r="CE319" s="594">
        <v>0.06608294870832308</v>
      </c>
      <c r="CF319" s="594">
        <v>0.06840448502327896</v>
      </c>
      <c r="CG319" s="594">
        <v>0.0697974068122525</v>
      </c>
      <c r="CH319" s="594">
        <v>0.07026171407524368</v>
      </c>
      <c r="CI319" s="594">
        <v>0.0704164831629074</v>
      </c>
      <c r="CJ319" s="594">
        <v>0.07049386770673927</v>
      </c>
      <c r="CK319" s="594">
        <v>0.07035457552784191</v>
      </c>
      <c r="CL319" s="594">
        <v>0.0704164831629074</v>
      </c>
      <c r="CM319" s="594">
        <v>0.07046070290223988</v>
      </c>
      <c r="CN319" s="594">
        <v>0.07049386770673927</v>
      </c>
      <c r="CO319" s="594">
        <v>0.0704164831629074</v>
      </c>
      <c r="CP319" s="594">
        <v>0.07044743698044015</v>
      </c>
      <c r="CQ319" s="594">
        <v>0.07047276283114876</v>
      </c>
      <c r="CR319" s="594">
        <v>0.07049386770673925</v>
      </c>
      <c r="CU319" s="681">
        <f t="shared" si="46"/>
        <v>4500000</v>
      </c>
      <c r="CV319" s="1360">
        <v>16.945383333333336</v>
      </c>
      <c r="CW319" s="1361">
        <v>18.41635543294271</v>
      </c>
      <c r="CX319" s="1362">
        <v>19.88589103636106</v>
      </c>
      <c r="CY319" s="1363">
        <v>21.353991546416694</v>
      </c>
      <c r="CZ319" s="1364">
        <v>22.82065836456798</v>
      </c>
      <c r="DA319" s="1365">
        <v>30.132536032073745</v>
      </c>
      <c r="DB319" s="1366">
        <v>37.40878083534171</v>
      </c>
      <c r="DC319" s="1365">
        <v>60.12253975681017</v>
      </c>
      <c r="DD319" s="1365">
        <v>67.32803893267595</v>
      </c>
      <c r="DE319" s="1366">
        <v>74.49842365701853</v>
      </c>
      <c r="DF319" s="1365">
        <v>97.10683838590315</v>
      </c>
      <c r="DG319" s="1367">
        <v>104.2075067414657</v>
      </c>
      <c r="DH319" s="1366">
        <v>111.27357151597596</v>
      </c>
      <c r="DI319" s="1365">
        <v>133.778174675882</v>
      </c>
    </row>
    <row r="320">
      <c r="Y320" s="1056">
        <f t="shared" si="41"/>
        <v>6000000</v>
      </c>
      <c r="Z320" s="843">
        <v>-0.0012494688124883356</v>
      </c>
      <c r="AA320" s="804">
        <v>0.008320926685560356</v>
      </c>
      <c r="AB320" s="914">
        <v>0.01789132218360902</v>
      </c>
      <c r="AC320" s="902">
        <v>0.02746171768165774</v>
      </c>
      <c r="AD320" s="763">
        <v>0.03703211317970645</v>
      </c>
      <c r="AE320" s="763">
        <v>0.04660250867775514</v>
      </c>
      <c r="AF320" s="822">
        <v>0.05617290417580383</v>
      </c>
      <c r="AG320" s="577"/>
      <c r="AI320" s="1056">
        <f t="shared" si="42"/>
        <v>6000000</v>
      </c>
      <c r="AJ320" s="843">
        <v>-0.013521901757398709</v>
      </c>
      <c r="AK320" s="804">
        <v>-0.010716251551761525</v>
      </c>
      <c r="AL320" s="914">
        <v>-0.007965168898680914</v>
      </c>
      <c r="AM320" s="902">
        <v>-0.005257970045761615</v>
      </c>
      <c r="AN320" s="763">
        <v>-0.002583971240608282</v>
      </c>
      <c r="AO320" s="763">
        <v>-0.0015212745713848908</v>
      </c>
      <c r="AP320" s="822">
        <v>-4.614967492675241E-4</v>
      </c>
      <c r="AQ320" s="916">
        <v>5.960459858971161E-4</v>
      </c>
      <c r="AR320" s="852">
        <v>0.0016520373942623685</v>
      </c>
      <c r="AS320" s="831">
        <v>0.002707161235981476</v>
      </c>
      <c r="AT320" s="610"/>
      <c r="AV320" s="1056">
        <f t="shared" si="43"/>
        <v>6000000</v>
      </c>
      <c r="AW320" s="1354">
        <v>82.08333333333333</v>
      </c>
      <c r="AX320" s="1355">
        <v>82.08333333333333</v>
      </c>
      <c r="AY320" s="1368">
        <v>82.08333333333333</v>
      </c>
      <c r="AZ320" s="1347">
        <v>82.08333333333333</v>
      </c>
      <c r="BA320" s="1321">
        <v>82.08333333333333</v>
      </c>
      <c r="BB320" s="1321">
        <v>82.08333333333333</v>
      </c>
      <c r="BC320" s="1358">
        <v>82.08333333333333</v>
      </c>
      <c r="BD320" s="1329">
        <v>82.08333333333333</v>
      </c>
      <c r="BE320" s="1322">
        <v>82.08333333333333</v>
      </c>
      <c r="BF320" s="1311">
        <v>82.08333333333333</v>
      </c>
      <c r="BM320" s="1056">
        <f t="shared" si="44"/>
        <v>5000000</v>
      </c>
      <c r="BN320" s="1369">
        <v>21110.88516841876</v>
      </c>
      <c r="BO320" s="1369">
        <v>42448.57467754455</v>
      </c>
      <c r="BP320" s="1369">
        <v>106689.26888662518</v>
      </c>
      <c r="BQ320" s="1369">
        <v>214228.28904165307</v>
      </c>
      <c r="BR320" s="1369">
        <v>322618.5814686772</v>
      </c>
      <c r="BS320" s="1369">
        <v>431344.5493919223</v>
      </c>
      <c r="BT320" s="1369">
        <v>540478.8833618321</v>
      </c>
      <c r="BU320" s="1369">
        <v>650118.7596115976</v>
      </c>
      <c r="BV320" s="1369">
        <v>759823.506578496</v>
      </c>
      <c r="BW320" s="1369">
        <v>869910.1782152688</v>
      </c>
      <c r="BX320" s="1369">
        <v>979964.8928703245</v>
      </c>
      <c r="BY320" s="1369">
        <v>1090140.0129257692</v>
      </c>
      <c r="BZ320" s="1369">
        <v>1200595.1202876125</v>
      </c>
      <c r="CA320" s="1369">
        <v>1310938.424759589</v>
      </c>
      <c r="CB320" s="610"/>
      <c r="CD320" s="1056">
        <f t="shared" si="45"/>
        <v>5000000</v>
      </c>
      <c r="CE320" s="577">
        <v>0.062453522551235874</v>
      </c>
      <c r="CF320" s="577">
        <v>0.06477505886619175</v>
      </c>
      <c r="CG320" s="577">
        <v>0.06616798065516528</v>
      </c>
      <c r="CH320" s="577">
        <v>0.06663228791815647</v>
      </c>
      <c r="CI320" s="577">
        <v>0.06678705700582017</v>
      </c>
      <c r="CJ320" s="577">
        <v>0.06686444154965204</v>
      </c>
      <c r="CK320" s="577">
        <v>0.06672514937075469</v>
      </c>
      <c r="CL320" s="577">
        <v>0.06678705700582017</v>
      </c>
      <c r="CM320" s="577">
        <v>0.06683127674515268</v>
      </c>
      <c r="CN320" s="577">
        <v>0.06686444154965204</v>
      </c>
      <c r="CO320" s="577">
        <v>0.06678705700582017</v>
      </c>
      <c r="CP320" s="577">
        <v>0.06681801082335292</v>
      </c>
      <c r="CQ320" s="577">
        <v>0.06684333667406155</v>
      </c>
      <c r="CR320" s="577">
        <v>0.06686444154965204</v>
      </c>
      <c r="CU320" s="681">
        <f t="shared" si="46"/>
        <v>5000000</v>
      </c>
      <c r="CV320" s="1370">
        <v>16.945383333333336</v>
      </c>
      <c r="CW320" s="1371">
        <v>18.41635543294271</v>
      </c>
      <c r="CX320" s="1372">
        <v>19.88589103636106</v>
      </c>
      <c r="CY320" s="1373">
        <v>21.353991546416694</v>
      </c>
      <c r="CZ320" s="1345">
        <v>22.82065836456798</v>
      </c>
      <c r="DA320" s="1308">
        <v>30.132536032073745</v>
      </c>
      <c r="DB320" s="1354">
        <v>37.40878083534171</v>
      </c>
      <c r="DC320" s="1308">
        <v>60.12253975681017</v>
      </c>
      <c r="DD320" s="1374">
        <v>67.32803893267595</v>
      </c>
      <c r="DE320" s="1354">
        <v>74.49842365701853</v>
      </c>
      <c r="DF320" s="1374">
        <v>97.10683838590315</v>
      </c>
      <c r="DG320" s="1375">
        <v>104.2075067414657</v>
      </c>
      <c r="DH320" s="1354">
        <v>111.27357151597596</v>
      </c>
      <c r="DI320" s="1374">
        <v>133.778174675882</v>
      </c>
    </row>
    <row r="321">
      <c r="Y321" s="1056">
        <f t="shared" si="41"/>
        <v>6500000</v>
      </c>
      <c r="Z321" s="820">
        <v>-0.003652393128177081</v>
      </c>
      <c r="AA321" s="762">
        <v>0.00554254544554523</v>
      </c>
      <c r="AB321" s="804">
        <v>0.014737484019267569</v>
      </c>
      <c r="AC321" s="1192">
        <v>0.02393242259298989</v>
      </c>
      <c r="AD321" s="902">
        <v>0.033127361166712214</v>
      </c>
      <c r="AE321" s="931">
        <v>0.04232229974043453</v>
      </c>
      <c r="AF321" s="932">
        <v>0.051517238314156895</v>
      </c>
      <c r="AG321" s="577"/>
      <c r="AI321" s="1056">
        <f t="shared" si="42"/>
        <v>6500000</v>
      </c>
      <c r="AJ321" s="820">
        <v>-0.015495719276908864</v>
      </c>
      <c r="AK321" s="762">
        <v>-0.012800137750999585</v>
      </c>
      <c r="AL321" s="804">
        <v>-0.010156983033781607</v>
      </c>
      <c r="AM321" s="1192">
        <v>-0.007555990507974291</v>
      </c>
      <c r="AN321" s="902">
        <v>-0.004986895556297028</v>
      </c>
      <c r="AO321" s="931">
        <v>-0.003965889622111684</v>
      </c>
      <c r="AP321" s="932">
        <v>-0.002947688025516303</v>
      </c>
      <c r="AQ321" s="763">
        <v>-0.0019316338310049217</v>
      </c>
      <c r="AR321" s="738">
        <v>-9.170701030715408E-4</v>
      </c>
      <c r="AS321" s="822">
        <v>9.66600937897085E-5</v>
      </c>
      <c r="AT321" s="610"/>
      <c r="AV321" s="1056">
        <f t="shared" si="43"/>
        <v>6500000</v>
      </c>
      <c r="AW321" s="1308">
        <v>82.08333333333333</v>
      </c>
      <c r="AX321" s="1327">
        <v>82.08333333333333</v>
      </c>
      <c r="AY321" s="1355">
        <v>82.08333333333333</v>
      </c>
      <c r="AZ321" s="1346">
        <v>82.08333333333333</v>
      </c>
      <c r="BA321" s="1347">
        <v>82.08333333333333</v>
      </c>
      <c r="BB321" s="1328">
        <v>82.08333333333333</v>
      </c>
      <c r="BC321" s="1319">
        <v>82.08333333333333</v>
      </c>
      <c r="BD321" s="1321">
        <v>82.08333333333333</v>
      </c>
      <c r="BE321" s="1376">
        <v>82.08333333333333</v>
      </c>
      <c r="BF321" s="1358">
        <v>82.08333333333333</v>
      </c>
      <c r="BM321" s="1056">
        <f t="shared" si="44"/>
        <v>5500000</v>
      </c>
      <c r="BN321" s="1369">
        <v>20053.73095556853</v>
      </c>
      <c r="BO321" s="1369">
        <v>40334.26625184409</v>
      </c>
      <c r="BP321" s="1369">
        <v>101403.49782237403</v>
      </c>
      <c r="BQ321" s="1369">
        <v>203656.74691315077</v>
      </c>
      <c r="BR321" s="1369">
        <v>306761.26827592374</v>
      </c>
      <c r="BS321" s="1369">
        <v>410201.4651349177</v>
      </c>
      <c r="BT321" s="1369">
        <v>514050.0280405764</v>
      </c>
      <c r="BU321" s="1369">
        <v>618404.1332260907</v>
      </c>
      <c r="BV321" s="1369">
        <v>722823.1091287379</v>
      </c>
      <c r="BW321" s="1369">
        <v>827624.0097012596</v>
      </c>
      <c r="BX321" s="1369">
        <v>932392.9532920641</v>
      </c>
      <c r="BY321" s="1369">
        <v>1037282.3022832578</v>
      </c>
      <c r="BZ321" s="1369">
        <v>1142451.6385808499</v>
      </c>
      <c r="CA321" s="1369">
        <v>1247509.171988575</v>
      </c>
      <c r="CB321" s="610"/>
      <c r="CD321" s="1056">
        <f t="shared" si="45"/>
        <v>5500000</v>
      </c>
      <c r="CE321" s="577">
        <v>0.05933102074106861</v>
      </c>
      <c r="CF321" s="577">
        <v>0.06165255705602449</v>
      </c>
      <c r="CG321" s="577">
        <v>0.06304547884499802</v>
      </c>
      <c r="CH321" s="577">
        <v>0.0635097861079892</v>
      </c>
      <c r="CI321" s="577">
        <v>0.06366455519565292</v>
      </c>
      <c r="CJ321" s="577">
        <v>0.06374193973948478</v>
      </c>
      <c r="CK321" s="577">
        <v>0.06360264756058742</v>
      </c>
      <c r="CL321" s="577">
        <v>0.06366455519565292</v>
      </c>
      <c r="CM321" s="577">
        <v>0.0637087749349854</v>
      </c>
      <c r="CN321" s="577">
        <v>0.06374193973948478</v>
      </c>
      <c r="CO321" s="577">
        <v>0.06366455519565291</v>
      </c>
      <c r="CP321" s="577">
        <v>0.06369550901318566</v>
      </c>
      <c r="CQ321" s="577">
        <v>0.06372083486389428</v>
      </c>
      <c r="CR321" s="577">
        <v>0.06374193973948478</v>
      </c>
      <c r="CU321" s="681">
        <f t="shared" si="46"/>
        <v>5500000</v>
      </c>
      <c r="CV321" s="1377">
        <v>16.945383333333336</v>
      </c>
      <c r="CW321" s="1378">
        <v>18.41635543294271</v>
      </c>
      <c r="CX321" s="1379">
        <v>19.88589103636106</v>
      </c>
      <c r="CY321" s="1352">
        <v>21.353991546416694</v>
      </c>
      <c r="CZ321" s="1380">
        <v>22.82065836456798</v>
      </c>
      <c r="DA321" s="1381">
        <v>30.132536032073745</v>
      </c>
      <c r="DB321" s="1382">
        <v>37.40878083534171</v>
      </c>
      <c r="DC321" s="1381">
        <v>60.12253975681017</v>
      </c>
      <c r="DD321" s="1353">
        <v>67.32803893267595</v>
      </c>
      <c r="DE321" s="1382">
        <v>74.49842365701853</v>
      </c>
      <c r="DF321" s="1353">
        <v>97.10683838590315</v>
      </c>
      <c r="DG321" s="1382">
        <v>104.2075067414657</v>
      </c>
      <c r="DH321" s="1382">
        <v>111.27357151597596</v>
      </c>
      <c r="DI321" s="1353">
        <v>133.778174675882</v>
      </c>
    </row>
    <row r="322">
      <c r="Y322" s="1056">
        <f t="shared" si="41"/>
        <v>7000000</v>
      </c>
      <c r="Z322" s="944">
        <v>-0.005793027104856187</v>
      </c>
      <c r="AA322" s="880">
        <v>0.0030674374100100226</v>
      </c>
      <c r="AB322" s="762">
        <v>0.011927901924876265</v>
      </c>
      <c r="AC322" s="887">
        <v>0.02078836643974247</v>
      </c>
      <c r="AD322" s="844">
        <v>0.0296488309546087</v>
      </c>
      <c r="AE322" s="844">
        <v>0.038509295469474916</v>
      </c>
      <c r="AF322" s="902">
        <v>0.047369759984341134</v>
      </c>
      <c r="AG322" s="577"/>
      <c r="AI322" s="1056">
        <f t="shared" si="42"/>
        <v>7000000</v>
      </c>
      <c r="AJ322" s="944">
        <v>-0.017254085455336274</v>
      </c>
      <c r="AK322" s="880">
        <v>-0.014656558102026377</v>
      </c>
      <c r="AL322" s="762">
        <v>-0.012109550485668764</v>
      </c>
      <c r="AM322" s="887">
        <v>-0.009603171373554856</v>
      </c>
      <c r="AN322" s="844">
        <v>-0.007127529532976131</v>
      </c>
      <c r="AO322" s="844">
        <v>-0.00614366359664778</v>
      </c>
      <c r="AP322" s="902">
        <v>-0.005162499987638336</v>
      </c>
      <c r="AQ322" s="931">
        <v>-0.004183405667054474</v>
      </c>
      <c r="AR322" s="932">
        <v>-0.0032057475960027984</v>
      </c>
      <c r="AS322" s="763">
        <v>-0.0022288927355900226</v>
      </c>
      <c r="AT322" s="610"/>
      <c r="AV322" s="1056">
        <f t="shared" si="43"/>
        <v>7000000</v>
      </c>
      <c r="AW322" s="1383">
        <v>82.08333333333333</v>
      </c>
      <c r="AX322" s="1374">
        <v>82.08333333333333</v>
      </c>
      <c r="AY322" s="1327">
        <v>82.08333333333333</v>
      </c>
      <c r="AZ322" s="1348">
        <v>82.08333333333333</v>
      </c>
      <c r="BA322" s="1349">
        <v>82.08333333333333</v>
      </c>
      <c r="BB322" s="1349">
        <v>82.08333333333333</v>
      </c>
      <c r="BC322" s="1347">
        <v>82.08333333333333</v>
      </c>
      <c r="BD322" s="1328">
        <v>82.08333333333333</v>
      </c>
      <c r="BE322" s="1319">
        <v>82.08333333333333</v>
      </c>
      <c r="BF322" s="1321">
        <v>82.08333333333333</v>
      </c>
      <c r="BM322" s="1056">
        <f t="shared" si="44"/>
        <v>6000000</v>
      </c>
      <c r="BN322" s="1369">
        <v>19131.641742733365</v>
      </c>
      <c r="BO322" s="1369">
        <v>38490.08782617376</v>
      </c>
      <c r="BP322" s="1369">
        <v>96793.05175819821</v>
      </c>
      <c r="BQ322" s="1369">
        <v>194435.85478479913</v>
      </c>
      <c r="BR322" s="1369">
        <v>292929.9300833963</v>
      </c>
      <c r="BS322" s="1369">
        <v>391759.6808782144</v>
      </c>
      <c r="BT322" s="1369">
        <v>490997.7977196973</v>
      </c>
      <c r="BU322" s="1369">
        <v>590741.4568410359</v>
      </c>
      <c r="BV322" s="1369">
        <v>690549.9866795072</v>
      </c>
      <c r="BW322" s="1369">
        <v>790740.441187853</v>
      </c>
      <c r="BX322" s="1369">
        <v>890898.9387144818</v>
      </c>
      <c r="BY322" s="1369">
        <v>991177.8416414997</v>
      </c>
      <c r="BZ322" s="1369">
        <v>1091736.7318749158</v>
      </c>
      <c r="CA322" s="1369">
        <v>1192183.8192184654</v>
      </c>
      <c r="CB322" s="610"/>
      <c r="CD322" s="1056">
        <f t="shared" si="45"/>
        <v>6000000</v>
      </c>
      <c r="CE322" s="577">
        <v>0.0566074585575999</v>
      </c>
      <c r="CF322" s="577">
        <v>0.05892899487255578</v>
      </c>
      <c r="CG322" s="577">
        <v>0.060321916661529314</v>
      </c>
      <c r="CH322" s="577">
        <v>0.06078622392452049</v>
      </c>
      <c r="CI322" s="577">
        <v>0.06094099301218421</v>
      </c>
      <c r="CJ322" s="577">
        <v>0.06101837755601608</v>
      </c>
      <c r="CK322" s="577">
        <v>0.060879085377118725</v>
      </c>
      <c r="CL322" s="577">
        <v>0.06094099301218421</v>
      </c>
      <c r="CM322" s="577">
        <v>0.06098521275151671</v>
      </c>
      <c r="CN322" s="577">
        <v>0.06101837755601608</v>
      </c>
      <c r="CO322" s="577">
        <v>0.06094099301218422</v>
      </c>
      <c r="CP322" s="577">
        <v>0.06097194682971696</v>
      </c>
      <c r="CQ322" s="577">
        <v>0.06099727268042556</v>
      </c>
      <c r="CR322" s="577">
        <v>0.06101837755601607</v>
      </c>
      <c r="CU322" s="681">
        <f t="shared" si="46"/>
        <v>6000000</v>
      </c>
      <c r="CV322" s="1384">
        <v>16.945383333333336</v>
      </c>
      <c r="CW322" s="1385">
        <v>18.41635543294271</v>
      </c>
      <c r="CX322" s="1386">
        <v>19.88589103636106</v>
      </c>
      <c r="CY322" s="1387">
        <v>21.353991546416694</v>
      </c>
      <c r="CZ322" s="1372">
        <v>22.82065836456798</v>
      </c>
      <c r="DA322" s="1388">
        <v>30.132536032073745</v>
      </c>
      <c r="DB322" s="1345">
        <v>37.40878083534171</v>
      </c>
      <c r="DC322" s="1388">
        <v>60.12253975681017</v>
      </c>
      <c r="DD322" s="1389">
        <v>67.32803893267595</v>
      </c>
      <c r="DE322" s="1345">
        <v>74.49842365701853</v>
      </c>
      <c r="DF322" s="1389">
        <v>97.10683838590315</v>
      </c>
      <c r="DG322" s="1345">
        <v>104.2075067414657</v>
      </c>
      <c r="DH322" s="1345">
        <v>111.27357151597596</v>
      </c>
      <c r="DI322" s="1345">
        <v>133.778174675882</v>
      </c>
    </row>
    <row r="323">
      <c r="Y323" s="1056">
        <f t="shared" si="41"/>
        <v>7500000</v>
      </c>
      <c r="Z323" s="803">
        <v>-0.007715859442701212</v>
      </c>
      <c r="AA323" s="956">
        <v>8.441625193767293E-4</v>
      </c>
      <c r="AB323" s="843">
        <v>0.009404184481454645</v>
      </c>
      <c r="AC323" s="804">
        <v>0.0179642064435326</v>
      </c>
      <c r="AD323" s="887">
        <v>0.026524228405610552</v>
      </c>
      <c r="AE323" s="914">
        <v>0.03508425036768844</v>
      </c>
      <c r="AF323" s="844">
        <v>0.0436442723297664</v>
      </c>
      <c r="AG323" s="577"/>
      <c r="AI323" s="1056">
        <f t="shared" si="42"/>
        <v>7500000</v>
      </c>
      <c r="AJ323" s="803">
        <v>-0.018833544338306276</v>
      </c>
      <c r="AK323" s="956">
        <v>-0.016324094505949866</v>
      </c>
      <c r="AL323" s="843">
        <v>-0.013863451376346378</v>
      </c>
      <c r="AM323" s="804">
        <v>-0.01144205911085158</v>
      </c>
      <c r="AN323" s="887">
        <v>-0.00905036187082116</v>
      </c>
      <c r="AO323" s="914">
        <v>-0.008099857074082725</v>
      </c>
      <c r="AP323" s="844">
        <v>-0.007151962973562265</v>
      </c>
      <c r="AQ323" s="844">
        <v>-0.006206067995586571</v>
      </c>
      <c r="AR323" s="902">
        <v>-0.0052615605664824055</v>
      </c>
      <c r="AS323" s="1200">
        <v>-0.004317829112576546</v>
      </c>
      <c r="AT323" s="610"/>
      <c r="AV323" s="1056">
        <f t="shared" si="43"/>
        <v>7500000</v>
      </c>
      <c r="AW323" s="1353">
        <v>82.08333333333333</v>
      </c>
      <c r="AX323" s="1390">
        <v>82.08333333333333</v>
      </c>
      <c r="AY323" s="1354">
        <v>82.08333333333333</v>
      </c>
      <c r="AZ323" s="1355">
        <v>82.08333333333333</v>
      </c>
      <c r="BA323" s="1348">
        <v>82.08333333333333</v>
      </c>
      <c r="BB323" s="1368">
        <v>82.08333333333333</v>
      </c>
      <c r="BC323" s="1349">
        <v>82.08333333333333</v>
      </c>
      <c r="BD323" s="1349">
        <v>82.08333333333333</v>
      </c>
      <c r="BE323" s="1347">
        <v>82.08333333333333</v>
      </c>
      <c r="BF323" s="1356">
        <v>82.08333333333333</v>
      </c>
      <c r="BM323" s="1056">
        <f t="shared" si="44"/>
        <v>6500000</v>
      </c>
      <c r="BN323" s="1369">
        <v>18318.107686413783</v>
      </c>
      <c r="BO323" s="1369">
        <v>36863.019713534595</v>
      </c>
      <c r="BP323" s="1369">
        <v>92725.3814766003</v>
      </c>
      <c r="BQ323" s="1369">
        <v>186300.5142216033</v>
      </c>
      <c r="BR323" s="1369">
        <v>280726.91923860257</v>
      </c>
      <c r="BS323" s="1369">
        <v>375488.9997518228</v>
      </c>
      <c r="BT323" s="1369">
        <v>470659.4463117077</v>
      </c>
      <c r="BU323" s="1369">
        <v>566335.4351514484</v>
      </c>
      <c r="BV323" s="1369">
        <v>662076.2947083218</v>
      </c>
      <c r="BW323" s="1369">
        <v>758199.0789350697</v>
      </c>
      <c r="BX323" s="1369">
        <v>854289.9061801005</v>
      </c>
      <c r="BY323" s="1369">
        <v>950501.1388255205</v>
      </c>
      <c r="BZ323" s="1369">
        <v>1046992.3587773389</v>
      </c>
      <c r="CA323" s="1369">
        <v>1143371.7758392903</v>
      </c>
      <c r="CB323" s="610"/>
      <c r="CD323" s="1056">
        <f t="shared" si="45"/>
        <v>6500000</v>
      </c>
      <c r="CE323" s="577">
        <v>0.05420453424191116</v>
      </c>
      <c r="CF323" s="577">
        <v>0.05652607055686704</v>
      </c>
      <c r="CG323" s="577">
        <v>0.05791899234584057</v>
      </c>
      <c r="CH323" s="577">
        <v>0.05838329960883174</v>
      </c>
      <c r="CI323" s="577">
        <v>0.058538068696495464</v>
      </c>
      <c r="CJ323" s="577">
        <v>0.05861545324032733</v>
      </c>
      <c r="CK323" s="577">
        <v>0.05847616106142998</v>
      </c>
      <c r="CL323" s="577">
        <v>0.058538068696495464</v>
      </c>
      <c r="CM323" s="577">
        <v>0.05858228843582795</v>
      </c>
      <c r="CN323" s="577">
        <v>0.05861545324032733</v>
      </c>
      <c r="CO323" s="577">
        <v>0.058538068696495464</v>
      </c>
      <c r="CP323" s="577">
        <v>0.058569022514028214</v>
      </c>
      <c r="CQ323" s="577">
        <v>0.058594348364736815</v>
      </c>
      <c r="CR323" s="577">
        <v>0.058615453240327325</v>
      </c>
      <c r="CU323" s="681">
        <f t="shared" si="46"/>
        <v>6500000</v>
      </c>
      <c r="CV323" s="1391">
        <v>16.945383333333336</v>
      </c>
      <c r="CW323" s="1344">
        <v>18.41635543294271</v>
      </c>
      <c r="CX323" s="1392">
        <v>19.88589103636106</v>
      </c>
      <c r="CY323" s="1393">
        <v>21.353991546416694</v>
      </c>
      <c r="CZ323" s="1379">
        <v>22.82065836456798</v>
      </c>
      <c r="DA323" s="1380">
        <v>30.132536032073745</v>
      </c>
      <c r="DB323" s="1373">
        <v>37.40878083534171</v>
      </c>
      <c r="DC323" s="1380">
        <v>60.12253975681017</v>
      </c>
      <c r="DD323" s="1380">
        <v>67.32803893267595</v>
      </c>
      <c r="DE323" s="1373">
        <v>74.49842365701853</v>
      </c>
      <c r="DF323" s="1380">
        <v>97.10683838590315</v>
      </c>
      <c r="DG323" s="1373">
        <v>104.2075067414657</v>
      </c>
      <c r="DH323" s="1373">
        <v>111.27357151597596</v>
      </c>
      <c r="DI323" s="1380">
        <v>133.778174675882</v>
      </c>
    </row>
    <row r="324">
      <c r="Y324" s="1056">
        <f t="shared" si="41"/>
        <v>8000000</v>
      </c>
      <c r="Z324" s="967">
        <v>-0.009455483996323863</v>
      </c>
      <c r="AA324" s="861">
        <v>-0.0011672783707494662</v>
      </c>
      <c r="AB324" s="880">
        <v>0.007120927254824936</v>
      </c>
      <c r="AC324" s="762">
        <v>0.015409132880399311</v>
      </c>
      <c r="AD324" s="804">
        <v>0.02369733850597369</v>
      </c>
      <c r="AE324" s="887">
        <v>0.03198554413154809</v>
      </c>
      <c r="AF324" s="887">
        <v>0.040273749757122494</v>
      </c>
      <c r="AG324" s="577"/>
      <c r="AI324" s="1056">
        <f t="shared" si="42"/>
        <v>8000000</v>
      </c>
      <c r="AJ324" s="967">
        <v>-0.02026251211681337</v>
      </c>
      <c r="AK324" s="861">
        <v>-0.017832747764598526</v>
      </c>
      <c r="AL324" s="880">
        <v>-0.015450240299120037</v>
      </c>
      <c r="AM324" s="762">
        <v>-0.013105737319395822</v>
      </c>
      <c r="AN324" s="804">
        <v>-0.010789986424443808</v>
      </c>
      <c r="AO324" s="887">
        <v>-0.009869664112379242</v>
      </c>
      <c r="AP324" s="887">
        <v>-0.008951869596058261</v>
      </c>
      <c r="AQ324" s="914">
        <v>-0.008036010721817987</v>
      </c>
      <c r="AR324" s="844">
        <v>-0.007121495335995589</v>
      </c>
      <c r="AS324" s="844">
        <v>-0.00620773128492822</v>
      </c>
      <c r="AT324" s="610"/>
      <c r="AV324" s="1056">
        <f t="shared" si="43"/>
        <v>8000000</v>
      </c>
      <c r="AW324" s="1381">
        <v>82.08333333333333</v>
      </c>
      <c r="AX324" s="1382">
        <v>82.08333333333333</v>
      </c>
      <c r="AY324" s="1374">
        <v>82.08333333333333</v>
      </c>
      <c r="AZ324" s="1327">
        <v>82.08333333333333</v>
      </c>
      <c r="BA324" s="1355">
        <v>82.08333333333333</v>
      </c>
      <c r="BB324" s="1348">
        <v>82.08333333333333</v>
      </c>
      <c r="BC324" s="1348">
        <v>82.08333333333333</v>
      </c>
      <c r="BD324" s="1368">
        <v>82.08333333333333</v>
      </c>
      <c r="BE324" s="1349">
        <v>82.08333333333333</v>
      </c>
      <c r="BF324" s="1349">
        <v>82.08333333333333</v>
      </c>
      <c r="BM324" s="1056">
        <f t="shared" si="44"/>
        <v>7000000</v>
      </c>
      <c r="BN324" s="1369">
        <v>17593.374647269306</v>
      </c>
      <c r="BO324" s="1369">
        <v>35413.55363524564</v>
      </c>
      <c r="BP324" s="1369">
        <v>89101.71628087791</v>
      </c>
      <c r="BQ324" s="1369">
        <v>179053.18383015852</v>
      </c>
      <c r="BR324" s="1369">
        <v>269855.9236514354</v>
      </c>
      <c r="BS324" s="1369">
        <v>360994.3389689332</v>
      </c>
      <c r="BT324" s="1369">
        <v>452541.12033309584</v>
      </c>
      <c r="BU324" s="1369">
        <v>544593.443977114</v>
      </c>
      <c r="BV324" s="1369">
        <v>636710.6383382651</v>
      </c>
      <c r="BW324" s="1369">
        <v>729209.7573692906</v>
      </c>
      <c r="BX324" s="1369">
        <v>821676.9194185991</v>
      </c>
      <c r="BY324" s="1369">
        <v>914264.4868682967</v>
      </c>
      <c r="BZ324" s="1369">
        <v>1007132.0416243926</v>
      </c>
      <c r="CA324" s="1369">
        <v>1099887.7934906217</v>
      </c>
      <c r="CB324" s="610"/>
      <c r="CD324" s="1056">
        <f t="shared" si="45"/>
        <v>7000000</v>
      </c>
      <c r="CE324" s="577">
        <v>0.052063900265232055</v>
      </c>
      <c r="CF324" s="577">
        <v>0.054385436580187935</v>
      </c>
      <c r="CG324" s="577">
        <v>0.055778358369161465</v>
      </c>
      <c r="CH324" s="577">
        <v>0.05624266563215264</v>
      </c>
      <c r="CI324" s="577">
        <v>0.05639743471981636</v>
      </c>
      <c r="CJ324" s="577">
        <v>0.056474819263648224</v>
      </c>
      <c r="CK324" s="577">
        <v>0.056335527084750876</v>
      </c>
      <c r="CL324" s="577">
        <v>0.05639743471981636</v>
      </c>
      <c r="CM324" s="577">
        <v>0.05644165445914886</v>
      </c>
      <c r="CN324" s="577">
        <v>0.056474819263648224</v>
      </c>
      <c r="CO324" s="577">
        <v>0.05639743471981636</v>
      </c>
      <c r="CP324" s="577">
        <v>0.05642838853734911</v>
      </c>
      <c r="CQ324" s="577">
        <v>0.05645371438805772</v>
      </c>
      <c r="CR324" s="577">
        <v>0.056474819263648224</v>
      </c>
      <c r="CU324" s="681">
        <f t="shared" si="46"/>
        <v>7000000</v>
      </c>
      <c r="CV324" s="1394">
        <v>16.945383333333336</v>
      </c>
      <c r="CW324" s="1395">
        <v>18.41635543294271</v>
      </c>
      <c r="CX324" s="1378">
        <v>19.88589103636106</v>
      </c>
      <c r="CY324" s="1371">
        <v>21.353991546416694</v>
      </c>
      <c r="CZ324" s="1393">
        <v>22.82065836456798</v>
      </c>
      <c r="DA324" s="1372">
        <v>30.132536032073745</v>
      </c>
      <c r="DB324" s="1352">
        <v>37.40878083534171</v>
      </c>
      <c r="DC324" s="1372">
        <v>60.12253975681017</v>
      </c>
      <c r="DD324" s="1352">
        <v>67.32803893267595</v>
      </c>
      <c r="DE324" s="1396">
        <v>74.49842365701853</v>
      </c>
      <c r="DF324" s="1372">
        <v>97.10683838590315</v>
      </c>
      <c r="DG324" s="1352">
        <v>104.2075067414657</v>
      </c>
      <c r="DH324" s="1396">
        <v>111.27357151597596</v>
      </c>
      <c r="DI324" s="1352">
        <v>133.778174675882</v>
      </c>
    </row>
    <row r="325">
      <c r="Y325" s="1056">
        <f t="shared" si="41"/>
        <v>8500000</v>
      </c>
      <c r="Z325" s="980">
        <v>-0.011039260625194579</v>
      </c>
      <c r="AA325" s="981">
        <v>-0.002998520097881229</v>
      </c>
      <c r="AB325" s="982">
        <v>0.005042220429432134</v>
      </c>
      <c r="AC325" s="1005">
        <v>0.013082960956745476</v>
      </c>
      <c r="AD325" s="1007">
        <v>0.02112370148405882</v>
      </c>
      <c r="AE325" s="985">
        <v>0.029164442011372176</v>
      </c>
      <c r="AF325" s="985">
        <v>0.037205182538685516</v>
      </c>
      <c r="AG325" s="577"/>
      <c r="AI325" s="1056">
        <f t="shared" si="42"/>
        <v>8500000</v>
      </c>
      <c r="AJ325" s="980">
        <v>-0.0215634628112008</v>
      </c>
      <c r="AK325" s="981">
        <v>-0.019206245147779105</v>
      </c>
      <c r="AL325" s="982">
        <v>-0.016894873398604876</v>
      </c>
      <c r="AM325" s="1005">
        <v>-0.01462037141625705</v>
      </c>
      <c r="AN325" s="1007">
        <v>-0.012373763053314524</v>
      </c>
      <c r="AO325" s="985">
        <v>-0.011480919264548669</v>
      </c>
      <c r="AP325" s="985">
        <v>-0.010590527797865344</v>
      </c>
      <c r="AQ325" s="986">
        <v>-0.009702014179829592</v>
      </c>
      <c r="AR325" s="986">
        <v>-0.008814803937006482</v>
      </c>
      <c r="AS325" s="1210">
        <v>-0.00792832259596105</v>
      </c>
      <c r="AT325" s="610"/>
      <c r="AV325" s="1056">
        <f t="shared" si="43"/>
        <v>8500000</v>
      </c>
      <c r="AW325" s="1397">
        <v>82.08333333333333</v>
      </c>
      <c r="AX325" s="1363">
        <v>82.08333333333333</v>
      </c>
      <c r="AY325" s="1364">
        <v>82.08333333333333</v>
      </c>
      <c r="AZ325" s="1398">
        <v>82.08333333333333</v>
      </c>
      <c r="BA325" s="1399">
        <v>82.08333333333333</v>
      </c>
      <c r="BB325" s="1365">
        <v>82.08333333333333</v>
      </c>
      <c r="BC325" s="1365">
        <v>82.08333333333333</v>
      </c>
      <c r="BD325" s="1366">
        <v>82.08333333333333</v>
      </c>
      <c r="BE325" s="1366">
        <v>82.08333333333333</v>
      </c>
      <c r="BF325" s="1400">
        <v>82.08333333333333</v>
      </c>
      <c r="BM325" s="1056">
        <f t="shared" si="44"/>
        <v>7500000</v>
      </c>
      <c r="BN325" s="1369">
        <v>16942.380530968494</v>
      </c>
      <c r="BO325" s="1369">
        <v>34111.56540264402</v>
      </c>
      <c r="BP325" s="1369">
        <v>85846.74569937385</v>
      </c>
      <c r="BQ325" s="1369">
        <v>172543.2426671504</v>
      </c>
      <c r="BR325" s="1369">
        <v>260091.0119069232</v>
      </c>
      <c r="BS325" s="1369">
        <v>347974.45664291695</v>
      </c>
      <c r="BT325" s="1369">
        <v>436266.26742557547</v>
      </c>
      <c r="BU325" s="1369">
        <v>525063.6204880896</v>
      </c>
      <c r="BV325" s="1369">
        <v>613925.8442677367</v>
      </c>
      <c r="BW325" s="1369">
        <v>703169.992717258</v>
      </c>
      <c r="BX325" s="1369">
        <v>792382.1841850625</v>
      </c>
      <c r="BY325" s="1369">
        <v>881714.781053256</v>
      </c>
      <c r="BZ325" s="1369">
        <v>971327.3652278478</v>
      </c>
      <c r="CA325" s="1369">
        <v>1060828.146512573</v>
      </c>
      <c r="CB325" s="610"/>
      <c r="CD325" s="1056">
        <f t="shared" si="45"/>
        <v>7500000</v>
      </c>
      <c r="CE325" s="577">
        <v>0.050141067927387026</v>
      </c>
      <c r="CF325" s="577">
        <v>0.052462604242342906</v>
      </c>
      <c r="CG325" s="577">
        <v>0.053855526031316436</v>
      </c>
      <c r="CH325" s="577">
        <v>0.05431983329430761</v>
      </c>
      <c r="CI325" s="577">
        <v>0.05447460238197134</v>
      </c>
      <c r="CJ325" s="577">
        <v>0.0545519869258032</v>
      </c>
      <c r="CK325" s="577">
        <v>0.05441269474690585</v>
      </c>
      <c r="CL325" s="577">
        <v>0.05447460238197134</v>
      </c>
      <c r="CM325" s="577">
        <v>0.05451882212130383</v>
      </c>
      <c r="CN325" s="577">
        <v>0.0545519869258032</v>
      </c>
      <c r="CO325" s="577">
        <v>0.054474602381971333</v>
      </c>
      <c r="CP325" s="577">
        <v>0.054505556199504084</v>
      </c>
      <c r="CQ325" s="577">
        <v>0.05453088205021269</v>
      </c>
      <c r="CR325" s="577">
        <v>0.0545519869258032</v>
      </c>
      <c r="CU325" s="681">
        <f t="shared" si="46"/>
        <v>7500000</v>
      </c>
      <c r="CV325" s="1401">
        <v>16.945383333333336</v>
      </c>
      <c r="CW325" s="1402">
        <v>18.41635543294271</v>
      </c>
      <c r="CX325" s="1403">
        <v>19.88589103636106</v>
      </c>
      <c r="CY325" s="1392">
        <v>21.353991546416694</v>
      </c>
      <c r="CZ325" s="1386">
        <v>22.82065836456798</v>
      </c>
      <c r="DA325" s="1387">
        <v>30.132536032073745</v>
      </c>
      <c r="DB325" s="1404">
        <v>37.40878083534171</v>
      </c>
      <c r="DC325" s="1387">
        <v>60.12253975681017</v>
      </c>
      <c r="DD325" s="1318">
        <v>67.32803893267595</v>
      </c>
      <c r="DE325" s="1404">
        <v>74.49842365701853</v>
      </c>
      <c r="DF325" s="1405">
        <v>97.10683838590315</v>
      </c>
      <c r="DG325" s="1318">
        <v>104.2075067414657</v>
      </c>
      <c r="DH325" s="1404">
        <v>111.27357151597596</v>
      </c>
      <c r="DI325" s="1318">
        <v>133.778174675882</v>
      </c>
    </row>
    <row r="326">
      <c r="X326" s="1222"/>
      <c r="Y326" s="1056">
        <f t="shared" si="41"/>
        <v>9000000</v>
      </c>
      <c r="Z326" s="994">
        <v>-0.01248915070538969</v>
      </c>
      <c r="AA326" s="967">
        <v>-0.004674955503106834</v>
      </c>
      <c r="AB326" s="861">
        <v>0.003139239699176043</v>
      </c>
      <c r="AC326" s="820">
        <v>0.010953434901458885</v>
      </c>
      <c r="AD326" s="843">
        <v>0.018767630103741755</v>
      </c>
      <c r="AE326" s="762">
        <v>0.026581825306024598</v>
      </c>
      <c r="AF326" s="785">
        <v>0.034396020508307465</v>
      </c>
      <c r="AG326" s="594"/>
      <c r="AH326" s="1406"/>
      <c r="AI326" s="1056">
        <f t="shared" si="42"/>
        <v>9000000</v>
      </c>
      <c r="AJ326" s="994">
        <v>-0.02275443600289404</v>
      </c>
      <c r="AK326" s="967">
        <v>-0.020463632202712117</v>
      </c>
      <c r="AL326" s="861">
        <v>-0.018217382622622222</v>
      </c>
      <c r="AM326" s="820">
        <v>-0.016006964015322138</v>
      </c>
      <c r="AN326" s="843">
        <v>-0.013823653133509634</v>
      </c>
      <c r="AO326" s="762">
        <v>-0.012955964936525448</v>
      </c>
      <c r="AP326" s="785">
        <v>-0.012090659968223599</v>
      </c>
      <c r="AQ326" s="804">
        <v>-0.011227179940776686</v>
      </c>
      <c r="AR326" s="804">
        <v>-0.010364966566357419</v>
      </c>
      <c r="AS326" s="887">
        <v>-0.009503461557138439</v>
      </c>
      <c r="AT326" s="610"/>
      <c r="AU326" s="1222"/>
      <c r="AV326" s="1056">
        <f t="shared" si="43"/>
        <v>9000000</v>
      </c>
      <c r="AW326" s="1389">
        <v>82.08333333333333</v>
      </c>
      <c r="AX326" s="1381">
        <v>82.08333333333333</v>
      </c>
      <c r="AY326" s="1382">
        <v>82.08333333333333</v>
      </c>
      <c r="AZ326" s="1308">
        <v>82.08333333333333</v>
      </c>
      <c r="BA326" s="1354">
        <v>82.08333333333333</v>
      </c>
      <c r="BB326" s="1327">
        <v>82.08333333333333</v>
      </c>
      <c r="BC326" s="1407">
        <v>82.08333333333333</v>
      </c>
      <c r="BD326" s="1355">
        <v>82.08333333333333</v>
      </c>
      <c r="BE326" s="1355">
        <v>82.08333333333333</v>
      </c>
      <c r="BF326" s="1348">
        <v>82.08333333333333</v>
      </c>
      <c r="BM326" s="1056">
        <f t="shared" si="44"/>
        <v>8000000</v>
      </c>
      <c r="BN326" s="1369">
        <v>16353.413242094008</v>
      </c>
      <c r="BO326" s="1369">
        <v>32933.630824895044</v>
      </c>
      <c r="BP326" s="1369">
        <v>82901.90925500143</v>
      </c>
      <c r="BQ326" s="1369">
        <v>166653.56977840557</v>
      </c>
      <c r="BR326" s="1369">
        <v>251256.50257380598</v>
      </c>
      <c r="BS326" s="1369">
        <v>336195.1108654273</v>
      </c>
      <c r="BT326" s="1369">
        <v>421542.0852037134</v>
      </c>
      <c r="BU326" s="1369">
        <v>507394.6018218552</v>
      </c>
      <c r="BV326" s="1369">
        <v>593311.9891571297</v>
      </c>
      <c r="BW326" s="1369">
        <v>679611.3011622787</v>
      </c>
      <c r="BX326" s="1369">
        <v>765878.6561857107</v>
      </c>
      <c r="BY326" s="1369">
        <v>852266.4166095319</v>
      </c>
      <c r="BZ326" s="1369">
        <v>938934.1643397512</v>
      </c>
      <c r="CA326" s="1369">
        <v>1025490.1091801039</v>
      </c>
      <c r="CB326" s="610"/>
      <c r="CD326" s="1056">
        <f t="shared" si="45"/>
        <v>8000000</v>
      </c>
      <c r="CE326" s="577">
        <v>0.048401443373764376</v>
      </c>
      <c r="CF326" s="577">
        <v>0.050722979688720256</v>
      </c>
      <c r="CG326" s="577">
        <v>0.05211590147769378</v>
      </c>
      <c r="CH326" s="577">
        <v>0.05258020874068496</v>
      </c>
      <c r="CI326" s="577">
        <v>0.052734977828348684</v>
      </c>
      <c r="CJ326" s="577">
        <v>0.052812362372180545</v>
      </c>
      <c r="CK326" s="577">
        <v>0.0526730701932832</v>
      </c>
      <c r="CL326" s="577">
        <v>0.052734977828348684</v>
      </c>
      <c r="CM326" s="577">
        <v>0.05277919756768118</v>
      </c>
      <c r="CN326" s="577">
        <v>0.052812362372180545</v>
      </c>
      <c r="CO326" s="577">
        <v>0.052734977828348684</v>
      </c>
      <c r="CP326" s="577">
        <v>0.052765931645881434</v>
      </c>
      <c r="CQ326" s="577">
        <v>0.052791257496590034</v>
      </c>
      <c r="CR326" s="577">
        <v>0.052812362372180545</v>
      </c>
      <c r="CU326" s="681">
        <f t="shared" si="46"/>
        <v>8000000</v>
      </c>
      <c r="CV326" s="1408">
        <v>16.945383333333336</v>
      </c>
      <c r="CW326" s="1409">
        <v>18.41635543294271</v>
      </c>
      <c r="CX326" s="1410">
        <v>19.88589103636106</v>
      </c>
      <c r="CY326" s="1378">
        <v>21.353991546416694</v>
      </c>
      <c r="CZ326" s="1392">
        <v>22.82065836456798</v>
      </c>
      <c r="DA326" s="1411">
        <v>30.132536032073745</v>
      </c>
      <c r="DB326" s="1379">
        <v>37.40878083534171</v>
      </c>
      <c r="DC326" s="1412">
        <v>60.12253975681017</v>
      </c>
      <c r="DD326" s="1379">
        <v>67.32803893267595</v>
      </c>
      <c r="DE326" s="1379">
        <v>74.49842365701853</v>
      </c>
      <c r="DF326" s="1412">
        <v>97.10683838590315</v>
      </c>
      <c r="DG326" s="1379">
        <v>104.2075067414657</v>
      </c>
      <c r="DH326" s="1379">
        <v>111.27357151597596</v>
      </c>
      <c r="DI326" s="1379">
        <v>133.778174675882</v>
      </c>
    </row>
    <row r="327">
      <c r="X327" s="1222"/>
      <c r="Y327" s="1056">
        <f t="shared" si="41"/>
        <v>9500000</v>
      </c>
      <c r="Z327" s="1002">
        <v>-0.01382301373283154</v>
      </c>
      <c r="AA327" s="980">
        <v>-0.006217234628586456</v>
      </c>
      <c r="AB327" s="981">
        <v>0.0013885444756585954</v>
      </c>
      <c r="AC327" s="982">
        <v>0.008994323579903686</v>
      </c>
      <c r="AD327" s="1413">
        <v>0.016600102684148764</v>
      </c>
      <c r="AE327" s="1005">
        <v>0.024205881788393828</v>
      </c>
      <c r="AF327" s="1006">
        <v>0.03181166089263889</v>
      </c>
      <c r="AG327" s="577"/>
      <c r="AH327" s="1222"/>
      <c r="AI327" s="1056">
        <f t="shared" si="42"/>
        <v>9500000</v>
      </c>
      <c r="AJ327" s="1002">
        <v>-0.023850101894242325</v>
      </c>
      <c r="AK327" s="980">
        <v>-0.02162039720625874</v>
      </c>
      <c r="AL327" s="981">
        <v>-0.019434058411679375</v>
      </c>
      <c r="AM327" s="982">
        <v>-0.01728259492505878</v>
      </c>
      <c r="AN327" s="1413">
        <v>-0.015157516160951486</v>
      </c>
      <c r="AO327" s="1005">
        <v>-0.014312970486472497</v>
      </c>
      <c r="AP327" s="1006">
        <v>-0.013470744476455873</v>
      </c>
      <c r="AQ327" s="1007">
        <v>-0.012630294733433085</v>
      </c>
      <c r="AR327" s="1008">
        <v>-0.011791077859935621</v>
      </c>
      <c r="AS327" s="985">
        <v>-0.010952550458494971</v>
      </c>
      <c r="AT327" s="610"/>
      <c r="AU327" s="1222"/>
      <c r="AV327" s="1056">
        <f t="shared" si="43"/>
        <v>9500000</v>
      </c>
      <c r="AW327" s="1362">
        <v>82.08333333333333</v>
      </c>
      <c r="AX327" s="1397">
        <v>82.08333333333333</v>
      </c>
      <c r="AY327" s="1363">
        <v>82.08333333333333</v>
      </c>
      <c r="AZ327" s="1364">
        <v>82.08333333333333</v>
      </c>
      <c r="BA327" s="1414">
        <v>82.08333333333333</v>
      </c>
      <c r="BB327" s="1398">
        <v>82.08333333333333</v>
      </c>
      <c r="BC327" s="1415">
        <v>82.08333333333333</v>
      </c>
      <c r="BD327" s="1399">
        <v>82.08333333333333</v>
      </c>
      <c r="BE327" s="1416">
        <v>82.08333333333333</v>
      </c>
      <c r="BF327" s="1365">
        <v>82.08333333333333</v>
      </c>
      <c r="BM327" s="1056">
        <f t="shared" si="44"/>
        <v>8500000</v>
      </c>
      <c r="BN327" s="1359">
        <v>15817.20982662354</v>
      </c>
      <c r="BO327" s="1359">
        <v>31861.22399395411</v>
      </c>
      <c r="BP327" s="1359">
        <v>80220.89217764909</v>
      </c>
      <c r="BQ327" s="1359">
        <v>161291.53562370088</v>
      </c>
      <c r="BR327" s="1359">
        <v>243213.45134174888</v>
      </c>
      <c r="BS327" s="1359">
        <v>325471.0425560179</v>
      </c>
      <c r="BT327" s="1359">
        <v>408136.99981695163</v>
      </c>
      <c r="BU327" s="1359">
        <v>491308.49935774104</v>
      </c>
      <c r="BV327" s="1359">
        <v>574544.8696156633</v>
      </c>
      <c r="BW327" s="1359">
        <v>658163.16454346</v>
      </c>
      <c r="BX327" s="1359">
        <v>741749.5024895397</v>
      </c>
      <c r="BY327" s="1359">
        <v>825456.2458360083</v>
      </c>
      <c r="BZ327" s="1359">
        <v>909442.9764888753</v>
      </c>
      <c r="CA327" s="1359">
        <v>993317.9042518756</v>
      </c>
      <c r="CB327" s="610"/>
      <c r="CD327" s="1056">
        <f t="shared" si="45"/>
        <v>8500000</v>
      </c>
      <c r="CE327" s="594">
        <v>0.04681766674489366</v>
      </c>
      <c r="CF327" s="594">
        <v>0.04913920305984954</v>
      </c>
      <c r="CG327" s="594">
        <v>0.05053212484882307</v>
      </c>
      <c r="CH327" s="594">
        <v>0.05099643211181425</v>
      </c>
      <c r="CI327" s="594">
        <v>0.051151201199477976</v>
      </c>
      <c r="CJ327" s="594">
        <v>0.05122858574330983</v>
      </c>
      <c r="CK327" s="594">
        <v>0.05108929356441248</v>
      </c>
      <c r="CL327" s="594">
        <v>0.051151201199477976</v>
      </c>
      <c r="CM327" s="594">
        <v>0.05119542093881046</v>
      </c>
      <c r="CN327" s="594">
        <v>0.05122858574330983</v>
      </c>
      <c r="CO327" s="594">
        <v>0.05115120119947797</v>
      </c>
      <c r="CP327" s="594">
        <v>0.05118215501701072</v>
      </c>
      <c r="CQ327" s="594">
        <v>0.05120748086771933</v>
      </c>
      <c r="CR327" s="594">
        <v>0.05122858574330984</v>
      </c>
      <c r="CU327" s="681">
        <f t="shared" si="46"/>
        <v>8500000</v>
      </c>
      <c r="CV327" s="1417">
        <v>16.945383333333336</v>
      </c>
      <c r="CW327" s="1418">
        <v>18.41635543294271</v>
      </c>
      <c r="CX327" s="1419">
        <v>19.88589103636106</v>
      </c>
      <c r="CY327" s="1420">
        <v>21.353991546416694</v>
      </c>
      <c r="CZ327" s="1421">
        <v>22.82065836456798</v>
      </c>
      <c r="DA327" s="1422">
        <v>30.132536032073745</v>
      </c>
      <c r="DB327" s="1423">
        <v>37.40878083534171</v>
      </c>
      <c r="DC327" s="1422">
        <v>60.12253975681017</v>
      </c>
      <c r="DD327" s="1422">
        <v>67.32803893267595</v>
      </c>
      <c r="DE327" s="1423">
        <v>74.49842365701853</v>
      </c>
      <c r="DF327" s="1422">
        <v>97.10683838590315</v>
      </c>
      <c r="DG327" s="1422">
        <v>104.2075067414657</v>
      </c>
      <c r="DH327" s="1423">
        <v>111.27357151597596</v>
      </c>
      <c r="DI327" s="1422">
        <v>133.778174675882</v>
      </c>
    </row>
    <row r="328">
      <c r="X328" s="1222"/>
      <c r="Y328" s="1056">
        <f t="shared" si="41"/>
        <v>10000000</v>
      </c>
      <c r="Z328" s="819">
        <v>-0.015055542552881877</v>
      </c>
      <c r="AA328" s="994">
        <v>-0.0076423460767696735</v>
      </c>
      <c r="AB328" s="967">
        <v>-2.291496006574548E-4</v>
      </c>
      <c r="AC328" s="861">
        <v>0.007184046875454737</v>
      </c>
      <c r="AD328" s="956">
        <v>0.014597243351566955</v>
      </c>
      <c r="AE328" s="880">
        <v>0.022010439827679147</v>
      </c>
      <c r="AF328" s="880">
        <v>0.029423636303791353</v>
      </c>
      <c r="AG328" s="569"/>
      <c r="AH328" s="1222"/>
      <c r="AI328" s="1056">
        <f t="shared" si="42"/>
        <v>10000000</v>
      </c>
      <c r="AJ328" s="819">
        <v>-0.024862529527702446</v>
      </c>
      <c r="AK328" s="994">
        <v>-0.022689282223359208</v>
      </c>
      <c r="AL328" s="967">
        <v>-0.02055830276347495</v>
      </c>
      <c r="AM328" s="861">
        <v>-0.018461315549029283</v>
      </c>
      <c r="AN328" s="956">
        <v>-0.016390044981001824</v>
      </c>
      <c r="AO328" s="880">
        <v>-0.015566883680607362</v>
      </c>
      <c r="AP328" s="880">
        <v>-0.014745983309459256</v>
      </c>
      <c r="AQ328" s="843">
        <v>-0.013926814229220182</v>
      </c>
      <c r="AR328" s="762">
        <v>-0.013108846801552847</v>
      </c>
      <c r="AS328" s="762">
        <v>-0.012291551388119947</v>
      </c>
      <c r="AT328" s="610"/>
      <c r="AU328" s="1222"/>
      <c r="AV328" s="1056">
        <f t="shared" si="43"/>
        <v>10000000</v>
      </c>
      <c r="AW328" s="1373">
        <v>82.08333333333333</v>
      </c>
      <c r="AX328" s="1389">
        <v>82.08333333333333</v>
      </c>
      <c r="AY328" s="1381">
        <v>82.08333333333333</v>
      </c>
      <c r="AZ328" s="1382">
        <v>82.08333333333333</v>
      </c>
      <c r="BA328" s="1390">
        <v>82.08333333333333</v>
      </c>
      <c r="BB328" s="1374">
        <v>82.08333333333333</v>
      </c>
      <c r="BC328" s="1374">
        <v>82.08333333333333</v>
      </c>
      <c r="BD328" s="1354">
        <v>82.08333333333333</v>
      </c>
      <c r="BE328" s="1327">
        <v>82.08333333333333</v>
      </c>
      <c r="BF328" s="1327">
        <v>82.08333333333333</v>
      </c>
      <c r="BL328" s="1227"/>
      <c r="BM328" s="1056">
        <f t="shared" si="44"/>
        <v>9000000</v>
      </c>
      <c r="BN328" s="1369">
        <v>15326.335041072685</v>
      </c>
      <c r="BO328" s="1369">
        <v>30879.4744228524</v>
      </c>
      <c r="BP328" s="1369">
        <v>77766.5182498948</v>
      </c>
      <c r="BQ328" s="1369">
        <v>156382.7877681923</v>
      </c>
      <c r="BR328" s="1369">
        <v>235850.32955848606</v>
      </c>
      <c r="BS328" s="1369">
        <v>315653.54684500076</v>
      </c>
      <c r="BT328" s="1369">
        <v>395865.13017818023</v>
      </c>
      <c r="BU328" s="1369">
        <v>476582.25579121534</v>
      </c>
      <c r="BV328" s="1369">
        <v>557364.2521213833</v>
      </c>
      <c r="BW328" s="1369">
        <v>638528.1731214257</v>
      </c>
      <c r="BX328" s="1369">
        <v>719660.1371397511</v>
      </c>
      <c r="BY328" s="1369">
        <v>800912.5065584655</v>
      </c>
      <c r="BZ328" s="1369">
        <v>882444.8632835783</v>
      </c>
      <c r="CA328" s="1369">
        <v>963865.4171188242</v>
      </c>
      <c r="CB328" s="610"/>
      <c r="CC328" s="1227"/>
      <c r="CD328" s="1056">
        <f t="shared" si="45"/>
        <v>9000000</v>
      </c>
      <c r="CE328" s="577">
        <v>0.04536777666469855</v>
      </c>
      <c r="CF328" s="577">
        <v>0.04768931297965443</v>
      </c>
      <c r="CG328" s="577">
        <v>0.04908223476862796</v>
      </c>
      <c r="CH328" s="577">
        <v>0.04954654203161914</v>
      </c>
      <c r="CI328" s="577">
        <v>0.04970131111928286</v>
      </c>
      <c r="CJ328" s="577">
        <v>0.04977869566311473</v>
      </c>
      <c r="CK328" s="577">
        <v>0.04963940348421737</v>
      </c>
      <c r="CL328" s="577">
        <v>0.04970131111928286</v>
      </c>
      <c r="CM328" s="577">
        <v>0.04974553085861535</v>
      </c>
      <c r="CN328" s="577">
        <v>0.04977869566311473</v>
      </c>
      <c r="CO328" s="577">
        <v>0.04970131111928286</v>
      </c>
      <c r="CP328" s="577">
        <v>0.0497322649368156</v>
      </c>
      <c r="CQ328" s="577">
        <v>0.04975759078752422</v>
      </c>
      <c r="CR328" s="577">
        <v>0.04977869566311472</v>
      </c>
      <c r="CT328" s="499"/>
      <c r="CU328" s="681">
        <f t="shared" si="46"/>
        <v>9000000</v>
      </c>
      <c r="CV328" s="1424">
        <v>16.945383333333336</v>
      </c>
      <c r="CW328" s="1425">
        <v>18.41635543294271</v>
      </c>
      <c r="CX328" s="1426">
        <v>19.88589103636106</v>
      </c>
      <c r="CY328" s="1427">
        <v>21.353991546416694</v>
      </c>
      <c r="CZ328" s="1428">
        <v>22.82065836456798</v>
      </c>
      <c r="DA328" s="1371">
        <v>30.132536032073745</v>
      </c>
      <c r="DB328" s="1429">
        <v>37.40878083534171</v>
      </c>
      <c r="DC328" s="1371">
        <v>60.12253975681017</v>
      </c>
      <c r="DD328" s="1386">
        <v>67.32803893267595</v>
      </c>
      <c r="DE328" s="1393">
        <v>74.49842365701853</v>
      </c>
      <c r="DF328" s="1386">
        <v>97.10683838590315</v>
      </c>
      <c r="DG328" s="1386">
        <v>104.2075067414657</v>
      </c>
      <c r="DH328" s="1393">
        <v>111.27357151597596</v>
      </c>
      <c r="DI328" s="1386">
        <v>133.778174675882</v>
      </c>
    </row>
    <row r="329">
      <c r="X329" s="610"/>
      <c r="Y329" s="610"/>
      <c r="Z329" s="610"/>
      <c r="AA329" s="610"/>
      <c r="AB329" s="610"/>
      <c r="AC329" s="610"/>
      <c r="AD329" s="610"/>
      <c r="AE329" s="610"/>
      <c r="AF329" s="610"/>
      <c r="AG329" s="610"/>
      <c r="AH329" s="610"/>
      <c r="AI329" s="610"/>
      <c r="AJ329" s="610"/>
      <c r="AK329" s="610"/>
      <c r="AL329" s="610"/>
      <c r="AM329" s="610"/>
      <c r="AN329" s="610"/>
      <c r="AO329" s="610"/>
      <c r="AP329" s="610"/>
      <c r="AQ329" s="610"/>
      <c r="AR329" s="610"/>
      <c r="AS329" s="610"/>
      <c r="AT329" s="610"/>
      <c r="BL329" s="1227"/>
      <c r="BM329" s="1056">
        <f t="shared" si="44"/>
        <v>9500000</v>
      </c>
      <c r="BN329" s="1359">
        <v>14874.74237450197</v>
      </c>
      <c r="BO329" s="1359">
        <v>29976.28908971097</v>
      </c>
      <c r="BP329" s="1359">
        <v>75508.55491704124</v>
      </c>
      <c r="BQ329" s="1359">
        <v>151866.86110248519</v>
      </c>
      <c r="BR329" s="1359">
        <v>229076.43955992535</v>
      </c>
      <c r="BS329" s="1359">
        <v>306621.69351358654</v>
      </c>
      <c r="BT329" s="1359">
        <v>384575.31351391244</v>
      </c>
      <c r="BU329" s="1359">
        <v>463034.475794094</v>
      </c>
      <c r="BV329" s="1359">
        <v>541558.5087914083</v>
      </c>
      <c r="BW329" s="1359">
        <v>620464.4664585972</v>
      </c>
      <c r="BX329" s="1359">
        <v>699338.467144069</v>
      </c>
      <c r="BY329" s="1359">
        <v>778332.87322993</v>
      </c>
      <c r="BZ329" s="1359">
        <v>857607.2666221891</v>
      </c>
      <c r="CA329" s="1359">
        <v>936769.8571245815</v>
      </c>
      <c r="CB329" s="610"/>
      <c r="CC329" s="1227"/>
      <c r="CD329" s="1056">
        <f t="shared" si="45"/>
        <v>9500000</v>
      </c>
      <c r="CE329" s="594">
        <v>0.0440339136372567</v>
      </c>
      <c r="CF329" s="594">
        <v>0.04635544995221258</v>
      </c>
      <c r="CG329" s="594">
        <v>0.04774837174118611</v>
      </c>
      <c r="CH329" s="594">
        <v>0.048212679004177285</v>
      </c>
      <c r="CI329" s="594">
        <v>0.04836744809184101</v>
      </c>
      <c r="CJ329" s="594">
        <v>0.048444832635672876</v>
      </c>
      <c r="CK329" s="594">
        <v>0.04830554045677552</v>
      </c>
      <c r="CL329" s="594">
        <v>0.04836744809184101</v>
      </c>
      <c r="CM329" s="594">
        <v>0.0484116678311735</v>
      </c>
      <c r="CN329" s="594">
        <v>0.048444832635672876</v>
      </c>
      <c r="CO329" s="594">
        <v>0.04836744809184101</v>
      </c>
      <c r="CP329" s="594">
        <v>0.04839840190937376</v>
      </c>
      <c r="CQ329" s="594">
        <v>0.048423727760082365</v>
      </c>
      <c r="CR329" s="594">
        <v>0.048444832635672876</v>
      </c>
      <c r="CT329" s="499"/>
      <c r="CU329" s="681">
        <f t="shared" si="46"/>
        <v>9500000</v>
      </c>
      <c r="CV329" s="1430">
        <v>16.945383333333336</v>
      </c>
      <c r="CW329" s="1360">
        <v>18.41635543294271</v>
      </c>
      <c r="CX329" s="1431">
        <v>19.88589103636106</v>
      </c>
      <c r="CY329" s="1432">
        <v>21.353991546416694</v>
      </c>
      <c r="CZ329" s="1433">
        <v>22.82065836456798</v>
      </c>
      <c r="DA329" s="1434">
        <v>30.132536032073745</v>
      </c>
      <c r="DB329" s="1435">
        <v>37.40878083534171</v>
      </c>
      <c r="DC329" s="1434">
        <v>60.12253975681017</v>
      </c>
      <c r="DD329" s="1436">
        <v>67.32803893267595</v>
      </c>
      <c r="DE329" s="1435">
        <v>74.49842365701853</v>
      </c>
      <c r="DF329" s="1436">
        <v>97.10683838590315</v>
      </c>
      <c r="DG329" s="1435">
        <v>104.2075067414657</v>
      </c>
      <c r="DH329" s="1435">
        <v>111.27357151597596</v>
      </c>
      <c r="DI329" s="1436">
        <v>133.778174675882</v>
      </c>
    </row>
    <row r="330">
      <c r="X330" s="610"/>
      <c r="Y330" s="610"/>
      <c r="Z330" s="610"/>
      <c r="AA330" s="610"/>
      <c r="AB330" s="610"/>
      <c r="AC330" s="610"/>
      <c r="AD330" s="610"/>
      <c r="AE330" s="610"/>
      <c r="AF330" s="610"/>
      <c r="AG330" s="610"/>
      <c r="AH330" s="610"/>
      <c r="AI330" s="610"/>
      <c r="AJ330" s="610"/>
      <c r="AK330" s="610"/>
      <c r="AL330" s="610"/>
      <c r="AM330" s="610"/>
      <c r="AN330" s="610"/>
      <c r="AO330" s="610"/>
      <c r="AP330" s="610"/>
      <c r="AQ330" s="610"/>
      <c r="AR330" s="610"/>
      <c r="AS330" s="610"/>
      <c r="AT330" s="610"/>
      <c r="BL330" s="1222"/>
      <c r="BM330" s="1056">
        <f t="shared" si="44"/>
        <v>10000000</v>
      </c>
      <c r="BN330" s="1442">
        <v>14457.457417185728</v>
      </c>
      <c r="BO330" s="1443">
        <v>29141.719175078488</v>
      </c>
      <c r="BP330" s="1444">
        <v>73422.13013046002</v>
      </c>
      <c r="BQ330" s="1445">
        <v>147694.01152932274</v>
      </c>
      <c r="BR330" s="1446">
        <v>222817.1652001817</v>
      </c>
      <c r="BS330" s="1447">
        <v>298275.99436726165</v>
      </c>
      <c r="BT330" s="1448">
        <v>374143.18958100636</v>
      </c>
      <c r="BU330" s="1447">
        <v>450515.9270746067</v>
      </c>
      <c r="BV330" s="1448">
        <v>526953.5352853398</v>
      </c>
      <c r="BW330" s="1448">
        <v>603773.0681659475</v>
      </c>
      <c r="BX330" s="1448">
        <v>680560.6440648381</v>
      </c>
      <c r="BY330" s="1448">
        <v>757468.6253641178</v>
      </c>
      <c r="BZ330" s="1448">
        <v>834656.5939697957</v>
      </c>
      <c r="CA330" s="1448">
        <v>911732.7596856069</v>
      </c>
      <c r="CB330" s="610"/>
      <c r="CC330" s="1222"/>
      <c r="CD330" s="1056">
        <f t="shared" si="45"/>
        <v>10000000</v>
      </c>
      <c r="CE330" s="591">
        <v>0.04280138481720637</v>
      </c>
      <c r="CF330" s="1449">
        <v>0.04512292113216225</v>
      </c>
      <c r="CG330" s="1450">
        <v>0.04651584292113577</v>
      </c>
      <c r="CH330" s="1451">
        <v>0.04698015018412694</v>
      </c>
      <c r="CI330" s="1452">
        <v>0.04713491927179067</v>
      </c>
      <c r="CJ330" s="1453">
        <v>0.04721230381562253</v>
      </c>
      <c r="CK330" s="1454">
        <v>0.047073011636725184</v>
      </c>
      <c r="CL330" s="1453">
        <v>0.04713491927179067</v>
      </c>
      <c r="CM330" s="1454">
        <v>0.04717913901112317</v>
      </c>
      <c r="CN330" s="1454">
        <v>0.04721230381562253</v>
      </c>
      <c r="CO330" s="1454">
        <v>0.04713491927179067</v>
      </c>
      <c r="CP330" s="1454">
        <v>0.04716587308932342</v>
      </c>
      <c r="CQ330" s="1454">
        <v>0.04719119894003203</v>
      </c>
      <c r="CR330" s="1454">
        <v>0.04721230381562253</v>
      </c>
      <c r="CT330" s="498"/>
      <c r="CU330" s="681">
        <f t="shared" si="46"/>
        <v>10000000</v>
      </c>
      <c r="CV330" s="1437">
        <v>16.945383333333336</v>
      </c>
      <c r="CW330" s="1438">
        <v>18.41635543294271</v>
      </c>
      <c r="CX330" s="1439">
        <v>19.88589103636106</v>
      </c>
      <c r="CY330" s="1440">
        <v>21.353991546416694</v>
      </c>
      <c r="CZ330" s="1441">
        <v>22.82065836456798</v>
      </c>
      <c r="DA330" s="1421">
        <v>30.132536032073745</v>
      </c>
      <c r="DB330" s="1434">
        <v>37.40878083534171</v>
      </c>
      <c r="DC330" s="1421">
        <v>60.12253975681017</v>
      </c>
      <c r="DD330" s="1434">
        <v>67.32803893267595</v>
      </c>
      <c r="DE330" s="1434">
        <v>74.49842365701853</v>
      </c>
      <c r="DF330" s="1434">
        <v>97.10683838590315</v>
      </c>
      <c r="DG330" s="1434">
        <v>104.2075067414657</v>
      </c>
      <c r="DH330" s="1434">
        <v>111.27357151597596</v>
      </c>
      <c r="DI330" s="1434">
        <v>133.778174675882</v>
      </c>
    </row>
    <row r="331">
      <c r="X331" s="220"/>
      <c r="Y331" s="220"/>
      <c r="Z331" s="220"/>
    </row>
    <row r="332">
      <c r="X332" s="220"/>
      <c r="Y332" s="220"/>
      <c r="Z332" s="220"/>
    </row>
    <row r="333">
      <c r="X333" s="220"/>
      <c r="Y333" s="220"/>
      <c r="Z333" s="220"/>
    </row>
    <row r="334">
      <c r="X334" s="220"/>
      <c r="Y334" s="220"/>
      <c r="Z334" s="220"/>
    </row>
    <row r="335">
      <c r="X335" s="220"/>
      <c r="Y335" s="220"/>
      <c r="Z335" s="220"/>
    </row>
    <row r="336">
      <c r="X336" s="220"/>
      <c r="Y336" s="220"/>
      <c r="Z336" s="220"/>
    </row>
  </sheetData>
  <mergeCells count="52">
    <mergeCell ref="X241:X257"/>
    <mergeCell ref="AH241:AH257"/>
    <mergeCell ref="AU241:AU257"/>
    <mergeCell ref="BH241:BH257"/>
    <mergeCell ref="BI241:BI257"/>
    <mergeCell ref="CQ243:CQ259"/>
    <mergeCell ref="DH243:DH259"/>
    <mergeCell ref="BL311:BL327"/>
    <mergeCell ref="CC311:CC327"/>
    <mergeCell ref="BZ243:BZ259"/>
    <mergeCell ref="X269:CB272"/>
    <mergeCell ref="X307:AF307"/>
    <mergeCell ref="BN307:CA307"/>
    <mergeCell ref="CE307:CR307"/>
    <mergeCell ref="CV307:DI307"/>
    <mergeCell ref="X309:X325"/>
    <mergeCell ref="CT311:CT327"/>
    <mergeCell ref="B8:F13"/>
    <mergeCell ref="X8:BH11"/>
    <mergeCell ref="B15:F16"/>
    <mergeCell ref="B17:F18"/>
    <mergeCell ref="B20:F21"/>
    <mergeCell ref="B22:F23"/>
    <mergeCell ref="B25:F26"/>
    <mergeCell ref="B56:F58"/>
    <mergeCell ref="F128:F150"/>
    <mergeCell ref="D191:D229"/>
    <mergeCell ref="B27:F28"/>
    <mergeCell ref="B30:F32"/>
    <mergeCell ref="X71:BH74"/>
    <mergeCell ref="B85:J88"/>
    <mergeCell ref="AA108:AI108"/>
    <mergeCell ref="AA110:AA126"/>
    <mergeCell ref="AU110:AU126"/>
    <mergeCell ref="AX173:BK173"/>
    <mergeCell ref="AV177:AV186"/>
    <mergeCell ref="AK108:AS108"/>
    <mergeCell ref="AK110:AK126"/>
    <mergeCell ref="X135:CB138"/>
    <mergeCell ref="X173:AF173"/>
    <mergeCell ref="BO173:CB173"/>
    <mergeCell ref="X175:X191"/>
    <mergeCell ref="AI175:AI191"/>
    <mergeCell ref="BM177:BM193"/>
    <mergeCell ref="X202:CB205"/>
    <mergeCell ref="CI235:CV235"/>
    <mergeCell ref="X239:AF239"/>
    <mergeCell ref="CB239:CO239"/>
    <mergeCell ref="CS239:DF239"/>
    <mergeCell ref="DJ239:DW239"/>
    <mergeCell ref="AH309:AH325"/>
    <mergeCell ref="AU309:AU325"/>
  </mergeCells>
  <conditionalFormatting sqref="CL63:DW63 CK123 AA172:AF172 AV172:BK172 BM172:CB172 CG234:CV234 AA238:AF238 BZ238:CO238 CQ238:DF238 AA306:AF306 BL306:CA306 CC306:CR306">
    <cfRule type="colorScale" priority="1">
      <colorScale>
        <cfvo type="min"/>
        <cfvo type="percentile" val="50"/>
        <cfvo type="max"/>
        <color rgb="FFE67C73"/>
        <color rgb="FFFFFFFF"/>
        <color rgb="FF57BB8A"/>
      </colorScale>
    </cfRule>
  </conditionalFormatting>
  <conditionalFormatting sqref="F75:F77">
    <cfRule type="cellIs" dxfId="0" priority="2" operator="greaterThan">
      <formula>0</formula>
    </cfRule>
  </conditionalFormatting>
  <conditionalFormatting sqref="F75:F77">
    <cfRule type="cellIs" dxfId="1" priority="3" operator="lessThan">
      <formula>0</formula>
    </cfRule>
  </conditionalFormatting>
  <conditionalFormatting sqref="C61:C63">
    <cfRule type="cellIs" dxfId="0" priority="4" operator="equal">
      <formula>"Yes"</formula>
    </cfRule>
  </conditionalFormatting>
  <conditionalFormatting sqref="C61:C63">
    <cfRule type="cellIs" dxfId="1" priority="5" operator="equal">
      <formula>"No"</formula>
    </cfRule>
  </conditionalFormatting>
  <conditionalFormatting sqref="Z241:AF260 Z309:AF328">
    <cfRule type="colorScale" priority="6">
      <colorScale>
        <cfvo type="min"/>
        <cfvo type="percentile" val="10"/>
        <cfvo type="max"/>
        <color rgb="FFE67C73"/>
        <color rgb="FFFFFFFF"/>
        <color rgb="FF57BB8A"/>
      </colorScale>
    </cfRule>
  </conditionalFormatting>
  <conditionalFormatting sqref="AJ241:AS260 Z309:AF328 AJ309:AS328">
    <cfRule type="colorScale" priority="7">
      <colorScale>
        <cfvo type="min"/>
        <cfvo type="percentile" val="30"/>
        <cfvo type="max"/>
        <color rgb="FFE67C73"/>
        <color rgb="FFFFFFFF"/>
        <color rgb="FF57BB8A"/>
      </colorScale>
    </cfRule>
  </conditionalFormatting>
  <conditionalFormatting sqref="AX177:BK186">
    <cfRule type="colorScale" priority="8">
      <colorScale>
        <cfvo type="min"/>
        <cfvo type="max"/>
        <color rgb="FF57BB8A"/>
        <color rgb="FFFFFFFF"/>
      </colorScale>
    </cfRule>
  </conditionalFormatting>
  <conditionalFormatting sqref="BO177:CB196">
    <cfRule type="colorScale" priority="9">
      <colorScale>
        <cfvo type="min"/>
        <cfvo type="max"/>
        <color rgb="FFFFFFFF"/>
        <color rgb="FF57BB8A"/>
      </colorScale>
    </cfRule>
  </conditionalFormatting>
  <conditionalFormatting sqref="CB243:CO262">
    <cfRule type="colorScale" priority="10">
      <colorScale>
        <cfvo type="min"/>
        <cfvo type="max"/>
        <color rgb="FFFFFFFF"/>
        <color rgb="FF57BB8A"/>
      </colorScale>
    </cfRule>
  </conditionalFormatting>
  <conditionalFormatting sqref="CS243:DF262">
    <cfRule type="colorScale" priority="11">
      <colorScale>
        <cfvo type="min"/>
        <cfvo type="max"/>
        <color rgb="FFFFFFFF"/>
        <color rgb="FF57BB8A"/>
      </colorScale>
    </cfRule>
  </conditionalFormatting>
  <conditionalFormatting sqref="Z175:AF194">
    <cfRule type="colorScale" priority="12">
      <colorScale>
        <cfvo type="min"/>
        <cfvo type="max"/>
        <color rgb="FFFFFFFF"/>
        <color rgb="FF57BB8A"/>
      </colorScale>
    </cfRule>
  </conditionalFormatting>
  <conditionalFormatting sqref="BN311:CA330">
    <cfRule type="colorScale" priority="13">
      <colorScale>
        <cfvo type="min"/>
        <cfvo type="max"/>
        <color rgb="FFFFFFFF"/>
        <color rgb="FF57BB8A"/>
      </colorScale>
    </cfRule>
  </conditionalFormatting>
  <conditionalFormatting sqref="CE311:CR330">
    <cfRule type="colorScale" priority="14">
      <colorScale>
        <cfvo type="min"/>
        <cfvo type="max"/>
        <color rgb="FFFFFFFF"/>
        <color rgb="FF57BB8A"/>
      </colorScale>
    </cfRule>
  </conditionalFormatting>
  <conditionalFormatting sqref="AW241:BF260 BK241:BT260 AW309:BF328">
    <cfRule type="colorScale" priority="15">
      <colorScale>
        <cfvo type="min"/>
        <cfvo type="max"/>
        <color rgb="FFFFFFFF"/>
        <color rgb="FFE67C73"/>
      </colorScale>
    </cfRule>
  </conditionalFormatting>
  <conditionalFormatting sqref="DJ243:DW262 CV311:DI330">
    <cfRule type="colorScale" priority="16">
      <colorScale>
        <cfvo type="min"/>
        <cfvo type="max"/>
        <color rgb="FFFFFFFF"/>
        <color rgb="FFE67C73"/>
      </colorScale>
    </cfRule>
  </conditionalFormatting>
  <dataValidations>
    <dataValidation type="list" allowBlank="1" sqref="C61:C63">
      <formula1>"Yes,No"</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38"/>
    <col customWidth="1" min="2" max="2" width="43.25"/>
    <col customWidth="1" min="4" max="4" width="2.25"/>
    <col customWidth="1" min="5" max="5" width="38.25"/>
    <col customWidth="1" min="6" max="6" width="18.13"/>
    <col customWidth="1" min="7" max="7" width="2.38"/>
    <col customWidth="1" min="8" max="8" width="41.13"/>
    <col customWidth="1" min="9" max="9" width="11.38"/>
    <col customWidth="1" min="10" max="17" width="2.38"/>
    <col customWidth="1" min="18" max="18" width="4.0"/>
    <col customWidth="1" min="19" max="19" width="10.25"/>
    <col customWidth="1" min="20" max="20" width="5.75"/>
    <col customWidth="1" min="21" max="21" width="6.38"/>
    <col customWidth="1" min="22" max="22" width="10.75"/>
    <col customWidth="1" min="23" max="23" width="6.5"/>
    <col customWidth="1" min="24" max="24" width="8.13"/>
    <col customWidth="1" min="25" max="26" width="6.75"/>
    <col customWidth="1" min="27" max="27" width="7.5"/>
    <col customWidth="1" min="28" max="28" width="6.75"/>
    <col customWidth="1" min="29" max="29" width="9.13"/>
    <col customWidth="1" min="30" max="31" width="6.75"/>
    <col customWidth="1" min="32" max="32" width="9.38"/>
    <col customWidth="1" min="33" max="33" width="7.63"/>
    <col customWidth="1" min="34" max="34" width="6.75"/>
    <col customWidth="1" min="35" max="35" width="10.0"/>
    <col customWidth="1" min="36" max="36" width="6.75"/>
    <col customWidth="1" min="37" max="37" width="10.75"/>
    <col customWidth="1" min="38" max="38" width="7.63"/>
    <col customWidth="1" min="39" max="39" width="6.75"/>
    <col customWidth="1" min="40" max="40" width="9.13"/>
    <col customWidth="1" min="41" max="41" width="6.75"/>
    <col customWidth="1" min="42" max="43" width="9.0"/>
    <col customWidth="1" min="44" max="44" width="6.75"/>
    <col customWidth="1" min="45" max="46" width="8.13"/>
    <col customWidth="1" min="47" max="47" width="7.13"/>
    <col customWidth="1" min="48" max="48" width="10.0"/>
    <col customWidth="1" min="49" max="49" width="6.75"/>
    <col customWidth="1" min="50" max="50" width="10.25"/>
    <col customWidth="1" min="51" max="51" width="8.75"/>
    <col customWidth="1" min="52" max="52" width="9.38"/>
    <col customWidth="1" min="53" max="53" width="8.5"/>
    <col customWidth="1" min="54" max="54" width="10.0"/>
    <col customWidth="1" min="55" max="55" width="8.0"/>
    <col customWidth="1" min="56" max="56" width="9.88"/>
    <col customWidth="1" min="57" max="57" width="8.75"/>
    <col customWidth="1" min="58" max="58" width="8.88"/>
    <col customWidth="1" min="59" max="59" width="8.63"/>
    <col customWidth="1" min="60" max="60" width="9.38"/>
    <col customWidth="1" min="61" max="61" width="6.75"/>
    <col customWidth="1" min="62" max="62" width="8.63"/>
    <col customWidth="1" min="63" max="112" width="6.75"/>
  </cols>
  <sheetData>
    <row r="1">
      <c r="A1" s="1"/>
      <c r="B1" s="1"/>
      <c r="C1" s="1"/>
      <c r="D1" s="1"/>
      <c r="F1" s="1"/>
    </row>
    <row r="2">
      <c r="D2" s="2"/>
      <c r="F2" s="1455" t="str">
        <f>HYPERLINK("https://activate.codefi.network/","Check out Activate!")</f>
        <v>Check out Activate!</v>
      </c>
    </row>
    <row r="3">
      <c r="D3" s="2"/>
      <c r="F3" s="523" t="s">
        <v>0</v>
      </c>
    </row>
    <row r="4">
      <c r="D4" s="2"/>
      <c r="F4" s="523" t="s">
        <v>111</v>
      </c>
    </row>
    <row r="5">
      <c r="D5" s="2"/>
    </row>
    <row r="6">
      <c r="D6" s="2"/>
    </row>
    <row r="7">
      <c r="D7" s="2"/>
    </row>
    <row r="8">
      <c r="B8" s="602" t="s">
        <v>160</v>
      </c>
      <c r="C8" s="526"/>
      <c r="D8" s="526"/>
      <c r="E8" s="526"/>
      <c r="F8" s="527"/>
      <c r="R8" s="1125" t="s">
        <v>132</v>
      </c>
      <c r="S8" s="556"/>
      <c r="T8" s="556"/>
      <c r="U8" s="556"/>
      <c r="V8" s="556"/>
      <c r="W8" s="556"/>
      <c r="X8" s="556"/>
      <c r="Y8" s="556"/>
      <c r="Z8" s="556"/>
      <c r="AA8" s="556"/>
      <c r="AB8" s="556"/>
      <c r="AC8" s="556"/>
      <c r="AD8" s="556"/>
      <c r="AE8" s="556"/>
      <c r="AF8" s="556"/>
      <c r="AG8" s="556"/>
      <c r="AH8" s="556"/>
      <c r="AI8" s="556"/>
      <c r="AJ8" s="556"/>
      <c r="AK8" s="556"/>
      <c r="AL8" s="556"/>
      <c r="AM8" s="556"/>
      <c r="AN8" s="556"/>
      <c r="AO8" s="556"/>
      <c r="AP8" s="556"/>
      <c r="AQ8" s="556"/>
      <c r="AR8" s="556"/>
      <c r="AS8" s="556"/>
      <c r="AT8" s="556"/>
      <c r="AU8" s="556"/>
      <c r="AV8" s="556"/>
      <c r="AW8" s="556"/>
      <c r="AX8" s="556"/>
      <c r="AY8" s="556"/>
      <c r="AZ8" s="556"/>
      <c r="BA8" s="556"/>
      <c r="BB8" s="557"/>
    </row>
    <row r="9">
      <c r="B9" s="110"/>
      <c r="F9" s="78"/>
      <c r="R9" s="559"/>
      <c r="BB9" s="560"/>
    </row>
    <row r="10">
      <c r="B10" s="110"/>
      <c r="F10" s="78"/>
      <c r="R10" s="559"/>
      <c r="BB10" s="560"/>
    </row>
    <row r="11">
      <c r="B11" s="110"/>
      <c r="F11" s="78"/>
      <c r="R11" s="574"/>
      <c r="S11" s="575"/>
      <c r="T11" s="575"/>
      <c r="U11" s="575"/>
      <c r="V11" s="575"/>
      <c r="W11" s="575"/>
      <c r="X11" s="575"/>
      <c r="Y11" s="575"/>
      <c r="Z11" s="575"/>
      <c r="AA11" s="575"/>
      <c r="AB11" s="575"/>
      <c r="AC11" s="575"/>
      <c r="AD11" s="575"/>
      <c r="AE11" s="575"/>
      <c r="AF11" s="575"/>
      <c r="AG11" s="575"/>
      <c r="AH11" s="575"/>
      <c r="AI11" s="575"/>
      <c r="AJ11" s="575"/>
      <c r="AK11" s="575"/>
      <c r="AL11" s="575"/>
      <c r="AM11" s="575"/>
      <c r="AN11" s="575"/>
      <c r="AO11" s="575"/>
      <c r="AP11" s="575"/>
      <c r="AQ11" s="575"/>
      <c r="AR11" s="575"/>
      <c r="AS11" s="575"/>
      <c r="AT11" s="575"/>
      <c r="AU11" s="575"/>
      <c r="AV11" s="575"/>
      <c r="AW11" s="575"/>
      <c r="AX11" s="575"/>
      <c r="AY11" s="575"/>
      <c r="AZ11" s="575"/>
      <c r="BA11" s="575"/>
      <c r="BB11" s="576"/>
    </row>
    <row r="12">
      <c r="B12" s="110"/>
      <c r="F12" s="78"/>
    </row>
    <row r="13" ht="54.0" customHeight="1">
      <c r="B13" s="146"/>
      <c r="C13" s="528"/>
      <c r="D13" s="528"/>
      <c r="E13" s="528"/>
      <c r="F13" s="529"/>
    </row>
    <row r="15">
      <c r="B15" s="604" t="s">
        <v>133</v>
      </c>
      <c r="C15" s="526"/>
      <c r="D15" s="526"/>
      <c r="E15" s="526"/>
      <c r="F15" s="527"/>
    </row>
    <row r="16">
      <c r="B16" s="110"/>
      <c r="F16" s="78"/>
    </row>
    <row r="17">
      <c r="B17" s="605">
        <f>$C$26*32</f>
        <v>104037.44</v>
      </c>
      <c r="F17" s="78"/>
    </row>
    <row r="18">
      <c r="B18" s="146"/>
      <c r="C18" s="528"/>
      <c r="D18" s="528"/>
      <c r="E18" s="528"/>
      <c r="F18" s="529"/>
    </row>
    <row r="21">
      <c r="B21" s="606" t="s">
        <v>134</v>
      </c>
      <c r="C21" s="526"/>
      <c r="D21" s="526"/>
      <c r="E21" s="526"/>
      <c r="F21" s="527"/>
    </row>
    <row r="22">
      <c r="B22" s="110"/>
      <c r="F22" s="78"/>
    </row>
    <row r="23">
      <c r="B23" s="146"/>
      <c r="C23" s="528"/>
      <c r="D23" s="528"/>
      <c r="E23" s="528"/>
      <c r="F23" s="529"/>
    </row>
    <row r="24">
      <c r="B24" s="607"/>
      <c r="C24" s="23"/>
    </row>
    <row r="25">
      <c r="B25" s="608" t="s">
        <v>6</v>
      </c>
      <c r="C25" s="609"/>
      <c r="D25" s="610"/>
      <c r="E25" s="611" t="s">
        <v>2</v>
      </c>
      <c r="F25" s="612"/>
    </row>
    <row r="26">
      <c r="B26" s="613" t="s">
        <v>8</v>
      </c>
      <c r="C26" s="614">
        <f>'Coin Market Cap'!D3</f>
        <v>3251.17</v>
      </c>
      <c r="D26" s="569"/>
      <c r="E26" s="615" t="s">
        <v>135</v>
      </c>
      <c r="F26" s="616">
        <f>(C28/C27)</f>
        <v>16384</v>
      </c>
    </row>
    <row r="27">
      <c r="B27" s="613" t="s">
        <v>10</v>
      </c>
      <c r="C27" s="617">
        <v>32.0</v>
      </c>
      <c r="D27" s="610"/>
      <c r="E27" s="613" t="s">
        <v>5</v>
      </c>
      <c r="F27" s="618">
        <f>C28/C27/C31</f>
        <v>256</v>
      </c>
    </row>
    <row r="28">
      <c r="B28" s="613" t="s">
        <v>12</v>
      </c>
      <c r="C28" s="619">
        <v>524288.0</v>
      </c>
      <c r="D28" s="610"/>
      <c r="E28" s="613" t="s">
        <v>7</v>
      </c>
      <c r="F28" s="620">
        <f>(60*60*24*365.242)/(C32*C33)</f>
        <v>82179.45</v>
      </c>
    </row>
    <row r="29">
      <c r="B29" s="613" t="s">
        <v>14</v>
      </c>
      <c r="C29" s="621">
        <v>0.9</v>
      </c>
      <c r="D29" s="610"/>
      <c r="E29" s="613" t="s">
        <v>9</v>
      </c>
      <c r="F29" s="620">
        <f>32 * 10^9 * C34/ sqrt(C28 * 10^9) / C37</f>
        <v>22360.67977</v>
      </c>
    </row>
    <row r="30">
      <c r="B30" s="613" t="s">
        <v>20</v>
      </c>
      <c r="C30" s="622">
        <v>1.1E8</v>
      </c>
      <c r="D30" s="610"/>
      <c r="E30" s="613" t="s">
        <v>11</v>
      </c>
      <c r="F30" s="620">
        <f>F29*C38*C29 + 1*(0.125*F29*C29 + 0.875*F29*(C29+C29*(1 - C29)*(1 - C39)+C29*(1 - C29)^2*(1 - 2*C39)))</f>
        <v>82402.42413</v>
      </c>
    </row>
    <row r="31">
      <c r="B31" s="613" t="s">
        <v>21</v>
      </c>
      <c r="C31" s="617">
        <v>64.0</v>
      </c>
      <c r="D31" s="610"/>
      <c r="E31" s="613" t="s">
        <v>13</v>
      </c>
      <c r="F31" s="620">
        <f>F29*4</f>
        <v>89442.7191</v>
      </c>
    </row>
    <row r="32">
      <c r="B32" s="613" t="s">
        <v>22</v>
      </c>
      <c r="C32" s="617">
        <v>12.0</v>
      </c>
      <c r="D32" s="610"/>
      <c r="E32" s="613" t="s">
        <v>15</v>
      </c>
      <c r="F32" s="620">
        <f>(F30*F26*C29 - F31*F26*(1-C29)) *F28  / 10^9</f>
        <v>87811.22697</v>
      </c>
    </row>
    <row r="33" ht="17.25" customHeight="1">
      <c r="B33" s="613" t="s">
        <v>24</v>
      </c>
      <c r="C33" s="617">
        <v>32.0</v>
      </c>
      <c r="D33" s="610"/>
      <c r="E33" s="613" t="s">
        <v>17</v>
      </c>
      <c r="F33" s="620">
        <f>F32/365</f>
        <v>240.578704</v>
      </c>
    </row>
    <row r="34" ht="13.5" customHeight="1">
      <c r="B34" s="623" t="s">
        <v>26</v>
      </c>
      <c r="C34" s="624">
        <v>64.0</v>
      </c>
      <c r="D34" s="610"/>
      <c r="E34" s="623" t="s">
        <v>19</v>
      </c>
      <c r="F34" s="625">
        <f>F32/C30</f>
        <v>0.0007982838815</v>
      </c>
    </row>
    <row r="35">
      <c r="B35" s="610"/>
      <c r="C35" s="610"/>
      <c r="D35" s="610"/>
      <c r="E35" s="610"/>
      <c r="F35" s="610"/>
    </row>
    <row r="36">
      <c r="B36" s="611" t="s">
        <v>32</v>
      </c>
      <c r="C36" s="626"/>
      <c r="D36" s="610"/>
      <c r="E36" s="627" t="s">
        <v>136</v>
      </c>
      <c r="F36" s="628"/>
    </row>
    <row r="37">
      <c r="B37" s="613" t="s">
        <v>35</v>
      </c>
      <c r="C37" s="629">
        <v>4.0</v>
      </c>
      <c r="D37" s="610"/>
      <c r="E37" s="613" t="s">
        <v>16</v>
      </c>
      <c r="F37" s="619">
        <v>0.0</v>
      </c>
    </row>
    <row r="38">
      <c r="B38" s="613" t="s">
        <v>37</v>
      </c>
      <c r="C38" s="629">
        <v>3.0</v>
      </c>
      <c r="D38" s="610"/>
      <c r="E38" s="613" t="s">
        <v>18</v>
      </c>
      <c r="F38" s="619">
        <v>0.0</v>
      </c>
    </row>
    <row r="39">
      <c r="B39" s="623" t="s">
        <v>39</v>
      </c>
      <c r="C39" s="630">
        <f>1/64</f>
        <v>0.015625</v>
      </c>
      <c r="D39" s="610"/>
      <c r="E39" s="613" t="s">
        <v>25</v>
      </c>
      <c r="F39" s="631">
        <f>F38*365.24</f>
        <v>0</v>
      </c>
    </row>
    <row r="40">
      <c r="B40" s="610"/>
      <c r="C40" s="610"/>
      <c r="D40" s="610"/>
      <c r="E40" s="613" t="s">
        <v>27</v>
      </c>
      <c r="F40" s="622">
        <f>F32-F39</f>
        <v>87811.22697</v>
      </c>
    </row>
    <row r="41">
      <c r="B41" s="610"/>
      <c r="C41" s="610"/>
      <c r="D41" s="610"/>
      <c r="E41" s="613" t="s">
        <v>28</v>
      </c>
      <c r="F41" s="632">
        <f>F40/C30</f>
        <v>0.0007982838815</v>
      </c>
    </row>
    <row r="42">
      <c r="B42" s="610"/>
      <c r="C42" s="610"/>
      <c r="D42" s="610"/>
      <c r="E42" s="633" t="s">
        <v>29</v>
      </c>
      <c r="F42" s="634">
        <f>F39/F40</f>
        <v>0</v>
      </c>
    </row>
    <row r="43">
      <c r="B43" s="610"/>
      <c r="C43" s="610"/>
      <c r="D43" s="610"/>
      <c r="E43" s="635" t="s">
        <v>30</v>
      </c>
      <c r="F43" s="1127" t="str">
        <f>iferror("N/A",F40/F39)</f>
        <v>N/A</v>
      </c>
    </row>
    <row r="47">
      <c r="B47" s="606" t="s">
        <v>137</v>
      </c>
      <c r="C47" s="526"/>
      <c r="D47" s="526"/>
      <c r="E47" s="526"/>
      <c r="F47" s="527"/>
    </row>
    <row r="48">
      <c r="B48" s="110"/>
      <c r="F48" s="78"/>
      <c r="M48" s="38"/>
    </row>
    <row r="49">
      <c r="B49" s="146"/>
      <c r="C49" s="528"/>
      <c r="D49" s="528"/>
      <c r="E49" s="528"/>
      <c r="F49" s="529"/>
    </row>
    <row r="51">
      <c r="D51" s="610"/>
    </row>
    <row r="52">
      <c r="B52" s="637" t="s">
        <v>138</v>
      </c>
      <c r="C52" s="638"/>
      <c r="D52" s="610"/>
      <c r="E52" s="637" t="s">
        <v>40</v>
      </c>
      <c r="F52" s="638"/>
    </row>
    <row r="53">
      <c r="B53" s="613" t="s">
        <v>33</v>
      </c>
      <c r="C53" s="640" t="s">
        <v>34</v>
      </c>
      <c r="D53" s="610"/>
      <c r="E53" s="613" t="s">
        <v>42</v>
      </c>
      <c r="F53" s="621">
        <v>0.99</v>
      </c>
    </row>
    <row r="54">
      <c r="B54" s="613" t="s">
        <v>36</v>
      </c>
      <c r="C54" s="640" t="s">
        <v>34</v>
      </c>
      <c r="D54" s="610"/>
      <c r="E54" s="613" t="s">
        <v>44</v>
      </c>
      <c r="F54" s="629">
        <v>5.0</v>
      </c>
    </row>
    <row r="55">
      <c r="B55" s="623" t="s">
        <v>38</v>
      </c>
      <c r="C55" s="644" t="s">
        <v>34</v>
      </c>
      <c r="D55" s="610"/>
      <c r="E55" s="613" t="s">
        <v>46</v>
      </c>
      <c r="F55" s="651">
        <v>225.0</v>
      </c>
    </row>
    <row r="56">
      <c r="B56" s="610"/>
      <c r="C56" s="610"/>
      <c r="D56" s="610"/>
      <c r="E56" s="613" t="s">
        <v>48</v>
      </c>
      <c r="F56" s="629">
        <v>2.5</v>
      </c>
      <c r="J56" s="52"/>
      <c r="K56" s="52"/>
      <c r="L56" s="52"/>
      <c r="M56" s="52"/>
      <c r="N56" s="52"/>
      <c r="O56" s="52"/>
      <c r="P56" s="52"/>
      <c r="Q56" s="52"/>
      <c r="CF56" s="52"/>
      <c r="CG56" s="52"/>
      <c r="CH56" s="52"/>
      <c r="CI56" s="52"/>
      <c r="CJ56" s="52"/>
      <c r="CK56" s="52"/>
      <c r="CL56" s="52"/>
      <c r="CM56" s="52"/>
      <c r="CN56" s="52"/>
      <c r="CO56" s="52"/>
      <c r="CP56" s="52"/>
      <c r="CQ56" s="52"/>
      <c r="CR56" s="52"/>
      <c r="CS56" s="52"/>
      <c r="CT56" s="52"/>
      <c r="CU56" s="52"/>
      <c r="CV56" s="52"/>
      <c r="CW56" s="52"/>
      <c r="CX56" s="52"/>
      <c r="CY56" s="52"/>
      <c r="CZ56" s="52"/>
      <c r="DA56" s="52"/>
      <c r="DB56" s="52"/>
      <c r="DC56" s="52"/>
      <c r="DD56" s="52"/>
      <c r="DE56" s="52"/>
      <c r="DF56" s="52"/>
      <c r="DG56" s="52"/>
      <c r="DH56" s="52"/>
    </row>
    <row r="57">
      <c r="D57" s="610"/>
      <c r="E57" s="613" t="s">
        <v>50</v>
      </c>
      <c r="F57" s="655">
        <f>average(0.15,0.19,0.22,0.22,0.33,0.1936,0.11,0.2)</f>
        <v>0.2017</v>
      </c>
    </row>
    <row r="58">
      <c r="D58" s="610"/>
      <c r="E58" s="613" t="s">
        <v>52</v>
      </c>
      <c r="F58" s="629">
        <v>10.0</v>
      </c>
    </row>
    <row r="59">
      <c r="D59" s="610"/>
      <c r="E59" s="613" t="s">
        <v>55</v>
      </c>
      <c r="F59" s="629">
        <v>40.0</v>
      </c>
    </row>
    <row r="60">
      <c r="D60" s="610"/>
      <c r="E60" s="613" t="s">
        <v>60</v>
      </c>
      <c r="F60" s="655">
        <f>average(31.14,36.68,37.15,39.58,67.69,72.68,57.66, 68.78)</f>
        <v>51.42</v>
      </c>
    </row>
    <row r="61">
      <c r="D61" s="610"/>
      <c r="E61" s="613" t="s">
        <v>64</v>
      </c>
      <c r="F61" s="651">
        <v>90.0</v>
      </c>
    </row>
    <row r="62">
      <c r="D62" s="610"/>
      <c r="E62" s="613" t="s">
        <v>69</v>
      </c>
      <c r="F62" s="651">
        <v>80.0</v>
      </c>
    </row>
    <row r="63">
      <c r="D63" s="610"/>
      <c r="E63" s="613" t="s">
        <v>71</v>
      </c>
      <c r="F63" s="651">
        <v>25.0</v>
      </c>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row>
    <row r="64">
      <c r="D64" s="610"/>
      <c r="E64" s="664" t="s">
        <v>147</v>
      </c>
      <c r="F64" s="665">
        <f>IF(ISNUMBER(SEARCH("No",C55)),(ROUNDUP(F54/F65)),(ROUNDUP(F54/F65)))</f>
        <v>1</v>
      </c>
      <c r="CF64" s="87"/>
      <c r="CG64" s="87"/>
      <c r="CH64" s="87"/>
      <c r="CI64" s="87"/>
      <c r="CJ64" s="87"/>
      <c r="CK64" s="87"/>
      <c r="CL64" s="87"/>
      <c r="CM64" s="87"/>
      <c r="CN64" s="87"/>
      <c r="CO64" s="87"/>
      <c r="CP64" s="87"/>
      <c r="CQ64" s="87"/>
      <c r="CR64" s="87"/>
      <c r="CS64" s="87"/>
      <c r="CT64" s="87"/>
      <c r="CU64" s="87"/>
      <c r="CV64" s="87"/>
      <c r="CW64" s="87"/>
      <c r="CX64" s="87"/>
      <c r="CY64" s="87"/>
      <c r="CZ64" s="87"/>
      <c r="DA64" s="87"/>
      <c r="DB64" s="87"/>
      <c r="DC64" s="87"/>
      <c r="DD64" s="87"/>
      <c r="DE64" s="87"/>
      <c r="DF64" s="87"/>
      <c r="DG64" s="87"/>
      <c r="DH64" s="87"/>
    </row>
    <row r="65">
      <c r="D65" s="610"/>
      <c r="E65" s="1129" t="s">
        <v>161</v>
      </c>
      <c r="F65" s="1130" t="str">
        <f>IF(ISNUMBER(SEARCH("No",C55)), "16", "1000")</f>
        <v>1000</v>
      </c>
      <c r="CF65" s="87"/>
      <c r="CG65" s="87"/>
      <c r="CH65" s="87"/>
      <c r="CI65" s="87"/>
      <c r="CJ65" s="87"/>
      <c r="CK65" s="87"/>
      <c r="CL65" s="87"/>
      <c r="CM65" s="87"/>
      <c r="CN65" s="87"/>
      <c r="CO65" s="87"/>
      <c r="CP65" s="87"/>
      <c r="CQ65" s="87"/>
      <c r="CR65" s="87"/>
      <c r="CS65" s="87"/>
      <c r="CT65" s="87"/>
      <c r="CU65" s="87"/>
      <c r="CV65" s="87"/>
      <c r="CW65" s="87"/>
      <c r="CX65" s="87"/>
      <c r="CY65" s="87"/>
      <c r="CZ65" s="87"/>
      <c r="DA65" s="87"/>
      <c r="DB65" s="87"/>
      <c r="DC65" s="87"/>
      <c r="DD65" s="87"/>
      <c r="DE65" s="87"/>
      <c r="DF65" s="87"/>
      <c r="DG65" s="87"/>
      <c r="DH65" s="87"/>
    </row>
    <row r="66">
      <c r="D66" s="610"/>
      <c r="E66" s="1131" t="s">
        <v>76</v>
      </c>
      <c r="F66" s="1132">
        <f>F64*F59+1024*(1-(1023/1024)^F54)*F58</f>
        <v>89.90243907</v>
      </c>
      <c r="CF66" s="87"/>
      <c r="CG66" s="87"/>
      <c r="CH66" s="87"/>
      <c r="CI66" s="87"/>
      <c r="CJ66" s="87"/>
      <c r="CK66" s="87"/>
      <c r="CL66" s="87"/>
      <c r="CM66" s="87"/>
      <c r="CN66" s="87"/>
      <c r="CO66" s="87"/>
      <c r="CP66" s="87"/>
      <c r="CQ66" s="87"/>
      <c r="CR66" s="87"/>
      <c r="CS66" s="87"/>
      <c r="CT66" s="87"/>
      <c r="CU66" s="87"/>
      <c r="CV66" s="87"/>
      <c r="CW66" s="87"/>
      <c r="CX66" s="87"/>
      <c r="CY66" s="87"/>
      <c r="CZ66" s="87"/>
      <c r="DA66" s="87"/>
      <c r="DB66" s="87"/>
      <c r="DC66" s="87"/>
      <c r="DD66" s="87"/>
      <c r="DE66" s="87"/>
      <c r="DF66" s="87"/>
      <c r="DG66" s="87"/>
      <c r="DH66" s="87"/>
    </row>
    <row r="67">
      <c r="D67" s="610"/>
      <c r="E67" s="613" t="s">
        <v>78</v>
      </c>
      <c r="F67" s="1133">
        <f>F78*C26</f>
        <v>520187.2</v>
      </c>
      <c r="CF67" s="115"/>
      <c r="CG67" s="115"/>
      <c r="CH67" s="115"/>
      <c r="CI67" s="115"/>
      <c r="CJ67" s="115"/>
      <c r="CK67" s="115"/>
      <c r="CL67" s="115"/>
      <c r="CM67" s="115"/>
      <c r="CN67" s="115"/>
      <c r="CO67" s="115"/>
      <c r="CP67" s="115"/>
      <c r="CQ67" s="115"/>
      <c r="CR67" s="115"/>
      <c r="CS67" s="115"/>
      <c r="CT67" s="115"/>
      <c r="CU67" s="115"/>
      <c r="CV67" s="115"/>
      <c r="CW67" s="115"/>
      <c r="CX67" s="115"/>
      <c r="CY67" s="115"/>
      <c r="CZ67" s="115"/>
      <c r="DA67" s="115"/>
      <c r="DB67" s="115"/>
      <c r="DC67" s="115"/>
      <c r="DD67" s="115"/>
      <c r="DE67" s="115"/>
      <c r="DF67" s="115"/>
      <c r="DG67" s="115"/>
      <c r="DH67" s="115"/>
    </row>
    <row r="68">
      <c r="D68" s="610"/>
      <c r="E68" s="668" t="s">
        <v>80</v>
      </c>
      <c r="F68" s="669">
        <f>(F55*F64)+F61+(F78*C26)+(F63*F54)</f>
        <v>520627.2</v>
      </c>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row>
    <row r="69">
      <c r="D69" s="610"/>
      <c r="CF69" s="123"/>
      <c r="CG69" s="123"/>
      <c r="CH69" s="123"/>
      <c r="CI69" s="123"/>
      <c r="CJ69" s="123"/>
      <c r="CK69" s="123"/>
      <c r="CL69" s="123"/>
      <c r="CM69" s="123"/>
      <c r="CN69" s="123"/>
      <c r="CO69" s="123"/>
      <c r="CP69" s="123"/>
      <c r="CQ69" s="123"/>
      <c r="CR69" s="123"/>
      <c r="CS69" s="123"/>
      <c r="CT69" s="123"/>
      <c r="CU69" s="123"/>
      <c r="CV69" s="123"/>
      <c r="CW69" s="123"/>
      <c r="CX69" s="123"/>
      <c r="CY69" s="123"/>
      <c r="CZ69" s="123"/>
      <c r="DA69" s="123"/>
      <c r="DB69" s="123"/>
      <c r="DC69" s="123"/>
      <c r="DD69" s="123"/>
      <c r="DE69" s="123"/>
      <c r="DF69" s="123"/>
      <c r="DG69" s="123"/>
      <c r="DH69" s="123"/>
    </row>
    <row r="70" ht="19.5" customHeight="1">
      <c r="D70" s="610"/>
      <c r="E70" s="610"/>
      <c r="F70" s="610"/>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row>
    <row r="71">
      <c r="B71" s="606" t="s">
        <v>162</v>
      </c>
      <c r="C71" s="526"/>
      <c r="D71" s="526"/>
      <c r="E71" s="526"/>
      <c r="F71" s="526"/>
      <c r="G71" s="526"/>
      <c r="H71" s="526"/>
      <c r="I71" s="527"/>
      <c r="R71" s="1125" t="s">
        <v>19</v>
      </c>
      <c r="S71" s="556"/>
      <c r="T71" s="556"/>
      <c r="U71" s="556"/>
      <c r="V71" s="556"/>
      <c r="W71" s="556"/>
      <c r="X71" s="556"/>
      <c r="Y71" s="556"/>
      <c r="Z71" s="556"/>
      <c r="AA71" s="556"/>
      <c r="AB71" s="556"/>
      <c r="AC71" s="556"/>
      <c r="AD71" s="556"/>
      <c r="AE71" s="556"/>
      <c r="AF71" s="556"/>
      <c r="AG71" s="556"/>
      <c r="AH71" s="556"/>
      <c r="AI71" s="556"/>
      <c r="AJ71" s="556"/>
      <c r="AK71" s="556"/>
      <c r="AL71" s="556"/>
      <c r="AM71" s="556"/>
      <c r="AN71" s="556"/>
      <c r="AO71" s="556"/>
      <c r="AP71" s="556"/>
      <c r="AQ71" s="556"/>
      <c r="AR71" s="556"/>
      <c r="AS71" s="556"/>
      <c r="AT71" s="556"/>
      <c r="AU71" s="556"/>
      <c r="AV71" s="556"/>
      <c r="AW71" s="556"/>
      <c r="AX71" s="556"/>
      <c r="AY71" s="556"/>
      <c r="AZ71" s="556"/>
      <c r="BA71" s="556"/>
      <c r="BB71" s="557"/>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row>
    <row r="72" ht="18.0" customHeight="1">
      <c r="B72" s="110"/>
      <c r="I72" s="78"/>
      <c r="R72" s="559"/>
      <c r="BB72" s="560"/>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row>
    <row r="73">
      <c r="B73" s="146"/>
      <c r="C73" s="528"/>
      <c r="D73" s="528"/>
      <c r="E73" s="528"/>
      <c r="F73" s="528"/>
      <c r="G73" s="528"/>
      <c r="H73" s="528"/>
      <c r="I73" s="529"/>
      <c r="R73" s="559"/>
      <c r="BB73" s="560"/>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row>
    <row r="74">
      <c r="R74" s="574"/>
      <c r="S74" s="575"/>
      <c r="T74" s="575"/>
      <c r="U74" s="575"/>
      <c r="V74" s="575"/>
      <c r="W74" s="575"/>
      <c r="X74" s="575"/>
      <c r="Y74" s="575"/>
      <c r="Z74" s="575"/>
      <c r="AA74" s="575"/>
      <c r="AB74" s="575"/>
      <c r="AC74" s="575"/>
      <c r="AD74" s="575"/>
      <c r="AE74" s="575"/>
      <c r="AF74" s="575"/>
      <c r="AG74" s="575"/>
      <c r="AH74" s="575"/>
      <c r="AI74" s="575"/>
      <c r="AJ74" s="575"/>
      <c r="AK74" s="575"/>
      <c r="AL74" s="575"/>
      <c r="AM74" s="575"/>
      <c r="AN74" s="575"/>
      <c r="AO74" s="575"/>
      <c r="AP74" s="575"/>
      <c r="AQ74" s="575"/>
      <c r="AR74" s="575"/>
      <c r="AS74" s="575"/>
      <c r="AT74" s="575"/>
      <c r="AU74" s="575"/>
      <c r="AV74" s="575"/>
      <c r="AW74" s="575"/>
      <c r="AX74" s="575"/>
      <c r="AY74" s="575"/>
      <c r="AZ74" s="575"/>
      <c r="BA74" s="575"/>
      <c r="BB74" s="576"/>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row>
    <row r="75">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row>
    <row r="76">
      <c r="B76" s="1456" t="s">
        <v>163</v>
      </c>
      <c r="E76" s="1456" t="s">
        <v>164</v>
      </c>
      <c r="H76" s="1456" t="s">
        <v>165</v>
      </c>
      <c r="CF76" s="144"/>
      <c r="CG76" s="144"/>
      <c r="CH76" s="144"/>
      <c r="CI76" s="144"/>
      <c r="CJ76" s="144"/>
      <c r="CK76" s="144"/>
      <c r="CL76" s="144"/>
      <c r="CM76" s="144"/>
      <c r="CN76" s="144"/>
      <c r="CO76" s="144"/>
      <c r="CP76" s="144"/>
      <c r="CQ76" s="144"/>
      <c r="CR76" s="144"/>
      <c r="CS76" s="144"/>
      <c r="CT76" s="144"/>
      <c r="CU76" s="144"/>
      <c r="CV76" s="144"/>
      <c r="CW76" s="144"/>
      <c r="CX76" s="144"/>
      <c r="CY76" s="144"/>
      <c r="CZ76" s="144"/>
      <c r="DA76" s="144"/>
      <c r="DB76" s="144"/>
      <c r="DC76" s="144"/>
      <c r="DD76" s="144"/>
      <c r="DE76" s="144"/>
      <c r="DF76" s="144"/>
      <c r="DG76" s="144"/>
      <c r="DH76" s="144"/>
    </row>
    <row r="77">
      <c r="B77" s="608" t="s">
        <v>41</v>
      </c>
      <c r="C77" s="639"/>
      <c r="E77" s="608" t="s">
        <v>41</v>
      </c>
      <c r="F77" s="639"/>
      <c r="H77" s="608" t="s">
        <v>41</v>
      </c>
      <c r="I77" s="639"/>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row>
    <row r="78">
      <c r="B78" s="641" t="s">
        <v>43</v>
      </c>
      <c r="C78" s="642">
        <f>C27*F54</f>
        <v>160</v>
      </c>
      <c r="E78" s="641" t="s">
        <v>43</v>
      </c>
      <c r="F78" s="642">
        <f>C27*F54</f>
        <v>160</v>
      </c>
      <c r="H78" s="641" t="s">
        <v>43</v>
      </c>
      <c r="I78" s="642">
        <f t="shared" ref="I78:I84" si="1">F78</f>
        <v>160</v>
      </c>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row>
    <row r="79">
      <c r="B79" s="641" t="s">
        <v>45</v>
      </c>
      <c r="C79" s="643">
        <f>(F30*F53-F31*(1-F53))*F28/10^9/C27</f>
        <v>0.2072051406</v>
      </c>
      <c r="E79" s="641" t="s">
        <v>45</v>
      </c>
      <c r="F79" s="643">
        <f>(F30*F53-F31*(1-F53))*F28/10^9/C27</f>
        <v>0.2072051406</v>
      </c>
      <c r="H79" s="641" t="s">
        <v>45</v>
      </c>
      <c r="I79" s="1457">
        <f t="shared" si="1"/>
        <v>0.2072051406</v>
      </c>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row>
    <row r="80">
      <c r="B80" s="641" t="s">
        <v>47</v>
      </c>
      <c r="C80" s="645">
        <f>F78*C26*F79</f>
        <v>107785.4619</v>
      </c>
      <c r="E80" s="641" t="s">
        <v>47</v>
      </c>
      <c r="F80" s="645">
        <f>F78*C26*F79</f>
        <v>107785.4619</v>
      </c>
      <c r="H80" s="641" t="s">
        <v>47</v>
      </c>
      <c r="I80" s="645">
        <f t="shared" si="1"/>
        <v>107785.4619</v>
      </c>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row>
    <row r="81">
      <c r="B81" s="641" t="s">
        <v>49</v>
      </c>
      <c r="C81" s="646">
        <f>F37*365.24/C28</f>
        <v>0</v>
      </c>
      <c r="E81" s="641" t="s">
        <v>49</v>
      </c>
      <c r="F81" s="646">
        <f>F37*365.24/C28</f>
        <v>0</v>
      </c>
      <c r="H81" s="641" t="s">
        <v>49</v>
      </c>
      <c r="I81" s="1457">
        <f t="shared" si="1"/>
        <v>0</v>
      </c>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row>
    <row r="82">
      <c r="B82" s="641" t="s">
        <v>51</v>
      </c>
      <c r="C82" s="645">
        <f>F81*F78*C26</f>
        <v>0</v>
      </c>
      <c r="E82" s="641" t="s">
        <v>51</v>
      </c>
      <c r="F82" s="645">
        <f>F81*F78*C26</f>
        <v>0</v>
      </c>
      <c r="H82" s="641" t="s">
        <v>51</v>
      </c>
      <c r="I82" s="645">
        <f t="shared" si="1"/>
        <v>0</v>
      </c>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row>
    <row r="83">
      <c r="B83" s="647" t="s">
        <v>53</v>
      </c>
      <c r="C83" s="648">
        <f>sum(C80+C82)</f>
        <v>107785.4619</v>
      </c>
      <c r="E83" s="647" t="s">
        <v>53</v>
      </c>
      <c r="F83" s="648">
        <f>sum(F80+F82)</f>
        <v>107785.4619</v>
      </c>
      <c r="H83" s="647" t="s">
        <v>53</v>
      </c>
      <c r="I83" s="648">
        <f t="shared" si="1"/>
        <v>107785.4619</v>
      </c>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row>
    <row r="84">
      <c r="B84" s="649" t="s">
        <v>56</v>
      </c>
      <c r="C84" s="650">
        <f>(F83)/((C27*C26)*F54)</f>
        <v>0.2072051406</v>
      </c>
      <c r="E84" s="649" t="s">
        <v>56</v>
      </c>
      <c r="F84" s="650">
        <f>(F83)/((C27*C26)*F54)</f>
        <v>0.2072051406</v>
      </c>
      <c r="H84" s="649" t="s">
        <v>56</v>
      </c>
      <c r="I84" s="650">
        <f t="shared" si="1"/>
        <v>0.2072051406</v>
      </c>
      <c r="R84" s="1134"/>
      <c r="CF84" s="144"/>
      <c r="CG84" s="144"/>
      <c r="CH84" s="144"/>
      <c r="CI84" s="144"/>
      <c r="CJ84" s="144"/>
      <c r="CK84" s="144"/>
      <c r="CL84" s="144"/>
      <c r="CM84" s="144"/>
      <c r="CN84" s="144"/>
      <c r="CO84" s="144"/>
      <c r="CP84" s="144"/>
      <c r="CQ84" s="144"/>
      <c r="CR84" s="144"/>
      <c r="CS84" s="144"/>
      <c r="CT84" s="144"/>
      <c r="CU84" s="144"/>
      <c r="CV84" s="144"/>
      <c r="CW84" s="144"/>
      <c r="CX84" s="144"/>
      <c r="CY84" s="144"/>
      <c r="CZ84" s="144"/>
      <c r="DA84" s="144"/>
      <c r="DB84" s="144"/>
      <c r="DC84" s="144"/>
      <c r="DD84" s="144"/>
      <c r="DE84" s="144"/>
      <c r="DF84" s="144"/>
      <c r="DG84" s="144"/>
      <c r="DH84" s="144"/>
    </row>
    <row r="85">
      <c r="B85" s="652" t="s">
        <v>61</v>
      </c>
      <c r="C85" s="653">
        <f>F66*8760/1000*F57</f>
        <v>158.8479004</v>
      </c>
      <c r="E85" s="652" t="s">
        <v>61</v>
      </c>
      <c r="F85" s="653">
        <f>IF(C55="Yes",0,F66*8760/1000*F57)</f>
        <v>0</v>
      </c>
      <c r="H85" s="652" t="s">
        <v>166</v>
      </c>
      <c r="I85" s="1458">
        <v>0.15</v>
      </c>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row>
    <row r="86">
      <c r="B86" s="652" t="s">
        <v>65</v>
      </c>
      <c r="C86" s="653">
        <f>F55/F56*F64</f>
        <v>90</v>
      </c>
      <c r="E86" s="652" t="s">
        <v>65</v>
      </c>
      <c r="F86" s="654">
        <f>if(C55="Yes",0,F55/F56*F64)</f>
        <v>0</v>
      </c>
      <c r="H86" s="658" t="s">
        <v>79</v>
      </c>
      <c r="I86" s="653">
        <f>I83*I85</f>
        <v>16167.81929</v>
      </c>
      <c r="CF86" s="144"/>
      <c r="CG86" s="144"/>
      <c r="CH86" s="144"/>
      <c r="CI86" s="144"/>
      <c r="CJ86" s="144"/>
      <c r="CK86" s="144"/>
      <c r="CL86" s="144"/>
      <c r="CM86" s="144"/>
      <c r="CN86" s="144"/>
      <c r="CO86" s="144"/>
      <c r="CP86" s="144"/>
      <c r="CQ86" s="144"/>
      <c r="CR86" s="144"/>
      <c r="CS86" s="144"/>
      <c r="CT86" s="144"/>
      <c r="CU86" s="144"/>
      <c r="CV86" s="144"/>
      <c r="CW86" s="144"/>
      <c r="CX86" s="144"/>
      <c r="CY86" s="144"/>
      <c r="CZ86" s="144"/>
      <c r="DA86" s="144"/>
      <c r="DB86" s="144"/>
      <c r="DC86" s="144"/>
      <c r="DD86" s="144"/>
      <c r="DE86" s="144"/>
      <c r="DF86" s="144"/>
      <c r="DG86" s="144"/>
      <c r="DH86" s="144"/>
    </row>
    <row r="87">
      <c r="B87" s="652" t="s">
        <v>70</v>
      </c>
      <c r="C87" s="653">
        <f>IF(C53="Yes",0,F60*12)</f>
        <v>0</v>
      </c>
      <c r="E87" s="652" t="s">
        <v>70</v>
      </c>
      <c r="F87" s="653">
        <f>IF(C53="Yes",0,F60*12)</f>
        <v>0</v>
      </c>
      <c r="H87" s="660" t="s">
        <v>81</v>
      </c>
      <c r="I87" s="1459">
        <f>I83-I86</f>
        <v>91617.64264</v>
      </c>
    </row>
    <row r="88">
      <c r="B88" s="656" t="s">
        <v>72</v>
      </c>
      <c r="C88" s="657">
        <f>if(C54="yes",0,F61)</f>
        <v>0</v>
      </c>
      <c r="E88" s="656" t="s">
        <v>72</v>
      </c>
      <c r="F88" s="657">
        <f>if(C54="yes",0,F61)</f>
        <v>0</v>
      </c>
      <c r="H88" s="662" t="s">
        <v>82</v>
      </c>
      <c r="I88" s="663">
        <f>I87/(I78*C26)</f>
        <v>0.1761243695</v>
      </c>
    </row>
    <row r="89">
      <c r="B89" s="656" t="s">
        <v>77</v>
      </c>
      <c r="C89" s="657">
        <f>F63</f>
        <v>25</v>
      </c>
      <c r="E89" s="656" t="s">
        <v>75</v>
      </c>
      <c r="F89" s="657">
        <f>if(C55="Yes",12*F62*F64,0)</f>
        <v>960</v>
      </c>
    </row>
    <row r="90">
      <c r="B90" s="658" t="s">
        <v>79</v>
      </c>
      <c r="C90" s="659">
        <f>sum(C85:C89)</f>
        <v>273.8479004</v>
      </c>
      <c r="E90" s="656" t="s">
        <v>77</v>
      </c>
      <c r="F90" s="657">
        <f>F63*F64</f>
        <v>25</v>
      </c>
    </row>
    <row r="91">
      <c r="B91" s="660" t="s">
        <v>81</v>
      </c>
      <c r="C91" s="661">
        <f>C83-C90</f>
        <v>107511.614</v>
      </c>
      <c r="E91" s="658" t="s">
        <v>79</v>
      </c>
      <c r="F91" s="659">
        <f>sum(F85:F90)</f>
        <v>985</v>
      </c>
    </row>
    <row r="92">
      <c r="B92" s="662" t="s">
        <v>82</v>
      </c>
      <c r="C92" s="663">
        <f>C91/(C78*C26)</f>
        <v>0.2066786996</v>
      </c>
      <c r="E92" s="660" t="s">
        <v>81</v>
      </c>
      <c r="F92" s="661">
        <f>F83-F91</f>
        <v>106800.4619</v>
      </c>
    </row>
    <row r="93">
      <c r="E93" s="662" t="s">
        <v>82</v>
      </c>
      <c r="F93" s="663">
        <f>F92/(F78*C26)</f>
        <v>0.2053115915</v>
      </c>
    </row>
    <row r="98">
      <c r="B98" s="152"/>
      <c r="C98" s="153"/>
    </row>
    <row r="99">
      <c r="B99" s="152"/>
      <c r="C99" s="153"/>
    </row>
    <row r="100">
      <c r="B100" s="152"/>
      <c r="C100" s="153"/>
    </row>
    <row r="101">
      <c r="B101" s="152"/>
      <c r="C101" s="153"/>
    </row>
    <row r="102">
      <c r="B102" s="152"/>
      <c r="C102" s="153"/>
    </row>
    <row r="103">
      <c r="B103" s="152"/>
      <c r="C103" s="153"/>
    </row>
    <row r="104">
      <c r="B104" s="152"/>
      <c r="C104" s="153"/>
    </row>
    <row r="105">
      <c r="B105" s="152"/>
      <c r="C105" s="153"/>
    </row>
    <row r="106">
      <c r="B106" s="152"/>
      <c r="C106" s="153"/>
    </row>
    <row r="107">
      <c r="B107" s="152"/>
      <c r="C107" s="153"/>
      <c r="U107" s="1136" t="s">
        <v>88</v>
      </c>
      <c r="V107" s="498"/>
      <c r="W107" s="498"/>
      <c r="X107" s="498"/>
      <c r="Y107" s="498"/>
      <c r="Z107" s="498"/>
      <c r="AA107" s="498"/>
      <c r="AB107" s="498"/>
      <c r="AC107" s="498"/>
      <c r="AD107" s="505"/>
      <c r="AE107" s="1136" t="s">
        <v>139</v>
      </c>
      <c r="AF107" s="498"/>
      <c r="AG107" s="498"/>
      <c r="AH107" s="498"/>
      <c r="AI107" s="498"/>
      <c r="AJ107" s="498"/>
      <c r="AK107" s="498"/>
      <c r="AL107" s="498"/>
      <c r="AM107" s="498"/>
      <c r="AO107" s="1137" t="s">
        <v>54</v>
      </c>
      <c r="AP107" s="80"/>
      <c r="AQ107" s="80"/>
      <c r="AR107" s="80"/>
      <c r="AS107" s="80"/>
      <c r="AT107" s="80"/>
      <c r="AU107" s="80"/>
      <c r="AV107" s="498"/>
      <c r="AW107" s="498"/>
      <c r="AX107" s="498"/>
      <c r="AY107" s="498"/>
      <c r="AZ107" s="498"/>
    </row>
    <row r="108">
      <c r="B108" s="152"/>
      <c r="C108" s="153"/>
      <c r="U108" s="1138" t="s">
        <v>57</v>
      </c>
      <c r="AD108" s="505"/>
      <c r="AE108" s="1138" t="s">
        <v>57</v>
      </c>
      <c r="AO108" s="1139" t="s">
        <v>58</v>
      </c>
      <c r="AP108" s="80"/>
      <c r="AQ108" s="80"/>
      <c r="AR108" s="80"/>
      <c r="AS108" s="1047" t="s">
        <v>59</v>
      </c>
      <c r="AT108" s="80"/>
      <c r="AU108" s="80"/>
      <c r="AV108" s="498"/>
      <c r="AW108" s="498"/>
      <c r="AX108" s="498"/>
      <c r="AY108" s="498"/>
      <c r="AZ108" s="498"/>
    </row>
    <row r="109">
      <c r="B109" s="152"/>
      <c r="C109" s="153"/>
      <c r="U109" s="498"/>
      <c r="V109" s="1103">
        <f>$F$34</f>
        <v>0.0007982838815</v>
      </c>
      <c r="W109" s="681">
        <v>64.0</v>
      </c>
      <c r="X109" s="681">
        <f t="shared" ref="X109:AC109" si="2">W109+10</f>
        <v>74</v>
      </c>
      <c r="Y109" s="681">
        <f t="shared" si="2"/>
        <v>84</v>
      </c>
      <c r="Z109" s="681">
        <f t="shared" si="2"/>
        <v>94</v>
      </c>
      <c r="AA109" s="681">
        <f t="shared" si="2"/>
        <v>104</v>
      </c>
      <c r="AB109" s="681">
        <f t="shared" si="2"/>
        <v>114</v>
      </c>
      <c r="AC109" s="681">
        <f t="shared" si="2"/>
        <v>124</v>
      </c>
      <c r="AD109" s="505"/>
      <c r="AE109" s="498"/>
      <c r="AF109" s="1103">
        <f>$F$33</f>
        <v>240.578704</v>
      </c>
      <c r="AG109" s="681">
        <v>64.0</v>
      </c>
      <c r="AH109" s="681">
        <f t="shared" ref="AH109:AM109" si="3">AG109+10</f>
        <v>74</v>
      </c>
      <c r="AI109" s="681">
        <f t="shared" si="3"/>
        <v>84</v>
      </c>
      <c r="AJ109" s="681">
        <f t="shared" si="3"/>
        <v>94</v>
      </c>
      <c r="AK109" s="681">
        <f t="shared" si="3"/>
        <v>104</v>
      </c>
      <c r="AL109" s="681">
        <f t="shared" si="3"/>
        <v>114</v>
      </c>
      <c r="AM109" s="681">
        <f t="shared" si="3"/>
        <v>124</v>
      </c>
      <c r="AO109" s="80"/>
      <c r="AP109" s="683">
        <f>F34</f>
        <v>0.0007982838815</v>
      </c>
      <c r="AQ109" s="684">
        <f t="shared" ref="AQ109:AS109" si="4">AR109-0.05</f>
        <v>0.7</v>
      </c>
      <c r="AR109" s="684">
        <f t="shared" si="4"/>
        <v>0.75</v>
      </c>
      <c r="AS109" s="684">
        <f t="shared" si="4"/>
        <v>0.8</v>
      </c>
      <c r="AT109" s="684">
        <v>0.85</v>
      </c>
      <c r="AU109" s="684">
        <v>0.9</v>
      </c>
      <c r="AV109" s="684">
        <f t="shared" ref="AV109:AZ109" si="5">AU109+0.02</f>
        <v>0.92</v>
      </c>
      <c r="AW109" s="684">
        <f t="shared" si="5"/>
        <v>0.94</v>
      </c>
      <c r="AX109" s="684">
        <f t="shared" si="5"/>
        <v>0.96</v>
      </c>
      <c r="AY109" s="684">
        <f t="shared" si="5"/>
        <v>0.98</v>
      </c>
      <c r="AZ109" s="684">
        <f t="shared" si="5"/>
        <v>1</v>
      </c>
    </row>
    <row r="110">
      <c r="B110" s="152"/>
      <c r="C110" s="153"/>
      <c r="U110" s="703" t="s">
        <v>66</v>
      </c>
      <c r="V110" s="681">
        <v>524288.0</v>
      </c>
      <c r="W110" s="1140">
        <v>7.982838815136826E-4</v>
      </c>
      <c r="X110" s="690">
        <v>9.230157380001956E-4</v>
      </c>
      <c r="Y110" s="691">
        <v>0.0010477475944867083</v>
      </c>
      <c r="Z110" s="692">
        <v>0.0011724794509732211</v>
      </c>
      <c r="AA110" s="693">
        <v>0.0012972113074597336</v>
      </c>
      <c r="AB110" s="694">
        <v>0.0014219431639462472</v>
      </c>
      <c r="AC110" s="1141">
        <v>0.0015466750204327596</v>
      </c>
      <c r="AD110" s="505"/>
      <c r="AE110" s="703" t="s">
        <v>66</v>
      </c>
      <c r="AF110" s="681">
        <v>524288.0</v>
      </c>
      <c r="AG110" s="1142">
        <v>240.57870401782216</v>
      </c>
      <c r="AH110" s="697">
        <v>278.1691265206069</v>
      </c>
      <c r="AI110" s="698">
        <v>315.7595490233915</v>
      </c>
      <c r="AJ110" s="699">
        <v>353.34997152617626</v>
      </c>
      <c r="AK110" s="700">
        <v>390.94039402896084</v>
      </c>
      <c r="AL110" s="701">
        <v>428.5308165317457</v>
      </c>
      <c r="AM110" s="1143">
        <v>466.1212390345303</v>
      </c>
      <c r="AO110" s="703" t="s">
        <v>66</v>
      </c>
      <c r="AP110" s="681">
        <v>525288.0</v>
      </c>
      <c r="AQ110" s="704">
        <v>2.531394138079573E-4</v>
      </c>
      <c r="AR110" s="705">
        <v>3.837991908217371E-4</v>
      </c>
      <c r="AS110" s="706">
        <v>5.183211403761138E-4</v>
      </c>
      <c r="AT110" s="1144">
        <v>6.567198701748745E-4</v>
      </c>
      <c r="AU110" s="1234">
        <v>7.990448216769913E-4</v>
      </c>
      <c r="AV110" s="709">
        <v>8.570918515885744E-4</v>
      </c>
      <c r="AW110" s="710">
        <v>9.157871250348404E-4</v>
      </c>
      <c r="AX110" s="711">
        <v>9.751384879258595E-4</v>
      </c>
      <c r="AY110" s="712">
        <v>0.001035154677915836</v>
      </c>
      <c r="AZ110" s="1141">
        <v>0.0010958453244031055</v>
      </c>
    </row>
    <row r="111">
      <c r="B111" s="152"/>
      <c r="C111" s="153"/>
      <c r="V111" s="681">
        <v>1000000.0</v>
      </c>
      <c r="W111" s="853">
        <v>0.0011024842693950069</v>
      </c>
      <c r="X111" s="714">
        <v>0.0012747474364879763</v>
      </c>
      <c r="Y111" s="715">
        <v>0.0014470106035809464</v>
      </c>
      <c r="Z111" s="716">
        <v>0.0016192737706739158</v>
      </c>
      <c r="AA111" s="717">
        <v>0.0017915369377668855</v>
      </c>
      <c r="AB111" s="718">
        <v>0.0019638001048598555</v>
      </c>
      <c r="AC111" s="1147">
        <v>0.002136063271952825</v>
      </c>
      <c r="AD111" s="505"/>
      <c r="AF111" s="681">
        <v>1000000.0</v>
      </c>
      <c r="AG111" s="1148">
        <v>332.25553324233084</v>
      </c>
      <c r="AH111" s="721">
        <v>384.1704603114449</v>
      </c>
      <c r="AI111" s="722">
        <v>436.0853873805592</v>
      </c>
      <c r="AJ111" s="723">
        <v>488.0003144496733</v>
      </c>
      <c r="AK111" s="724">
        <v>539.9152415187874</v>
      </c>
      <c r="AL111" s="725">
        <v>591.8301685879017</v>
      </c>
      <c r="AM111" s="1149">
        <v>643.7450956570158</v>
      </c>
      <c r="AP111" s="681">
        <v>1000000.0</v>
      </c>
      <c r="AQ111" s="727">
        <v>3.492697957811976E-4</v>
      </c>
      <c r="AR111" s="728">
        <v>5.295479790475963E-4</v>
      </c>
      <c r="AS111" s="729">
        <v>7.151550053978672E-4</v>
      </c>
      <c r="AT111" s="1150">
        <v>9.061110298511036E-4</v>
      </c>
      <c r="AU111" s="1245">
        <v>0.0011024842693950069</v>
      </c>
      <c r="AV111" s="732">
        <v>0.0011825748170420224</v>
      </c>
      <c r="AW111" s="733">
        <v>0.0012635597804719024</v>
      </c>
      <c r="AX111" s="734">
        <v>0.0013454499851004414</v>
      </c>
      <c r="AY111" s="735">
        <v>0.0014282574867298286</v>
      </c>
      <c r="AZ111" s="1153">
        <v>0.0015119955715486506</v>
      </c>
    </row>
    <row r="112">
      <c r="B112" s="152"/>
      <c r="C112" s="153"/>
      <c r="V112" s="681">
        <f t="shared" ref="V112:V129" si="6">V111+500000</f>
        <v>1500000</v>
      </c>
      <c r="W112" s="843">
        <v>0.0013502619547314375</v>
      </c>
      <c r="X112" s="738">
        <v>0.0015612403851582245</v>
      </c>
      <c r="Y112" s="739">
        <v>0.001772218815585011</v>
      </c>
      <c r="Z112" s="740">
        <v>0.001983197246011799</v>
      </c>
      <c r="AA112" s="741">
        <v>0.002194175676438586</v>
      </c>
      <c r="AB112" s="742">
        <v>0.0024051541068653725</v>
      </c>
      <c r="AC112" s="1154">
        <v>0.0026161325372921606</v>
      </c>
      <c r="AD112" s="505"/>
      <c r="AF112" s="681">
        <f t="shared" ref="AF112:AF129" si="7">AF111+500000</f>
        <v>1500000</v>
      </c>
      <c r="AG112" s="849">
        <v>406.9282603300223</v>
      </c>
      <c r="AH112" s="745">
        <v>470.5108010065882</v>
      </c>
      <c r="AI112" s="746">
        <v>534.093341683154</v>
      </c>
      <c r="AJ112" s="747">
        <v>597.6758823597202</v>
      </c>
      <c r="AK112" s="748">
        <v>661.2584230362862</v>
      </c>
      <c r="AL112" s="749">
        <v>724.8409637128519</v>
      </c>
      <c r="AM112" s="1155">
        <v>788.4235043894182</v>
      </c>
      <c r="AP112" s="681">
        <f t="shared" ref="AP112:AP129" si="8">AP111+500000</f>
        <v>1500000</v>
      </c>
      <c r="AQ112" s="751">
        <v>4.277663911150091E-4</v>
      </c>
      <c r="AR112" s="752">
        <v>6.48561171494324E-4</v>
      </c>
      <c r="AS112" s="753">
        <v>8.758824251110619E-4</v>
      </c>
      <c r="AT112" s="1156">
        <v>0.0011097548367214902</v>
      </c>
      <c r="AU112" s="1154">
        <v>0.0013502619547314375</v>
      </c>
      <c r="AV112" s="756">
        <v>0.0014483524422090634</v>
      </c>
      <c r="AW112" s="757">
        <v>0.0015475383608296444</v>
      </c>
      <c r="AX112" s="758">
        <v>0.0016478329689656554</v>
      </c>
      <c r="AY112" s="759">
        <v>0.0017492510318989976</v>
      </c>
      <c r="AZ112" s="1159">
        <v>0.0018518088218210046</v>
      </c>
    </row>
    <row r="113">
      <c r="B113" s="152"/>
      <c r="C113" s="153"/>
      <c r="V113" s="681">
        <f t="shared" si="6"/>
        <v>2000000</v>
      </c>
      <c r="W113" s="1160">
        <v>0.0015591482060814117</v>
      </c>
      <c r="X113" s="762">
        <v>0.0018027651132816321</v>
      </c>
      <c r="Y113" s="763">
        <v>0.0020463820204818526</v>
      </c>
      <c r="Z113" s="764">
        <v>0.0022899989276820728</v>
      </c>
      <c r="AA113" s="765">
        <v>0.002533615834882293</v>
      </c>
      <c r="AB113" s="766">
        <v>0.002777232742082514</v>
      </c>
      <c r="AC113" s="799">
        <v>0.003020849649282734</v>
      </c>
      <c r="AD113" s="505"/>
      <c r="AF113" s="681">
        <f t="shared" si="7"/>
        <v>2000000</v>
      </c>
      <c r="AG113" s="1161">
        <v>469.88028128480903</v>
      </c>
      <c r="AH113" s="769">
        <v>543.2990752355604</v>
      </c>
      <c r="AI113" s="770">
        <v>616.7178691863118</v>
      </c>
      <c r="AJ113" s="771">
        <v>690.136663137063</v>
      </c>
      <c r="AK113" s="772">
        <v>763.5554570878143</v>
      </c>
      <c r="AL113" s="773">
        <v>836.9742510385659</v>
      </c>
      <c r="AM113" s="1162">
        <v>910.393044989317</v>
      </c>
      <c r="AP113" s="681">
        <f t="shared" si="8"/>
        <v>2000000</v>
      </c>
      <c r="AQ113" s="740">
        <v>4.939420821210506E-4</v>
      </c>
      <c r="AR113" s="766">
        <v>7.488939338963743E-4</v>
      </c>
      <c r="AS113" s="775">
        <v>0.001011381907832668</v>
      </c>
      <c r="AT113" s="799">
        <v>0.0012814345074312833</v>
      </c>
      <c r="AU113" s="752">
        <v>0.0015591482060814117</v>
      </c>
      <c r="AV113" s="778">
        <v>0.0016724133447817099</v>
      </c>
      <c r="AW113" s="779">
        <v>0.001786943378412535</v>
      </c>
      <c r="AX113" s="780">
        <v>0.0019027536164237231</v>
      </c>
      <c r="AY113" s="781">
        <v>0.002019861108294235</v>
      </c>
      <c r="AZ113" s="1165">
        <v>0.002138284643532161</v>
      </c>
    </row>
    <row r="114">
      <c r="B114" s="152"/>
      <c r="C114" s="153"/>
      <c r="V114" s="681">
        <f t="shared" si="6"/>
        <v>2500000</v>
      </c>
      <c r="W114" s="895">
        <v>0.0017431806878974432</v>
      </c>
      <c r="X114" s="784">
        <v>0.0020155526703814187</v>
      </c>
      <c r="Y114" s="785">
        <v>0.0022879246528653943</v>
      </c>
      <c r="Z114" s="763">
        <v>0.0025602966353493696</v>
      </c>
      <c r="AA114" s="786">
        <v>0.002832668617833345</v>
      </c>
      <c r="AB114" s="787">
        <v>0.00310504060031732</v>
      </c>
      <c r="AC114" s="1166">
        <v>0.003377412582801296</v>
      </c>
      <c r="AD114" s="505"/>
      <c r="AF114" s="681">
        <f t="shared" si="7"/>
        <v>2500000</v>
      </c>
      <c r="AG114" s="900">
        <v>525.3421251197774</v>
      </c>
      <c r="AH114" s="790">
        <v>607.4268321697425</v>
      </c>
      <c r="AI114" s="791">
        <v>689.5115392197079</v>
      </c>
      <c r="AJ114" s="770">
        <v>771.596246269673</v>
      </c>
      <c r="AK114" s="792">
        <v>853.6809533196382</v>
      </c>
      <c r="AL114" s="793">
        <v>935.7656603696033</v>
      </c>
      <c r="AM114" s="1167">
        <v>1017.8503674195687</v>
      </c>
      <c r="AP114" s="681">
        <f t="shared" si="8"/>
        <v>2500000</v>
      </c>
      <c r="AQ114" s="795">
        <v>5.522440362852266E-4</v>
      </c>
      <c r="AR114" s="714">
        <v>8.372888720647634E-4</v>
      </c>
      <c r="AS114" s="740">
        <v>0.0011307593485636361</v>
      </c>
      <c r="AT114" s="1168">
        <v>0.0014326873336651545</v>
      </c>
      <c r="AU114" s="1287">
        <v>0.0017431806878974432</v>
      </c>
      <c r="AV114" s="798">
        <v>0.0018698149627048475</v>
      </c>
      <c r="AW114" s="715">
        <v>0.0019978634330367786</v>
      </c>
      <c r="AX114" s="751">
        <v>0.0021273432153785018</v>
      </c>
      <c r="AY114" s="799">
        <v>0.002258273371626987</v>
      </c>
      <c r="AZ114" s="1171">
        <v>0.002390674909090909</v>
      </c>
    </row>
    <row r="115">
      <c r="B115" s="152"/>
      <c r="C115" s="153"/>
      <c r="V115" s="681">
        <f t="shared" si="6"/>
        <v>3000000</v>
      </c>
      <c r="W115" s="841">
        <v>0.001909558769137605</v>
      </c>
      <c r="X115" s="802">
        <v>0.0022079273268153553</v>
      </c>
      <c r="Y115" s="803">
        <v>0.002506295884493106</v>
      </c>
      <c r="Z115" s="804">
        <v>0.0028046644421708573</v>
      </c>
      <c r="AA115" s="763">
        <v>0.0031030329998486083</v>
      </c>
      <c r="AB115" s="786">
        <v>0.0034014015575263585</v>
      </c>
      <c r="AC115" s="1172">
        <v>0.0036997701152041095</v>
      </c>
      <c r="AD115" s="505"/>
      <c r="AF115" s="681">
        <f t="shared" si="7"/>
        <v>3000000</v>
      </c>
      <c r="AG115" s="847">
        <v>575.483464671607</v>
      </c>
      <c r="AH115" s="807">
        <v>665.4027560265455</v>
      </c>
      <c r="AI115" s="808">
        <v>755.322047381484</v>
      </c>
      <c r="AJ115" s="809">
        <v>845.2413387364228</v>
      </c>
      <c r="AK115" s="770">
        <v>935.1606300913614</v>
      </c>
      <c r="AL115" s="792">
        <v>1025.0799214462997</v>
      </c>
      <c r="AM115" s="1173">
        <v>1114.9992128012384</v>
      </c>
      <c r="AP115" s="681">
        <f t="shared" si="8"/>
        <v>3000000</v>
      </c>
      <c r="AQ115" s="764">
        <v>6.049530318422395E-4</v>
      </c>
      <c r="AR115" s="739">
        <v>9.17204004755856E-4</v>
      </c>
      <c r="AS115" s="795">
        <v>0.0012386848046363008</v>
      </c>
      <c r="AT115" s="714">
        <v>0.0015694303410006712</v>
      </c>
      <c r="AU115" s="740">
        <v>0.001909558769137605</v>
      </c>
      <c r="AV115" s="813">
        <v>0.0020482796668682517</v>
      </c>
      <c r="AW115" s="814">
        <v>0.002188549738177912</v>
      </c>
      <c r="AX115" s="766">
        <v>0.002330387733236753</v>
      </c>
      <c r="AY115" s="815">
        <v>0.0024738145333066943</v>
      </c>
      <c r="AZ115" s="1176">
        <v>0.0026188531507414063</v>
      </c>
    </row>
    <row r="116">
      <c r="V116" s="681">
        <f t="shared" si="6"/>
        <v>3500000</v>
      </c>
      <c r="W116" s="860">
        <v>0.0020625592051919488</v>
      </c>
      <c r="X116" s="818">
        <v>0.002384834081003191</v>
      </c>
      <c r="Y116" s="819">
        <v>0.0027071089568144334</v>
      </c>
      <c r="Z116" s="820">
        <v>0.003029383832625674</v>
      </c>
      <c r="AA116" s="821">
        <v>0.003351658708436917</v>
      </c>
      <c r="AB116" s="822">
        <v>0.0036739335842481597</v>
      </c>
      <c r="AC116" s="764">
        <v>0.003996208460059401</v>
      </c>
      <c r="AD116" s="505"/>
      <c r="AF116" s="681">
        <f t="shared" si="7"/>
        <v>3500000</v>
      </c>
      <c r="AG116" s="864">
        <v>621.5931851263408</v>
      </c>
      <c r="AH116" s="825">
        <v>718.7171203023315</v>
      </c>
      <c r="AI116" s="826">
        <v>815.8410554783225</v>
      </c>
      <c r="AJ116" s="827">
        <v>912.9649906543128</v>
      </c>
      <c r="AK116" s="828">
        <v>1010.0889258303039</v>
      </c>
      <c r="AL116" s="829">
        <v>1107.2128610062948</v>
      </c>
      <c r="AM116" s="771">
        <v>1204.3367961822853</v>
      </c>
      <c r="AP116" s="681">
        <f t="shared" si="8"/>
        <v>3500000</v>
      </c>
      <c r="AQ116" s="831">
        <v>6.534239556808718E-4</v>
      </c>
      <c r="AR116" s="832">
        <v>9.90693553727325E-4</v>
      </c>
      <c r="AS116" s="833">
        <v>0.0013379325043176436</v>
      </c>
      <c r="AT116" s="856">
        <v>0.0016951785140398622</v>
      </c>
      <c r="AU116" s="787">
        <v>0.0020625592051919488</v>
      </c>
      <c r="AV116" s="836">
        <v>0.0022123948997990624</v>
      </c>
      <c r="AW116" s="714">
        <v>0.0023639038931165765</v>
      </c>
      <c r="AX116" s="837">
        <v>0.0025171064376429773</v>
      </c>
      <c r="AY116" s="838">
        <v>0.002672025087718924</v>
      </c>
      <c r="AZ116" s="740">
        <v>0.002828684699527248</v>
      </c>
      <c r="BZ116" s="52"/>
      <c r="CA116" s="52"/>
      <c r="CB116" s="52"/>
      <c r="CC116" s="52"/>
      <c r="CD116" s="52"/>
      <c r="CE116" s="52"/>
    </row>
    <row r="117" ht="18.0" customHeight="1">
      <c r="V117" s="681">
        <f t="shared" si="6"/>
        <v>4000000</v>
      </c>
      <c r="W117" s="973">
        <v>0.0022049685387900138</v>
      </c>
      <c r="X117" s="841">
        <v>0.0025494948729759526</v>
      </c>
      <c r="Y117" s="842">
        <v>0.0028940212071618928</v>
      </c>
      <c r="Z117" s="784">
        <v>0.0032385475413478316</v>
      </c>
      <c r="AA117" s="843">
        <v>0.003583073875533771</v>
      </c>
      <c r="AB117" s="844">
        <v>0.003927600209719711</v>
      </c>
      <c r="AC117" s="852">
        <v>0.00427212654390565</v>
      </c>
      <c r="AD117" s="505"/>
      <c r="AF117" s="681">
        <f t="shared" si="7"/>
        <v>4000000</v>
      </c>
      <c r="AG117" s="978">
        <v>664.5110664846617</v>
      </c>
      <c r="AH117" s="847">
        <v>768.3409206228898</v>
      </c>
      <c r="AI117" s="848">
        <v>872.1707747611184</v>
      </c>
      <c r="AJ117" s="790">
        <v>976.0006288993466</v>
      </c>
      <c r="AK117" s="849">
        <v>1079.8304830375748</v>
      </c>
      <c r="AL117" s="850">
        <v>1183.6603371758033</v>
      </c>
      <c r="AM117" s="1179">
        <v>1287.4901913140316</v>
      </c>
      <c r="AP117" s="681">
        <f t="shared" si="8"/>
        <v>4000000</v>
      </c>
      <c r="AQ117" s="763">
        <v>6.985395915623952E-4</v>
      </c>
      <c r="AR117" s="852">
        <v>0.0010590959580951925</v>
      </c>
      <c r="AS117" s="853">
        <v>0.0014303100107957345</v>
      </c>
      <c r="AT117" s="890">
        <v>0.0018122220597022072</v>
      </c>
      <c r="AU117" s="739">
        <v>0.0022049685387900138</v>
      </c>
      <c r="AV117" s="856">
        <v>0.002365149634084045</v>
      </c>
      <c r="AW117" s="857">
        <v>0.002527119560943805</v>
      </c>
      <c r="AX117" s="795">
        <v>0.002690899970200883</v>
      </c>
      <c r="AY117" s="787">
        <v>0.002856514973459657</v>
      </c>
      <c r="AZ117" s="836">
        <v>0.003023991143097301</v>
      </c>
    </row>
    <row r="118">
      <c r="V118" s="681">
        <f t="shared" si="6"/>
        <v>4500000</v>
      </c>
      <c r="W118" s="907">
        <v>0.002338722309122117</v>
      </c>
      <c r="X118" s="860">
        <v>0.002704147669922447</v>
      </c>
      <c r="Y118" s="818">
        <v>0.0030695730307227784</v>
      </c>
      <c r="Z118" s="819">
        <v>0.003434998391523109</v>
      </c>
      <c r="AA118" s="861">
        <v>0.0038004237523234395</v>
      </c>
      <c r="AB118" s="804">
        <v>0.004165849113123771</v>
      </c>
      <c r="AC118" s="931">
        <v>0.0045312744739241006</v>
      </c>
      <c r="AD118" s="505"/>
      <c r="AF118" s="681">
        <f t="shared" si="7"/>
        <v>4500000</v>
      </c>
      <c r="AG118" s="911">
        <v>704.8204219272133</v>
      </c>
      <c r="AH118" s="864">
        <v>814.9486128533403</v>
      </c>
      <c r="AI118" s="825">
        <v>925.0768037794675</v>
      </c>
      <c r="AJ118" s="826">
        <v>1035.2049947055946</v>
      </c>
      <c r="AK118" s="865">
        <v>1145.3331856317216</v>
      </c>
      <c r="AL118" s="809">
        <v>1255.4613765578488</v>
      </c>
      <c r="AM118" s="1181">
        <v>1365.5895674839755</v>
      </c>
      <c r="AP118" s="681">
        <f t="shared" si="8"/>
        <v>4500000</v>
      </c>
      <c r="AQ118" s="867">
        <v>7.409131231815758E-4</v>
      </c>
      <c r="AR118" s="868">
        <v>0.0011233409008445613</v>
      </c>
      <c r="AS118" s="869">
        <v>0.0015170728617490018</v>
      </c>
      <c r="AT118" s="1182">
        <v>0.0019221517611469248</v>
      </c>
      <c r="AU118" s="1333">
        <v>0.002338722309122117</v>
      </c>
      <c r="AV118" s="872">
        <v>0.0025086200171725638</v>
      </c>
      <c r="AW118" s="873">
        <v>0.0026804150676188027</v>
      </c>
      <c r="AX118" s="874">
        <v>0.0028541304246355844</v>
      </c>
      <c r="AY118" s="875">
        <v>0.0030297916624413518</v>
      </c>
      <c r="AZ118" s="1185">
        <v>0.0032074269652982417</v>
      </c>
      <c r="CF118" s="179"/>
      <c r="CG118" s="179"/>
      <c r="CH118" s="179"/>
      <c r="CI118" s="179"/>
      <c r="CJ118" s="179"/>
      <c r="CK118" s="179"/>
      <c r="CL118" s="179"/>
      <c r="CM118" s="179"/>
      <c r="CN118" s="179"/>
      <c r="CO118" s="179"/>
      <c r="CP118" s="179"/>
      <c r="CQ118" s="179"/>
      <c r="CR118" s="179"/>
      <c r="CS118" s="179"/>
      <c r="CT118" s="179"/>
      <c r="CU118" s="179"/>
      <c r="CV118" s="179"/>
      <c r="CW118" s="179"/>
      <c r="CX118" s="179"/>
      <c r="CY118" s="179"/>
      <c r="CZ118" s="179"/>
      <c r="DA118" s="179"/>
      <c r="DB118" s="179"/>
      <c r="DC118" s="179"/>
      <c r="DD118" s="179"/>
      <c r="DE118" s="179"/>
      <c r="DF118" s="179"/>
      <c r="DG118" s="179"/>
      <c r="DH118" s="179"/>
    </row>
    <row r="119">
      <c r="V119" s="681">
        <f t="shared" si="6"/>
        <v>5000000</v>
      </c>
      <c r="W119" s="972">
        <v>0.0024652297704914256</v>
      </c>
      <c r="X119" s="878">
        <v>0.0028504219221307104</v>
      </c>
      <c r="Y119" s="879">
        <v>0.0032356140737699957</v>
      </c>
      <c r="Z119" s="842">
        <v>0.0036208062254092814</v>
      </c>
      <c r="AA119" s="784">
        <v>0.004005998377048565</v>
      </c>
      <c r="AB119" s="880">
        <v>0.004391190528687852</v>
      </c>
      <c r="AC119" s="821">
        <v>0.004776382680327137</v>
      </c>
      <c r="AD119" s="505"/>
      <c r="AF119" s="681">
        <f t="shared" si="7"/>
        <v>5000000</v>
      </c>
      <c r="AG119" s="977">
        <v>742.9459582302927</v>
      </c>
      <c r="AH119" s="883">
        <v>859.0312642037757</v>
      </c>
      <c r="AI119" s="884">
        <v>975.1165701772591</v>
      </c>
      <c r="AJ119" s="848">
        <v>1091.2018761507425</v>
      </c>
      <c r="AK119" s="790">
        <v>1207.287182124225</v>
      </c>
      <c r="AL119" s="885">
        <v>1323.3724880977088</v>
      </c>
      <c r="AM119" s="828">
        <v>1439.4577940711918</v>
      </c>
      <c r="AP119" s="681">
        <f t="shared" si="8"/>
        <v>5000000</v>
      </c>
      <c r="AQ119" s="887">
        <v>7.809910058542267E-4</v>
      </c>
      <c r="AR119" s="844">
        <v>0.0011841052784980592</v>
      </c>
      <c r="AS119" s="763">
        <v>0.0015991352065188593</v>
      </c>
      <c r="AT119" s="916">
        <v>0.002026125857909409</v>
      </c>
      <c r="AU119" s="853">
        <v>0.0024652297704914256</v>
      </c>
      <c r="AV119" s="853">
        <v>0.002644317679385338</v>
      </c>
      <c r="AW119" s="832">
        <v>0.002825405562769885</v>
      </c>
      <c r="AX119" s="786">
        <v>0.0030085176270106652</v>
      </c>
      <c r="AY119" s="890">
        <v>0.003193680829700901</v>
      </c>
      <c r="AZ119" s="890">
        <v>0.0033809248796614288</v>
      </c>
    </row>
    <row r="120">
      <c r="V120" s="681">
        <f t="shared" si="6"/>
        <v>5500000</v>
      </c>
      <c r="W120" s="949">
        <v>0.0025855547960638788</v>
      </c>
      <c r="X120" s="893">
        <v>0.0029895477329488604</v>
      </c>
      <c r="Y120" s="894">
        <v>0.003393540669833841</v>
      </c>
      <c r="Z120" s="895">
        <v>0.003797533606718823</v>
      </c>
      <c r="AA120" s="819">
        <v>0.004201526543603804</v>
      </c>
      <c r="AB120" s="861">
        <v>0.004605519480488786</v>
      </c>
      <c r="AC120" s="762">
        <v>0.0050095124173737664</v>
      </c>
      <c r="AD120" s="505"/>
      <c r="AF120" s="681">
        <f t="shared" si="7"/>
        <v>5500000</v>
      </c>
      <c r="AG120" s="953">
        <v>779.2082947041827</v>
      </c>
      <c r="AH120" s="898">
        <v>900.9595907517114</v>
      </c>
      <c r="AI120" s="899">
        <v>1022.7108867992398</v>
      </c>
      <c r="AJ120" s="900">
        <v>1144.4621828467687</v>
      </c>
      <c r="AK120" s="826">
        <v>1266.2134788942972</v>
      </c>
      <c r="AL120" s="865">
        <v>1387.9647749418257</v>
      </c>
      <c r="AM120" s="769">
        <v>1509.7160709893542</v>
      </c>
      <c r="AP120" s="681">
        <f t="shared" si="8"/>
        <v>5500000</v>
      </c>
      <c r="AQ120" s="804">
        <v>8.191102772812199E-4</v>
      </c>
      <c r="AR120" s="821">
        <v>0.0012419000932537459</v>
      </c>
      <c r="AS120" s="902">
        <v>0.0016771871540173827</v>
      </c>
      <c r="AT120" s="763">
        <v>0.002125018727281727</v>
      </c>
      <c r="AU120" s="822">
        <v>0.0025855547960638788</v>
      </c>
      <c r="AV120" s="852">
        <v>0.0027733837795121045</v>
      </c>
      <c r="AW120" s="831">
        <v>0.002963310353902222</v>
      </c>
      <c r="AX120" s="853">
        <v>0.0031553599070846547</v>
      </c>
      <c r="AY120" s="853">
        <v>0.003349560712421695</v>
      </c>
      <c r="AZ120" s="832">
        <v>0.003545943928787512</v>
      </c>
    </row>
    <row r="121">
      <c r="V121" s="681">
        <f t="shared" si="6"/>
        <v>6000000</v>
      </c>
      <c r="W121" s="960">
        <v>0.002700523909462875</v>
      </c>
      <c r="X121" s="907">
        <v>0.003122480770316449</v>
      </c>
      <c r="Y121" s="860">
        <v>0.003544437631170022</v>
      </c>
      <c r="Z121" s="908">
        <v>0.003966394492023598</v>
      </c>
      <c r="AA121" s="802">
        <v>0.004388351352877172</v>
      </c>
      <c r="AB121" s="784">
        <v>0.004810308213730745</v>
      </c>
      <c r="AC121" s="820">
        <v>0.005232265074584321</v>
      </c>
      <c r="AD121" s="505"/>
      <c r="AF121" s="681">
        <f t="shared" si="7"/>
        <v>6000000</v>
      </c>
      <c r="AG121" s="964">
        <v>813.8565206600446</v>
      </c>
      <c r="AH121" s="911">
        <v>941.0216020131764</v>
      </c>
      <c r="AI121" s="864">
        <v>1068.186683366308</v>
      </c>
      <c r="AJ121" s="912">
        <v>1195.3517647194403</v>
      </c>
      <c r="AK121" s="807">
        <v>1322.5168460725724</v>
      </c>
      <c r="AL121" s="790">
        <v>1449.6819274257039</v>
      </c>
      <c r="AM121" s="827">
        <v>1576.8470087788364</v>
      </c>
      <c r="AP121" s="681">
        <f t="shared" si="8"/>
        <v>6000000</v>
      </c>
      <c r="AQ121" s="843">
        <v>8.555327822300182E-4</v>
      </c>
      <c r="AR121" s="804">
        <v>0.001297122342988648</v>
      </c>
      <c r="AS121" s="914">
        <v>0.0017517648502221239</v>
      </c>
      <c r="AT121" s="902">
        <v>0.0022195096734429804</v>
      </c>
      <c r="AU121" s="763">
        <v>0.002700523909462875</v>
      </c>
      <c r="AV121" s="763">
        <v>0.002896704884418127</v>
      </c>
      <c r="AW121" s="822">
        <v>0.0030950767216592887</v>
      </c>
      <c r="AX121" s="916">
        <v>0.003295665937931311</v>
      </c>
      <c r="AY121" s="852">
        <v>0.0034985020637979952</v>
      </c>
      <c r="AZ121" s="831">
        <v>0.0037036176436420092</v>
      </c>
    </row>
    <row r="122">
      <c r="V122" s="681">
        <f t="shared" si="6"/>
        <v>6500000</v>
      </c>
      <c r="W122" s="1190">
        <v>0.0028107944015371123</v>
      </c>
      <c r="X122" s="919">
        <v>0.0032499810267772856</v>
      </c>
      <c r="Y122" s="920">
        <v>0.0036891676520174597</v>
      </c>
      <c r="Z122" s="921">
        <v>0.0041283542772576325</v>
      </c>
      <c r="AA122" s="922">
        <v>0.004567540902497806</v>
      </c>
      <c r="AB122" s="819">
        <v>0.005006727527737979</v>
      </c>
      <c r="AC122" s="861">
        <v>0.005445914152978154</v>
      </c>
      <c r="AD122" s="505"/>
      <c r="AF122" s="681">
        <f t="shared" si="7"/>
        <v>6500000</v>
      </c>
      <c r="AG122" s="1191">
        <v>847.0887237509105</v>
      </c>
      <c r="AH122" s="925">
        <v>979.4463368369901</v>
      </c>
      <c r="AI122" s="926">
        <v>1111.8039499230701</v>
      </c>
      <c r="AJ122" s="927">
        <v>1244.1615630091494</v>
      </c>
      <c r="AK122" s="928">
        <v>1376.519176095229</v>
      </c>
      <c r="AL122" s="826">
        <v>1508.8767891813088</v>
      </c>
      <c r="AM122" s="865">
        <v>1641.234402267389</v>
      </c>
      <c r="AP122" s="681">
        <f t="shared" si="8"/>
        <v>6500000</v>
      </c>
      <c r="AQ122" s="820">
        <v>8.904667520984465E-4</v>
      </c>
      <c r="AR122" s="762">
        <v>0.0013500877392736586</v>
      </c>
      <c r="AS122" s="804">
        <v>0.001823294663883639</v>
      </c>
      <c r="AT122" s="1192">
        <v>0.002310138911346216</v>
      </c>
      <c r="AU122" s="902">
        <v>0.0028107944015371123</v>
      </c>
      <c r="AV122" s="931">
        <v>0.003014986034190345</v>
      </c>
      <c r="AW122" s="932">
        <v>0.003221457988608624</v>
      </c>
      <c r="AX122" s="763">
        <v>0.003430237864295136</v>
      </c>
      <c r="AY122" s="738">
        <v>0.0036413563976351927</v>
      </c>
      <c r="AZ122" s="822">
        <v>0.003854847461896222</v>
      </c>
    </row>
    <row r="123">
      <c r="V123" s="681">
        <f t="shared" si="6"/>
        <v>7000000</v>
      </c>
      <c r="W123" s="989">
        <v>0.0029168992011799266</v>
      </c>
      <c r="X123" s="935">
        <v>0.0033726647013642887</v>
      </c>
      <c r="Y123" s="893">
        <v>0.0038284302015486535</v>
      </c>
      <c r="Z123" s="936">
        <v>0.004284195701733015</v>
      </c>
      <c r="AA123" s="818">
        <v>0.0047399612019173795</v>
      </c>
      <c r="AB123" s="937">
        <v>0.005195726702101743</v>
      </c>
      <c r="AC123" s="784">
        <v>0.005651492202286107</v>
      </c>
      <c r="AD123" s="505"/>
      <c r="AF123" s="681">
        <f t="shared" si="7"/>
        <v>7000000</v>
      </c>
      <c r="AG123" s="992">
        <v>879.0655126843615</v>
      </c>
      <c r="AH123" s="940">
        <v>1016.4194990412925</v>
      </c>
      <c r="AI123" s="898">
        <v>1153.7734853982242</v>
      </c>
      <c r="AJ123" s="941">
        <v>1291.1274717551553</v>
      </c>
      <c r="AK123" s="825">
        <v>1428.481458112087</v>
      </c>
      <c r="AL123" s="942">
        <v>1565.8354444690185</v>
      </c>
      <c r="AM123" s="790">
        <v>1703.18943082595</v>
      </c>
      <c r="AP123" s="681">
        <f t="shared" si="8"/>
        <v>7000000</v>
      </c>
      <c r="AQ123" s="944">
        <v>9.240810201033649E-4</v>
      </c>
      <c r="AR123" s="880">
        <v>0.001401052259836782</v>
      </c>
      <c r="AS123" s="762">
        <v>0.0018921222931458112</v>
      </c>
      <c r="AT123" s="887">
        <v>0.002397344445198644</v>
      </c>
      <c r="AU123" s="844">
        <v>0.0029168992011799266</v>
      </c>
      <c r="AV123" s="844">
        <v>0.0031287988726208978</v>
      </c>
      <c r="AW123" s="902">
        <v>0.0033430649457920217</v>
      </c>
      <c r="AX123" s="931">
        <v>0.003559726062051326</v>
      </c>
      <c r="AY123" s="932">
        <v>0.0037788141180532613</v>
      </c>
      <c r="AZ123" s="763">
        <v>0.004000364265748697</v>
      </c>
      <c r="CE123" s="23"/>
    </row>
    <row r="124">
      <c r="V124" s="681">
        <f t="shared" si="6"/>
        <v>7500000</v>
      </c>
      <c r="W124" s="1197">
        <v>0.0030192775182112373</v>
      </c>
      <c r="X124" s="949">
        <v>0.0034910396304317437</v>
      </c>
      <c r="Y124" s="950">
        <v>0.00396280174265225</v>
      </c>
      <c r="Z124" s="860">
        <v>0.004434563854872755</v>
      </c>
      <c r="AA124" s="879">
        <v>0.004906325967093263</v>
      </c>
      <c r="AB124" s="842">
        <v>0.005378088079313768</v>
      </c>
      <c r="AC124" s="1160">
        <v>0.005849850191534272</v>
      </c>
      <c r="AD124" s="505"/>
      <c r="AF124" s="681">
        <f t="shared" si="7"/>
        <v>7500000</v>
      </c>
      <c r="AG124" s="1198">
        <v>909.9192520636606</v>
      </c>
      <c r="AH124" s="953">
        <v>1052.0941351986078</v>
      </c>
      <c r="AI124" s="954">
        <v>1194.2690183335546</v>
      </c>
      <c r="AJ124" s="864">
        <v>1336.4439014685015</v>
      </c>
      <c r="AK124" s="884">
        <v>1478.618784603449</v>
      </c>
      <c r="AL124" s="848">
        <v>1620.7936677383957</v>
      </c>
      <c r="AM124" s="1161">
        <v>1762.9685508733423</v>
      </c>
      <c r="AP124" s="681">
        <f t="shared" si="8"/>
        <v>7500000</v>
      </c>
      <c r="AQ124" s="803">
        <v>9.565147290229223E-4</v>
      </c>
      <c r="AR124" s="956">
        <v>0.0014502268670282068</v>
      </c>
      <c r="AS124" s="843">
        <v>0.0019585326428457036</v>
      </c>
      <c r="AT124" s="804">
        <v>0.002481487253268432</v>
      </c>
      <c r="AU124" s="887">
        <v>0.0030192775182112373</v>
      </c>
      <c r="AV124" s="914">
        <v>0.0032386145161573013</v>
      </c>
      <c r="AW124" s="844">
        <v>0.003460400972603683</v>
      </c>
      <c r="AX124" s="844">
        <v>0.0036846665341725075</v>
      </c>
      <c r="AY124" s="902">
        <v>0.003911444217037814</v>
      </c>
      <c r="AZ124" s="1200">
        <v>0.004140770406925561</v>
      </c>
      <c r="CE124" s="87"/>
    </row>
    <row r="125">
      <c r="V125" s="681">
        <f t="shared" si="6"/>
        <v>8000000</v>
      </c>
      <c r="W125" s="1201">
        <v>0.0031182964121628234</v>
      </c>
      <c r="X125" s="960">
        <v>0.0036055302265632643</v>
      </c>
      <c r="Y125" s="961">
        <v>0.004092764040963705</v>
      </c>
      <c r="Z125" s="878">
        <v>0.0045799978553641455</v>
      </c>
      <c r="AA125" s="921">
        <v>0.005067231669764586</v>
      </c>
      <c r="AB125" s="895">
        <v>0.005554465484165028</v>
      </c>
      <c r="AC125" s="1202">
        <v>0.006041699298565468</v>
      </c>
      <c r="AD125" s="505"/>
      <c r="AF125" s="681">
        <f t="shared" si="7"/>
        <v>8000000</v>
      </c>
      <c r="AG125" s="1203">
        <v>939.7605625696181</v>
      </c>
      <c r="AH125" s="964">
        <v>1086.5981504711208</v>
      </c>
      <c r="AI125" s="965">
        <v>1233.4357383726235</v>
      </c>
      <c r="AJ125" s="883">
        <v>1380.273326274126</v>
      </c>
      <c r="AK125" s="927">
        <v>1527.1109141756285</v>
      </c>
      <c r="AL125" s="900">
        <v>1673.9485020771317</v>
      </c>
      <c r="AM125" s="1204">
        <v>1820.786089978634</v>
      </c>
      <c r="AP125" s="681">
        <f t="shared" si="8"/>
        <v>8000000</v>
      </c>
      <c r="AQ125" s="967">
        <v>9.878841642421011E-4</v>
      </c>
      <c r="AR125" s="861">
        <v>0.0014977878677927487</v>
      </c>
      <c r="AS125" s="880">
        <v>0.002022763815665336</v>
      </c>
      <c r="AT125" s="762">
        <v>0.0025628690148625666</v>
      </c>
      <c r="AU125" s="804">
        <v>0.0031182964121628234</v>
      </c>
      <c r="AV125" s="887">
        <v>0.0033448266895634198</v>
      </c>
      <c r="AW125" s="887">
        <v>0.00357388675682507</v>
      </c>
      <c r="AX125" s="914">
        <v>0.0038055072328474463</v>
      </c>
      <c r="AY125" s="844">
        <v>0.00403972221658847</v>
      </c>
      <c r="AZ125" s="844">
        <v>0.004276569287064322</v>
      </c>
      <c r="CE125" s="87"/>
    </row>
    <row r="126">
      <c r="V126" s="681">
        <f t="shared" si="6"/>
        <v>8500000</v>
      </c>
      <c r="W126" s="1206">
        <v>0.003214266369832975</v>
      </c>
      <c r="X126" s="971">
        <v>0.0037164954901193776</v>
      </c>
      <c r="Y126" s="972">
        <v>0.004218724610405779</v>
      </c>
      <c r="Z126" s="973">
        <v>0.004720953730692181</v>
      </c>
      <c r="AA126" s="894">
        <v>0.005223182850978583</v>
      </c>
      <c r="AB126" s="818">
        <v>0.005725411971264988</v>
      </c>
      <c r="AC126" s="802">
        <v>0.00622764109155139</v>
      </c>
      <c r="AD126" s="505"/>
      <c r="AF126" s="681">
        <f t="shared" si="7"/>
        <v>8500000</v>
      </c>
      <c r="AG126" s="1207">
        <v>968.683015566102</v>
      </c>
      <c r="AH126" s="976">
        <v>1120.0397367483056</v>
      </c>
      <c r="AI126" s="977">
        <v>1271.3964579305089</v>
      </c>
      <c r="AJ126" s="978">
        <v>1422.7531791127124</v>
      </c>
      <c r="AK126" s="899">
        <v>1574.1099002949156</v>
      </c>
      <c r="AL126" s="825">
        <v>1725.4666214771198</v>
      </c>
      <c r="AM126" s="807">
        <v>1876.8233426593229</v>
      </c>
      <c r="AP126" s="681">
        <f t="shared" si="8"/>
        <v>8500000</v>
      </c>
      <c r="AQ126" s="980">
        <v>0.0010182876887613024</v>
      </c>
      <c r="AR126" s="981">
        <v>0.0015438843959195401</v>
      </c>
      <c r="AS126" s="982">
        <v>0.002085017216916397</v>
      </c>
      <c r="AT126" s="1005">
        <v>0.0026417449132252603</v>
      </c>
      <c r="AU126" s="1007">
        <v>0.003214266369832975</v>
      </c>
      <c r="AV126" s="985">
        <v>0.0034477684351137566</v>
      </c>
      <c r="AW126" s="985">
        <v>0.0036838781480964754</v>
      </c>
      <c r="AX126" s="986">
        <v>0.0039226270700205</v>
      </c>
      <c r="AY126" s="986">
        <v>0.00416405034928714</v>
      </c>
      <c r="AZ126" s="1210">
        <v>0.004408186721459653</v>
      </c>
      <c r="CE126" s="87"/>
    </row>
    <row r="127">
      <c r="U127" s="498"/>
      <c r="V127" s="681">
        <f t="shared" si="6"/>
        <v>9000000</v>
      </c>
      <c r="W127" s="1211">
        <v>0.003307452808185021</v>
      </c>
      <c r="X127" s="989">
        <v>0.003824242309463929</v>
      </c>
      <c r="Y127" s="935">
        <v>0.004341031810742838</v>
      </c>
      <c r="Z127" s="893">
        <v>0.004857821312021747</v>
      </c>
      <c r="AA127" s="860">
        <v>0.005374610813300658</v>
      </c>
      <c r="AB127" s="879">
        <v>0.005891400314579565</v>
      </c>
      <c r="AC127" s="842">
        <v>0.006408189815858476</v>
      </c>
      <c r="AD127" s="505"/>
      <c r="AE127" s="498"/>
      <c r="AF127" s="681">
        <f t="shared" si="7"/>
        <v>9000000</v>
      </c>
      <c r="AG127" s="1212">
        <v>996.7665997269926</v>
      </c>
      <c r="AH127" s="992">
        <v>1152.5113809343347</v>
      </c>
      <c r="AI127" s="940">
        <v>1308.2561621416771</v>
      </c>
      <c r="AJ127" s="898">
        <v>1464.0009433490195</v>
      </c>
      <c r="AK127" s="864">
        <v>1619.7457245563626</v>
      </c>
      <c r="AL127" s="884">
        <v>1775.4905057637047</v>
      </c>
      <c r="AM127" s="848">
        <v>1931.2352869710476</v>
      </c>
      <c r="AO127" s="498"/>
      <c r="AP127" s="681">
        <f t="shared" si="8"/>
        <v>9000000</v>
      </c>
      <c r="AQ127" s="994">
        <v>0.0010478093873435923</v>
      </c>
      <c r="AR127" s="967">
        <v>0.0015886439371427883</v>
      </c>
      <c r="AS127" s="861">
        <v>0.002145465016193601</v>
      </c>
      <c r="AT127" s="820">
        <v>0.0027183330895533112</v>
      </c>
      <c r="AU127" s="843">
        <v>0.003307452808185021</v>
      </c>
      <c r="AV127" s="762">
        <v>0.003547724451126066</v>
      </c>
      <c r="AW127" s="785">
        <v>0.0037906793414157073</v>
      </c>
      <c r="AX127" s="804">
        <v>0.004036349955301324</v>
      </c>
      <c r="AY127" s="804">
        <v>0.004284772460189487</v>
      </c>
      <c r="AZ127" s="887">
        <v>0.0045359867146459515</v>
      </c>
      <c r="CE127" s="115"/>
    </row>
    <row r="128">
      <c r="F128" s="191"/>
      <c r="U128" s="498"/>
      <c r="V128" s="681">
        <f t="shared" si="6"/>
        <v>9500000</v>
      </c>
      <c r="W128" s="1213">
        <v>0.003398084734155799</v>
      </c>
      <c r="X128" s="989">
        <v>0.003929035473867644</v>
      </c>
      <c r="Y128" s="949">
        <v>0.004459986213579487</v>
      </c>
      <c r="Z128" s="907">
        <v>0.004990936953291332</v>
      </c>
      <c r="AA128" s="878">
        <v>0.0055218876930031744</v>
      </c>
      <c r="AB128" s="841">
        <v>0.006052838432715017</v>
      </c>
      <c r="AC128" s="895">
        <v>0.00658378917242686</v>
      </c>
      <c r="AD128" s="505"/>
      <c r="AE128" s="498"/>
      <c r="AF128" s="681">
        <f t="shared" si="7"/>
        <v>9500000</v>
      </c>
      <c r="AG128" s="1214">
        <v>1024.0803308414736</v>
      </c>
      <c r="AH128" s="992">
        <v>1184.0928825354542</v>
      </c>
      <c r="AI128" s="953">
        <v>1344.1054342294344</v>
      </c>
      <c r="AJ128" s="911">
        <v>1504.117985923415</v>
      </c>
      <c r="AK128" s="883">
        <v>1664.130537617395</v>
      </c>
      <c r="AL128" s="847">
        <v>1824.143089311375</v>
      </c>
      <c r="AM128" s="900">
        <v>1984.155641005355</v>
      </c>
      <c r="AO128" s="498"/>
      <c r="AP128" s="681">
        <f t="shared" si="8"/>
        <v>9500000</v>
      </c>
      <c r="AQ128" s="1002">
        <v>0.0010765218099638638</v>
      </c>
      <c r="AR128" s="980">
        <v>0.001632176488642462</v>
      </c>
      <c r="AS128" s="981">
        <v>0.0022042557647839827</v>
      </c>
      <c r="AT128" s="982">
        <v>0.0027928217603293915</v>
      </c>
      <c r="AU128" s="1413">
        <v>0.003398084734155799</v>
      </c>
      <c r="AV128" s="1005">
        <v>0.0036449403808661573</v>
      </c>
      <c r="AW128" s="1006">
        <v>0.0038945528021647</v>
      </c>
      <c r="AX128" s="1007">
        <v>0.00414695536422378</v>
      </c>
      <c r="AY128" s="1008">
        <v>0.0044021852255213155</v>
      </c>
      <c r="AZ128" s="985">
        <v>0.004660283336840791</v>
      </c>
      <c r="CE128" s="14"/>
    </row>
    <row r="129">
      <c r="U129" s="498"/>
      <c r="V129" s="681">
        <f t="shared" si="6"/>
        <v>10000000</v>
      </c>
      <c r="W129" s="1217">
        <v>0.0034863613757948864</v>
      </c>
      <c r="X129" s="1197">
        <v>0.004031105340762837</v>
      </c>
      <c r="Y129" s="960">
        <v>0.004575849305730789</v>
      </c>
      <c r="Z129" s="961">
        <v>0.005120593270698739</v>
      </c>
      <c r="AA129" s="920">
        <v>0.00566533723566669</v>
      </c>
      <c r="AB129" s="921">
        <v>0.00621008120063464</v>
      </c>
      <c r="AC129" s="818">
        <v>0.006754825165602592</v>
      </c>
      <c r="AD129" s="508"/>
      <c r="AE129" s="498"/>
      <c r="AF129" s="681">
        <f t="shared" si="7"/>
        <v>10000000</v>
      </c>
      <c r="AG129" s="1218">
        <v>1050.6842502395548</v>
      </c>
      <c r="AH129" s="1198">
        <v>1214.853664339485</v>
      </c>
      <c r="AI129" s="964">
        <v>1379.0230784394157</v>
      </c>
      <c r="AJ129" s="965">
        <v>1543.192492539346</v>
      </c>
      <c r="AK129" s="926">
        <v>1707.3619066392764</v>
      </c>
      <c r="AL129" s="927">
        <v>1871.5313207392066</v>
      </c>
      <c r="AM129" s="825">
        <v>2035.7007348391373</v>
      </c>
      <c r="AO129" s="498"/>
      <c r="AP129" s="681">
        <f t="shared" si="8"/>
        <v>10000000</v>
      </c>
      <c r="AQ129" s="819">
        <v>0.0011044880725704532</v>
      </c>
      <c r="AR129" s="994">
        <v>0.0016745777441295269</v>
      </c>
      <c r="AS129" s="967">
        <v>0.0022615186971272723</v>
      </c>
      <c r="AT129" s="861">
        <v>0.002865374667330309</v>
      </c>
      <c r="AU129" s="956">
        <v>0.0034863613757948864</v>
      </c>
      <c r="AV129" s="880">
        <v>0.003739629925409695</v>
      </c>
      <c r="AW129" s="880">
        <v>0.003995726866073557</v>
      </c>
      <c r="AX129" s="843">
        <v>0.0042546864307570036</v>
      </c>
      <c r="AY129" s="762">
        <v>0.004516546743253974</v>
      </c>
      <c r="AZ129" s="762">
        <v>0.004781349818181818</v>
      </c>
      <c r="CE129" s="123"/>
    </row>
    <row r="130">
      <c r="CE130" s="14"/>
    </row>
    <row r="131">
      <c r="CE131" s="14"/>
    </row>
    <row r="132">
      <c r="CE132" s="14"/>
    </row>
    <row r="133">
      <c r="CE133" s="14"/>
    </row>
    <row r="134">
      <c r="CE134" s="14"/>
    </row>
    <row r="135">
      <c r="R135" s="1125" t="s">
        <v>140</v>
      </c>
      <c r="S135" s="556"/>
      <c r="T135" s="556"/>
      <c r="U135" s="556"/>
      <c r="V135" s="556"/>
      <c r="W135" s="556"/>
      <c r="X135" s="556"/>
      <c r="Y135" s="556"/>
      <c r="Z135" s="556"/>
      <c r="AA135" s="556"/>
      <c r="AB135" s="556"/>
      <c r="AC135" s="556"/>
      <c r="AD135" s="556"/>
      <c r="AE135" s="556"/>
      <c r="AF135" s="556"/>
      <c r="AG135" s="556"/>
      <c r="AH135" s="556"/>
      <c r="AI135" s="556"/>
      <c r="AJ135" s="556"/>
      <c r="AK135" s="556"/>
      <c r="AL135" s="556"/>
      <c r="AM135" s="556"/>
      <c r="AN135" s="556"/>
      <c r="AO135" s="556"/>
      <c r="AP135" s="556"/>
      <c r="AQ135" s="556"/>
      <c r="AR135" s="556"/>
      <c r="AS135" s="556"/>
      <c r="AT135" s="556"/>
      <c r="AU135" s="556"/>
      <c r="AV135" s="556"/>
      <c r="AW135" s="556"/>
      <c r="AX135" s="556"/>
      <c r="AY135" s="556"/>
      <c r="AZ135" s="556"/>
      <c r="BA135" s="556"/>
      <c r="BB135" s="556"/>
      <c r="BC135" s="556"/>
      <c r="BD135" s="556"/>
      <c r="BE135" s="556"/>
      <c r="BF135" s="556"/>
      <c r="BG135" s="556"/>
      <c r="BH135" s="556"/>
      <c r="BI135" s="556"/>
      <c r="BJ135" s="556"/>
      <c r="BK135" s="556"/>
      <c r="BL135" s="556"/>
      <c r="BM135" s="556"/>
      <c r="BN135" s="556"/>
      <c r="BO135" s="556"/>
      <c r="BP135" s="556"/>
      <c r="BQ135" s="556"/>
      <c r="BR135" s="556"/>
      <c r="BS135" s="556"/>
      <c r="BT135" s="556"/>
      <c r="BU135" s="556"/>
      <c r="BV135" s="557"/>
      <c r="CE135" s="14"/>
    </row>
    <row r="136">
      <c r="R136" s="559"/>
      <c r="BV136" s="560"/>
      <c r="CE136" s="144"/>
    </row>
    <row r="137">
      <c r="R137" s="559"/>
      <c r="BV137" s="560"/>
      <c r="CE137" s="51"/>
    </row>
    <row r="138">
      <c r="R138" s="574"/>
      <c r="S138" s="575"/>
      <c r="T138" s="575"/>
      <c r="U138" s="575"/>
      <c r="V138" s="575"/>
      <c r="W138" s="575"/>
      <c r="X138" s="575"/>
      <c r="Y138" s="575"/>
      <c r="Z138" s="575"/>
      <c r="AA138" s="575"/>
      <c r="AB138" s="575"/>
      <c r="AC138" s="575"/>
      <c r="AD138" s="575"/>
      <c r="AE138" s="575"/>
      <c r="AF138" s="575"/>
      <c r="AG138" s="575"/>
      <c r="AH138" s="575"/>
      <c r="AI138" s="575"/>
      <c r="AJ138" s="575"/>
      <c r="AK138" s="575"/>
      <c r="AL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G138" s="575"/>
      <c r="BH138" s="575"/>
      <c r="BI138" s="575"/>
      <c r="BJ138" s="575"/>
      <c r="BK138" s="575"/>
      <c r="BL138" s="575"/>
      <c r="BM138" s="575"/>
      <c r="BN138" s="575"/>
      <c r="BO138" s="575"/>
      <c r="BP138" s="575"/>
      <c r="BQ138" s="575"/>
      <c r="BR138" s="575"/>
      <c r="BS138" s="575"/>
      <c r="BT138" s="575"/>
      <c r="BU138" s="575"/>
      <c r="BV138" s="576"/>
      <c r="CE138" s="51"/>
    </row>
    <row r="139">
      <c r="CE139" s="51"/>
    </row>
    <row r="140">
      <c r="CE140" s="51"/>
    </row>
    <row r="141">
      <c r="CE141" s="51"/>
    </row>
    <row r="142">
      <c r="CE142" s="51"/>
    </row>
    <row r="143">
      <c r="CE143" s="51"/>
    </row>
    <row r="144">
      <c r="R144" s="1134"/>
      <c r="CE144" s="144"/>
    </row>
    <row r="145">
      <c r="CE145" s="51"/>
    </row>
    <row r="146">
      <c r="BA146" s="14"/>
      <c r="BB146" s="14"/>
      <c r="BC146" s="14"/>
      <c r="BD146" s="14"/>
      <c r="BE146" s="14"/>
      <c r="BF146" s="14"/>
      <c r="BG146" s="14"/>
      <c r="BH146" s="14"/>
      <c r="BI146" s="14"/>
      <c r="BJ146" s="14"/>
      <c r="BK146" s="14"/>
      <c r="BL146" s="14"/>
      <c r="BM146" s="14"/>
      <c r="CE146" s="144"/>
    </row>
    <row r="147">
      <c r="BA147" s="14"/>
      <c r="BB147" s="14"/>
      <c r="BC147" s="14"/>
      <c r="BD147" s="14"/>
      <c r="BE147" s="14"/>
      <c r="BF147" s="14"/>
      <c r="BG147" s="14"/>
      <c r="BH147" s="14"/>
      <c r="BI147" s="14"/>
      <c r="BJ147" s="14"/>
      <c r="BK147" s="14"/>
      <c r="BL147" s="14"/>
      <c r="BM147" s="14"/>
    </row>
    <row r="148">
      <c r="BA148" s="14"/>
      <c r="BB148" s="14"/>
      <c r="BC148" s="14"/>
      <c r="BD148" s="14"/>
      <c r="BE148" s="14"/>
      <c r="BF148" s="14"/>
      <c r="BG148" s="14"/>
      <c r="BH148" s="14"/>
      <c r="BI148" s="14"/>
      <c r="BJ148" s="14"/>
      <c r="BK148" s="14"/>
      <c r="BL148" s="14"/>
      <c r="BM148" s="14"/>
    </row>
    <row r="149" ht="37.5" customHeight="1">
      <c r="BA149" s="14"/>
      <c r="BB149" s="14"/>
      <c r="BC149" s="14"/>
      <c r="BD149" s="14"/>
      <c r="BE149" s="14"/>
      <c r="BF149" s="14"/>
      <c r="BG149" s="14"/>
      <c r="BH149" s="14"/>
      <c r="BI149" s="14"/>
      <c r="BJ149" s="14"/>
      <c r="BK149" s="14"/>
      <c r="BL149" s="14"/>
      <c r="BM149" s="14"/>
    </row>
    <row r="150">
      <c r="BA150" s="14"/>
      <c r="BB150" s="14"/>
      <c r="BC150" s="14"/>
      <c r="BD150" s="14"/>
      <c r="BE150" s="14"/>
      <c r="BF150" s="14"/>
      <c r="BG150" s="14"/>
      <c r="BH150" s="14"/>
      <c r="BI150" s="14"/>
      <c r="BJ150" s="14"/>
      <c r="BK150" s="14"/>
      <c r="BL150" s="14"/>
      <c r="BM150" s="14"/>
    </row>
    <row r="151">
      <c r="BA151" s="14"/>
      <c r="BB151" s="14"/>
      <c r="BC151" s="14"/>
      <c r="BD151" s="14"/>
      <c r="BE151" s="14"/>
      <c r="BF151" s="14"/>
      <c r="BG151" s="14"/>
      <c r="BH151" s="14"/>
      <c r="BI151" s="14"/>
      <c r="BJ151" s="14"/>
      <c r="BK151" s="14"/>
      <c r="BL151" s="14"/>
      <c r="BM151" s="14"/>
    </row>
    <row r="152">
      <c r="BA152" s="14"/>
      <c r="BB152" s="14"/>
      <c r="BC152" s="14"/>
      <c r="BD152" s="14"/>
      <c r="BE152" s="14"/>
      <c r="BF152" s="14"/>
      <c r="BG152" s="14"/>
      <c r="BH152" s="14"/>
      <c r="BI152" s="14"/>
      <c r="BJ152" s="14"/>
      <c r="BK152" s="14"/>
      <c r="BL152" s="14"/>
      <c r="BM152" s="14"/>
    </row>
    <row r="153">
      <c r="BA153" s="14"/>
      <c r="BB153" s="14"/>
      <c r="BC153" s="14"/>
      <c r="BD153" s="14"/>
      <c r="BE153" s="14"/>
      <c r="BF153" s="14"/>
      <c r="BG153" s="14"/>
      <c r="BH153" s="14"/>
      <c r="BI153" s="14"/>
      <c r="BJ153" s="14"/>
      <c r="BK153" s="14"/>
      <c r="BL153" s="14"/>
      <c r="BM153" s="14"/>
    </row>
    <row r="154">
      <c r="BA154" s="14"/>
      <c r="BB154" s="14"/>
      <c r="BC154" s="14"/>
      <c r="BD154" s="14"/>
      <c r="BE154" s="14"/>
      <c r="BF154" s="14"/>
      <c r="BG154" s="14"/>
      <c r="BH154" s="14"/>
      <c r="BI154" s="14"/>
      <c r="BJ154" s="14"/>
      <c r="BK154" s="14"/>
      <c r="BL154" s="14"/>
      <c r="BM154" s="14"/>
    </row>
    <row r="155">
      <c r="BA155" s="14"/>
      <c r="BB155" s="14"/>
      <c r="BC155" s="14"/>
      <c r="BD155" s="14"/>
      <c r="BE155" s="14"/>
      <c r="BF155" s="14"/>
      <c r="BG155" s="14"/>
      <c r="BH155" s="14"/>
      <c r="BI155" s="14"/>
      <c r="BJ155" s="14"/>
      <c r="BK155" s="14"/>
      <c r="BL155" s="14"/>
      <c r="BM155" s="14"/>
    </row>
    <row r="156">
      <c r="BA156" s="14"/>
      <c r="BB156" s="14"/>
      <c r="BC156" s="14"/>
      <c r="BD156" s="14"/>
      <c r="BE156" s="14"/>
      <c r="BF156" s="14"/>
      <c r="BG156" s="14"/>
      <c r="BH156" s="14"/>
      <c r="BI156" s="14"/>
      <c r="BJ156" s="14"/>
      <c r="BK156" s="14"/>
      <c r="BL156" s="14"/>
      <c r="BM156" s="14"/>
    </row>
    <row r="157">
      <c r="BA157" s="14"/>
      <c r="BB157" s="14"/>
      <c r="BC157" s="14"/>
      <c r="BD157" s="14"/>
      <c r="BE157" s="14"/>
      <c r="BF157" s="14"/>
      <c r="BG157" s="14"/>
      <c r="BH157" s="14"/>
      <c r="BI157" s="14"/>
      <c r="BJ157" s="14"/>
      <c r="BK157" s="14"/>
      <c r="BL157" s="14"/>
      <c r="BM157" s="14"/>
    </row>
    <row r="158">
      <c r="BA158" s="14"/>
      <c r="BB158" s="14"/>
      <c r="BC158" s="14"/>
      <c r="BD158" s="14"/>
      <c r="BE158" s="14"/>
      <c r="BF158" s="14"/>
      <c r="BG158" s="14"/>
      <c r="BH158" s="14"/>
      <c r="BI158" s="14"/>
      <c r="BJ158" s="14"/>
      <c r="BK158" s="14"/>
      <c r="BL158" s="14"/>
      <c r="BM158" s="14"/>
    </row>
    <row r="159">
      <c r="BA159" s="14"/>
      <c r="BB159" s="14"/>
      <c r="BC159" s="14"/>
      <c r="BD159" s="14"/>
      <c r="BE159" s="14"/>
      <c r="BF159" s="14"/>
      <c r="BG159" s="14"/>
      <c r="BH159" s="14"/>
      <c r="BI159" s="14"/>
      <c r="BJ159" s="14"/>
      <c r="BK159" s="14"/>
      <c r="BL159" s="14"/>
      <c r="BM159" s="14"/>
    </row>
    <row r="160">
      <c r="BA160" s="14"/>
      <c r="BB160" s="14"/>
      <c r="BC160" s="14"/>
      <c r="BD160" s="14"/>
      <c r="BE160" s="14"/>
      <c r="BF160" s="14"/>
      <c r="BG160" s="14"/>
      <c r="BH160" s="14"/>
      <c r="BI160" s="14"/>
      <c r="BJ160" s="14"/>
      <c r="BK160" s="14"/>
      <c r="BL160" s="14"/>
      <c r="BM160" s="14"/>
    </row>
    <row r="161">
      <c r="BA161" s="14"/>
      <c r="BB161" s="14"/>
      <c r="BC161" s="14"/>
      <c r="BD161" s="14"/>
      <c r="BE161" s="14"/>
      <c r="BF161" s="14"/>
      <c r="BG161" s="14"/>
      <c r="BH161" s="14"/>
      <c r="BI161" s="14"/>
      <c r="BJ161" s="14"/>
      <c r="BK161" s="14"/>
      <c r="BL161" s="14"/>
      <c r="BM161" s="14"/>
    </row>
    <row r="162">
      <c r="BA162" s="14"/>
      <c r="BB162" s="14"/>
      <c r="BC162" s="14"/>
      <c r="BD162" s="14"/>
      <c r="BE162" s="14"/>
      <c r="BF162" s="14"/>
      <c r="BG162" s="14"/>
      <c r="BH162" s="14"/>
      <c r="BI162" s="14"/>
      <c r="BJ162" s="14"/>
      <c r="BK162" s="14"/>
      <c r="BL162" s="14"/>
      <c r="BM162" s="14"/>
    </row>
    <row r="163">
      <c r="BA163" s="14"/>
      <c r="BB163" s="14"/>
      <c r="BC163" s="14"/>
      <c r="BD163" s="14"/>
      <c r="BE163" s="14"/>
      <c r="BF163" s="14"/>
      <c r="BG163" s="14"/>
      <c r="BH163" s="14"/>
      <c r="BI163" s="14"/>
      <c r="BJ163" s="14"/>
      <c r="BK163" s="14"/>
      <c r="BL163" s="14"/>
      <c r="BM163" s="14"/>
    </row>
    <row r="164">
      <c r="BA164" s="14"/>
      <c r="BB164" s="14"/>
      <c r="BC164" s="14"/>
      <c r="BD164" s="14"/>
      <c r="BE164" s="14"/>
      <c r="BF164" s="14"/>
      <c r="BG164" s="14"/>
      <c r="BH164" s="14"/>
      <c r="BI164" s="14"/>
      <c r="BJ164" s="14"/>
      <c r="BK164" s="14"/>
      <c r="BL164" s="14"/>
      <c r="BM164" s="14"/>
    </row>
    <row r="165">
      <c r="BA165" s="14"/>
      <c r="BB165" s="14"/>
      <c r="BC165" s="14"/>
      <c r="BD165" s="14"/>
      <c r="BE165" s="14"/>
      <c r="BF165" s="14"/>
      <c r="BG165" s="14"/>
      <c r="BH165" s="14"/>
      <c r="BI165" s="14"/>
      <c r="BJ165" s="14"/>
      <c r="BK165" s="14"/>
      <c r="BL165" s="14"/>
      <c r="BM165" s="14"/>
    </row>
    <row r="166">
      <c r="BA166" s="14"/>
      <c r="BB166" s="14"/>
      <c r="BC166" s="14"/>
      <c r="BD166" s="14"/>
      <c r="BE166" s="14"/>
      <c r="BF166" s="14"/>
      <c r="BG166" s="14"/>
      <c r="BH166" s="14"/>
      <c r="BI166" s="14"/>
      <c r="BJ166" s="14"/>
      <c r="BK166" s="14"/>
      <c r="BL166" s="14"/>
      <c r="BM166" s="14"/>
    </row>
    <row r="167">
      <c r="BA167" s="14"/>
      <c r="BB167" s="14"/>
      <c r="BC167" s="14"/>
      <c r="BD167" s="14"/>
      <c r="BE167" s="14"/>
      <c r="BF167" s="14"/>
      <c r="BG167" s="14"/>
      <c r="BH167" s="14"/>
      <c r="BI167" s="14"/>
      <c r="BJ167" s="14"/>
      <c r="BK167" s="14"/>
      <c r="BL167" s="14"/>
      <c r="BM167" s="14"/>
    </row>
    <row r="168">
      <c r="AD168" s="51"/>
      <c r="AE168" s="51"/>
      <c r="AF168" s="51"/>
      <c r="AG168" s="51"/>
      <c r="AH168" s="51"/>
      <c r="AI168" s="51"/>
      <c r="AJ168" s="51"/>
      <c r="AK168" s="51"/>
      <c r="AL168" s="51"/>
      <c r="AM168" s="51"/>
      <c r="AN168" s="51"/>
      <c r="AO168" s="51"/>
      <c r="AP168" s="51"/>
      <c r="BA168" s="14"/>
      <c r="BB168" s="14"/>
      <c r="BC168" s="14"/>
      <c r="BD168" s="14"/>
      <c r="BE168" s="14"/>
      <c r="BF168" s="14"/>
      <c r="BG168" s="14"/>
      <c r="BH168" s="14"/>
      <c r="BI168" s="14"/>
      <c r="BJ168" s="14"/>
      <c r="BK168" s="14"/>
      <c r="BL168" s="14"/>
      <c r="BM168" s="14"/>
    </row>
    <row r="169">
      <c r="R169" s="52"/>
      <c r="S169" s="52"/>
      <c r="T169" s="52"/>
      <c r="BU169" s="52"/>
      <c r="BV169" s="52"/>
      <c r="BW169" s="52"/>
      <c r="BX169" s="52"/>
      <c r="BY169" s="52"/>
    </row>
    <row r="172">
      <c r="R172" s="1221" t="s">
        <v>54</v>
      </c>
      <c r="S172" s="1222"/>
      <c r="T172" s="1222"/>
      <c r="U172" s="1222"/>
      <c r="V172" s="1222"/>
      <c r="W172" s="1222"/>
      <c r="X172" s="1222"/>
      <c r="Y172" s="1222"/>
      <c r="Z172" s="1222"/>
      <c r="AA172" s="577"/>
      <c r="AC172" s="1136" t="s">
        <v>54</v>
      </c>
      <c r="AD172" s="1046"/>
      <c r="AE172" s="1046"/>
      <c r="AF172" s="1046"/>
      <c r="AG172" s="1046"/>
      <c r="AH172" s="1046"/>
      <c r="AI172" s="1046"/>
      <c r="AJ172" s="1223"/>
      <c r="AK172" s="1223"/>
      <c r="AL172" s="1223"/>
      <c r="AM172" s="1223"/>
      <c r="AN172" s="1223"/>
      <c r="AO172" s="610"/>
      <c r="AP172" s="1221" t="s">
        <v>54</v>
      </c>
      <c r="AQ172" s="1222"/>
      <c r="AR172" s="1222"/>
      <c r="AS172" s="1222"/>
      <c r="AT172" s="1222"/>
      <c r="AU172" s="1222"/>
      <c r="AV172" s="1222"/>
      <c r="AW172" s="1222"/>
      <c r="AX172" s="1222"/>
      <c r="AY172" s="1222"/>
      <c r="AZ172" s="1222"/>
      <c r="BA172" s="1222"/>
      <c r="BB172" s="1222"/>
      <c r="BC172" s="1222"/>
      <c r="BD172" s="1222"/>
      <c r="BE172" s="1222"/>
      <c r="BF172" s="610"/>
      <c r="BG172" s="1221" t="s">
        <v>54</v>
      </c>
      <c r="BH172" s="1222"/>
      <c r="BI172" s="1222"/>
      <c r="BJ172" s="1222"/>
      <c r="BK172" s="1222"/>
      <c r="BL172" s="1222"/>
      <c r="BM172" s="1222"/>
      <c r="BN172" s="1222"/>
      <c r="BO172" s="1222"/>
      <c r="BP172" s="1222"/>
      <c r="BQ172" s="1222"/>
      <c r="BR172" s="1222"/>
      <c r="BS172" s="1222"/>
      <c r="BT172" s="1222"/>
      <c r="BU172" s="1222"/>
      <c r="BV172" s="1222"/>
    </row>
    <row r="173">
      <c r="R173" s="1052" t="s">
        <v>57</v>
      </c>
      <c r="AA173" s="577"/>
      <c r="AC173" s="1139" t="s">
        <v>58</v>
      </c>
      <c r="AD173" s="1046"/>
      <c r="AE173" s="1046"/>
      <c r="AF173" s="1046"/>
      <c r="AG173" s="1047" t="s">
        <v>59</v>
      </c>
      <c r="AH173" s="1048"/>
      <c r="AI173" s="1048"/>
      <c r="AJ173" s="1049"/>
      <c r="AK173" s="1049"/>
      <c r="AL173" s="1049"/>
      <c r="AM173" s="1049"/>
      <c r="AN173" s="1223"/>
      <c r="AO173" s="610"/>
      <c r="AP173" s="1224" t="s">
        <v>58</v>
      </c>
      <c r="AQ173" s="1052"/>
      <c r="AR173" s="1052" t="s">
        <v>44</v>
      </c>
      <c r="BF173" s="610"/>
      <c r="BG173" s="1224" t="s">
        <v>58</v>
      </c>
      <c r="BH173" s="1052"/>
      <c r="BI173" s="1052" t="s">
        <v>44</v>
      </c>
    </row>
    <row r="174">
      <c r="R174" s="1100"/>
      <c r="S174" s="1054">
        <f>$F$84</f>
        <v>0.2072051406</v>
      </c>
      <c r="T174" s="1062">
        <v>64.0</v>
      </c>
      <c r="U174" s="1056">
        <f t="shared" ref="U174:Z174" si="9">T174+10</f>
        <v>74</v>
      </c>
      <c r="V174" s="1056">
        <f t="shared" si="9"/>
        <v>84</v>
      </c>
      <c r="W174" s="1056">
        <f t="shared" si="9"/>
        <v>94</v>
      </c>
      <c r="X174" s="1056">
        <f t="shared" si="9"/>
        <v>104</v>
      </c>
      <c r="Y174" s="1056">
        <f t="shared" si="9"/>
        <v>114</v>
      </c>
      <c r="Z174" s="1056">
        <f t="shared" si="9"/>
        <v>124</v>
      </c>
      <c r="AA174" s="577"/>
      <c r="AC174" s="1046"/>
      <c r="AD174" s="683">
        <f>$F$84</f>
        <v>0.2072051406</v>
      </c>
      <c r="AE174" s="684">
        <f t="shared" ref="AE174:AG174" si="10">AF174-0.05</f>
        <v>0.7</v>
      </c>
      <c r="AF174" s="684">
        <f t="shared" si="10"/>
        <v>0.75</v>
      </c>
      <c r="AG174" s="684">
        <f t="shared" si="10"/>
        <v>0.8</v>
      </c>
      <c r="AH174" s="684">
        <v>0.85</v>
      </c>
      <c r="AI174" s="684">
        <v>0.9</v>
      </c>
      <c r="AJ174" s="684">
        <f t="shared" ref="AJ174:AN174" si="11">AI174+0.02</f>
        <v>0.92</v>
      </c>
      <c r="AK174" s="684">
        <f t="shared" si="11"/>
        <v>0.94</v>
      </c>
      <c r="AL174" s="684">
        <f t="shared" si="11"/>
        <v>0.96</v>
      </c>
      <c r="AM174" s="684">
        <f t="shared" si="11"/>
        <v>0.98</v>
      </c>
      <c r="AN174" s="684">
        <f t="shared" si="11"/>
        <v>1</v>
      </c>
      <c r="AO174" s="610"/>
      <c r="AP174" s="1224"/>
      <c r="AQ174" s="1052"/>
      <c r="AR174" s="1052"/>
      <c r="AS174" s="1052"/>
      <c r="AT174" s="1052"/>
      <c r="AU174" s="1052"/>
      <c r="AV174" s="1052"/>
      <c r="AW174" s="1052"/>
      <c r="AX174" s="1052"/>
      <c r="AY174" s="1052"/>
      <c r="AZ174" s="1052"/>
      <c r="BA174" s="1052"/>
      <c r="BB174" s="1052"/>
      <c r="BC174" s="1052"/>
      <c r="BD174" s="1052"/>
      <c r="BE174" s="1052"/>
      <c r="BF174" s="610"/>
      <c r="BG174" s="1224" t="s">
        <v>68</v>
      </c>
      <c r="BH174" s="1052"/>
      <c r="BI174" s="1052"/>
      <c r="BJ174" s="1052"/>
      <c r="BK174" s="1052"/>
      <c r="BL174" s="1052"/>
      <c r="BM174" s="1052"/>
      <c r="BN174" s="1052"/>
      <c r="BO174" s="1052"/>
      <c r="BP174" s="1052"/>
      <c r="BQ174" s="1052"/>
      <c r="BR174" s="1052"/>
      <c r="BS174" s="1052"/>
      <c r="BT174" s="1052"/>
      <c r="BU174" s="1052"/>
      <c r="BV174" s="1052"/>
    </row>
    <row r="175">
      <c r="R175" s="1225" t="s">
        <v>66</v>
      </c>
      <c r="S175" s="1062">
        <v>524288.0</v>
      </c>
      <c r="T175" s="1073">
        <v>0.20259885081353673</v>
      </c>
      <c r="U175" s="1064">
        <v>0.2342549212531518</v>
      </c>
      <c r="V175" s="1064">
        <v>0.265910991692767</v>
      </c>
      <c r="W175" s="1064">
        <v>0.29756706213238204</v>
      </c>
      <c r="X175" s="1064">
        <v>0.3292231325719972</v>
      </c>
      <c r="Y175" s="1064">
        <v>0.36087920301161236</v>
      </c>
      <c r="Z175" s="1064">
        <v>0.39253527345122746</v>
      </c>
      <c r="AA175" s="577"/>
      <c r="AC175" s="1225" t="s">
        <v>66</v>
      </c>
      <c r="AD175" s="1062">
        <v>525288.0</v>
      </c>
      <c r="AE175" s="704">
        <v>0.16600543701771622</v>
      </c>
      <c r="AF175" s="705">
        <v>0.17539188528447083</v>
      </c>
      <c r="AG175" s="706">
        <v>0.18459577497422022</v>
      </c>
      <c r="AH175" s="1144">
        <v>0.19365284913467273</v>
      </c>
      <c r="AI175" s="1234">
        <v>0.20259885081353673</v>
      </c>
      <c r="AJ175" s="709">
        <v>0.20615415763292416</v>
      </c>
      <c r="AK175" s="710">
        <v>0.20969969929794424</v>
      </c>
      <c r="AL175" s="711">
        <v>0.2132377633636501</v>
      </c>
      <c r="AM175" s="712">
        <v>0.21677063738509528</v>
      </c>
      <c r="AN175" s="1141">
        <v>0.22030060891733286</v>
      </c>
      <c r="AO175" s="610"/>
      <c r="AP175" s="1224" t="s">
        <v>67</v>
      </c>
      <c r="AQ175" s="1052"/>
      <c r="AR175" s="1052"/>
      <c r="AS175" s="1052"/>
      <c r="AT175" s="1052"/>
      <c r="AU175" s="1052"/>
      <c r="AV175" s="1052"/>
      <c r="AW175" s="1052"/>
      <c r="AX175" s="1052"/>
      <c r="AY175" s="1052"/>
      <c r="AZ175" s="1052"/>
      <c r="BA175" s="1052"/>
      <c r="BB175" s="1052"/>
      <c r="BC175" s="1052"/>
      <c r="BD175" s="1052"/>
      <c r="BE175" s="1052"/>
      <c r="BF175" s="610"/>
      <c r="BG175" s="515"/>
      <c r="BH175" s="1052"/>
      <c r="BI175" s="1052"/>
      <c r="BJ175" s="1052"/>
      <c r="BK175" s="1052"/>
      <c r="BL175" s="1052"/>
      <c r="BM175" s="1052"/>
      <c r="BN175" s="1052"/>
      <c r="BO175" s="1052"/>
      <c r="BP175" s="1052"/>
      <c r="BQ175" s="1052"/>
      <c r="BR175" s="1052"/>
      <c r="BS175" s="1052"/>
      <c r="BT175" s="1052"/>
      <c r="BU175" s="1052"/>
      <c r="BV175" s="1052"/>
    </row>
    <row r="176">
      <c r="S176" s="1062">
        <v>1000000.0</v>
      </c>
      <c r="T176" s="1073">
        <v>0.14683707252267758</v>
      </c>
      <c r="U176" s="1064">
        <v>0.16978036510434594</v>
      </c>
      <c r="V176" s="1064">
        <v>0.1927236576860143</v>
      </c>
      <c r="W176" s="1064">
        <v>0.2156669502676827</v>
      </c>
      <c r="X176" s="1064">
        <v>0.23861024284935103</v>
      </c>
      <c r="Y176" s="1064">
        <v>0.2615535354310194</v>
      </c>
      <c r="Z176" s="1064">
        <v>0.2844968280126878</v>
      </c>
      <c r="AA176" s="577"/>
      <c r="AD176" s="1062">
        <v>1000000.0</v>
      </c>
      <c r="AE176" s="727">
        <v>0.12031535369844511</v>
      </c>
      <c r="AF176" s="728">
        <v>0.12711834680201567</v>
      </c>
      <c r="AG176" s="729">
        <v>0.1337890273731917</v>
      </c>
      <c r="AH176" s="1150">
        <v>0.14035330081305256</v>
      </c>
      <c r="AI176" s="1245">
        <v>0.14683707252267758</v>
      </c>
      <c r="AJ176" s="732">
        <v>0.14941384353190332</v>
      </c>
      <c r="AK176" s="733">
        <v>0.15198353707413312</v>
      </c>
      <c r="AL176" s="734">
        <v>0.15454781109503604</v>
      </c>
      <c r="AM176" s="735">
        <v>0.15710832354028112</v>
      </c>
      <c r="AN176" s="1153">
        <v>0.1596667323555375</v>
      </c>
      <c r="AO176" s="610"/>
      <c r="AP176" s="1100"/>
      <c r="AQ176" s="1054">
        <f>$F$84</f>
        <v>0.2072051406</v>
      </c>
      <c r="AR176" s="1062">
        <v>1.0</v>
      </c>
      <c r="AS176" s="1056">
        <f t="shared" ref="AS176:AV176" si="12">AR176+1</f>
        <v>2</v>
      </c>
      <c r="AT176" s="1056">
        <f t="shared" si="12"/>
        <v>3</v>
      </c>
      <c r="AU176" s="1056">
        <f t="shared" si="12"/>
        <v>4</v>
      </c>
      <c r="AV176" s="1056">
        <f t="shared" si="12"/>
        <v>5</v>
      </c>
      <c r="AW176" s="1062">
        <v>10.0</v>
      </c>
      <c r="AX176" s="1062">
        <v>15.0</v>
      </c>
      <c r="AY176" s="1062">
        <v>20.0</v>
      </c>
      <c r="AZ176" s="1062">
        <v>25.0</v>
      </c>
      <c r="BA176" s="1062">
        <v>30.0</v>
      </c>
      <c r="BB176" s="1062">
        <v>35.0</v>
      </c>
      <c r="BC176" s="1062">
        <v>40.0</v>
      </c>
      <c r="BD176" s="1062">
        <v>45.0</v>
      </c>
      <c r="BE176" s="1062">
        <v>50.0</v>
      </c>
      <c r="BF176" s="610"/>
      <c r="BG176" s="1100"/>
      <c r="BH176" s="1054">
        <f>$F$84</f>
        <v>0.2072051406</v>
      </c>
      <c r="BI176" s="1062">
        <v>1.0</v>
      </c>
      <c r="BJ176" s="1056">
        <f t="shared" ref="BJ176:BM176" si="13">BI176+1</f>
        <v>2</v>
      </c>
      <c r="BK176" s="1056">
        <f t="shared" si="13"/>
        <v>3</v>
      </c>
      <c r="BL176" s="1056">
        <f t="shared" si="13"/>
        <v>4</v>
      </c>
      <c r="BM176" s="1056">
        <f t="shared" si="13"/>
        <v>5</v>
      </c>
      <c r="BN176" s="1062">
        <v>10.0</v>
      </c>
      <c r="BO176" s="1062">
        <v>15.0</v>
      </c>
      <c r="BP176" s="1062">
        <v>20.0</v>
      </c>
      <c r="BQ176" s="1062">
        <v>25.0</v>
      </c>
      <c r="BR176" s="1062">
        <v>30.0</v>
      </c>
      <c r="BS176" s="1062">
        <v>35.0</v>
      </c>
      <c r="BT176" s="1062">
        <v>40.0</v>
      </c>
      <c r="BU176" s="1062">
        <v>45.0</v>
      </c>
      <c r="BV176" s="1062">
        <v>50.0</v>
      </c>
    </row>
    <row r="177">
      <c r="S177" s="1056">
        <f t="shared" ref="S177:S194" si="14">S176+500000</f>
        <v>1500000</v>
      </c>
      <c r="T177" s="1073">
        <v>0.1198919676682028</v>
      </c>
      <c r="U177" s="1064">
        <v>0.13862508761635947</v>
      </c>
      <c r="V177" s="1064">
        <v>0.15735820756451616</v>
      </c>
      <c r="W177" s="1064">
        <v>0.17609132751267287</v>
      </c>
      <c r="X177" s="1064">
        <v>0.19482444746082955</v>
      </c>
      <c r="Y177" s="1064">
        <v>0.21355756740898624</v>
      </c>
      <c r="Z177" s="1064">
        <v>0.23229068735714295</v>
      </c>
      <c r="AA177" s="577"/>
      <c r="AD177" s="1056">
        <f t="shared" ref="AD177:AD194" si="15">AD176+500000</f>
        <v>1500000</v>
      </c>
      <c r="AE177" s="751">
        <v>0.09823707492789045</v>
      </c>
      <c r="AF177" s="752">
        <v>0.10379169553703073</v>
      </c>
      <c r="AG177" s="753">
        <v>0.10923828341585701</v>
      </c>
      <c r="AH177" s="1156">
        <v>0.11459799023577803</v>
      </c>
      <c r="AI177" s="1154">
        <v>0.1198919676682028</v>
      </c>
      <c r="AJ177" s="756">
        <v>0.12199589238706932</v>
      </c>
      <c r="AK177" s="757">
        <v>0.12409403837833198</v>
      </c>
      <c r="AL177" s="758">
        <v>0.12618775934896098</v>
      </c>
      <c r="AM177" s="759">
        <v>0.1282784090059265</v>
      </c>
      <c r="AN177" s="1159">
        <v>0.1303673410561987</v>
      </c>
      <c r="AO177" s="610"/>
      <c r="AP177" s="1226" t="s">
        <v>73</v>
      </c>
      <c r="AQ177" s="1072">
        <f>AE174</f>
        <v>0.7</v>
      </c>
      <c r="AR177" s="1073">
        <v>0.1203153536984451</v>
      </c>
      <c r="AS177" s="1073">
        <v>0.1203153536984451</v>
      </c>
      <c r="AT177" s="1073">
        <v>0.12031535369844511</v>
      </c>
      <c r="AU177" s="1073">
        <v>0.1203153536984451</v>
      </c>
      <c r="AV177" s="1073">
        <v>0.12031535369844511</v>
      </c>
      <c r="AW177" s="1073">
        <v>0.12031535369844511</v>
      </c>
      <c r="AX177" s="1073">
        <v>0.12031535369844511</v>
      </c>
      <c r="AY177" s="1073">
        <v>0.12031535369844511</v>
      </c>
      <c r="AZ177" s="1073">
        <v>0.1203153536984451</v>
      </c>
      <c r="BA177" s="1073">
        <v>0.12031535369844511</v>
      </c>
      <c r="BB177" s="1073">
        <v>0.12031535369844511</v>
      </c>
      <c r="BC177" s="1073">
        <v>0.12031535369844511</v>
      </c>
      <c r="BD177" s="1073">
        <v>0.12031535369844512</v>
      </c>
      <c r="BE177" s="1073">
        <v>0.1203153536984451</v>
      </c>
      <c r="BF177" s="610"/>
      <c r="BG177" s="1225" t="s">
        <v>66</v>
      </c>
      <c r="BH177" s="1062">
        <v>525288.0</v>
      </c>
      <c r="BI177" s="1073">
        <v>0.20259885081353673</v>
      </c>
      <c r="BJ177" s="1073">
        <v>0.20259885081353673</v>
      </c>
      <c r="BK177" s="1073">
        <v>0.20259885081353673</v>
      </c>
      <c r="BL177" s="1073">
        <v>0.20259885081353673</v>
      </c>
      <c r="BM177" s="1073">
        <v>0.20259885081353673</v>
      </c>
      <c r="BN177" s="1073">
        <v>0.20259885081353673</v>
      </c>
      <c r="BO177" s="1073">
        <v>0.20259885081353673</v>
      </c>
      <c r="BP177" s="1073">
        <v>0.20259885081353673</v>
      </c>
      <c r="BQ177" s="1073">
        <v>0.20259885081353673</v>
      </c>
      <c r="BR177" s="1073">
        <v>0.20259885081353673</v>
      </c>
      <c r="BS177" s="1073">
        <v>0.20259885081353673</v>
      </c>
      <c r="BT177" s="1073">
        <v>0.20259885081353673</v>
      </c>
      <c r="BU177" s="1073">
        <v>0.20259885081353673</v>
      </c>
      <c r="BV177" s="1073">
        <v>0.20259885081353673</v>
      </c>
    </row>
    <row r="178">
      <c r="S178" s="1056">
        <f t="shared" si="14"/>
        <v>2000000</v>
      </c>
      <c r="T178" s="1073">
        <v>0.10382948971036621</v>
      </c>
      <c r="U178" s="1064">
        <v>0.12005284747761093</v>
      </c>
      <c r="V178" s="1064">
        <v>0.13627620524485562</v>
      </c>
      <c r="W178" s="1064">
        <v>0.1524995630121003</v>
      </c>
      <c r="X178" s="1064">
        <v>0.16872292077934503</v>
      </c>
      <c r="Y178" s="1064">
        <v>0.18494627854658977</v>
      </c>
      <c r="Z178" s="1064">
        <v>0.20116963631383442</v>
      </c>
      <c r="AA178" s="577"/>
      <c r="AD178" s="1056">
        <f t="shared" si="15"/>
        <v>2000000</v>
      </c>
      <c r="AE178" s="740">
        <v>0.08507580248102849</v>
      </c>
      <c r="AF178" s="766">
        <v>0.08988624503692856</v>
      </c>
      <c r="AG178" s="775">
        <v>0.0946031285039365</v>
      </c>
      <c r="AH178" s="799">
        <v>0.09924477076682484</v>
      </c>
      <c r="AI178" s="752">
        <v>0.10382948971036621</v>
      </c>
      <c r="AJ178" s="778">
        <v>0.10565154196455462</v>
      </c>
      <c r="AK178" s="779">
        <v>0.10746858969383657</v>
      </c>
      <c r="AL178" s="780">
        <v>0.10928180524283752</v>
      </c>
      <c r="AM178" s="781">
        <v>0.11109236095618287</v>
      </c>
      <c r="AN178" s="1165">
        <v>0.11290142917849809</v>
      </c>
      <c r="AO178" s="610"/>
      <c r="AQ178" s="1072">
        <v>0.75</v>
      </c>
      <c r="AR178" s="1075">
        <v>0.12711834680201567</v>
      </c>
      <c r="AS178" s="1075">
        <v>0.12711834680201567</v>
      </c>
      <c r="AT178" s="1075">
        <v>0.12711834680201567</v>
      </c>
      <c r="AU178" s="1075">
        <v>0.12711834680201567</v>
      </c>
      <c r="AV178" s="1075">
        <v>0.12711834680201567</v>
      </c>
      <c r="AW178" s="1075">
        <v>0.12711834680201567</v>
      </c>
      <c r="AX178" s="1075">
        <v>0.12711834680201567</v>
      </c>
      <c r="AY178" s="1075">
        <v>0.12711834680201567</v>
      </c>
      <c r="AZ178" s="1075">
        <v>0.12711834680201567</v>
      </c>
      <c r="BA178" s="1075">
        <v>0.12711834680201567</v>
      </c>
      <c r="BB178" s="1075">
        <v>0.12711834680201567</v>
      </c>
      <c r="BC178" s="1075">
        <v>0.12711834680201567</v>
      </c>
      <c r="BD178" s="1075">
        <v>0.12711834680201567</v>
      </c>
      <c r="BE178" s="1075">
        <v>0.12711834680201567</v>
      </c>
      <c r="BF178" s="610"/>
      <c r="BH178" s="1062">
        <v>1000000.0</v>
      </c>
      <c r="BI178" s="1075">
        <v>0.14683707252267758</v>
      </c>
      <c r="BJ178" s="1075">
        <v>0.14683707252267758</v>
      </c>
      <c r="BK178" s="1075">
        <v>0.14683707252267758</v>
      </c>
      <c r="BL178" s="1075">
        <v>0.14683707252267758</v>
      </c>
      <c r="BM178" s="1075">
        <v>0.14683707252267758</v>
      </c>
      <c r="BN178" s="1075">
        <v>0.14683707252267758</v>
      </c>
      <c r="BO178" s="1075">
        <v>0.14683707252267758</v>
      </c>
      <c r="BP178" s="1075">
        <v>0.14683707252267758</v>
      </c>
      <c r="BQ178" s="1075">
        <v>0.14683707252267758</v>
      </c>
      <c r="BR178" s="1075">
        <v>0.14683707252267758</v>
      </c>
      <c r="BS178" s="1075">
        <v>0.14683707252267758</v>
      </c>
      <c r="BT178" s="1075">
        <v>0.14683707252267758</v>
      </c>
      <c r="BU178" s="1075">
        <v>0.14683707252267758</v>
      </c>
      <c r="BV178" s="1075">
        <v>0.14683707252267758</v>
      </c>
      <c r="BZ178" s="179"/>
    </row>
    <row r="179">
      <c r="S179" s="1056">
        <f t="shared" si="14"/>
        <v>2500000</v>
      </c>
      <c r="T179" s="1073">
        <v>0.09286791882459751</v>
      </c>
      <c r="U179" s="1064">
        <v>0.10737853114094084</v>
      </c>
      <c r="V179" s="1064">
        <v>0.1218891434572842</v>
      </c>
      <c r="W179" s="1064">
        <v>0.13639975577362756</v>
      </c>
      <c r="X179" s="1064">
        <v>0.15091036808997094</v>
      </c>
      <c r="Y179" s="1064">
        <v>0.16542098040631428</v>
      </c>
      <c r="Z179" s="1064">
        <v>0.17993159272265766</v>
      </c>
      <c r="AA179" s="577"/>
      <c r="AD179" s="1056">
        <f t="shared" si="15"/>
        <v>2500000</v>
      </c>
      <c r="AE179" s="795">
        <v>0.07609411103516998</v>
      </c>
      <c r="AF179" s="714">
        <v>0.08039670165791016</v>
      </c>
      <c r="AG179" s="740">
        <v>0.08461561048758</v>
      </c>
      <c r="AH179" s="1168">
        <v>0.0887672215384017</v>
      </c>
      <c r="AI179" s="1287">
        <v>0.09286791882459751</v>
      </c>
      <c r="AJ179" s="798">
        <v>0.09449761190416632</v>
      </c>
      <c r="AK179" s="715">
        <v>0.09612282880058075</v>
      </c>
      <c r="AL179" s="751">
        <v>0.09774461809075104</v>
      </c>
      <c r="AM179" s="799">
        <v>0.09936402835158736</v>
      </c>
      <c r="AN179" s="1171">
        <v>0.10098210816000001</v>
      </c>
      <c r="AO179" s="610"/>
      <c r="AQ179" s="1072">
        <v>0.8</v>
      </c>
      <c r="AR179" s="1073">
        <v>0.13378902737319173</v>
      </c>
      <c r="AS179" s="1073">
        <v>0.13378902737319173</v>
      </c>
      <c r="AT179" s="1073">
        <v>0.13378902737319173</v>
      </c>
      <c r="AU179" s="1073">
        <v>0.13378902737319173</v>
      </c>
      <c r="AV179" s="1073">
        <v>0.13378902737319173</v>
      </c>
      <c r="AW179" s="1073">
        <v>0.13378902737319173</v>
      </c>
      <c r="AX179" s="1073">
        <v>0.13378902737319173</v>
      </c>
      <c r="AY179" s="1073">
        <v>0.13378902737319173</v>
      </c>
      <c r="AZ179" s="1073">
        <v>0.13378902737319173</v>
      </c>
      <c r="BA179" s="1073">
        <v>0.13378902737319173</v>
      </c>
      <c r="BB179" s="1073">
        <v>0.13378902737319173</v>
      </c>
      <c r="BC179" s="1073">
        <v>0.13378902737319173</v>
      </c>
      <c r="BD179" s="1073">
        <v>0.13378902737319173</v>
      </c>
      <c r="BE179" s="1073">
        <v>0.13378902737319173</v>
      </c>
      <c r="BF179" s="610"/>
      <c r="BH179" s="1056">
        <f t="shared" ref="BH179:BH196" si="16">BH178+500000</f>
        <v>1500000</v>
      </c>
      <c r="BI179" s="1073">
        <v>0.1198919676682028</v>
      </c>
      <c r="BJ179" s="1073">
        <v>0.1198919676682028</v>
      </c>
      <c r="BK179" s="1073">
        <v>0.1198919676682028</v>
      </c>
      <c r="BL179" s="1073">
        <v>0.1198919676682028</v>
      </c>
      <c r="BM179" s="1073">
        <v>0.11989196766820279</v>
      </c>
      <c r="BN179" s="1073">
        <v>0.11989196766820279</v>
      </c>
      <c r="BO179" s="1073">
        <v>0.1198919676682028</v>
      </c>
      <c r="BP179" s="1073">
        <v>0.11989196766820279</v>
      </c>
      <c r="BQ179" s="1073">
        <v>0.1198919676682028</v>
      </c>
      <c r="BR179" s="1073">
        <v>0.1198919676682028</v>
      </c>
      <c r="BS179" s="1073">
        <v>0.11989196766820281</v>
      </c>
      <c r="BT179" s="1073">
        <v>0.11989196766820279</v>
      </c>
      <c r="BU179" s="1073">
        <v>0.1198919676682028</v>
      </c>
      <c r="BV179" s="1073">
        <v>0.1198919676682028</v>
      </c>
    </row>
    <row r="180">
      <c r="S180" s="1056">
        <f t="shared" si="14"/>
        <v>3000000</v>
      </c>
      <c r="T180" s="1073">
        <v>0.08477642334798449</v>
      </c>
      <c r="U180" s="1064">
        <v>0.09802273949610707</v>
      </c>
      <c r="V180" s="1064">
        <v>0.11126905564422965</v>
      </c>
      <c r="W180" s="1064">
        <v>0.12451537179235221</v>
      </c>
      <c r="X180" s="1064">
        <v>0.13776168794047486</v>
      </c>
      <c r="Y180" s="1064">
        <v>0.15100800408859738</v>
      </c>
      <c r="Z180" s="1064">
        <v>0.16425432023672</v>
      </c>
      <c r="AA180" s="577"/>
      <c r="AD180" s="1056">
        <f t="shared" si="15"/>
        <v>3000000</v>
      </c>
      <c r="AE180" s="764">
        <v>0.0694641018454423</v>
      </c>
      <c r="AF180" s="739">
        <v>0.07339181174508395</v>
      </c>
      <c r="AG180" s="795">
        <v>0.07724313096853044</v>
      </c>
      <c r="AH180" s="714">
        <v>0.08103301600606841</v>
      </c>
      <c r="AI180" s="740">
        <v>0.08477642334798449</v>
      </c>
      <c r="AJ180" s="813">
        <v>0.08626412278380102</v>
      </c>
      <c r="AK180" s="814">
        <v>0.08774773604214223</v>
      </c>
      <c r="AL180" s="766">
        <v>0.08922822033838645</v>
      </c>
      <c r="AM180" s="815">
        <v>0.09070653288791211</v>
      </c>
      <c r="AN180" s="1176">
        <v>0.09218363090609752</v>
      </c>
      <c r="AO180" s="610"/>
      <c r="AQ180" s="1072">
        <v>0.85</v>
      </c>
      <c r="AR180" s="1073">
        <v>0.14035330081305256</v>
      </c>
      <c r="AS180" s="1073">
        <v>0.14035330081305256</v>
      </c>
      <c r="AT180" s="1073">
        <v>0.14035330081305256</v>
      </c>
      <c r="AU180" s="1073">
        <v>0.14035330081305256</v>
      </c>
      <c r="AV180" s="1073">
        <v>0.14035330081305256</v>
      </c>
      <c r="AW180" s="1073">
        <v>0.14035330081305256</v>
      </c>
      <c r="AX180" s="1073">
        <v>0.14035330081305256</v>
      </c>
      <c r="AY180" s="1073">
        <v>0.14035330081305256</v>
      </c>
      <c r="AZ180" s="1073">
        <v>0.14035330081305256</v>
      </c>
      <c r="BA180" s="1073">
        <v>0.14035330081305256</v>
      </c>
      <c r="BB180" s="1073">
        <v>0.14035330081305256</v>
      </c>
      <c r="BC180" s="1073">
        <v>0.14035330081305256</v>
      </c>
      <c r="BD180" s="1073">
        <v>0.14035330081305256</v>
      </c>
      <c r="BE180" s="1073">
        <v>0.14035330081305256</v>
      </c>
      <c r="BF180" s="610"/>
      <c r="BH180" s="1056">
        <f t="shared" si="16"/>
        <v>2000000</v>
      </c>
      <c r="BI180" s="1073">
        <v>0.10382948971036621</v>
      </c>
      <c r="BJ180" s="1073">
        <v>0.10382948971036621</v>
      </c>
      <c r="BK180" s="1073">
        <v>0.10382948971036621</v>
      </c>
      <c r="BL180" s="1073">
        <v>0.10382948971036621</v>
      </c>
      <c r="BM180" s="1073">
        <v>0.10382948971036621</v>
      </c>
      <c r="BN180" s="1073">
        <v>0.10382948971036621</v>
      </c>
      <c r="BO180" s="1073">
        <v>0.10382948971036621</v>
      </c>
      <c r="BP180" s="1073">
        <v>0.10382948971036621</v>
      </c>
      <c r="BQ180" s="1073">
        <v>0.1038294897103662</v>
      </c>
      <c r="BR180" s="1073">
        <v>0.10382948971036621</v>
      </c>
      <c r="BS180" s="1073">
        <v>0.10382948971036621</v>
      </c>
      <c r="BT180" s="1073">
        <v>0.10382948971036621</v>
      </c>
      <c r="BU180" s="1073">
        <v>0.10382948971036621</v>
      </c>
      <c r="BV180" s="1073">
        <v>0.1038294897103662</v>
      </c>
    </row>
    <row r="181">
      <c r="S181" s="1056">
        <f t="shared" si="14"/>
        <v>3500000</v>
      </c>
      <c r="T181" s="1073">
        <v>0.07848771672239105</v>
      </c>
      <c r="U181" s="1064">
        <v>0.09075142246026469</v>
      </c>
      <c r="V181" s="1064">
        <v>0.1030151281981383</v>
      </c>
      <c r="W181" s="1064">
        <v>0.11527883393601185</v>
      </c>
      <c r="X181" s="1064">
        <v>0.12754253967388546</v>
      </c>
      <c r="Y181" s="1064">
        <v>0.1398062454117591</v>
      </c>
      <c r="Z181" s="1064">
        <v>0.15206995114963273</v>
      </c>
      <c r="AA181" s="577"/>
      <c r="AD181" s="1056">
        <f t="shared" si="15"/>
        <v>3500000</v>
      </c>
      <c r="AE181" s="831">
        <v>0.06431126170115807</v>
      </c>
      <c r="AF181" s="832">
        <v>0.06794761447232192</v>
      </c>
      <c r="AG181" s="833">
        <v>0.0715132432200291</v>
      </c>
      <c r="AH181" s="856">
        <v>0.075021994963609</v>
      </c>
      <c r="AI181" s="787">
        <v>0.07848771672239105</v>
      </c>
      <c r="AJ181" s="836">
        <v>0.07986505876249027</v>
      </c>
      <c r="AK181" s="714">
        <v>0.08123861773735161</v>
      </c>
      <c r="AL181" s="837">
        <v>0.08260927985621216</v>
      </c>
      <c r="AM181" s="838">
        <v>0.08397793132830901</v>
      </c>
      <c r="AN181" s="740">
        <v>0.08534545836287924</v>
      </c>
      <c r="AO181" s="610"/>
      <c r="AQ181" s="1072">
        <v>0.9</v>
      </c>
      <c r="AR181" s="1073">
        <v>0.14683707252267758</v>
      </c>
      <c r="AS181" s="1073">
        <v>0.14683707252267758</v>
      </c>
      <c r="AT181" s="1073">
        <v>0.14683707252267758</v>
      </c>
      <c r="AU181" s="1073">
        <v>0.14683707252267758</v>
      </c>
      <c r="AV181" s="1073">
        <v>0.14683707252267758</v>
      </c>
      <c r="AW181" s="1073">
        <v>0.14683707252267758</v>
      </c>
      <c r="AX181" s="1073">
        <v>0.14683707252267758</v>
      </c>
      <c r="AY181" s="1073">
        <v>0.14683707252267758</v>
      </c>
      <c r="AZ181" s="1073">
        <v>0.14683707252267758</v>
      </c>
      <c r="BA181" s="1073">
        <v>0.14683707252267758</v>
      </c>
      <c r="BB181" s="1073">
        <v>0.14683707252267758</v>
      </c>
      <c r="BC181" s="1073">
        <v>0.14683707252267758</v>
      </c>
      <c r="BD181" s="1073">
        <v>0.14683707252267758</v>
      </c>
      <c r="BE181" s="1073">
        <v>0.14683707252267758</v>
      </c>
      <c r="BF181" s="610"/>
      <c r="BH181" s="1056">
        <f t="shared" si="16"/>
        <v>2500000</v>
      </c>
      <c r="BI181" s="1073">
        <v>0.09286791882459751</v>
      </c>
      <c r="BJ181" s="1073">
        <v>0.09286791882459751</v>
      </c>
      <c r="BK181" s="1073">
        <v>0.09286791882459751</v>
      </c>
      <c r="BL181" s="1073">
        <v>0.09286791882459751</v>
      </c>
      <c r="BM181" s="1073">
        <v>0.09286791882459751</v>
      </c>
      <c r="BN181" s="1073">
        <v>0.09286791882459751</v>
      </c>
      <c r="BO181" s="1073">
        <v>0.09286791882459751</v>
      </c>
      <c r="BP181" s="1073">
        <v>0.09286791882459751</v>
      </c>
      <c r="BQ181" s="1073">
        <v>0.09286791882459751</v>
      </c>
      <c r="BR181" s="1073">
        <v>0.09286791882459751</v>
      </c>
      <c r="BS181" s="1073">
        <v>0.09286791882459751</v>
      </c>
      <c r="BT181" s="1073">
        <v>0.09286791882459751</v>
      </c>
      <c r="BU181" s="1073">
        <v>0.09286791882459751</v>
      </c>
      <c r="BV181" s="1073">
        <v>0.09286791882459751</v>
      </c>
    </row>
    <row r="182">
      <c r="S182" s="1056">
        <f t="shared" si="14"/>
        <v>4000000</v>
      </c>
      <c r="T182" s="1073">
        <v>0.07341853626133879</v>
      </c>
      <c r="U182" s="1064">
        <v>0.08489018255217297</v>
      </c>
      <c r="V182" s="1064">
        <v>0.09636182884300715</v>
      </c>
      <c r="W182" s="1064">
        <v>0.10783347513384135</v>
      </c>
      <c r="X182" s="1064">
        <v>0.11930512142467552</v>
      </c>
      <c r="Y182" s="1064">
        <v>0.1307767677155097</v>
      </c>
      <c r="Z182" s="1064">
        <v>0.1422484140063439</v>
      </c>
      <c r="AA182" s="577"/>
      <c r="AD182" s="1056">
        <f t="shared" si="15"/>
        <v>4000000</v>
      </c>
      <c r="AE182" s="763">
        <v>0.060157676849222554</v>
      </c>
      <c r="AF182" s="852">
        <v>0.06355917340100783</v>
      </c>
      <c r="AG182" s="853">
        <v>0.06689451368659585</v>
      </c>
      <c r="AH182" s="890">
        <v>0.07017665040652628</v>
      </c>
      <c r="AI182" s="739">
        <v>0.07341853626133879</v>
      </c>
      <c r="AJ182" s="856">
        <v>0.07470692176595166</v>
      </c>
      <c r="AK182" s="857">
        <v>0.07599176853706656</v>
      </c>
      <c r="AL182" s="795">
        <v>0.07727390554751802</v>
      </c>
      <c r="AM182" s="787">
        <v>0.07855416177014056</v>
      </c>
      <c r="AN182" s="836">
        <v>0.07983336617776875</v>
      </c>
      <c r="AO182" s="610"/>
      <c r="AQ182" s="1072">
        <v>0.92</v>
      </c>
      <c r="AR182" s="1073">
        <v>0.14941384353190332</v>
      </c>
      <c r="AS182" s="1073">
        <v>0.14941384353190332</v>
      </c>
      <c r="AT182" s="1073">
        <v>0.14941384353190332</v>
      </c>
      <c r="AU182" s="1073">
        <v>0.14941384353190332</v>
      </c>
      <c r="AV182" s="1073">
        <v>0.14941384353190332</v>
      </c>
      <c r="AW182" s="1073">
        <v>0.14941384353190332</v>
      </c>
      <c r="AX182" s="1073">
        <v>0.14941384353190332</v>
      </c>
      <c r="AY182" s="1073">
        <v>0.14941384353190332</v>
      </c>
      <c r="AZ182" s="1073">
        <v>0.14941384353190332</v>
      </c>
      <c r="BA182" s="1073">
        <v>0.14941384353190332</v>
      </c>
      <c r="BB182" s="1073">
        <v>0.14941384353190332</v>
      </c>
      <c r="BC182" s="1073">
        <v>0.14941384353190332</v>
      </c>
      <c r="BD182" s="1073">
        <v>0.14941384353190332</v>
      </c>
      <c r="BE182" s="1073">
        <v>0.14941384353190332</v>
      </c>
      <c r="BF182" s="610"/>
      <c r="BH182" s="1056">
        <f t="shared" si="16"/>
        <v>3000000</v>
      </c>
      <c r="BI182" s="1073">
        <v>0.08477642334798449</v>
      </c>
      <c r="BJ182" s="1073">
        <v>0.08477642334798449</v>
      </c>
      <c r="BK182" s="1073">
        <v>0.08477642334798449</v>
      </c>
      <c r="BL182" s="1073">
        <v>0.08477642334798449</v>
      </c>
      <c r="BM182" s="1073">
        <v>0.08477642334798449</v>
      </c>
      <c r="BN182" s="1073">
        <v>0.08477642334798449</v>
      </c>
      <c r="BO182" s="1073">
        <v>0.08477642334798449</v>
      </c>
      <c r="BP182" s="1073">
        <v>0.08477642334798449</v>
      </c>
      <c r="BQ182" s="1073">
        <v>0.08477642334798449</v>
      </c>
      <c r="BR182" s="1073">
        <v>0.08477642334798449</v>
      </c>
      <c r="BS182" s="1073">
        <v>0.08477642334798449</v>
      </c>
      <c r="BT182" s="1073">
        <v>0.08477642334798449</v>
      </c>
      <c r="BU182" s="1073">
        <v>0.08477642334798449</v>
      </c>
      <c r="BV182" s="1073">
        <v>0.08477642334798449</v>
      </c>
    </row>
    <row r="183">
      <c r="S183" s="1056">
        <f t="shared" si="14"/>
        <v>4500000</v>
      </c>
      <c r="T183" s="1073">
        <v>0.06921965980691078</v>
      </c>
      <c r="U183" s="1064">
        <v>0.08003523165174059</v>
      </c>
      <c r="V183" s="1064">
        <v>0.0908508034965704</v>
      </c>
      <c r="W183" s="1064">
        <v>0.10166637534140022</v>
      </c>
      <c r="X183" s="1064">
        <v>0.11248194718623002</v>
      </c>
      <c r="Y183" s="1064">
        <v>0.12329751903105982</v>
      </c>
      <c r="Z183" s="1064">
        <v>0.13411309087588966</v>
      </c>
      <c r="AA183" s="577"/>
      <c r="AD183" s="1056">
        <f t="shared" si="15"/>
        <v>4500000</v>
      </c>
      <c r="AE183" s="867">
        <v>0.056717201654018994</v>
      </c>
      <c r="AF183" s="868">
        <v>0.05992416335795237</v>
      </c>
      <c r="AG183" s="869">
        <v>0.06306875233595767</v>
      </c>
      <c r="AH183" s="1182">
        <v>0.06616318051121656</v>
      </c>
      <c r="AI183" s="1333">
        <v>0.06921965980691078</v>
      </c>
      <c r="AJ183" s="872">
        <v>0.07043436130970308</v>
      </c>
      <c r="AK183" s="873">
        <v>0.07164572646255772</v>
      </c>
      <c r="AL183" s="874">
        <v>0.07285453682855834</v>
      </c>
      <c r="AM183" s="875">
        <v>0.07406157397078858</v>
      </c>
      <c r="AN183" s="1185">
        <v>0.07526761945233205</v>
      </c>
      <c r="AO183" s="610"/>
      <c r="AQ183" s="1072">
        <v>0.94</v>
      </c>
      <c r="AR183" s="1073">
        <v>0.15198353707413312</v>
      </c>
      <c r="AS183" s="1073">
        <v>0.15198353707413312</v>
      </c>
      <c r="AT183" s="1073">
        <v>0.15198353707413312</v>
      </c>
      <c r="AU183" s="1073">
        <v>0.15198353707413312</v>
      </c>
      <c r="AV183" s="1073">
        <v>0.15198353707413312</v>
      </c>
      <c r="AW183" s="1073">
        <v>0.15198353707413312</v>
      </c>
      <c r="AX183" s="1073">
        <v>0.15198353707413312</v>
      </c>
      <c r="AY183" s="1073">
        <v>0.15198353707413312</v>
      </c>
      <c r="AZ183" s="1073">
        <v>0.15198353707413312</v>
      </c>
      <c r="BA183" s="1073">
        <v>0.15198353707413312</v>
      </c>
      <c r="BB183" s="1073">
        <v>0.15198353707413312</v>
      </c>
      <c r="BC183" s="1073">
        <v>0.15198353707413312</v>
      </c>
      <c r="BD183" s="1073">
        <v>0.15198353707413312</v>
      </c>
      <c r="BE183" s="1073">
        <v>0.15198353707413312</v>
      </c>
      <c r="BF183" s="610"/>
      <c r="BH183" s="1056">
        <f t="shared" si="16"/>
        <v>3500000</v>
      </c>
      <c r="BI183" s="1073">
        <v>0.07848771672239105</v>
      </c>
      <c r="BJ183" s="1073">
        <v>0.07848771672239105</v>
      </c>
      <c r="BK183" s="1073">
        <v>0.07848771672239105</v>
      </c>
      <c r="BL183" s="1073">
        <v>0.07848771672239105</v>
      </c>
      <c r="BM183" s="1073">
        <v>0.07848771672239105</v>
      </c>
      <c r="BN183" s="1073">
        <v>0.07848771672239105</v>
      </c>
      <c r="BO183" s="1073">
        <v>0.07848771672239105</v>
      </c>
      <c r="BP183" s="1073">
        <v>0.07848771672239105</v>
      </c>
      <c r="BQ183" s="1073">
        <v>0.07848771672239105</v>
      </c>
      <c r="BR183" s="1073">
        <v>0.07848771672239105</v>
      </c>
      <c r="BS183" s="1073">
        <v>0.07848771672239105</v>
      </c>
      <c r="BT183" s="1073">
        <v>0.07848771672239105</v>
      </c>
      <c r="BU183" s="1073">
        <v>0.07848771672239105</v>
      </c>
      <c r="BV183" s="1073">
        <v>0.07848771672239105</v>
      </c>
    </row>
    <row r="184">
      <c r="S184" s="1056">
        <f t="shared" si="14"/>
        <v>5000000</v>
      </c>
      <c r="T184" s="1073">
        <v>0.06566753515555472</v>
      </c>
      <c r="U184" s="1064">
        <v>0.07592808752361013</v>
      </c>
      <c r="V184" s="1064">
        <v>0.08618863989166557</v>
      </c>
      <c r="W184" s="1064">
        <v>0.096449192259721</v>
      </c>
      <c r="X184" s="1064">
        <v>0.10670974462777638</v>
      </c>
      <c r="Y184" s="1064">
        <v>0.11697029699583184</v>
      </c>
      <c r="Z184" s="1064">
        <v>0.12723084936388726</v>
      </c>
      <c r="AA184" s="577"/>
      <c r="AD184" s="1056">
        <f t="shared" si="15"/>
        <v>5000000</v>
      </c>
      <c r="AE184" s="887">
        <v>0.05380666192133079</v>
      </c>
      <c r="AF184" s="844">
        <v>0.05684905292734001</v>
      </c>
      <c r="AG184" s="763">
        <v>0.059832271970007345</v>
      </c>
      <c r="AH184" s="916">
        <v>0.0627679042968924</v>
      </c>
      <c r="AI184" s="853">
        <v>0.06566753515555472</v>
      </c>
      <c r="AJ184" s="853">
        <v>0.06681990218337061</v>
      </c>
      <c r="AK184" s="832">
        <v>0.06796910407172424</v>
      </c>
      <c r="AL184" s="786">
        <v>0.06911588227645933</v>
      </c>
      <c r="AM184" s="890">
        <v>0.0702609782534198</v>
      </c>
      <c r="AN184" s="890">
        <v>0.0714051334584494</v>
      </c>
      <c r="AO184" s="610"/>
      <c r="AQ184" s="1072">
        <v>0.96</v>
      </c>
      <c r="AR184" s="1073">
        <v>0.154547811095036</v>
      </c>
      <c r="AS184" s="1073">
        <v>0.154547811095036</v>
      </c>
      <c r="AT184" s="1073">
        <v>0.154547811095036</v>
      </c>
      <c r="AU184" s="1073">
        <v>0.154547811095036</v>
      </c>
      <c r="AV184" s="1073">
        <v>0.154547811095036</v>
      </c>
      <c r="AW184" s="1073">
        <v>0.154547811095036</v>
      </c>
      <c r="AX184" s="1073">
        <v>0.154547811095036</v>
      </c>
      <c r="AY184" s="1073">
        <v>0.154547811095036</v>
      </c>
      <c r="AZ184" s="1073">
        <v>0.154547811095036</v>
      </c>
      <c r="BA184" s="1073">
        <v>0.154547811095036</v>
      </c>
      <c r="BB184" s="1073">
        <v>0.15454781109503596</v>
      </c>
      <c r="BC184" s="1073">
        <v>0.154547811095036</v>
      </c>
      <c r="BD184" s="1073">
        <v>0.154547811095036</v>
      </c>
      <c r="BE184" s="1073">
        <v>0.154547811095036</v>
      </c>
      <c r="BF184" s="610"/>
      <c r="BH184" s="1056">
        <f t="shared" si="16"/>
        <v>4000000</v>
      </c>
      <c r="BI184" s="1073">
        <v>0.07341853626133879</v>
      </c>
      <c r="BJ184" s="1073">
        <v>0.07341853626133879</v>
      </c>
      <c r="BK184" s="1073">
        <v>0.07341853626133879</v>
      </c>
      <c r="BL184" s="1073">
        <v>0.07341853626133879</v>
      </c>
      <c r="BM184" s="1073">
        <v>0.07341853626133879</v>
      </c>
      <c r="BN184" s="1073">
        <v>0.07341853626133879</v>
      </c>
      <c r="BO184" s="1073">
        <v>0.07341853626133879</v>
      </c>
      <c r="BP184" s="1073">
        <v>0.07341853626133879</v>
      </c>
      <c r="BQ184" s="1073">
        <v>0.07341853626133879</v>
      </c>
      <c r="BR184" s="1073">
        <v>0.07341853626133879</v>
      </c>
      <c r="BS184" s="1073">
        <v>0.07341853626133879</v>
      </c>
      <c r="BT184" s="1073">
        <v>0.07341853626133879</v>
      </c>
      <c r="BU184" s="1073">
        <v>0.07341853626133879</v>
      </c>
      <c r="BV184" s="1073">
        <v>0.07341853626133879</v>
      </c>
    </row>
    <row r="185">
      <c r="S185" s="1056">
        <f t="shared" si="14"/>
        <v>5500000</v>
      </c>
      <c r="T185" s="1073">
        <v>0.06261153809879116</v>
      </c>
      <c r="U185" s="1064">
        <v>0.07239459092672729</v>
      </c>
      <c r="V185" s="1064">
        <v>0.0821776437546634</v>
      </c>
      <c r="W185" s="1064">
        <v>0.0919606965825995</v>
      </c>
      <c r="X185" s="1064">
        <v>0.10174374941053561</v>
      </c>
      <c r="Y185" s="1064">
        <v>0.11152680223847176</v>
      </c>
      <c r="Z185" s="1064">
        <v>0.12130985506640789</v>
      </c>
      <c r="AA185" s="577"/>
      <c r="AD185" s="1056">
        <f t="shared" si="15"/>
        <v>5500000</v>
      </c>
      <c r="AE185" s="804">
        <v>0.05130263919417428</v>
      </c>
      <c r="AF185" s="821">
        <v>0.05420344520026132</v>
      </c>
      <c r="AG185" s="902">
        <v>0.057047832952969696</v>
      </c>
      <c r="AH185" s="763">
        <v>0.059846848552434564</v>
      </c>
      <c r="AI185" s="822">
        <v>0.06261153809879116</v>
      </c>
      <c r="AJ185" s="852">
        <v>0.06371027694889377</v>
      </c>
      <c r="AK185" s="831">
        <v>0.06480599795692932</v>
      </c>
      <c r="AL185" s="853">
        <v>0.06589940807330646</v>
      </c>
      <c r="AM185" s="853">
        <v>0.06699121424843389</v>
      </c>
      <c r="AN185" s="832">
        <v>0.06808212343272023</v>
      </c>
      <c r="AO185" s="610"/>
      <c r="AQ185" s="1072">
        <v>0.98</v>
      </c>
      <c r="AR185" s="594">
        <v>0.15710832354028112</v>
      </c>
      <c r="AS185" s="594">
        <v>0.15710832354028112</v>
      </c>
      <c r="AT185" s="594">
        <v>0.15710832354028112</v>
      </c>
      <c r="AU185" s="594">
        <v>0.15710832354028112</v>
      </c>
      <c r="AV185" s="594">
        <v>0.15710832354028112</v>
      </c>
      <c r="AW185" s="594">
        <v>0.15710832354028112</v>
      </c>
      <c r="AX185" s="594">
        <v>0.15710832354028112</v>
      </c>
      <c r="AY185" s="594">
        <v>0.15710832354028112</v>
      </c>
      <c r="AZ185" s="594">
        <v>0.15710832354028112</v>
      </c>
      <c r="BA185" s="594">
        <v>0.15710832354028112</v>
      </c>
      <c r="BB185" s="594">
        <v>0.15710832354028115</v>
      </c>
      <c r="BC185" s="594">
        <v>0.15710832354028112</v>
      </c>
      <c r="BD185" s="594">
        <v>0.15710832354028112</v>
      </c>
      <c r="BE185" s="594">
        <v>0.15710832354028112</v>
      </c>
      <c r="BF185" s="610"/>
      <c r="BH185" s="1056">
        <f t="shared" si="16"/>
        <v>4500000</v>
      </c>
      <c r="BI185" s="594">
        <v>0.06921965980691078</v>
      </c>
      <c r="BJ185" s="594">
        <v>0.06921965980691078</v>
      </c>
      <c r="BK185" s="594">
        <v>0.06921965980691078</v>
      </c>
      <c r="BL185" s="594">
        <v>0.06921965980691078</v>
      </c>
      <c r="BM185" s="594">
        <v>0.06921965980691078</v>
      </c>
      <c r="BN185" s="594">
        <v>0.06921965980691078</v>
      </c>
      <c r="BO185" s="594">
        <v>0.06921965980691078</v>
      </c>
      <c r="BP185" s="594">
        <v>0.06921965980691078</v>
      </c>
      <c r="BQ185" s="594">
        <v>0.06921965980691078</v>
      </c>
      <c r="BR185" s="594">
        <v>0.06921965980691078</v>
      </c>
      <c r="BS185" s="594">
        <v>0.06921965980691078</v>
      </c>
      <c r="BT185" s="594">
        <v>0.06921965980691078</v>
      </c>
      <c r="BU185" s="594">
        <v>0.06921965980691078</v>
      </c>
      <c r="BV185" s="594">
        <v>0.06921965980691078</v>
      </c>
    </row>
    <row r="186">
      <c r="S186" s="1056">
        <f t="shared" si="14"/>
        <v>6000000</v>
      </c>
      <c r="T186" s="1073">
        <v>0.0599459838341014</v>
      </c>
      <c r="U186" s="1064">
        <v>0.06931254380817974</v>
      </c>
      <c r="V186" s="1064">
        <v>0.07867910378225808</v>
      </c>
      <c r="W186" s="1064">
        <v>0.08804566375633643</v>
      </c>
      <c r="X186" s="1064">
        <v>0.09741222373041478</v>
      </c>
      <c r="Y186" s="1064">
        <v>0.10677878370449312</v>
      </c>
      <c r="Z186" s="1064">
        <v>0.11614534367857147</v>
      </c>
      <c r="AA186" s="577"/>
      <c r="AD186" s="1056">
        <f t="shared" si="15"/>
        <v>6000000</v>
      </c>
      <c r="AE186" s="843">
        <v>0.049118537463945226</v>
      </c>
      <c r="AF186" s="804">
        <v>0.051895847768515364</v>
      </c>
      <c r="AG186" s="914">
        <v>0.054619141707928504</v>
      </c>
      <c r="AH186" s="902">
        <v>0.057298995117889016</v>
      </c>
      <c r="AI186" s="763">
        <v>0.0599459838341014</v>
      </c>
      <c r="AJ186" s="763">
        <v>0.06099794619353466</v>
      </c>
      <c r="AK186" s="822">
        <v>0.06204701918916599</v>
      </c>
      <c r="AL186" s="916">
        <v>0.06309387967448049</v>
      </c>
      <c r="AM186" s="852">
        <v>0.06413920450296325</v>
      </c>
      <c r="AN186" s="831">
        <v>0.06518367052809936</v>
      </c>
      <c r="AO186" s="610"/>
      <c r="AQ186" s="1072">
        <v>1.0</v>
      </c>
      <c r="AR186" s="577">
        <v>0.1596667323555375</v>
      </c>
      <c r="AS186" s="577">
        <v>0.1596667323555375</v>
      </c>
      <c r="AT186" s="577">
        <v>0.1596667323555375</v>
      </c>
      <c r="AU186" s="577">
        <v>0.1596667323555375</v>
      </c>
      <c r="AV186" s="577">
        <v>0.15966673235553747</v>
      </c>
      <c r="AW186" s="577">
        <v>0.15966673235553747</v>
      </c>
      <c r="AX186" s="577">
        <v>0.1596667323555375</v>
      </c>
      <c r="AY186" s="577">
        <v>0.15966673235553747</v>
      </c>
      <c r="AZ186" s="577">
        <v>0.1596667323555375</v>
      </c>
      <c r="BA186" s="577">
        <v>0.1596667323555375</v>
      </c>
      <c r="BB186" s="577">
        <v>0.1596667323555375</v>
      </c>
      <c r="BC186" s="577">
        <v>0.15966673235553747</v>
      </c>
      <c r="BD186" s="577">
        <v>0.1596667323555375</v>
      </c>
      <c r="BE186" s="577">
        <v>0.1596667323555375</v>
      </c>
      <c r="BF186" s="610"/>
      <c r="BH186" s="1056">
        <f t="shared" si="16"/>
        <v>5000000</v>
      </c>
      <c r="BI186" s="577">
        <v>0.06566753515555472</v>
      </c>
      <c r="BJ186" s="577">
        <v>0.06566753515555472</v>
      </c>
      <c r="BK186" s="577">
        <v>0.06566753515555472</v>
      </c>
      <c r="BL186" s="577">
        <v>0.06566753515555472</v>
      </c>
      <c r="BM186" s="577">
        <v>0.06566753515555472</v>
      </c>
      <c r="BN186" s="577">
        <v>0.06566753515555472</v>
      </c>
      <c r="BO186" s="577">
        <v>0.06566753515555472</v>
      </c>
      <c r="BP186" s="577">
        <v>0.06566753515555472</v>
      </c>
      <c r="BQ186" s="577">
        <v>0.06566753515555472</v>
      </c>
      <c r="BR186" s="577">
        <v>0.06566753515555472</v>
      </c>
      <c r="BS186" s="577">
        <v>0.06566753515555472</v>
      </c>
      <c r="BT186" s="577">
        <v>0.06566753515555472</v>
      </c>
      <c r="BU186" s="577">
        <v>0.06566753515555472</v>
      </c>
      <c r="BV186" s="577">
        <v>0.06566753515555472</v>
      </c>
    </row>
    <row r="187">
      <c r="S187" s="1056">
        <f t="shared" si="14"/>
        <v>6500000</v>
      </c>
      <c r="T187" s="1073">
        <v>0.05759423831630552</v>
      </c>
      <c r="U187" s="1064">
        <v>0.06659333805322826</v>
      </c>
      <c r="V187" s="1064">
        <v>0.07559243779015101</v>
      </c>
      <c r="W187" s="1064">
        <v>0.08459153752707374</v>
      </c>
      <c r="X187" s="1064">
        <v>0.09359063726399648</v>
      </c>
      <c r="Y187" s="1064">
        <v>0.10258973700091921</v>
      </c>
      <c r="Z187" s="1064">
        <v>0.11158883673784198</v>
      </c>
      <c r="AA187" s="577"/>
      <c r="AD187" s="1056">
        <f t="shared" si="15"/>
        <v>6500000</v>
      </c>
      <c r="AE187" s="820">
        <v>0.047191564330245336</v>
      </c>
      <c r="AF187" s="762">
        <v>0.0498599177599333</v>
      </c>
      <c r="AG187" s="804">
        <v>0.052476373944654146</v>
      </c>
      <c r="AH187" s="1192">
        <v>0.05505109381868562</v>
      </c>
      <c r="AI187" s="902">
        <v>0.05759423831630552</v>
      </c>
      <c r="AJ187" s="931">
        <v>0.05860493105923649</v>
      </c>
      <c r="AK187" s="932">
        <v>0.05961284779121979</v>
      </c>
      <c r="AL187" s="763">
        <v>0.06061863881204924</v>
      </c>
      <c r="AM187" s="738">
        <v>0.061622954421518626</v>
      </c>
      <c r="AN187" s="822">
        <v>0.0626264449194217</v>
      </c>
      <c r="AO187" s="610"/>
      <c r="AP187" s="610"/>
      <c r="AQ187" s="610"/>
      <c r="AR187" s="610"/>
      <c r="AS187" s="610"/>
      <c r="AT187" s="610"/>
      <c r="AU187" s="610"/>
      <c r="AV187" s="610"/>
      <c r="AW187" s="610"/>
      <c r="AX187" s="610"/>
      <c r="AY187" s="610"/>
      <c r="AZ187" s="610"/>
      <c r="BA187" s="610"/>
      <c r="BB187" s="610"/>
      <c r="BC187" s="610"/>
      <c r="BD187" s="610"/>
      <c r="BE187" s="610"/>
      <c r="BF187" s="610"/>
      <c r="BH187" s="1056">
        <f t="shared" si="16"/>
        <v>5500000</v>
      </c>
      <c r="BI187" s="577">
        <v>0.06261153809879116</v>
      </c>
      <c r="BJ187" s="577">
        <v>0.06261153809879116</v>
      </c>
      <c r="BK187" s="577">
        <v>0.06261153809879116</v>
      </c>
      <c r="BL187" s="577">
        <v>0.06261153809879116</v>
      </c>
      <c r="BM187" s="577">
        <v>0.06261153809879116</v>
      </c>
      <c r="BN187" s="577">
        <v>0.06261153809879116</v>
      </c>
      <c r="BO187" s="577">
        <v>0.06261153809879116</v>
      </c>
      <c r="BP187" s="577">
        <v>0.06261153809879116</v>
      </c>
      <c r="BQ187" s="577">
        <v>0.06261153809879116</v>
      </c>
      <c r="BR187" s="577">
        <v>0.06261153809879116</v>
      </c>
      <c r="BS187" s="577">
        <v>0.06261153809879116</v>
      </c>
      <c r="BT187" s="577">
        <v>0.06261153809879116</v>
      </c>
      <c r="BU187" s="577">
        <v>0.06261153809879116</v>
      </c>
      <c r="BV187" s="577">
        <v>0.06261153809879116</v>
      </c>
    </row>
    <row r="188">
      <c r="D188" s="213"/>
      <c r="G188" s="214"/>
      <c r="H188" s="214"/>
      <c r="I188" s="214"/>
      <c r="J188" s="214"/>
      <c r="K188" s="214"/>
      <c r="L188" s="214"/>
      <c r="M188" s="214"/>
      <c r="N188" s="214"/>
      <c r="O188" s="214"/>
      <c r="P188" s="214"/>
      <c r="Q188" s="214"/>
      <c r="S188" s="1056">
        <f t="shared" si="14"/>
        <v>7000000</v>
      </c>
      <c r="T188" s="1073">
        <v>0.05549919673425152</v>
      </c>
      <c r="U188" s="1064">
        <v>0.0641709462239783</v>
      </c>
      <c r="V188" s="1064">
        <v>0.07284269571370511</v>
      </c>
      <c r="W188" s="1064">
        <v>0.08151444520343189</v>
      </c>
      <c r="X188" s="1064">
        <v>0.0901861946931587</v>
      </c>
      <c r="Y188" s="1064">
        <v>0.0988579441828855</v>
      </c>
      <c r="Z188" s="1064">
        <v>0.10752969367261228</v>
      </c>
      <c r="AA188" s="577"/>
      <c r="AD188" s="1056">
        <f t="shared" si="15"/>
        <v>7000000</v>
      </c>
      <c r="AE188" s="944">
        <v>0.04547492925555159</v>
      </c>
      <c r="AF188" s="880">
        <v>0.048046218958828046</v>
      </c>
      <c r="AG188" s="762">
        <v>0.05056749922552548</v>
      </c>
      <c r="AH188" s="887">
        <v>0.053048561376910955</v>
      </c>
      <c r="AI188" s="844">
        <v>0.05549919673425152</v>
      </c>
      <c r="AJ188" s="844">
        <v>0.05647312463081898</v>
      </c>
      <c r="AK188" s="902">
        <v>0.05744437749630307</v>
      </c>
      <c r="AL188" s="931">
        <v>0.05841358197526488</v>
      </c>
      <c r="AM188" s="932">
        <v>0.05938136471226553</v>
      </c>
      <c r="AN188" s="763">
        <v>0.060348352351866065</v>
      </c>
      <c r="AO188" s="610"/>
      <c r="AP188" s="610"/>
      <c r="AQ188" s="610"/>
      <c r="AR188" s="610"/>
      <c r="AS188" s="610"/>
      <c r="AT188" s="610"/>
      <c r="AU188" s="610"/>
      <c r="AV188" s="610"/>
      <c r="AW188" s="610"/>
      <c r="AX188" s="610"/>
      <c r="AY188" s="610"/>
      <c r="AZ188" s="610"/>
      <c r="BA188" s="610"/>
      <c r="BB188" s="610"/>
      <c r="BC188" s="610"/>
      <c r="BD188" s="610"/>
      <c r="BE188" s="610"/>
      <c r="BF188" s="610"/>
      <c r="BH188" s="1056">
        <f t="shared" si="16"/>
        <v>6000000</v>
      </c>
      <c r="BI188" s="577">
        <v>0.0599459838341014</v>
      </c>
      <c r="BJ188" s="577">
        <v>0.0599459838341014</v>
      </c>
      <c r="BK188" s="577">
        <v>0.0599459838341014</v>
      </c>
      <c r="BL188" s="577">
        <v>0.0599459838341014</v>
      </c>
      <c r="BM188" s="577">
        <v>0.05994598383410139</v>
      </c>
      <c r="BN188" s="577">
        <v>0.05994598383410139</v>
      </c>
      <c r="BO188" s="577">
        <v>0.0599459838341014</v>
      </c>
      <c r="BP188" s="577">
        <v>0.05994598383410139</v>
      </c>
      <c r="BQ188" s="577">
        <v>0.0599459838341014</v>
      </c>
      <c r="BR188" s="577">
        <v>0.0599459838341014</v>
      </c>
      <c r="BS188" s="577">
        <v>0.05994598383410141</v>
      </c>
      <c r="BT188" s="577">
        <v>0.05994598383410139</v>
      </c>
      <c r="BU188" s="577">
        <v>0.0599459838341014</v>
      </c>
      <c r="BV188" s="577">
        <v>0.0599459838341014</v>
      </c>
    </row>
    <row r="189">
      <c r="D189" s="173"/>
      <c r="E189" s="216"/>
      <c r="F189" s="214"/>
      <c r="G189" s="214"/>
      <c r="H189" s="214"/>
      <c r="I189" s="214"/>
      <c r="J189" s="214"/>
      <c r="K189" s="214"/>
      <c r="L189" s="214"/>
      <c r="M189" s="214"/>
      <c r="N189" s="214"/>
      <c r="O189" s="214"/>
      <c r="P189" s="214"/>
      <c r="Q189" s="214"/>
      <c r="S189" s="1056">
        <f t="shared" si="14"/>
        <v>7500000</v>
      </c>
      <c r="T189" s="1073">
        <v>0.05361731793246166</v>
      </c>
      <c r="U189" s="1064">
        <v>0.06199502385940882</v>
      </c>
      <c r="V189" s="1064">
        <v>0.07037272978635595</v>
      </c>
      <c r="W189" s="1064">
        <v>0.07875043571330309</v>
      </c>
      <c r="X189" s="1064">
        <v>0.08712814164025023</v>
      </c>
      <c r="Y189" s="1064">
        <v>0.09550584756719736</v>
      </c>
      <c r="Z189" s="1064">
        <v>0.10388355349414449</v>
      </c>
      <c r="AA189" s="577"/>
      <c r="AD189" s="1056">
        <f t="shared" si="15"/>
        <v>7500000</v>
      </c>
      <c r="AE189" s="803">
        <v>0.04393295548990065</v>
      </c>
      <c r="AF189" s="956">
        <v>0.04641705734415244</v>
      </c>
      <c r="AG189" s="843">
        <v>0.04885284549264882</v>
      </c>
      <c r="AH189" s="804">
        <v>0.05124977925041137</v>
      </c>
      <c r="AI189" s="887">
        <v>0.05361731793246166</v>
      </c>
      <c r="AJ189" s="914">
        <v>0.054558221670647195</v>
      </c>
      <c r="AK189" s="844">
        <v>0.055496541083283606</v>
      </c>
      <c r="AL189" s="844">
        <v>0.05643288156653228</v>
      </c>
      <c r="AM189" s="902">
        <v>0.057367848516554576</v>
      </c>
      <c r="AN189" s="1200">
        <v>0.05830204732951189</v>
      </c>
      <c r="AO189" s="610"/>
      <c r="AP189" s="610"/>
      <c r="AQ189" s="610"/>
      <c r="AR189" s="610"/>
      <c r="AS189" s="610"/>
      <c r="AT189" s="610"/>
      <c r="AU189" s="610"/>
      <c r="AV189" s="610"/>
      <c r="AW189" s="610"/>
      <c r="AX189" s="610"/>
      <c r="AY189" s="610"/>
      <c r="AZ189" s="610"/>
      <c r="BA189" s="610"/>
      <c r="BB189" s="610"/>
      <c r="BC189" s="610"/>
      <c r="BD189" s="610"/>
      <c r="BE189" s="610"/>
      <c r="BF189" s="610"/>
      <c r="BH189" s="1056">
        <f t="shared" si="16"/>
        <v>6500000</v>
      </c>
      <c r="BI189" s="577">
        <v>0.05759423831630552</v>
      </c>
      <c r="BJ189" s="577">
        <v>0.05759423831630552</v>
      </c>
      <c r="BK189" s="577">
        <v>0.05759423831630552</v>
      </c>
      <c r="BL189" s="577">
        <v>0.05759423831630552</v>
      </c>
      <c r="BM189" s="577">
        <v>0.057594238316305515</v>
      </c>
      <c r="BN189" s="577">
        <v>0.057594238316305515</v>
      </c>
      <c r="BO189" s="577">
        <v>0.05759423831630552</v>
      </c>
      <c r="BP189" s="577">
        <v>0.057594238316305515</v>
      </c>
      <c r="BQ189" s="577">
        <v>0.05759423831630552</v>
      </c>
      <c r="BR189" s="577">
        <v>0.05759423831630552</v>
      </c>
      <c r="BS189" s="577">
        <v>0.05759423831630553</v>
      </c>
      <c r="BT189" s="577">
        <v>0.057594238316305515</v>
      </c>
      <c r="BU189" s="577">
        <v>0.057594238316305515</v>
      </c>
      <c r="BV189" s="577">
        <v>0.05759423831630552</v>
      </c>
    </row>
    <row r="190">
      <c r="D190" s="173"/>
      <c r="E190" s="216"/>
      <c r="F190" s="214"/>
      <c r="G190" s="174"/>
      <c r="H190" s="174"/>
      <c r="I190" s="174"/>
      <c r="J190" s="174"/>
      <c r="K190" s="174"/>
      <c r="L190" s="174"/>
      <c r="M190" s="174"/>
      <c r="N190" s="174"/>
      <c r="O190" s="174"/>
      <c r="P190" s="174"/>
      <c r="Q190" s="174"/>
      <c r="S190" s="1056">
        <f t="shared" si="14"/>
        <v>8000000</v>
      </c>
      <c r="T190" s="1073">
        <v>0.051914744855183104</v>
      </c>
      <c r="U190" s="1064">
        <v>0.060026423738805464</v>
      </c>
      <c r="V190" s="1064">
        <v>0.06813810262242781</v>
      </c>
      <c r="W190" s="1064">
        <v>0.07624978150605015</v>
      </c>
      <c r="X190" s="1064">
        <v>0.08436146038967252</v>
      </c>
      <c r="Y190" s="1064">
        <v>0.09247313927329488</v>
      </c>
      <c r="Z190" s="1064">
        <v>0.10058481815691721</v>
      </c>
      <c r="AA190" s="577"/>
      <c r="AD190" s="1056">
        <f t="shared" si="15"/>
        <v>8000000</v>
      </c>
      <c r="AE190" s="967">
        <v>0.04253790124051424</v>
      </c>
      <c r="AF190" s="861">
        <v>0.04494312251846428</v>
      </c>
      <c r="AG190" s="880">
        <v>0.04730156425196825</v>
      </c>
      <c r="AH190" s="762">
        <v>0.04962238538341242</v>
      </c>
      <c r="AI190" s="804">
        <v>0.051914744855183104</v>
      </c>
      <c r="AJ190" s="887">
        <v>0.05282577098227731</v>
      </c>
      <c r="AK190" s="887">
        <v>0.05373429484691829</v>
      </c>
      <c r="AL190" s="914">
        <v>0.05464090262141876</v>
      </c>
      <c r="AM190" s="844">
        <v>0.055546180478091435</v>
      </c>
      <c r="AN190" s="844">
        <v>0.056450714589249044</v>
      </c>
      <c r="AO190" s="610"/>
      <c r="AP190" s="610"/>
      <c r="AQ190" s="610"/>
      <c r="AR190" s="610"/>
      <c r="AS190" s="610"/>
      <c r="AT190" s="610"/>
      <c r="AU190" s="610"/>
      <c r="AV190" s="610"/>
      <c r="AW190" s="610"/>
      <c r="AX190" s="610"/>
      <c r="AY190" s="610"/>
      <c r="AZ190" s="610"/>
      <c r="BA190" s="610"/>
      <c r="BB190" s="610"/>
      <c r="BC190" s="610"/>
      <c r="BD190" s="610"/>
      <c r="BE190" s="610"/>
      <c r="BF190" s="610"/>
      <c r="BH190" s="1056">
        <f t="shared" si="16"/>
        <v>7000000</v>
      </c>
      <c r="BI190" s="577">
        <v>0.05549919673425152</v>
      </c>
      <c r="BJ190" s="577">
        <v>0.05549919673425152</v>
      </c>
      <c r="BK190" s="577">
        <v>0.05549919673425152</v>
      </c>
      <c r="BL190" s="577">
        <v>0.05549919673425152</v>
      </c>
      <c r="BM190" s="577">
        <v>0.055499196734251514</v>
      </c>
      <c r="BN190" s="577">
        <v>0.055499196734251514</v>
      </c>
      <c r="BO190" s="577">
        <v>0.05549919673425152</v>
      </c>
      <c r="BP190" s="577">
        <v>0.055499196734251514</v>
      </c>
      <c r="BQ190" s="577">
        <v>0.05549919673425152</v>
      </c>
      <c r="BR190" s="577">
        <v>0.05549919673425152</v>
      </c>
      <c r="BS190" s="577">
        <v>0.055499196734251514</v>
      </c>
      <c r="BT190" s="577">
        <v>0.055499196734251514</v>
      </c>
      <c r="BU190" s="577">
        <v>0.05549919673425152</v>
      </c>
      <c r="BV190" s="577">
        <v>0.05549919673425152</v>
      </c>
    </row>
    <row r="191">
      <c r="D191" s="218"/>
      <c r="E191" s="219"/>
      <c r="F191" s="174"/>
      <c r="G191" s="220"/>
      <c r="H191" s="220"/>
      <c r="I191" s="220"/>
      <c r="J191" s="220"/>
      <c r="K191" s="220"/>
      <c r="L191" s="220"/>
      <c r="M191" s="220"/>
      <c r="N191" s="220"/>
      <c r="O191" s="220"/>
      <c r="P191" s="220"/>
      <c r="Q191" s="220"/>
      <c r="S191" s="1056">
        <f t="shared" si="14"/>
        <v>8500000</v>
      </c>
      <c r="T191" s="1073">
        <v>0.05036470036821433</v>
      </c>
      <c r="U191" s="1064">
        <v>0.058234184800747824</v>
      </c>
      <c r="V191" s="1064">
        <v>0.0661036692332813</v>
      </c>
      <c r="W191" s="1064">
        <v>0.07397315366581479</v>
      </c>
      <c r="X191" s="1064">
        <v>0.08184263809834828</v>
      </c>
      <c r="Y191" s="1064">
        <v>0.08971212253088179</v>
      </c>
      <c r="Z191" s="1064">
        <v>0.09758160696341528</v>
      </c>
      <c r="AA191" s="577"/>
      <c r="AD191" s="1056">
        <f t="shared" si="15"/>
        <v>8500000</v>
      </c>
      <c r="AE191" s="980">
        <v>0.041267825860407704</v>
      </c>
      <c r="AF191" s="981">
        <v>0.04360123324440091</v>
      </c>
      <c r="AG191" s="982">
        <v>0.04588925780418953</v>
      </c>
      <c r="AH191" s="1005">
        <v>0.0481407850190389</v>
      </c>
      <c r="AI191" s="1007">
        <v>0.05036470036821433</v>
      </c>
      <c r="AJ191" s="985">
        <v>0.05124852553285123</v>
      </c>
      <c r="AK191" s="985">
        <v>0.05212992314633573</v>
      </c>
      <c r="AL191" s="986">
        <v>0.05300946187934081</v>
      </c>
      <c r="AM191" s="986">
        <v>0.05388771040253945</v>
      </c>
      <c r="AN191" s="1210">
        <v>0.054765237386604645</v>
      </c>
      <c r="AO191" s="610"/>
      <c r="AP191" s="610"/>
      <c r="AQ191" s="610"/>
      <c r="AR191" s="610"/>
      <c r="AS191" s="610"/>
      <c r="AT191" s="610"/>
      <c r="AU191" s="610"/>
      <c r="AV191" s="610"/>
      <c r="AW191" s="610"/>
      <c r="AX191" s="610"/>
      <c r="AY191" s="610"/>
      <c r="AZ191" s="610"/>
      <c r="BA191" s="610"/>
      <c r="BB191" s="610"/>
      <c r="BC191" s="610"/>
      <c r="BD191" s="610"/>
      <c r="BE191" s="610"/>
      <c r="BF191" s="610"/>
      <c r="BH191" s="1056">
        <f t="shared" si="16"/>
        <v>7500000</v>
      </c>
      <c r="BI191" s="577">
        <v>0.05361731793246166</v>
      </c>
      <c r="BJ191" s="577">
        <v>0.05361731793246166</v>
      </c>
      <c r="BK191" s="577">
        <v>0.05361731793246166</v>
      </c>
      <c r="BL191" s="577">
        <v>0.05361731793246166</v>
      </c>
      <c r="BM191" s="577">
        <v>0.05361731793246166</v>
      </c>
      <c r="BN191" s="577">
        <v>0.05361731793246166</v>
      </c>
      <c r="BO191" s="577">
        <v>0.05361731793246166</v>
      </c>
      <c r="BP191" s="577">
        <v>0.05361731793246166</v>
      </c>
      <c r="BQ191" s="577">
        <v>0.05361731793246167</v>
      </c>
      <c r="BR191" s="577">
        <v>0.05361731793246166</v>
      </c>
      <c r="BS191" s="577">
        <v>0.05361731793246166</v>
      </c>
      <c r="BT191" s="577">
        <v>0.05361731793246166</v>
      </c>
      <c r="BU191" s="577">
        <v>0.05361731793246166</v>
      </c>
      <c r="BV191" s="577">
        <v>0.05361731793246167</v>
      </c>
    </row>
    <row r="192">
      <c r="E192" s="174"/>
      <c r="F192" s="220"/>
      <c r="G192" s="175"/>
      <c r="H192" s="175"/>
      <c r="I192" s="175"/>
      <c r="J192" s="175"/>
      <c r="K192" s="175"/>
      <c r="L192" s="175"/>
      <c r="M192" s="175"/>
      <c r="N192" s="175"/>
      <c r="O192" s="175"/>
      <c r="P192" s="175"/>
      <c r="Q192" s="175"/>
      <c r="R192" s="1222"/>
      <c r="S192" s="1056">
        <f t="shared" si="14"/>
        <v>9000000</v>
      </c>
      <c r="T192" s="1073">
        <v>0.04894569084089253</v>
      </c>
      <c r="U192" s="1064">
        <v>0.05659345503478197</v>
      </c>
      <c r="V192" s="1064">
        <v>0.06424121922867145</v>
      </c>
      <c r="W192" s="1064">
        <v>0.0718889834225609</v>
      </c>
      <c r="X192" s="1064">
        <v>0.07953674761645037</v>
      </c>
      <c r="Y192" s="1064">
        <v>0.08718451181033982</v>
      </c>
      <c r="Z192" s="1064">
        <v>0.09483227600422925</v>
      </c>
      <c r="AA192" s="577"/>
      <c r="AC192" s="1222"/>
      <c r="AD192" s="1056">
        <f t="shared" si="15"/>
        <v>9000000</v>
      </c>
      <c r="AE192" s="994">
        <v>0.0401051178994817</v>
      </c>
      <c r="AF192" s="967">
        <v>0.04237278226733856</v>
      </c>
      <c r="AG192" s="861">
        <v>0.044596342457730566</v>
      </c>
      <c r="AH192" s="820">
        <v>0.04678443360435084</v>
      </c>
      <c r="AI192" s="843">
        <v>0.04894569084089253</v>
      </c>
      <c r="AJ192" s="762">
        <v>0.049804614510634435</v>
      </c>
      <c r="AK192" s="785">
        <v>0.05066117902471102</v>
      </c>
      <c r="AL192" s="804">
        <v>0.05151593703167867</v>
      </c>
      <c r="AM192" s="804">
        <v>0.052369441180093707</v>
      </c>
      <c r="AN192" s="887">
        <v>0.053222244118512486</v>
      </c>
      <c r="AO192" s="610"/>
      <c r="AP192" s="610"/>
      <c r="AQ192" s="610"/>
      <c r="AR192" s="610"/>
      <c r="AS192" s="610"/>
      <c r="AT192" s="610"/>
      <c r="AU192" s="610"/>
      <c r="AV192" s="610"/>
      <c r="AW192" s="610"/>
      <c r="AX192" s="610"/>
      <c r="AY192" s="610"/>
      <c r="AZ192" s="610"/>
      <c r="BA192" s="610"/>
      <c r="BB192" s="610"/>
      <c r="BC192" s="610"/>
      <c r="BD192" s="610"/>
      <c r="BE192" s="610"/>
      <c r="BF192" s="610"/>
      <c r="BH192" s="1056">
        <f t="shared" si="16"/>
        <v>8000000</v>
      </c>
      <c r="BI192" s="577">
        <v>0.051914744855183104</v>
      </c>
      <c r="BJ192" s="577">
        <v>0.051914744855183104</v>
      </c>
      <c r="BK192" s="577">
        <v>0.051914744855183104</v>
      </c>
      <c r="BL192" s="577">
        <v>0.051914744855183104</v>
      </c>
      <c r="BM192" s="577">
        <v>0.051914744855183104</v>
      </c>
      <c r="BN192" s="577">
        <v>0.051914744855183104</v>
      </c>
      <c r="BO192" s="577">
        <v>0.051914744855183104</v>
      </c>
      <c r="BP192" s="577">
        <v>0.051914744855183104</v>
      </c>
      <c r="BQ192" s="577">
        <v>0.0519147448551831</v>
      </c>
      <c r="BR192" s="577">
        <v>0.051914744855183104</v>
      </c>
      <c r="BS192" s="577">
        <v>0.051914744855183104</v>
      </c>
      <c r="BT192" s="577">
        <v>0.051914744855183104</v>
      </c>
      <c r="BU192" s="577">
        <v>0.051914744855183104</v>
      </c>
      <c r="BV192" s="577">
        <v>0.0519147448551831</v>
      </c>
    </row>
    <row r="193">
      <c r="E193" s="174"/>
      <c r="F193" s="175"/>
      <c r="G193" s="220"/>
      <c r="H193" s="220"/>
      <c r="I193" s="220"/>
      <c r="J193" s="220"/>
      <c r="K193" s="220"/>
      <c r="L193" s="220"/>
      <c r="M193" s="220"/>
      <c r="N193" s="220"/>
      <c r="O193" s="220"/>
      <c r="P193" s="220"/>
      <c r="Q193" s="220"/>
      <c r="R193" s="1222"/>
      <c r="S193" s="1056">
        <f t="shared" si="14"/>
        <v>9500000</v>
      </c>
      <c r="T193" s="1073">
        <v>0.047640237158619196</v>
      </c>
      <c r="U193" s="1064">
        <v>0.05508402421465345</v>
      </c>
      <c r="V193" s="1064">
        <v>0.0625278112706877</v>
      </c>
      <c r="W193" s="1064">
        <v>0.06997159832672195</v>
      </c>
      <c r="X193" s="1064">
        <v>0.0774153853827562</v>
      </c>
      <c r="Y193" s="1064">
        <v>0.08485917243879045</v>
      </c>
      <c r="Z193" s="1064">
        <v>0.0923029594948247</v>
      </c>
      <c r="AA193" s="577"/>
      <c r="AC193" s="1222"/>
      <c r="AD193" s="1056">
        <f t="shared" si="15"/>
        <v>9500000</v>
      </c>
      <c r="AE193" s="1002">
        <v>0.03903545532162421</v>
      </c>
      <c r="AF193" s="980">
        <v>0.04124263774003221</v>
      </c>
      <c r="AG193" s="981">
        <v>0.0434068923043633</v>
      </c>
      <c r="AH193" s="982">
        <v>0.04553662383657359</v>
      </c>
      <c r="AI193" s="1413">
        <v>0.047640237158619196</v>
      </c>
      <c r="AJ193" s="1005">
        <v>0.048476252068709494</v>
      </c>
      <c r="AK193" s="1006">
        <v>0.049309970745291615</v>
      </c>
      <c r="AL193" s="1007">
        <v>0.050141931096970745</v>
      </c>
      <c r="AM193" s="1008">
        <v>0.05097267103235207</v>
      </c>
      <c r="AN193" s="985">
        <v>0.0518027284600408</v>
      </c>
      <c r="AO193" s="610"/>
      <c r="AP193" s="610"/>
      <c r="AQ193" s="610"/>
      <c r="AR193" s="610"/>
      <c r="AS193" s="610"/>
      <c r="AT193" s="610"/>
      <c r="AU193" s="610"/>
      <c r="AV193" s="610"/>
      <c r="AW193" s="610"/>
      <c r="AX193" s="610"/>
      <c r="AY193" s="610"/>
      <c r="AZ193" s="610"/>
      <c r="BA193" s="610"/>
      <c r="BB193" s="610"/>
      <c r="BC193" s="610"/>
      <c r="BD193" s="610"/>
      <c r="BE193" s="610"/>
      <c r="BF193" s="610"/>
      <c r="BH193" s="1056">
        <f t="shared" si="16"/>
        <v>8500000</v>
      </c>
      <c r="BI193" s="594">
        <v>0.05036470036821433</v>
      </c>
      <c r="BJ193" s="594">
        <v>0.05036470036821433</v>
      </c>
      <c r="BK193" s="594">
        <v>0.05036470036821433</v>
      </c>
      <c r="BL193" s="594">
        <v>0.05036470036821433</v>
      </c>
      <c r="BM193" s="594">
        <v>0.05036470036821433</v>
      </c>
      <c r="BN193" s="594">
        <v>0.05036470036821433</v>
      </c>
      <c r="BO193" s="594">
        <v>0.05036470036821433</v>
      </c>
      <c r="BP193" s="594">
        <v>0.05036470036821433</v>
      </c>
      <c r="BQ193" s="594">
        <v>0.05036470036821434</v>
      </c>
      <c r="BR193" s="594">
        <v>0.05036470036821433</v>
      </c>
      <c r="BS193" s="594">
        <v>0.05036470036821433</v>
      </c>
      <c r="BT193" s="594">
        <v>0.05036470036821433</v>
      </c>
      <c r="BU193" s="594">
        <v>0.05036470036821433</v>
      </c>
      <c r="BV193" s="594">
        <v>0.05036470036821434</v>
      </c>
    </row>
    <row r="194">
      <c r="E194" s="174"/>
      <c r="F194" s="220"/>
      <c r="G194" s="220"/>
      <c r="H194" s="220"/>
      <c r="I194" s="220"/>
      <c r="J194" s="220"/>
      <c r="K194" s="220"/>
      <c r="L194" s="220"/>
      <c r="M194" s="220"/>
      <c r="N194" s="220"/>
      <c r="O194" s="220"/>
      <c r="P194" s="220"/>
      <c r="Q194" s="220"/>
      <c r="R194" s="1222"/>
      <c r="S194" s="1056">
        <f t="shared" si="14"/>
        <v>10000000</v>
      </c>
      <c r="T194" s="1073">
        <v>0.046433959412298755</v>
      </c>
      <c r="U194" s="1064">
        <v>0.05368926557047042</v>
      </c>
      <c r="V194" s="1064">
        <v>0.0609445717286421</v>
      </c>
      <c r="W194" s="1064">
        <v>0.06819987788681378</v>
      </c>
      <c r="X194" s="1064">
        <v>0.07545518404498547</v>
      </c>
      <c r="Y194" s="1064">
        <v>0.08271049020315714</v>
      </c>
      <c r="Z194" s="1064">
        <v>0.08996579636132883</v>
      </c>
      <c r="AA194" s="610"/>
      <c r="AC194" s="1222"/>
      <c r="AD194" s="1056">
        <f t="shared" si="15"/>
        <v>10000000</v>
      </c>
      <c r="AE194" s="819">
        <v>0.03804705551758499</v>
      </c>
      <c r="AF194" s="994">
        <v>0.04019835082895508</v>
      </c>
      <c r="AG194" s="967">
        <v>0.04230780524379</v>
      </c>
      <c r="AH194" s="861">
        <v>0.04438361076920085</v>
      </c>
      <c r="AI194" s="956">
        <v>0.046433959412298755</v>
      </c>
      <c r="AJ194" s="880">
        <v>0.04724880595208316</v>
      </c>
      <c r="AK194" s="880">
        <v>0.048061414400290374</v>
      </c>
      <c r="AL194" s="843">
        <v>0.04887230904537552</v>
      </c>
      <c r="AM194" s="762">
        <v>0.04968201417579368</v>
      </c>
      <c r="AN194" s="762">
        <v>0.05049105408000001</v>
      </c>
      <c r="AO194" s="610"/>
      <c r="AP194" s="610"/>
      <c r="AQ194" s="610"/>
      <c r="AR194" s="610"/>
      <c r="AS194" s="610"/>
      <c r="AT194" s="610"/>
      <c r="AU194" s="610"/>
      <c r="AV194" s="610"/>
      <c r="AW194" s="610"/>
      <c r="AX194" s="610"/>
      <c r="AY194" s="610"/>
      <c r="AZ194" s="610"/>
      <c r="BA194" s="610"/>
      <c r="BB194" s="610"/>
      <c r="BC194" s="610"/>
      <c r="BD194" s="610"/>
      <c r="BE194" s="610"/>
      <c r="BF194" s="610"/>
      <c r="BG194" s="1227"/>
      <c r="BH194" s="1056">
        <f t="shared" si="16"/>
        <v>9000000</v>
      </c>
      <c r="BI194" s="577">
        <v>0.04894569084089253</v>
      </c>
      <c r="BJ194" s="577">
        <v>0.04894569084089253</v>
      </c>
      <c r="BK194" s="577">
        <v>0.04894569084089253</v>
      </c>
      <c r="BL194" s="577">
        <v>0.04894569084089253</v>
      </c>
      <c r="BM194" s="577">
        <v>0.04894569084089253</v>
      </c>
      <c r="BN194" s="577">
        <v>0.04894569084089253</v>
      </c>
      <c r="BO194" s="577">
        <v>0.04894569084089253</v>
      </c>
      <c r="BP194" s="577">
        <v>0.04894569084089253</v>
      </c>
      <c r="BQ194" s="577">
        <v>0.04894569084089253</v>
      </c>
      <c r="BR194" s="577">
        <v>0.04894569084089253</v>
      </c>
      <c r="BS194" s="577">
        <v>0.04894569084089253</v>
      </c>
      <c r="BT194" s="577">
        <v>0.04894569084089253</v>
      </c>
      <c r="BU194" s="577">
        <v>0.04894569084089253</v>
      </c>
      <c r="BV194" s="577">
        <v>0.04894569084089253</v>
      </c>
    </row>
    <row r="195">
      <c r="E195" s="174"/>
      <c r="F195" s="220"/>
      <c r="G195" s="220"/>
      <c r="H195" s="220"/>
      <c r="I195" s="220"/>
      <c r="J195" s="220"/>
      <c r="K195" s="220"/>
      <c r="L195" s="220"/>
      <c r="M195" s="220"/>
      <c r="N195" s="220"/>
      <c r="O195" s="220"/>
      <c r="P195" s="220"/>
      <c r="Q195" s="220"/>
      <c r="R195" s="610"/>
      <c r="S195" s="610"/>
      <c r="T195" s="610"/>
      <c r="U195" s="610"/>
      <c r="V195" s="610"/>
      <c r="W195" s="610"/>
      <c r="X195" s="610"/>
      <c r="Y195" s="610"/>
      <c r="Z195" s="610"/>
      <c r="AA195" s="610"/>
      <c r="AC195" s="610"/>
      <c r="AD195" s="610"/>
      <c r="AE195" s="610"/>
      <c r="AF195" s="610"/>
      <c r="AG195" s="610"/>
      <c r="AH195" s="610"/>
      <c r="AI195" s="610"/>
      <c r="AJ195" s="610"/>
      <c r="AK195" s="610"/>
      <c r="AL195" s="610"/>
      <c r="AM195" s="610"/>
      <c r="AN195" s="610"/>
      <c r="AO195" s="610"/>
      <c r="AP195" s="610"/>
      <c r="AQ195" s="610"/>
      <c r="AR195" s="610"/>
      <c r="AS195" s="610"/>
      <c r="AT195" s="610"/>
      <c r="AU195" s="610"/>
      <c r="AV195" s="610"/>
      <c r="AW195" s="610"/>
      <c r="AX195" s="610"/>
      <c r="AY195" s="610"/>
      <c r="AZ195" s="610"/>
      <c r="BA195" s="610"/>
      <c r="BB195" s="610"/>
      <c r="BC195" s="610"/>
      <c r="BD195" s="610"/>
      <c r="BE195" s="610"/>
      <c r="BF195" s="610"/>
      <c r="BG195" s="1227"/>
      <c r="BH195" s="1056">
        <f t="shared" si="16"/>
        <v>9500000</v>
      </c>
      <c r="BI195" s="594">
        <v>0.047640237158619196</v>
      </c>
      <c r="BJ195" s="594">
        <v>0.047640237158619196</v>
      </c>
      <c r="BK195" s="594">
        <v>0.04764023715861919</v>
      </c>
      <c r="BL195" s="594">
        <v>0.047640237158619196</v>
      </c>
      <c r="BM195" s="594">
        <v>0.047640237158619196</v>
      </c>
      <c r="BN195" s="594">
        <v>0.047640237158619196</v>
      </c>
      <c r="BO195" s="594">
        <v>0.047640237158619196</v>
      </c>
      <c r="BP195" s="594">
        <v>0.047640237158619196</v>
      </c>
      <c r="BQ195" s="594">
        <v>0.047640237158619196</v>
      </c>
      <c r="BR195" s="594">
        <v>0.047640237158619196</v>
      </c>
      <c r="BS195" s="594">
        <v>0.047640237158619196</v>
      </c>
      <c r="BT195" s="594">
        <v>0.047640237158619196</v>
      </c>
      <c r="BU195" s="594">
        <v>0.047640237158619196</v>
      </c>
      <c r="BV195" s="594">
        <v>0.047640237158619196</v>
      </c>
    </row>
    <row r="196">
      <c r="E196" s="174"/>
      <c r="F196" s="220"/>
      <c r="G196" s="220"/>
      <c r="H196" s="220"/>
      <c r="I196" s="220"/>
      <c r="J196" s="220"/>
      <c r="K196" s="220"/>
      <c r="L196" s="220"/>
      <c r="M196" s="220"/>
      <c r="N196" s="220"/>
      <c r="O196" s="220"/>
      <c r="P196" s="220"/>
      <c r="Q196" s="220"/>
      <c r="R196" s="610"/>
      <c r="S196" s="610"/>
      <c r="T196" s="610"/>
      <c r="U196" s="610"/>
      <c r="V196" s="610"/>
      <c r="W196" s="610"/>
      <c r="X196" s="610"/>
      <c r="Y196" s="610"/>
      <c r="Z196" s="610"/>
      <c r="AA196" s="610"/>
      <c r="AC196" s="610"/>
      <c r="AD196" s="610"/>
      <c r="AE196" s="610"/>
      <c r="AF196" s="610"/>
      <c r="AG196" s="610"/>
      <c r="AH196" s="610"/>
      <c r="AI196" s="610"/>
      <c r="AJ196" s="610"/>
      <c r="AK196" s="610"/>
      <c r="AL196" s="610"/>
      <c r="AM196" s="610"/>
      <c r="AN196" s="610"/>
      <c r="AO196" s="610"/>
      <c r="AP196" s="610"/>
      <c r="AQ196" s="610"/>
      <c r="AR196" s="610"/>
      <c r="AS196" s="610"/>
      <c r="AT196" s="610"/>
      <c r="AU196" s="610"/>
      <c r="AV196" s="610"/>
      <c r="AW196" s="610"/>
      <c r="AX196" s="610"/>
      <c r="AY196" s="610"/>
      <c r="AZ196" s="610"/>
      <c r="BA196" s="610"/>
      <c r="BB196" s="610"/>
      <c r="BC196" s="610"/>
      <c r="BD196" s="610"/>
      <c r="BE196" s="610"/>
      <c r="BF196" s="610"/>
      <c r="BG196" s="1222"/>
      <c r="BH196" s="1056">
        <f t="shared" si="16"/>
        <v>10000000</v>
      </c>
      <c r="BI196" s="594">
        <v>0.046433959412298755</v>
      </c>
      <c r="BJ196" s="594">
        <v>0.046433959412298755</v>
      </c>
      <c r="BK196" s="594">
        <v>0.046433959412298755</v>
      </c>
      <c r="BL196" s="594">
        <v>0.046433959412298755</v>
      </c>
      <c r="BM196" s="594">
        <v>0.046433959412298755</v>
      </c>
      <c r="BN196" s="594">
        <v>0.046433959412298755</v>
      </c>
      <c r="BO196" s="594">
        <v>0.046433959412298755</v>
      </c>
      <c r="BP196" s="594">
        <v>0.046433959412298755</v>
      </c>
      <c r="BQ196" s="594">
        <v>0.046433959412298755</v>
      </c>
      <c r="BR196" s="594">
        <v>0.046433959412298755</v>
      </c>
      <c r="BS196" s="594">
        <v>0.046433959412298755</v>
      </c>
      <c r="BT196" s="594">
        <v>0.046433959412298755</v>
      </c>
      <c r="BU196" s="594">
        <v>0.046433959412298755</v>
      </c>
      <c r="BV196" s="594">
        <v>0.046433959412298755</v>
      </c>
    </row>
    <row r="197">
      <c r="E197" s="174"/>
      <c r="F197" s="220"/>
      <c r="G197" s="220"/>
      <c r="H197" s="220"/>
      <c r="I197" s="220"/>
      <c r="J197" s="220"/>
      <c r="K197" s="220"/>
      <c r="L197" s="220"/>
      <c r="M197" s="220"/>
      <c r="N197" s="220"/>
      <c r="O197" s="220"/>
      <c r="P197" s="220"/>
      <c r="Q197" s="220"/>
    </row>
    <row r="198">
      <c r="E198" s="174"/>
      <c r="F198" s="220"/>
      <c r="G198" s="220"/>
      <c r="H198" s="220"/>
      <c r="I198" s="220"/>
      <c r="J198" s="220"/>
      <c r="K198" s="220"/>
      <c r="L198" s="220"/>
      <c r="M198" s="220"/>
      <c r="N198" s="220"/>
      <c r="O198" s="220"/>
      <c r="P198" s="220"/>
      <c r="Q198" s="220"/>
    </row>
    <row r="199">
      <c r="E199" s="174"/>
      <c r="F199" s="220"/>
      <c r="G199" s="175"/>
      <c r="H199" s="175"/>
      <c r="I199" s="175"/>
      <c r="J199" s="175"/>
      <c r="K199" s="175"/>
      <c r="L199" s="175"/>
      <c r="M199" s="175"/>
      <c r="N199" s="175"/>
      <c r="O199" s="175"/>
      <c r="P199" s="175"/>
      <c r="Q199" s="175"/>
    </row>
    <row r="200">
      <c r="E200" s="174"/>
      <c r="F200" s="175"/>
      <c r="G200" s="220"/>
      <c r="H200" s="220"/>
      <c r="I200" s="220"/>
      <c r="J200" s="220"/>
      <c r="K200" s="220"/>
      <c r="L200" s="220"/>
      <c r="M200" s="220"/>
      <c r="N200" s="220"/>
      <c r="O200" s="220"/>
      <c r="P200" s="220"/>
      <c r="Q200" s="220"/>
    </row>
    <row r="201">
      <c r="E201" s="174"/>
      <c r="F201" s="220"/>
      <c r="G201" s="220"/>
      <c r="H201" s="220"/>
      <c r="I201" s="220"/>
      <c r="J201" s="220"/>
      <c r="K201" s="220"/>
      <c r="L201" s="220"/>
      <c r="M201" s="220"/>
      <c r="N201" s="220"/>
      <c r="O201" s="220"/>
      <c r="P201" s="220"/>
      <c r="Q201" s="220"/>
    </row>
    <row r="202">
      <c r="E202" s="174"/>
      <c r="F202" s="220"/>
      <c r="G202" s="220"/>
      <c r="H202" s="220"/>
      <c r="I202" s="220"/>
      <c r="J202" s="220"/>
      <c r="K202" s="220"/>
      <c r="L202" s="220"/>
      <c r="M202" s="220"/>
      <c r="N202" s="220"/>
      <c r="O202" s="220"/>
      <c r="P202" s="220"/>
      <c r="Q202" s="220"/>
      <c r="R202" s="1125" t="s">
        <v>152</v>
      </c>
      <c r="S202" s="556"/>
      <c r="T202" s="556"/>
      <c r="U202" s="556"/>
      <c r="V202" s="556"/>
      <c r="W202" s="556"/>
      <c r="X202" s="556"/>
      <c r="Y202" s="556"/>
      <c r="Z202" s="556"/>
      <c r="AA202" s="556"/>
      <c r="AB202" s="556"/>
      <c r="AC202" s="556"/>
      <c r="AD202" s="556"/>
      <c r="AE202" s="556"/>
      <c r="AF202" s="556"/>
      <c r="AG202" s="556"/>
      <c r="AH202" s="556"/>
      <c r="AI202" s="556"/>
      <c r="AJ202" s="556"/>
      <c r="AK202" s="556"/>
      <c r="AL202" s="556"/>
      <c r="AM202" s="556"/>
      <c r="AN202" s="556"/>
      <c r="AO202" s="556"/>
      <c r="AP202" s="556"/>
      <c r="AQ202" s="556"/>
      <c r="AR202" s="556"/>
      <c r="AS202" s="556"/>
      <c r="AT202" s="556"/>
      <c r="AU202" s="556"/>
      <c r="AV202" s="556"/>
      <c r="AW202" s="556"/>
      <c r="AX202" s="556"/>
      <c r="AY202" s="556"/>
      <c r="AZ202" s="556"/>
      <c r="BA202" s="556"/>
      <c r="BB202" s="556"/>
      <c r="BC202" s="556"/>
      <c r="BD202" s="556"/>
      <c r="BE202" s="556"/>
      <c r="BF202" s="556"/>
      <c r="BG202" s="556"/>
      <c r="BH202" s="556"/>
      <c r="BI202" s="556"/>
      <c r="BJ202" s="556"/>
      <c r="BK202" s="556"/>
      <c r="BL202" s="556"/>
      <c r="BM202" s="556"/>
      <c r="BN202" s="556"/>
      <c r="BO202" s="556"/>
      <c r="BP202" s="556"/>
      <c r="BQ202" s="556"/>
      <c r="BR202" s="556"/>
      <c r="BS202" s="556"/>
      <c r="BT202" s="556"/>
      <c r="BU202" s="556"/>
      <c r="BV202" s="557"/>
    </row>
    <row r="203">
      <c r="E203" s="174"/>
      <c r="F203" s="220"/>
      <c r="G203" s="220"/>
      <c r="H203" s="220"/>
      <c r="I203" s="220"/>
      <c r="J203" s="220"/>
      <c r="K203" s="220"/>
      <c r="L203" s="220"/>
      <c r="M203" s="220"/>
      <c r="N203" s="220"/>
      <c r="O203" s="220"/>
      <c r="P203" s="220"/>
      <c r="Q203" s="220"/>
      <c r="R203" s="559"/>
      <c r="BV203" s="560"/>
    </row>
    <row r="204">
      <c r="E204" s="174"/>
      <c r="F204" s="220"/>
      <c r="G204" s="220"/>
      <c r="H204" s="220"/>
      <c r="I204" s="220"/>
      <c r="J204" s="220"/>
      <c r="K204" s="220"/>
      <c r="L204" s="220"/>
      <c r="M204" s="220"/>
      <c r="N204" s="220"/>
      <c r="O204" s="220"/>
      <c r="P204" s="220"/>
      <c r="Q204" s="220"/>
      <c r="R204" s="559"/>
      <c r="BV204" s="560"/>
    </row>
    <row r="205">
      <c r="E205" s="174"/>
      <c r="F205" s="220"/>
      <c r="G205" s="220"/>
      <c r="H205" s="220"/>
      <c r="I205" s="220"/>
      <c r="J205" s="220"/>
      <c r="K205" s="220"/>
      <c r="L205" s="220"/>
      <c r="M205" s="220"/>
      <c r="N205" s="220"/>
      <c r="O205" s="220"/>
      <c r="P205" s="220"/>
      <c r="Q205" s="220"/>
      <c r="R205" s="574"/>
      <c r="S205" s="575"/>
      <c r="T205" s="575"/>
      <c r="U205" s="575"/>
      <c r="V205" s="575"/>
      <c r="W205" s="575"/>
      <c r="X205" s="575"/>
      <c r="Y205" s="575"/>
      <c r="Z205" s="575"/>
      <c r="AA205" s="575"/>
      <c r="AB205" s="575"/>
      <c r="AC205" s="575"/>
      <c r="AD205" s="575"/>
      <c r="AE205" s="575"/>
      <c r="AF205" s="575"/>
      <c r="AG205" s="575"/>
      <c r="AH205" s="575"/>
      <c r="AI205" s="575"/>
      <c r="AJ205" s="575"/>
      <c r="AK205" s="575"/>
      <c r="AL205" s="575"/>
      <c r="AM205" s="575"/>
      <c r="AN205" s="575"/>
      <c r="AO205" s="575"/>
      <c r="AP205" s="575"/>
      <c r="AQ205" s="575"/>
      <c r="AR205" s="575"/>
      <c r="AS205" s="575"/>
      <c r="AT205" s="575"/>
      <c r="AU205" s="575"/>
      <c r="AV205" s="575"/>
      <c r="AW205" s="575"/>
      <c r="AX205" s="575"/>
      <c r="AY205" s="575"/>
      <c r="AZ205" s="575"/>
      <c r="BA205" s="575"/>
      <c r="BB205" s="575"/>
      <c r="BC205" s="575"/>
      <c r="BD205" s="575"/>
      <c r="BE205" s="575"/>
      <c r="BF205" s="575"/>
      <c r="BG205" s="575"/>
      <c r="BH205" s="575"/>
      <c r="BI205" s="575"/>
      <c r="BJ205" s="575"/>
      <c r="BK205" s="575"/>
      <c r="BL205" s="575"/>
      <c r="BM205" s="575"/>
      <c r="BN205" s="575"/>
      <c r="BO205" s="575"/>
      <c r="BP205" s="575"/>
      <c r="BQ205" s="575"/>
      <c r="BR205" s="575"/>
      <c r="BS205" s="575"/>
      <c r="BT205" s="575"/>
      <c r="BU205" s="575"/>
      <c r="BV205" s="576"/>
    </row>
    <row r="206">
      <c r="E206" s="174"/>
      <c r="F206" s="220"/>
      <c r="G206" s="220"/>
      <c r="H206" s="220"/>
      <c r="I206" s="220"/>
      <c r="J206" s="220"/>
      <c r="K206" s="220"/>
      <c r="L206" s="220"/>
      <c r="M206" s="220"/>
      <c r="N206" s="220"/>
      <c r="O206" s="220"/>
      <c r="P206" s="220"/>
      <c r="Q206" s="220"/>
    </row>
    <row r="207">
      <c r="E207" s="174"/>
      <c r="F207" s="220"/>
      <c r="G207" s="220"/>
      <c r="H207" s="220"/>
      <c r="I207" s="220"/>
      <c r="J207" s="220"/>
      <c r="K207" s="220"/>
      <c r="L207" s="220"/>
      <c r="M207" s="220"/>
      <c r="N207" s="220"/>
      <c r="O207" s="220"/>
    </row>
    <row r="208">
      <c r="E208" s="174"/>
      <c r="F208" s="220"/>
      <c r="G208" s="220"/>
      <c r="H208" s="220"/>
      <c r="I208" s="220"/>
      <c r="J208" s="220"/>
      <c r="K208" s="220"/>
      <c r="L208" s="220"/>
      <c r="M208" s="220"/>
      <c r="N208" s="220"/>
      <c r="O208" s="220"/>
    </row>
    <row r="209">
      <c r="E209" s="174"/>
      <c r="F209" s="220"/>
      <c r="G209" s="220"/>
      <c r="H209" s="220"/>
      <c r="I209" s="220"/>
      <c r="J209" s="220"/>
      <c r="K209" s="220"/>
      <c r="L209" s="220"/>
      <c r="M209" s="220"/>
      <c r="N209" s="220"/>
      <c r="O209" s="220"/>
    </row>
    <row r="210">
      <c r="E210" s="174"/>
      <c r="F210" s="220"/>
      <c r="G210" s="220"/>
      <c r="H210" s="220"/>
      <c r="I210" s="220"/>
      <c r="J210" s="220"/>
      <c r="K210" s="220"/>
      <c r="L210" s="220"/>
      <c r="M210" s="220"/>
      <c r="N210" s="220"/>
      <c r="O210" s="220"/>
    </row>
    <row r="211">
      <c r="E211" s="174"/>
      <c r="F211" s="220"/>
      <c r="G211" s="220"/>
      <c r="H211" s="220"/>
      <c r="I211" s="220"/>
      <c r="J211" s="220"/>
      <c r="K211" s="220"/>
      <c r="L211" s="220"/>
      <c r="M211" s="220"/>
      <c r="N211" s="220"/>
      <c r="O211" s="220"/>
    </row>
    <row r="212">
      <c r="E212" s="174"/>
      <c r="F212" s="220"/>
      <c r="G212" s="220"/>
      <c r="H212" s="220"/>
      <c r="I212" s="220"/>
      <c r="J212" s="220"/>
      <c r="K212" s="220"/>
      <c r="L212" s="220"/>
      <c r="M212" s="220"/>
      <c r="N212" s="220"/>
      <c r="O212" s="220"/>
    </row>
    <row r="213">
      <c r="E213" s="174"/>
      <c r="F213" s="220"/>
      <c r="G213" s="220"/>
      <c r="H213" s="220"/>
      <c r="I213" s="220"/>
      <c r="J213" s="220"/>
      <c r="K213" s="220"/>
      <c r="L213" s="220"/>
      <c r="M213" s="220"/>
      <c r="N213" s="220"/>
      <c r="O213" s="220"/>
    </row>
    <row r="214">
      <c r="E214" s="174"/>
      <c r="F214" s="220"/>
      <c r="G214" s="220"/>
      <c r="H214" s="220"/>
      <c r="I214" s="220"/>
      <c r="J214" s="220"/>
      <c r="K214" s="220"/>
      <c r="L214" s="220"/>
      <c r="M214" s="220"/>
      <c r="N214" s="220"/>
      <c r="O214" s="220"/>
    </row>
    <row r="215">
      <c r="E215" s="174"/>
      <c r="F215" s="220"/>
      <c r="G215" s="220"/>
      <c r="H215" s="220"/>
      <c r="I215" s="220"/>
      <c r="J215" s="220"/>
      <c r="K215" s="220"/>
      <c r="L215" s="220"/>
      <c r="M215" s="220"/>
      <c r="N215" s="220"/>
      <c r="O215" s="220"/>
    </row>
    <row r="216">
      <c r="E216" s="174"/>
      <c r="F216" s="220"/>
      <c r="G216" s="220"/>
      <c r="H216" s="220"/>
      <c r="I216" s="220"/>
      <c r="J216" s="220"/>
      <c r="K216" s="220"/>
      <c r="L216" s="220"/>
      <c r="M216" s="220"/>
      <c r="N216" s="220"/>
      <c r="O216" s="220"/>
      <c r="P216" s="220"/>
      <c r="Q216" s="220"/>
    </row>
    <row r="217">
      <c r="E217" s="174"/>
      <c r="F217" s="220"/>
      <c r="G217" s="220"/>
      <c r="H217" s="220"/>
      <c r="I217" s="220"/>
      <c r="J217" s="220"/>
      <c r="K217" s="220"/>
      <c r="L217" s="220"/>
      <c r="M217" s="220"/>
      <c r="N217" s="220"/>
      <c r="O217" s="220"/>
      <c r="P217" s="220"/>
      <c r="Q217" s="220"/>
    </row>
    <row r="218">
      <c r="E218" s="174"/>
      <c r="F218" s="220"/>
      <c r="G218" s="220"/>
      <c r="H218" s="220"/>
      <c r="I218" s="220"/>
      <c r="J218" s="220"/>
      <c r="K218" s="220"/>
      <c r="L218" s="220"/>
      <c r="M218" s="220"/>
      <c r="N218" s="220"/>
      <c r="O218" s="220"/>
      <c r="P218" s="220"/>
      <c r="Q218" s="220"/>
    </row>
    <row r="219">
      <c r="E219" s="174"/>
      <c r="F219" s="220"/>
      <c r="G219" s="220"/>
      <c r="H219" s="220"/>
      <c r="I219" s="220"/>
      <c r="J219" s="220"/>
      <c r="K219" s="220"/>
      <c r="L219" s="220"/>
      <c r="M219" s="220"/>
      <c r="N219" s="220"/>
      <c r="O219" s="220"/>
      <c r="P219" s="220"/>
      <c r="Q219" s="220"/>
    </row>
    <row r="220">
      <c r="E220" s="174"/>
      <c r="F220" s="220"/>
      <c r="G220" s="220"/>
      <c r="H220" s="220"/>
      <c r="I220" s="220"/>
      <c r="J220" s="220"/>
      <c r="K220" s="220"/>
      <c r="L220" s="220"/>
      <c r="M220" s="220"/>
      <c r="N220" s="220"/>
      <c r="O220" s="220"/>
      <c r="P220" s="220"/>
      <c r="Q220" s="220"/>
    </row>
    <row r="221">
      <c r="E221" s="174"/>
      <c r="F221" s="220"/>
      <c r="G221" s="220"/>
      <c r="H221" s="220"/>
      <c r="I221" s="220"/>
      <c r="J221" s="220"/>
      <c r="K221" s="220"/>
      <c r="L221" s="220"/>
      <c r="M221" s="220"/>
      <c r="N221" s="220"/>
      <c r="O221" s="220"/>
      <c r="P221" s="220"/>
      <c r="Q221" s="220"/>
      <c r="R221" s="1134"/>
    </row>
    <row r="222">
      <c r="E222" s="174"/>
      <c r="F222" s="220"/>
      <c r="G222" s="220"/>
      <c r="H222" s="220"/>
      <c r="I222" s="220"/>
      <c r="J222" s="220"/>
      <c r="K222" s="220"/>
      <c r="L222" s="220"/>
      <c r="M222" s="220"/>
      <c r="N222" s="220"/>
      <c r="O222" s="220"/>
      <c r="P222" s="220"/>
      <c r="Q222" s="220"/>
    </row>
    <row r="223">
      <c r="E223" s="174"/>
      <c r="F223" s="220"/>
      <c r="G223" s="220"/>
      <c r="H223" s="220"/>
      <c r="I223" s="220"/>
      <c r="J223" s="220"/>
      <c r="K223" s="220"/>
      <c r="L223" s="220"/>
      <c r="M223" s="220"/>
      <c r="N223" s="220"/>
      <c r="O223" s="220"/>
      <c r="P223" s="220"/>
      <c r="Q223" s="220"/>
    </row>
    <row r="224">
      <c r="E224" s="174"/>
      <c r="F224" s="220"/>
      <c r="G224" s="220"/>
      <c r="H224" s="220"/>
      <c r="I224" s="220"/>
      <c r="J224" s="220"/>
      <c r="K224" s="220"/>
      <c r="L224" s="220"/>
      <c r="M224" s="220"/>
      <c r="N224" s="220"/>
      <c r="O224" s="220"/>
      <c r="P224" s="220"/>
      <c r="Q224" s="220"/>
    </row>
    <row r="225">
      <c r="E225" s="174"/>
      <c r="F225" s="220"/>
      <c r="G225" s="220"/>
      <c r="H225" s="220"/>
      <c r="I225" s="220"/>
      <c r="J225" s="220"/>
      <c r="K225" s="220"/>
      <c r="L225" s="220"/>
      <c r="M225" s="220"/>
      <c r="N225" s="220"/>
      <c r="O225" s="220"/>
      <c r="P225" s="220"/>
      <c r="Q225" s="220"/>
    </row>
    <row r="226">
      <c r="E226" s="174"/>
      <c r="F226" s="220"/>
      <c r="G226" s="220"/>
      <c r="H226" s="220"/>
      <c r="I226" s="220"/>
      <c r="J226" s="220"/>
      <c r="K226" s="220"/>
      <c r="L226" s="220"/>
      <c r="M226" s="220"/>
      <c r="N226" s="220"/>
      <c r="O226" s="220"/>
      <c r="P226" s="220"/>
      <c r="Q226" s="220"/>
    </row>
    <row r="227">
      <c r="E227" s="174"/>
      <c r="F227" s="220"/>
      <c r="G227" s="220"/>
      <c r="H227" s="220"/>
      <c r="I227" s="220"/>
      <c r="J227" s="220"/>
      <c r="K227" s="220"/>
      <c r="L227" s="220"/>
      <c r="M227" s="220"/>
      <c r="N227" s="220"/>
      <c r="O227" s="220"/>
      <c r="P227" s="220"/>
      <c r="Q227" s="220"/>
    </row>
    <row r="228">
      <c r="E228" s="174"/>
      <c r="F228" s="220"/>
      <c r="G228" s="220"/>
      <c r="H228" s="220"/>
      <c r="I228" s="220"/>
      <c r="J228" s="220"/>
      <c r="K228" s="220"/>
      <c r="L228" s="220"/>
      <c r="M228" s="220"/>
      <c r="N228" s="220"/>
      <c r="O228" s="220"/>
      <c r="P228" s="220"/>
      <c r="Q228" s="220"/>
      <c r="BM228" s="171"/>
    </row>
    <row r="229">
      <c r="E229" s="174"/>
      <c r="F229" s="220"/>
      <c r="G229" s="175"/>
      <c r="H229" s="175"/>
      <c r="I229" s="175"/>
      <c r="J229" s="175"/>
      <c r="K229" s="175"/>
      <c r="L229" s="175"/>
      <c r="M229" s="175"/>
      <c r="N229" s="175"/>
      <c r="O229" s="175"/>
      <c r="P229" s="175"/>
      <c r="Q229" s="175"/>
      <c r="BM229" s="172"/>
    </row>
    <row r="230">
      <c r="E230" s="174"/>
      <c r="F230" s="175"/>
      <c r="BM230" s="173"/>
    </row>
    <row r="231">
      <c r="BM231" s="174"/>
    </row>
    <row r="232">
      <c r="BM232" s="175"/>
    </row>
    <row r="233">
      <c r="BM233" s="175"/>
      <c r="CT233" s="38"/>
    </row>
    <row r="234">
      <c r="AW234" s="176"/>
      <c r="AX234" s="177"/>
      <c r="AY234" s="51"/>
      <c r="AZ234" s="51"/>
      <c r="BA234" s="51"/>
      <c r="BB234" s="51"/>
      <c r="BC234" s="51"/>
      <c r="BD234" s="51"/>
      <c r="BE234" s="51"/>
      <c r="BF234" s="51"/>
      <c r="BG234" s="51"/>
      <c r="BH234" s="51"/>
      <c r="BI234" s="51"/>
      <c r="BJ234" s="51"/>
      <c r="BK234" s="51"/>
      <c r="BL234" s="51"/>
      <c r="BM234" s="175"/>
      <c r="CA234" s="580"/>
      <c r="CB234" s="569"/>
      <c r="CC234" s="569"/>
      <c r="CD234" s="569"/>
      <c r="CE234" s="569"/>
      <c r="CF234" s="569"/>
      <c r="CG234" s="569"/>
      <c r="CH234" s="569"/>
      <c r="CI234" s="569"/>
      <c r="CJ234" s="569"/>
      <c r="CK234" s="569"/>
      <c r="CL234" s="569"/>
      <c r="CM234" s="569"/>
      <c r="CN234" s="569"/>
      <c r="CO234" s="569"/>
      <c r="CP234" s="569"/>
    </row>
    <row r="235">
      <c r="AW235" s="176"/>
      <c r="AX235" s="177"/>
      <c r="AY235" s="51"/>
      <c r="AZ235" s="51"/>
      <c r="BA235" s="51"/>
      <c r="BB235" s="51"/>
      <c r="BC235" s="51"/>
      <c r="BD235" s="51"/>
      <c r="BE235" s="51"/>
      <c r="BF235" s="51"/>
      <c r="BG235" s="51"/>
      <c r="BH235" s="51"/>
      <c r="BI235" s="51"/>
      <c r="BJ235" s="51"/>
      <c r="BK235" s="51"/>
      <c r="BL235" s="51"/>
      <c r="BM235" s="175"/>
      <c r="CA235" s="584"/>
      <c r="CB235" s="581"/>
      <c r="CC235" s="581"/>
    </row>
    <row r="236">
      <c r="AW236" s="176"/>
      <c r="AX236" s="177"/>
      <c r="AY236" s="51"/>
      <c r="AZ236" s="51"/>
      <c r="BA236" s="51"/>
      <c r="BB236" s="51"/>
      <c r="BC236" s="51"/>
      <c r="BD236" s="51"/>
      <c r="BE236" s="51"/>
      <c r="BF236" s="51"/>
      <c r="BG236" s="51"/>
      <c r="BH236" s="51"/>
      <c r="BI236" s="51"/>
      <c r="BJ236" s="51"/>
      <c r="BK236" s="51"/>
      <c r="BL236" s="51"/>
      <c r="BM236" s="175"/>
      <c r="CA236" s="584"/>
      <c r="CB236" s="581"/>
      <c r="CC236" s="581"/>
      <c r="CD236" s="581"/>
      <c r="CE236" s="581"/>
      <c r="CF236" s="581"/>
      <c r="CG236" s="581"/>
      <c r="CH236" s="581"/>
      <c r="CI236" s="581"/>
      <c r="CJ236" s="581"/>
      <c r="CK236" s="581"/>
      <c r="CL236" s="581"/>
      <c r="CM236" s="581"/>
      <c r="CN236" s="581"/>
      <c r="CO236" s="581"/>
      <c r="CP236" s="581"/>
    </row>
    <row r="237">
      <c r="AW237" s="176"/>
      <c r="AX237" s="177"/>
      <c r="AY237" s="51"/>
      <c r="AZ237" s="51"/>
      <c r="BA237" s="51"/>
      <c r="BB237" s="51"/>
      <c r="BC237" s="51"/>
      <c r="BD237" s="51"/>
      <c r="BE237" s="51"/>
      <c r="BF237" s="51"/>
      <c r="BG237" s="51"/>
      <c r="BH237" s="51"/>
      <c r="BI237" s="51"/>
      <c r="BJ237" s="51"/>
      <c r="BK237" s="51"/>
      <c r="BL237" s="51"/>
      <c r="BM237" s="175"/>
      <c r="CA237" s="584"/>
      <c r="CB237" s="581"/>
      <c r="CC237" s="581"/>
      <c r="CD237" s="581"/>
      <c r="CE237" s="581"/>
      <c r="CF237" s="581"/>
      <c r="CG237" s="581"/>
      <c r="CH237" s="581"/>
      <c r="CI237" s="581"/>
      <c r="CJ237" s="581"/>
      <c r="CK237" s="581"/>
      <c r="CL237" s="581"/>
      <c r="CM237" s="581"/>
      <c r="CN237" s="581"/>
      <c r="CO237" s="581"/>
      <c r="CP237" s="581"/>
    </row>
    <row r="238">
      <c r="R238" s="1221" t="s">
        <v>84</v>
      </c>
      <c r="S238" s="1222"/>
      <c r="T238" s="1222"/>
      <c r="U238" s="1222"/>
      <c r="V238" s="1222"/>
      <c r="W238" s="1222"/>
      <c r="X238" s="1222"/>
      <c r="Y238" s="1222"/>
      <c r="Z238" s="1222"/>
      <c r="AA238" s="610"/>
      <c r="AB238" s="1221" t="s">
        <v>84</v>
      </c>
      <c r="AC238" s="1222"/>
      <c r="AD238" s="1222"/>
      <c r="AE238" s="1222"/>
      <c r="AF238" s="1222"/>
      <c r="AG238" s="1222"/>
      <c r="AH238" s="1222"/>
      <c r="AI238" s="1222"/>
      <c r="AJ238" s="1222"/>
      <c r="AK238" s="1222"/>
      <c r="AL238" s="1222"/>
      <c r="AM238" s="1222"/>
      <c r="AN238" s="610"/>
      <c r="AO238" s="1221" t="s">
        <v>84</v>
      </c>
      <c r="AP238" s="1222"/>
      <c r="AQ238" s="1222"/>
      <c r="AR238" s="1222"/>
      <c r="AS238" s="1222"/>
      <c r="AT238" s="1222"/>
      <c r="AU238" s="1222"/>
      <c r="AV238" s="1222"/>
      <c r="AW238" s="1222"/>
      <c r="AX238" s="1222"/>
      <c r="AY238" s="1222"/>
      <c r="AZ238" s="1222"/>
      <c r="BA238" s="1222"/>
      <c r="BB238" s="1222"/>
      <c r="BC238" s="1222"/>
      <c r="BD238" s="1222"/>
      <c r="BE238" s="610"/>
      <c r="BF238" s="1221" t="s">
        <v>84</v>
      </c>
      <c r="BG238" s="1222"/>
      <c r="BH238" s="1222"/>
      <c r="BI238" s="1222"/>
      <c r="BJ238" s="1222"/>
      <c r="BK238" s="1222"/>
      <c r="BL238" s="1222"/>
      <c r="BM238" s="1222"/>
      <c r="BN238" s="1222"/>
      <c r="BO238" s="1222"/>
      <c r="BP238" s="1222"/>
      <c r="BQ238" s="1222"/>
      <c r="BR238" s="1222"/>
      <c r="BS238" s="1222"/>
      <c r="BT238" s="1222"/>
      <c r="BU238" s="1222"/>
      <c r="CA238" s="553"/>
      <c r="CB238" s="597"/>
      <c r="CC238" s="586"/>
      <c r="CD238" s="587"/>
      <c r="CE238" s="587"/>
      <c r="CF238" s="587"/>
      <c r="CG238" s="587"/>
      <c r="CH238" s="586"/>
      <c r="CI238" s="586"/>
      <c r="CJ238" s="586"/>
      <c r="CK238" s="586"/>
      <c r="CL238" s="586"/>
      <c r="CM238" s="586"/>
      <c r="CN238" s="586"/>
      <c r="CO238" s="586"/>
      <c r="CP238" s="586"/>
    </row>
    <row r="239">
      <c r="R239" s="1052" t="s">
        <v>57</v>
      </c>
      <c r="AA239" s="610"/>
      <c r="AB239" s="1224" t="s">
        <v>58</v>
      </c>
      <c r="AC239" s="1100"/>
      <c r="AD239" s="1100"/>
      <c r="AE239" s="1100"/>
      <c r="AF239" s="1101" t="s">
        <v>59</v>
      </c>
      <c r="AG239" s="1101"/>
      <c r="AH239" s="1101"/>
      <c r="AI239" s="1101"/>
      <c r="AJ239" s="1101"/>
      <c r="AK239" s="1101"/>
      <c r="AL239" s="1101"/>
      <c r="AM239" s="1101"/>
      <c r="AN239" s="610"/>
      <c r="AO239" s="1224" t="s">
        <v>58</v>
      </c>
      <c r="AP239" s="1052"/>
      <c r="AQ239" s="1052" t="s">
        <v>44</v>
      </c>
      <c r="BE239" s="610"/>
      <c r="BF239" s="1224" t="s">
        <v>58</v>
      </c>
      <c r="BG239" s="1052"/>
      <c r="BH239" s="1052" t="s">
        <v>44</v>
      </c>
      <c r="CA239" s="588"/>
      <c r="CB239" s="586"/>
      <c r="CC239" s="1369"/>
      <c r="CD239" s="1369"/>
      <c r="CE239" s="1369"/>
      <c r="CF239" s="1369"/>
      <c r="CG239" s="1369"/>
      <c r="CH239" s="1369"/>
      <c r="CI239" s="1369"/>
      <c r="CJ239" s="1369"/>
      <c r="CK239" s="1369"/>
      <c r="CL239" s="1369"/>
      <c r="CM239" s="1369"/>
      <c r="CN239" s="1369"/>
      <c r="CO239" s="1369"/>
      <c r="CP239" s="1369"/>
    </row>
    <row r="240">
      <c r="R240" s="1100"/>
      <c r="S240" s="1103">
        <f>$F$93</f>
        <v>0.2053115915</v>
      </c>
      <c r="T240" s="681">
        <v>64.0</v>
      </c>
      <c r="U240" s="681">
        <f t="shared" ref="U240:Z240" si="17">T240+10</f>
        <v>74</v>
      </c>
      <c r="V240" s="681">
        <f t="shared" si="17"/>
        <v>84</v>
      </c>
      <c r="W240" s="681">
        <f t="shared" si="17"/>
        <v>94</v>
      </c>
      <c r="X240" s="681">
        <f t="shared" si="17"/>
        <v>104</v>
      </c>
      <c r="Y240" s="681">
        <f t="shared" si="17"/>
        <v>114</v>
      </c>
      <c r="Z240" s="681">
        <f t="shared" si="17"/>
        <v>124</v>
      </c>
      <c r="AA240" s="610"/>
      <c r="AB240" s="1100"/>
      <c r="AC240" s="683">
        <f>$F$93</f>
        <v>0.2053115915</v>
      </c>
      <c r="AD240" s="684">
        <f t="shared" ref="AD240:AF240" si="18">AE240-0.05</f>
        <v>0.7</v>
      </c>
      <c r="AE240" s="684">
        <f t="shared" si="18"/>
        <v>0.75</v>
      </c>
      <c r="AF240" s="684">
        <f t="shared" si="18"/>
        <v>0.8</v>
      </c>
      <c r="AG240" s="684">
        <v>0.85</v>
      </c>
      <c r="AH240" s="684">
        <v>0.9</v>
      </c>
      <c r="AI240" s="684">
        <f t="shared" ref="AI240:AM240" si="19">AH240+0.02</f>
        <v>0.92</v>
      </c>
      <c r="AJ240" s="684">
        <f t="shared" si="19"/>
        <v>0.94</v>
      </c>
      <c r="AK240" s="684">
        <f t="shared" si="19"/>
        <v>0.96</v>
      </c>
      <c r="AL240" s="684">
        <f t="shared" si="19"/>
        <v>0.98</v>
      </c>
      <c r="AM240" s="684">
        <f t="shared" si="19"/>
        <v>1</v>
      </c>
      <c r="AN240" s="610"/>
      <c r="AO240" s="1224" t="s">
        <v>63</v>
      </c>
      <c r="AP240" s="1052"/>
      <c r="AQ240" s="1052"/>
      <c r="AR240" s="1052"/>
      <c r="AS240" s="1052"/>
      <c r="AT240" s="1052"/>
      <c r="AU240" s="1052"/>
      <c r="AV240" s="1052"/>
      <c r="AW240" s="1052"/>
      <c r="AX240" s="1052"/>
      <c r="AY240" s="1052"/>
      <c r="AZ240" s="1052"/>
      <c r="BA240" s="1052"/>
      <c r="BB240" s="1052"/>
      <c r="BC240" s="1052"/>
      <c r="BD240" s="1052"/>
      <c r="BE240" s="610"/>
      <c r="BF240" s="1224" t="s">
        <v>63</v>
      </c>
      <c r="BG240" s="1052"/>
      <c r="BH240" s="1052"/>
      <c r="BI240" s="1052"/>
      <c r="BJ240" s="1052"/>
      <c r="BK240" s="1052"/>
      <c r="BL240" s="1052"/>
      <c r="BM240" s="1052"/>
      <c r="BN240" s="1052"/>
      <c r="BO240" s="1052"/>
      <c r="BP240" s="1052"/>
      <c r="BQ240" s="1052"/>
      <c r="BR240" s="1052"/>
      <c r="BS240" s="1052"/>
      <c r="BT240" s="1052"/>
      <c r="BU240" s="1052"/>
      <c r="CB240" s="586"/>
      <c r="CC240" s="1359"/>
      <c r="CD240" s="1359"/>
      <c r="CE240" s="1359"/>
      <c r="CF240" s="1359"/>
      <c r="CG240" s="1359"/>
      <c r="CH240" s="1359"/>
      <c r="CI240" s="1359"/>
      <c r="CJ240" s="1359"/>
      <c r="CK240" s="1359"/>
      <c r="CL240" s="1359"/>
      <c r="CM240" s="1359"/>
      <c r="CN240" s="1359"/>
      <c r="CO240" s="1359"/>
      <c r="CP240" s="1359"/>
    </row>
    <row r="241">
      <c r="R241" s="1225" t="s">
        <v>66</v>
      </c>
      <c r="S241" s="1062">
        <v>524288.0</v>
      </c>
      <c r="T241" s="590">
        <v>0.1592465085638881</v>
      </c>
      <c r="U241" s="590">
        <v>0.19162231178878822</v>
      </c>
      <c r="V241" s="590">
        <v>0.2239981150136881</v>
      </c>
      <c r="W241" s="590">
        <v>0.25637391823858807</v>
      </c>
      <c r="X241" s="590">
        <v>0.28874972146348804</v>
      </c>
      <c r="Y241" s="590">
        <v>0.32112552468838806</v>
      </c>
      <c r="Z241" s="590">
        <v>0.3535013279132879</v>
      </c>
      <c r="AA241" s="610"/>
      <c r="AB241" s="1225" t="s">
        <v>66</v>
      </c>
      <c r="AC241" s="1062">
        <v>524288.0</v>
      </c>
      <c r="AD241" s="704">
        <v>0.12094325188222346</v>
      </c>
      <c r="AE241" s="705">
        <v>0.13043451888306268</v>
      </c>
      <c r="AF241" s="706">
        <v>0.13974118867008806</v>
      </c>
      <c r="AG241" s="1144">
        <v>0.14889940343463576</v>
      </c>
      <c r="AH241" s="1234">
        <v>0.157945305368042</v>
      </c>
      <c r="AI241" s="709">
        <v>0.16154031439954425</v>
      </c>
      <c r="AJ241" s="710">
        <v>0.16512544922892314</v>
      </c>
      <c r="AK241" s="711">
        <v>0.1687030229564242</v>
      </c>
      <c r="AL241" s="712">
        <v>0.1722753486822929</v>
      </c>
      <c r="AM241" s="1141">
        <v>0.17584473950677487</v>
      </c>
      <c r="AN241" s="610"/>
      <c r="AO241" s="1224" t="s">
        <v>68</v>
      </c>
      <c r="AP241" s="1052"/>
      <c r="AQ241" s="1052"/>
      <c r="AR241" s="1052"/>
      <c r="AS241" s="1052"/>
      <c r="AT241" s="1052"/>
      <c r="AU241" s="1052"/>
      <c r="AV241" s="1052"/>
      <c r="AW241" s="1052"/>
      <c r="AX241" s="1052"/>
      <c r="AY241" s="1052"/>
      <c r="AZ241" s="1052"/>
      <c r="BA241" s="1052"/>
      <c r="BB241" s="1052"/>
      <c r="BC241" s="1052"/>
      <c r="BD241" s="1052"/>
      <c r="BE241" s="610"/>
      <c r="BF241" s="1224" t="s">
        <v>68</v>
      </c>
      <c r="BG241" s="1052"/>
      <c r="BH241" s="1052"/>
      <c r="BI241" s="1052"/>
      <c r="BJ241" s="1052"/>
      <c r="BK241" s="1052"/>
      <c r="BL241" s="1052"/>
      <c r="BM241" s="1052"/>
      <c r="BN241" s="1052"/>
      <c r="BO241" s="1052"/>
      <c r="BP241" s="1052"/>
      <c r="BQ241" s="1052"/>
      <c r="BR241" s="1052"/>
      <c r="BS241" s="1052"/>
      <c r="BT241" s="1052"/>
      <c r="BU241" s="1052"/>
      <c r="CB241" s="587"/>
      <c r="CC241" s="1369"/>
      <c r="CD241" s="1369"/>
      <c r="CE241" s="1369"/>
      <c r="CF241" s="1369"/>
      <c r="CG241" s="1369"/>
      <c r="CH241" s="1369"/>
      <c r="CI241" s="1369"/>
      <c r="CJ241" s="1369"/>
      <c r="CK241" s="1369"/>
      <c r="CL241" s="1369"/>
      <c r="CM241" s="1369"/>
      <c r="CN241" s="1369"/>
      <c r="CO241" s="1369"/>
      <c r="CP241" s="1369"/>
    </row>
    <row r="242">
      <c r="S242" s="1062">
        <v>1000000.0</v>
      </c>
      <c r="T242" s="591">
        <v>0.10207391580835928</v>
      </c>
      <c r="U242" s="591">
        <v>0.1255165014152078</v>
      </c>
      <c r="V242" s="591">
        <v>0.14895908702205637</v>
      </c>
      <c r="W242" s="591">
        <v>0.172401672628905</v>
      </c>
      <c r="X242" s="591">
        <v>0.19584425823575355</v>
      </c>
      <c r="Y242" s="591">
        <v>0.21928684384260214</v>
      </c>
      <c r="Z242" s="591">
        <v>0.24272942944945083</v>
      </c>
      <c r="AA242" s="610"/>
      <c r="AC242" s="1062">
        <v>1000000.0</v>
      </c>
      <c r="AD242" s="727">
        <v>0.07398036400435991</v>
      </c>
      <c r="AE242" s="728">
        <v>0.0808527754049057</v>
      </c>
      <c r="AF242" s="729">
        <v>0.08759152414517538</v>
      </c>
      <c r="AG242" s="1150">
        <v>0.09422277996707559</v>
      </c>
      <c r="AH242" s="1245">
        <v>0.10077271261251314</v>
      </c>
      <c r="AI242" s="732">
        <v>0.10337577720346568</v>
      </c>
      <c r="AJ242" s="733">
        <v>0.10597169210837128</v>
      </c>
      <c r="AK242" s="734">
        <v>0.10856213219071198</v>
      </c>
      <c r="AL242" s="735">
        <v>0.11114877231396979</v>
      </c>
      <c r="AM242" s="1153">
        <v>0.11373328734162673</v>
      </c>
      <c r="AN242" s="610"/>
      <c r="AO242" s="1100"/>
      <c r="AP242" s="1054">
        <f>F92</f>
        <v>106800.4619</v>
      </c>
      <c r="AQ242" s="1062">
        <v>1.0</v>
      </c>
      <c r="AR242" s="1056">
        <f t="shared" ref="AR242:AU242" si="20">AQ242+1</f>
        <v>2</v>
      </c>
      <c r="AS242" s="1056">
        <f t="shared" si="20"/>
        <v>3</v>
      </c>
      <c r="AT242" s="1056">
        <f t="shared" si="20"/>
        <v>4</v>
      </c>
      <c r="AU242" s="1056">
        <f t="shared" si="20"/>
        <v>5</v>
      </c>
      <c r="AV242" s="1062">
        <v>10.0</v>
      </c>
      <c r="AW242" s="1062">
        <v>15.0</v>
      </c>
      <c r="AX242" s="1062">
        <v>20.0</v>
      </c>
      <c r="AY242" s="1062">
        <v>25.0</v>
      </c>
      <c r="AZ242" s="1062">
        <v>30.0</v>
      </c>
      <c r="BA242" s="1062">
        <v>35.0</v>
      </c>
      <c r="BB242" s="1062">
        <v>40.0</v>
      </c>
      <c r="BC242" s="1062">
        <v>45.0</v>
      </c>
      <c r="BD242" s="1062">
        <v>50.0</v>
      </c>
      <c r="BE242" s="610"/>
      <c r="BF242" s="1100"/>
      <c r="BG242" s="1054">
        <f>$F$93</f>
        <v>0.2053115915</v>
      </c>
      <c r="BH242" s="1062">
        <v>1.0</v>
      </c>
      <c r="BI242" s="1056">
        <f t="shared" ref="BI242:BL242" si="21">BH242+1</f>
        <v>2</v>
      </c>
      <c r="BJ242" s="1056">
        <f t="shared" si="21"/>
        <v>3</v>
      </c>
      <c r="BK242" s="1056">
        <f t="shared" si="21"/>
        <v>4</v>
      </c>
      <c r="BL242" s="1056">
        <f t="shared" si="21"/>
        <v>5</v>
      </c>
      <c r="BM242" s="1062">
        <v>10.0</v>
      </c>
      <c r="BN242" s="1062">
        <v>15.0</v>
      </c>
      <c r="BO242" s="1062">
        <v>20.0</v>
      </c>
      <c r="BP242" s="1062">
        <v>25.0</v>
      </c>
      <c r="BQ242" s="1062">
        <v>30.0</v>
      </c>
      <c r="BR242" s="1062">
        <v>35.0</v>
      </c>
      <c r="BS242" s="1062">
        <v>40.0</v>
      </c>
      <c r="BT242" s="1062">
        <v>45.0</v>
      </c>
      <c r="BU242" s="1062">
        <v>50.0</v>
      </c>
      <c r="CB242" s="587"/>
      <c r="CC242" s="1369"/>
      <c r="CD242" s="1369"/>
      <c r="CE242" s="1369"/>
      <c r="CF242" s="1369"/>
      <c r="CG242" s="1369"/>
      <c r="CH242" s="1369"/>
      <c r="CI242" s="1369"/>
      <c r="CJ242" s="1369"/>
      <c r="CK242" s="1369"/>
      <c r="CL242" s="1369"/>
      <c r="CM242" s="1369"/>
      <c r="CN242" s="1369"/>
      <c r="CO242" s="1369"/>
      <c r="CP242" s="1369"/>
    </row>
    <row r="243">
      <c r="S243" s="1056">
        <f t="shared" ref="S243:S260" si="22">S242+500000</f>
        <v>1500000</v>
      </c>
      <c r="T243" s="590">
        <v>0.07454243029955163</v>
      </c>
      <c r="U243" s="590">
        <v>0.09368322129564902</v>
      </c>
      <c r="V243" s="590">
        <v>0.11282401229174634</v>
      </c>
      <c r="W243" s="590">
        <v>0.13196480328784377</v>
      </c>
      <c r="X243" s="590">
        <v>0.15110559428394119</v>
      </c>
      <c r="Y243" s="590">
        <v>0.17024638528003858</v>
      </c>
      <c r="Z243" s="590">
        <v>0.18938717627613597</v>
      </c>
      <c r="AA243" s="610"/>
      <c r="AC243" s="1056">
        <f t="shared" ref="AC243:AC260" si="23">AC242+500000</f>
        <v>1500000</v>
      </c>
      <c r="AD243" s="751">
        <v>0.051365366070124645</v>
      </c>
      <c r="AE243" s="752">
        <v>0.05697666648139901</v>
      </c>
      <c r="AF243" s="753">
        <v>0.06247883178756024</v>
      </c>
      <c r="AG243" s="1156">
        <v>0.06789322949339884</v>
      </c>
      <c r="AH243" s="1154">
        <v>0.0732412271037055</v>
      </c>
      <c r="AI243" s="756">
        <v>0.07536662044215227</v>
      </c>
      <c r="AJ243" s="757">
        <v>0.07748617608638704</v>
      </c>
      <c r="AK243" s="758">
        <v>0.07960126155671628</v>
      </c>
      <c r="AL243" s="759">
        <v>0.08171324437344679</v>
      </c>
      <c r="AM243" s="1159">
        <v>0.08382349205688504</v>
      </c>
      <c r="AN243" s="610"/>
      <c r="AO243" s="1225" t="s">
        <v>66</v>
      </c>
      <c r="AP243" s="1062">
        <v>524288.0</v>
      </c>
      <c r="AQ243" s="1266">
        <v>671.7573027706467</v>
      </c>
      <c r="AR243" s="1266">
        <v>1529.2075403459808</v>
      </c>
      <c r="AS243" s="1266">
        <v>2386.675015875607</v>
      </c>
      <c r="AT243" s="1266">
        <v>3244.1597125255867</v>
      </c>
      <c r="AU243" s="1266">
        <v>4101.661613478417</v>
      </c>
      <c r="AV243" s="1266">
        <v>8389.428595321582</v>
      </c>
      <c r="AW243" s="1266">
        <v>12677.623171535599</v>
      </c>
      <c r="AX243" s="1266">
        <v>16780.56757833121</v>
      </c>
      <c r="AY243" s="1266">
        <v>21069.611102074054</v>
      </c>
      <c r="AZ243" s="1266">
        <v>25359.075999235174</v>
      </c>
      <c r="BA243" s="1266">
        <v>29463.28453634179</v>
      </c>
      <c r="BB243" s="1266">
        <v>33753.58602992828</v>
      </c>
      <c r="BC243" s="1266">
        <v>38044.30276648739</v>
      </c>
      <c r="BD243" s="1266">
        <v>42149.75704242174</v>
      </c>
      <c r="BE243" s="610"/>
      <c r="BF243" s="1225" t="s">
        <v>66</v>
      </c>
      <c r="BG243" s="1062">
        <v>524288.0</v>
      </c>
      <c r="BH243" s="1073">
        <v>0.15652008138932835</v>
      </c>
      <c r="BI243" s="1073">
        <v>0.1776476726390425</v>
      </c>
      <c r="BJ243" s="1073">
        <v>0.184691510577815</v>
      </c>
      <c r="BK243" s="1073">
        <v>0.1882144092311942</v>
      </c>
      <c r="BL243" s="1073">
        <v>0.19032893140503795</v>
      </c>
      <c r="BM243" s="1073">
        <v>0.19456383474837033</v>
      </c>
      <c r="BN243" s="1073">
        <v>0.19598195591868434</v>
      </c>
      <c r="BO243" s="1073">
        <v>0.19458329503208527</v>
      </c>
      <c r="BP243" s="1073">
        <v>0.19543800293603963</v>
      </c>
      <c r="BQ243" s="1073">
        <v>0.1960110043798422</v>
      </c>
      <c r="BR243" s="1073">
        <v>0.19521583860714287</v>
      </c>
      <c r="BS243" s="1073">
        <v>0.1956781195040794</v>
      </c>
      <c r="BT243" s="1073">
        <v>0.19603977109563336</v>
      </c>
      <c r="BU243" s="1073">
        <v>0.1954859478418943</v>
      </c>
      <c r="CB243" s="587"/>
      <c r="CC243" s="1369"/>
      <c r="CD243" s="1369"/>
      <c r="CE243" s="1369"/>
      <c r="CF243" s="1369"/>
      <c r="CG243" s="1369"/>
      <c r="CH243" s="1369"/>
      <c r="CI243" s="1369"/>
      <c r="CJ243" s="1369"/>
      <c r="CK243" s="1369"/>
      <c r="CL243" s="1369"/>
      <c r="CM243" s="1369"/>
      <c r="CN243" s="1369"/>
      <c r="CO243" s="1369"/>
      <c r="CP243" s="1369"/>
    </row>
    <row r="244">
      <c r="S244" s="1056">
        <f t="shared" si="22"/>
        <v>2000000</v>
      </c>
      <c r="T244" s="590">
        <v>0.05813039993188057</v>
      </c>
      <c r="U244" s="590">
        <v>0.07470681118302937</v>
      </c>
      <c r="V244" s="590">
        <v>0.09128322243417818</v>
      </c>
      <c r="W244" s="590">
        <v>0.10785963368532692</v>
      </c>
      <c r="X244" s="590">
        <v>0.12443604493647567</v>
      </c>
      <c r="Y244" s="590">
        <v>0.14101245618762448</v>
      </c>
      <c r="Z244" s="590">
        <v>0.1575888674387733</v>
      </c>
      <c r="AA244" s="610"/>
      <c r="AC244" s="1056">
        <f t="shared" si="23"/>
        <v>2000000</v>
      </c>
      <c r="AD244" s="740">
        <v>0.03788414535129532</v>
      </c>
      <c r="AE244" s="766">
        <v>0.04274367405572502</v>
      </c>
      <c r="AF244" s="775">
        <v>0.04750868898668199</v>
      </c>
      <c r="AG244" s="799">
        <v>0.05219769494613041</v>
      </c>
      <c r="AH244" s="752">
        <v>0.05682919673603444</v>
      </c>
      <c r="AI244" s="778">
        <v>0.05866984136016358</v>
      </c>
      <c r="AJ244" s="779">
        <v>0.06050543039280553</v>
      </c>
      <c r="AK244" s="780">
        <v>0.06233714814128608</v>
      </c>
      <c r="AL244" s="781">
        <v>0.06416617891293089</v>
      </c>
      <c r="AM244" s="1165">
        <v>0.06599370701506563</v>
      </c>
      <c r="AN244" s="610"/>
      <c r="AP244" s="1062">
        <v>1000000.0</v>
      </c>
      <c r="AQ244" s="1281">
        <v>430.29686143065635</v>
      </c>
      <c r="AR244" s="1281">
        <v>1046.2866576660003</v>
      </c>
      <c r="AS244" s="1281">
        <v>1662.293691855636</v>
      </c>
      <c r="AT244" s="1281">
        <v>2278.317947165625</v>
      </c>
      <c r="AU244" s="1281">
        <v>2894.359406778466</v>
      </c>
      <c r="AV244" s="1281">
        <v>5974.824181921678</v>
      </c>
      <c r="AW244" s="1281">
        <v>9055.716551435744</v>
      </c>
      <c r="AX244" s="1281">
        <v>11951.358751531405</v>
      </c>
      <c r="AY244" s="1281">
        <v>15033.100068574295</v>
      </c>
      <c r="AZ244" s="1281">
        <v>18115.262759035464</v>
      </c>
      <c r="BA244" s="1281">
        <v>21012.16908944213</v>
      </c>
      <c r="BB244" s="1281">
        <v>24095.168376328667</v>
      </c>
      <c r="BC244" s="1281">
        <v>27178.58290618782</v>
      </c>
      <c r="BD244" s="1281">
        <v>30076.73497542223</v>
      </c>
      <c r="BE244" s="610"/>
      <c r="BG244" s="1062">
        <v>1000000.0</v>
      </c>
      <c r="BH244" s="1075">
        <v>0.10056518182144698</v>
      </c>
      <c r="BI244" s="1075">
        <v>0.1216927730711611</v>
      </c>
      <c r="BJ244" s="1075">
        <v>0.12873661100993358</v>
      </c>
      <c r="BK244" s="1075">
        <v>0.13225950966331282</v>
      </c>
      <c r="BL244" s="1075">
        <v>0.1343740318371566</v>
      </c>
      <c r="BM244" s="1075">
        <v>0.13860893518048895</v>
      </c>
      <c r="BN244" s="1075">
        <v>0.14002705635080295</v>
      </c>
      <c r="BO244" s="1075">
        <v>0.13862839546420389</v>
      </c>
      <c r="BP244" s="1075">
        <v>0.13948310336815825</v>
      </c>
      <c r="BQ244" s="1075">
        <v>0.14005610481196082</v>
      </c>
      <c r="BR244" s="1075">
        <v>0.13926093903926148</v>
      </c>
      <c r="BS244" s="1075">
        <v>0.13972321993619802</v>
      </c>
      <c r="BT244" s="1075">
        <v>0.14008487152775198</v>
      </c>
      <c r="BU244" s="1075">
        <v>0.13953104827401294</v>
      </c>
      <c r="CB244" s="587"/>
      <c r="CC244" s="1369"/>
      <c r="CD244" s="1369"/>
      <c r="CE244" s="1369"/>
      <c r="CF244" s="1369"/>
      <c r="CG244" s="1369"/>
      <c r="CH244" s="1369"/>
      <c r="CI244" s="1369"/>
      <c r="CJ244" s="1369"/>
      <c r="CK244" s="1369"/>
      <c r="CL244" s="1369"/>
      <c r="CM244" s="1369"/>
      <c r="CN244" s="1369"/>
      <c r="CO244" s="1369"/>
      <c r="CP244" s="1369"/>
    </row>
    <row r="245">
      <c r="S245" s="1056">
        <f t="shared" si="22"/>
        <v>2500000</v>
      </c>
      <c r="T245" s="590">
        <v>0.046930282818764546</v>
      </c>
      <c r="U245" s="590">
        <v>0.06175667577098895</v>
      </c>
      <c r="V245" s="590">
        <v>0.07658306872321338</v>
      </c>
      <c r="W245" s="590">
        <v>0.09140946167543777</v>
      </c>
      <c r="X245" s="590">
        <v>0.1062358546276622</v>
      </c>
      <c r="Y245" s="590">
        <v>0.1210622475798866</v>
      </c>
      <c r="Z245" s="590">
        <v>0.135888640532111</v>
      </c>
      <c r="AA245" s="610"/>
      <c r="AC245" s="1056">
        <f t="shared" si="23"/>
        <v>2500000</v>
      </c>
      <c r="AD245" s="795">
        <v>0.028684110529517158</v>
      </c>
      <c r="AE245" s="714">
        <v>0.03303060513820364</v>
      </c>
      <c r="AF245" s="740">
        <v>0.03729256405797216</v>
      </c>
      <c r="AG245" s="1168">
        <v>0.04148653848686349</v>
      </c>
      <c r="AH245" s="1287">
        <v>0.04562907962291841</v>
      </c>
      <c r="AI245" s="798">
        <v>0.04727540222370734</v>
      </c>
      <c r="AJ245" s="715">
        <v>0.04891720296600354</v>
      </c>
      <c r="AK245" s="751">
        <v>0.050555541126481696</v>
      </c>
      <c r="AL245" s="799">
        <v>0.052191475981816365</v>
      </c>
      <c r="AM245" s="1171">
        <v>0.05382606680868217</v>
      </c>
      <c r="AN245" s="610"/>
      <c r="AP245" s="1056">
        <f t="shared" ref="AP245:AP262" si="24">AP244+500000</f>
        <v>1500000</v>
      </c>
      <c r="AQ245" s="1266">
        <v>314.0214867921785</v>
      </c>
      <c r="AR245" s="1266">
        <v>813.7359083890445</v>
      </c>
      <c r="AS245" s="1266">
        <v>1313.4675679402026</v>
      </c>
      <c r="AT245" s="1266">
        <v>1813.2164486117138</v>
      </c>
      <c r="AU245" s="1266">
        <v>2312.982533586077</v>
      </c>
      <c r="AV245" s="1266">
        <v>4812.0704355369</v>
      </c>
      <c r="AW245" s="1266">
        <v>7311.585931858577</v>
      </c>
      <c r="AX245" s="1266">
        <v>9625.851258761848</v>
      </c>
      <c r="AY245" s="1266">
        <v>12126.21570261235</v>
      </c>
      <c r="AZ245" s="1266">
        <v>14627.001519881132</v>
      </c>
      <c r="BA245" s="1266">
        <v>16942.530977095408</v>
      </c>
      <c r="BB245" s="1266">
        <v>19444.153390789554</v>
      </c>
      <c r="BC245" s="1266">
        <v>21946.19104745632</v>
      </c>
      <c r="BD245" s="1266">
        <v>24262.96624349834</v>
      </c>
      <c r="BE245" s="610"/>
      <c r="BG245" s="1056">
        <f t="shared" ref="BG245:BG262" si="25">BG244+500000</f>
        <v>1500000</v>
      </c>
      <c r="BH245" s="1073">
        <v>0.0736200769669722</v>
      </c>
      <c r="BI245" s="1073">
        <v>0.09474766821668634</v>
      </c>
      <c r="BJ245" s="1073">
        <v>0.1017915061554588</v>
      </c>
      <c r="BK245" s="1073">
        <v>0.10531440480883804</v>
      </c>
      <c r="BL245" s="1073">
        <v>0.1074289269826818</v>
      </c>
      <c r="BM245" s="1073">
        <v>0.11166383032601417</v>
      </c>
      <c r="BN245" s="1073">
        <v>0.11308195149632817</v>
      </c>
      <c r="BO245" s="1073">
        <v>0.1116832906097291</v>
      </c>
      <c r="BP245" s="1073">
        <v>0.11253799851368346</v>
      </c>
      <c r="BQ245" s="1073">
        <v>0.11311099995748605</v>
      </c>
      <c r="BR245" s="1073">
        <v>0.11231583418478669</v>
      </c>
      <c r="BS245" s="1073">
        <v>0.11277811508172322</v>
      </c>
      <c r="BT245" s="1073">
        <v>0.11313976667327719</v>
      </c>
      <c r="BU245" s="1073">
        <v>0.11258594341953816</v>
      </c>
      <c r="CB245" s="587"/>
      <c r="CC245" s="1369"/>
      <c r="CD245" s="1369"/>
      <c r="CE245" s="1369"/>
      <c r="CF245" s="1369"/>
      <c r="CG245" s="1369"/>
      <c r="CH245" s="1369"/>
      <c r="CI245" s="1369"/>
      <c r="CJ245" s="1369"/>
      <c r="CK245" s="1369"/>
      <c r="CL245" s="1369"/>
      <c r="CM245" s="1369"/>
      <c r="CN245" s="1369"/>
      <c r="CO245" s="1369"/>
      <c r="CP245" s="1369"/>
    </row>
    <row r="246">
      <c r="S246" s="1056">
        <f t="shared" si="22"/>
        <v>3000000</v>
      </c>
      <c r="T246" s="590">
        <v>0.03866269983246351</v>
      </c>
      <c r="U246" s="590">
        <v>0.0521972829430784</v>
      </c>
      <c r="V246" s="590">
        <v>0.06573186605369326</v>
      </c>
      <c r="W246" s="590">
        <v>0.07926644916430814</v>
      </c>
      <c r="X246" s="590">
        <v>0.09280103227492305</v>
      </c>
      <c r="Y246" s="590">
        <v>0.10633561538553787</v>
      </c>
      <c r="Z246" s="590">
        <v>0.11987019849615278</v>
      </c>
      <c r="AA246" s="610"/>
      <c r="AC246" s="1056">
        <f t="shared" si="23"/>
        <v>3000000</v>
      </c>
      <c r="AD246" s="764">
        <v>0.021892926955477808</v>
      </c>
      <c r="AE246" s="739">
        <v>0.025860715527564783</v>
      </c>
      <c r="AF246" s="795">
        <v>0.029751333926760732</v>
      </c>
      <c r="AG246" s="714">
        <v>0.03357989126060009</v>
      </c>
      <c r="AH246" s="740">
        <v>0.03736149663661737</v>
      </c>
      <c r="AI246" s="813">
        <v>0.03886437667892181</v>
      </c>
      <c r="AJ246" s="814">
        <v>0.04036312884806244</v>
      </c>
      <c r="AK246" s="766">
        <v>0.04185872012692142</v>
      </c>
      <c r="AL246" s="815">
        <v>0.043352117498380985</v>
      </c>
      <c r="AM246" s="1176">
        <v>0.04484428794532338</v>
      </c>
      <c r="AN246" s="610"/>
      <c r="AP246" s="1056">
        <f t="shared" si="24"/>
        <v>2000000</v>
      </c>
      <c r="AQ246" s="1266">
        <v>244.70757421857127</v>
      </c>
      <c r="AR246" s="1266">
        <v>675.1080832418301</v>
      </c>
      <c r="AS246" s="1266">
        <v>1105.5258302193809</v>
      </c>
      <c r="AT246" s="1266">
        <v>1535.9607983172848</v>
      </c>
      <c r="AU246" s="1266">
        <v>1966.4129707180405</v>
      </c>
      <c r="AV246" s="1266">
        <v>4118.931309800828</v>
      </c>
      <c r="AW246" s="1266">
        <v>6271.877243254468</v>
      </c>
      <c r="AX246" s="1266">
        <v>8239.573007289702</v>
      </c>
      <c r="AY246" s="1266">
        <v>10393.367888272169</v>
      </c>
      <c r="AZ246" s="1266">
        <v>12547.584142672915</v>
      </c>
      <c r="BA246" s="1266">
        <v>14516.544037019155</v>
      </c>
      <c r="BB246" s="1266">
        <v>16671.596887845262</v>
      </c>
      <c r="BC246" s="1266">
        <v>18827.064981643995</v>
      </c>
      <c r="BD246" s="1266">
        <v>20797.27061481798</v>
      </c>
      <c r="BE246" s="610"/>
      <c r="BG246" s="1056">
        <f t="shared" si="25"/>
        <v>2000000</v>
      </c>
      <c r="BH246" s="1073">
        <v>0.057557599009135596</v>
      </c>
      <c r="BI246" s="1073">
        <v>0.07868519025884974</v>
      </c>
      <c r="BJ246" s="1073">
        <v>0.08572902819762221</v>
      </c>
      <c r="BK246" s="1073">
        <v>0.08925192685100143</v>
      </c>
      <c r="BL246" s="1073">
        <v>0.09136644902484521</v>
      </c>
      <c r="BM246" s="1073">
        <v>0.09560135236817759</v>
      </c>
      <c r="BN246" s="1073">
        <v>0.0970194735384916</v>
      </c>
      <c r="BO246" s="1073">
        <v>0.09562081265189253</v>
      </c>
      <c r="BP246" s="1073">
        <v>0.09647552055584688</v>
      </c>
      <c r="BQ246" s="1073">
        <v>0.09704852199964946</v>
      </c>
      <c r="BR246" s="1073">
        <v>0.09625335622695011</v>
      </c>
      <c r="BS246" s="1073">
        <v>0.09671563712388663</v>
      </c>
      <c r="BT246" s="1073">
        <v>0.0970772887154406</v>
      </c>
      <c r="BU246" s="1073">
        <v>0.09652346546170157</v>
      </c>
      <c r="CB246" s="587"/>
      <c r="CC246" s="1369"/>
      <c r="CD246" s="1369"/>
      <c r="CE246" s="1369"/>
      <c r="CF246" s="1369"/>
      <c r="CG246" s="1369"/>
      <c r="CH246" s="1369"/>
      <c r="CI246" s="1369"/>
      <c r="CJ246" s="1369"/>
      <c r="CK246" s="1369"/>
      <c r="CL246" s="1369"/>
      <c r="CM246" s="1369"/>
      <c r="CN246" s="1369"/>
      <c r="CO246" s="1369"/>
      <c r="CP246" s="1369"/>
    </row>
    <row r="247">
      <c r="S247" s="1056">
        <f t="shared" si="22"/>
        <v>3500000</v>
      </c>
      <c r="T247" s="590">
        <v>0.03223713807396416</v>
      </c>
      <c r="U247" s="590">
        <v>0.04476772715981351</v>
      </c>
      <c r="V247" s="590">
        <v>0.057298316245662895</v>
      </c>
      <c r="W247" s="590">
        <v>0.06982890533151223</v>
      </c>
      <c r="X247" s="590">
        <v>0.0823594944173616</v>
      </c>
      <c r="Y247" s="590">
        <v>0.09489008350321097</v>
      </c>
      <c r="Z247" s="590">
        <v>0.10742067258906031</v>
      </c>
      <c r="AA247" s="610"/>
      <c r="AC247" s="1056">
        <f t="shared" si="23"/>
        <v>3500000</v>
      </c>
      <c r="AD247" s="831">
        <v>0.01661482215258675</v>
      </c>
      <c r="AE247" s="832">
        <v>0.02028828056427268</v>
      </c>
      <c r="AF247" s="833">
        <v>0.023890293278793204</v>
      </c>
      <c r="AG247" s="856">
        <v>0.027434848611593312</v>
      </c>
      <c r="AH247" s="787">
        <v>0.03093593487811803</v>
      </c>
      <c r="AI247" s="836">
        <v>0.03232733142883049</v>
      </c>
      <c r="AJ247" s="714">
        <v>0.033714906311598576</v>
      </c>
      <c r="AK247" s="837">
        <v>0.035099554778610785</v>
      </c>
      <c r="AL247" s="838">
        <v>0.03648217208205554</v>
      </c>
      <c r="AM247" s="740">
        <v>0.0378636534741214</v>
      </c>
      <c r="AN247" s="610"/>
      <c r="AP247" s="1056">
        <f t="shared" si="24"/>
        <v>2500000</v>
      </c>
      <c r="AQ247" s="1266">
        <v>197.40544760772156</v>
      </c>
      <c r="AR247" s="1266">
        <v>580.5038300201306</v>
      </c>
      <c r="AS247" s="1266">
        <v>963.6194503868319</v>
      </c>
      <c r="AT247" s="1266">
        <v>1346.752291873886</v>
      </c>
      <c r="AU247" s="1266">
        <v>1729.9023376637922</v>
      </c>
      <c r="AV247" s="1266">
        <v>3645.910043692331</v>
      </c>
      <c r="AW247" s="1266">
        <v>5562.345344091723</v>
      </c>
      <c r="AX247" s="1266">
        <v>7293.53047507271</v>
      </c>
      <c r="AY247" s="1266">
        <v>9210.814723000925</v>
      </c>
      <c r="AZ247" s="1266">
        <v>11128.520344347424</v>
      </c>
      <c r="BA247" s="1266">
        <v>12860.969605639415</v>
      </c>
      <c r="BB247" s="1266">
        <v>14779.511823411274</v>
      </c>
      <c r="BC247" s="1266">
        <v>16698.469284155755</v>
      </c>
      <c r="BD247" s="1266">
        <v>18432.16428427549</v>
      </c>
      <c r="BE247" s="610"/>
      <c r="BG247" s="1056">
        <f t="shared" si="25"/>
        <v>2500000</v>
      </c>
      <c r="BH247" s="1073">
        <v>0.04659602812336689</v>
      </c>
      <c r="BI247" s="1073">
        <v>0.06772361937308102</v>
      </c>
      <c r="BJ247" s="1073">
        <v>0.07476745731185352</v>
      </c>
      <c r="BK247" s="1073">
        <v>0.07829035596523272</v>
      </c>
      <c r="BL247" s="1073">
        <v>0.08040487813907651</v>
      </c>
      <c r="BM247" s="1073">
        <v>0.08463978148240887</v>
      </c>
      <c r="BN247" s="1073">
        <v>0.08605790265272288</v>
      </c>
      <c r="BO247" s="1073">
        <v>0.08465924176612383</v>
      </c>
      <c r="BP247" s="1073">
        <v>0.08551394967007818</v>
      </c>
      <c r="BQ247" s="1073">
        <v>0.08608695111388076</v>
      </c>
      <c r="BR247" s="1073">
        <v>0.0852917853411814</v>
      </c>
      <c r="BS247" s="1073">
        <v>0.08575406623811792</v>
      </c>
      <c r="BT247" s="1073">
        <v>0.08611571782967191</v>
      </c>
      <c r="BU247" s="1073">
        <v>0.08556189457593288</v>
      </c>
      <c r="BV247" s="179"/>
      <c r="BW247" s="179"/>
      <c r="BX247" s="179"/>
      <c r="BY247" s="179"/>
      <c r="CB247" s="587"/>
      <c r="CC247" s="1359"/>
      <c r="CD247" s="1359"/>
      <c r="CE247" s="1359"/>
      <c r="CF247" s="1359"/>
      <c r="CG247" s="1359"/>
      <c r="CH247" s="1359"/>
      <c r="CI247" s="1359"/>
      <c r="CJ247" s="1359"/>
      <c r="CK247" s="1359"/>
      <c r="CL247" s="1359"/>
      <c r="CM247" s="1359"/>
      <c r="CN247" s="1359"/>
      <c r="CO247" s="1359"/>
      <c r="CP247" s="1359"/>
    </row>
    <row r="248">
      <c r="S248" s="1056">
        <f t="shared" si="22"/>
        <v>4000000</v>
      </c>
      <c r="T248" s="590">
        <v>0.02705764186644379</v>
      </c>
      <c r="U248" s="590">
        <v>0.038778934669868044</v>
      </c>
      <c r="V248" s="590">
        <v>0.050500227473292345</v>
      </c>
      <c r="W248" s="590">
        <v>0.06222152027671664</v>
      </c>
      <c r="X248" s="590">
        <v>0.07394281308014092</v>
      </c>
      <c r="Y248" s="590">
        <v>0.08566410588356523</v>
      </c>
      <c r="Z248" s="590">
        <v>0.09738539868698955</v>
      </c>
      <c r="AA248" s="610"/>
      <c r="AC248" s="1056">
        <f t="shared" si="23"/>
        <v>4000000</v>
      </c>
      <c r="AD248" s="763">
        <v>0.012360264366521037</v>
      </c>
      <c r="AE248" s="852">
        <v>0.015796470066793928</v>
      </c>
      <c r="AF248" s="853">
        <v>0.01916584443692877</v>
      </c>
      <c r="AG248" s="890">
        <v>0.02248147234787888</v>
      </c>
      <c r="AH248" s="739">
        <v>0.025756438670597657</v>
      </c>
      <c r="AI248" s="856">
        <v>0.027057970966073923</v>
      </c>
      <c r="AJ248" s="857">
        <v>0.02835592841852672</v>
      </c>
      <c r="AK248" s="795">
        <v>0.029651148459697074</v>
      </c>
      <c r="AL248" s="787">
        <v>0.030944468521325975</v>
      </c>
      <c r="AM248" s="836">
        <v>0.03223672603515444</v>
      </c>
      <c r="AN248" s="610"/>
      <c r="AP248" s="1056">
        <f t="shared" si="24"/>
        <v>3000000</v>
      </c>
      <c r="AQ248" s="1266">
        <v>162.48846832669722</v>
      </c>
      <c r="AR248" s="1266">
        <v>510.66987145808196</v>
      </c>
      <c r="AS248" s="1266">
        <v>858.8685125437587</v>
      </c>
      <c r="AT248" s="1266">
        <v>1207.0843747497886</v>
      </c>
      <c r="AU248" s="1266">
        <v>1555.3174412586704</v>
      </c>
      <c r="AV248" s="1266">
        <v>3296.7402508820874</v>
      </c>
      <c r="AW248" s="1266">
        <v>5038.590654876358</v>
      </c>
      <c r="AX248" s="1266">
        <v>6595.190889452222</v>
      </c>
      <c r="AY248" s="1266">
        <v>8337.890240975317</v>
      </c>
      <c r="AZ248" s="1266">
        <v>10081.010965916694</v>
      </c>
      <c r="BA248" s="1266">
        <v>11638.875330803563</v>
      </c>
      <c r="BB248" s="1266">
        <v>13382.8326521703</v>
      </c>
      <c r="BC248" s="1266">
        <v>15127.205216509663</v>
      </c>
      <c r="BD248" s="1266">
        <v>16686.315320224276</v>
      </c>
      <c r="BE248" s="610"/>
      <c r="BG248" s="1056">
        <f t="shared" si="25"/>
        <v>3000000</v>
      </c>
      <c r="BH248" s="1073">
        <v>0.038504532646753874</v>
      </c>
      <c r="BI248" s="1073">
        <v>0.05963212389646801</v>
      </c>
      <c r="BJ248" s="1073">
        <v>0.0666759618352405</v>
      </c>
      <c r="BK248" s="1073">
        <v>0.0701988604886197</v>
      </c>
      <c r="BL248" s="1073">
        <v>0.0723133826624635</v>
      </c>
      <c r="BM248" s="1073">
        <v>0.07654828600579586</v>
      </c>
      <c r="BN248" s="1073">
        <v>0.07796640717610986</v>
      </c>
      <c r="BO248" s="1073">
        <v>0.07656774628951082</v>
      </c>
      <c r="BP248" s="1073">
        <v>0.07742245419346516</v>
      </c>
      <c r="BQ248" s="1073">
        <v>0.07799545563726774</v>
      </c>
      <c r="BR248" s="1073">
        <v>0.07720028986456838</v>
      </c>
      <c r="BS248" s="1073">
        <v>0.07766257076150491</v>
      </c>
      <c r="BT248" s="1073">
        <v>0.07802422235305888</v>
      </c>
      <c r="BU248" s="1073">
        <v>0.07747039909931985</v>
      </c>
      <c r="CB248" s="587"/>
      <c r="CC248" s="1369"/>
      <c r="CD248" s="1369"/>
      <c r="CE248" s="1369"/>
      <c r="CF248" s="1369"/>
      <c r="CG248" s="1369"/>
      <c r="CH248" s="1369"/>
      <c r="CI248" s="1369"/>
      <c r="CJ248" s="1369"/>
      <c r="CK248" s="1369"/>
      <c r="CL248" s="1369"/>
      <c r="CM248" s="1369"/>
      <c r="CN248" s="1369"/>
      <c r="CO248" s="1369"/>
      <c r="CP248" s="1369"/>
    </row>
    <row r="249">
      <c r="S249" s="1056">
        <f t="shared" si="22"/>
        <v>4500000</v>
      </c>
      <c r="T249" s="591">
        <v>0.02276738926276314</v>
      </c>
      <c r="U249" s="591">
        <v>0.033818330096862324</v>
      </c>
      <c r="V249" s="591">
        <v>0.044869270930961526</v>
      </c>
      <c r="W249" s="591">
        <v>0.05592021176506072</v>
      </c>
      <c r="X249" s="591">
        <v>0.0669711525991599</v>
      </c>
      <c r="Y249" s="591">
        <v>0.07802209343325912</v>
      </c>
      <c r="Z249" s="591">
        <v>0.08907303426735831</v>
      </c>
      <c r="AA249" s="610"/>
      <c r="AC249" s="1056">
        <f t="shared" si="23"/>
        <v>4500000</v>
      </c>
      <c r="AD249" s="867">
        <v>0.008836151810424277</v>
      </c>
      <c r="AE249" s="868">
        <v>0.012075837613377395</v>
      </c>
      <c r="AF249" s="869">
        <v>0.015252514234015387</v>
      </c>
      <c r="AG249" s="1182">
        <v>0.018378518206981</v>
      </c>
      <c r="AH249" s="1333">
        <v>0.02146618606691701</v>
      </c>
      <c r="AI249" s="872">
        <v>0.0226932824830031</v>
      </c>
      <c r="AJ249" s="873">
        <v>0.02391700850476441</v>
      </c>
      <c r="AK249" s="874">
        <v>0.025138153670418124</v>
      </c>
      <c r="AL249" s="875">
        <v>0.02635750751818132</v>
      </c>
      <c r="AM249" s="1185">
        <v>0.027575859586271165</v>
      </c>
      <c r="AN249" s="610"/>
      <c r="AP249" s="1056">
        <f t="shared" si="24"/>
        <v>3500000</v>
      </c>
      <c r="AQ249" s="1266">
        <v>135.35100781832142</v>
      </c>
      <c r="AR249" s="1266">
        <v>456.39495044133037</v>
      </c>
      <c r="AS249" s="1266">
        <v>777.4561310186316</v>
      </c>
      <c r="AT249" s="1266">
        <v>1098.5345327162854</v>
      </c>
      <c r="AU249" s="1266">
        <v>1419.6301387167916</v>
      </c>
      <c r="AV249" s="1266">
        <v>3025.3656457983298</v>
      </c>
      <c r="AW249" s="1266">
        <v>4631.528747250722</v>
      </c>
      <c r="AX249" s="1266">
        <v>6052.441679284708</v>
      </c>
      <c r="AY249" s="1266">
        <v>7659.453728265925</v>
      </c>
      <c r="AZ249" s="1266">
        <v>9266.887150665421</v>
      </c>
      <c r="BA249" s="1266">
        <v>10689.064213010412</v>
      </c>
      <c r="BB249" s="1266">
        <v>12297.33423183527</v>
      </c>
      <c r="BC249" s="1266">
        <v>13906.019493632753</v>
      </c>
      <c r="BD249" s="1266">
        <v>15329.442294805489</v>
      </c>
      <c r="BE249" s="610"/>
      <c r="BG249" s="1056">
        <f t="shared" si="25"/>
        <v>3500000</v>
      </c>
      <c r="BH249" s="1073">
        <v>0.03221582602116044</v>
      </c>
      <c r="BI249" s="1073">
        <v>0.05334341727087457</v>
      </c>
      <c r="BJ249" s="1073">
        <v>0.06038725520964705</v>
      </c>
      <c r="BK249" s="1073">
        <v>0.06391015386302627</v>
      </c>
      <c r="BL249" s="1073">
        <v>0.06602467603687005</v>
      </c>
      <c r="BM249" s="1073">
        <v>0.07025957938020241</v>
      </c>
      <c r="BN249" s="1073">
        <v>0.07167770055051642</v>
      </c>
      <c r="BO249" s="1073">
        <v>0.07027903966391737</v>
      </c>
      <c r="BP249" s="1073">
        <v>0.07113374756787172</v>
      </c>
      <c r="BQ249" s="1073">
        <v>0.0717067490116743</v>
      </c>
      <c r="BR249" s="1073">
        <v>0.07091158323897494</v>
      </c>
      <c r="BS249" s="1073">
        <v>0.07137386413591147</v>
      </c>
      <c r="BT249" s="1073">
        <v>0.07173551572746545</v>
      </c>
      <c r="BU249" s="1073">
        <v>0.07118169247372641</v>
      </c>
      <c r="CB249" s="587"/>
      <c r="CC249" s="1369"/>
      <c r="CD249" s="1369"/>
      <c r="CE249" s="1369"/>
      <c r="CF249" s="1369"/>
      <c r="CG249" s="1369"/>
      <c r="CH249" s="1369"/>
      <c r="CI249" s="1369"/>
      <c r="CJ249" s="1369"/>
      <c r="CK249" s="1369"/>
      <c r="CL249" s="1369"/>
      <c r="CM249" s="1369"/>
      <c r="CN249" s="1369"/>
      <c r="CO249" s="1369"/>
      <c r="CP249" s="1369"/>
    </row>
    <row r="250">
      <c r="S250" s="1056">
        <f t="shared" si="22"/>
        <v>5000000</v>
      </c>
      <c r="T250" s="590">
        <v>0.019137963105675938</v>
      </c>
      <c r="U250" s="590">
        <v>0.02962180610273024</v>
      </c>
      <c r="V250" s="590">
        <v>0.040105649099784556</v>
      </c>
      <c r="W250" s="590">
        <v>0.05058949209683891</v>
      </c>
      <c r="X250" s="590">
        <v>0.061073335093893205</v>
      </c>
      <c r="Y250" s="590">
        <v>0.07155717809094753</v>
      </c>
      <c r="Z250" s="590">
        <v>0.08204102108800182</v>
      </c>
      <c r="AA250" s="610"/>
      <c r="AC250" s="1056">
        <f t="shared" si="23"/>
        <v>5000000</v>
      </c>
      <c r="AD250" s="887">
        <v>0.005854857356889297</v>
      </c>
      <c r="AE250" s="844">
        <v>0.00892829316908229</v>
      </c>
      <c r="AF250" s="763">
        <v>0.011941953222389107</v>
      </c>
      <c r="AG250" s="916">
        <v>0.01490754098118113</v>
      </c>
      <c r="AH250" s="853">
        <v>0.017836759909829806</v>
      </c>
      <c r="AI250" s="853">
        <v>0.0190008857848683</v>
      </c>
      <c r="AJ250" s="832">
        <v>0.020161814223103078</v>
      </c>
      <c r="AK250" s="786">
        <v>0.02132029424625385</v>
      </c>
      <c r="AL250" s="890">
        <v>0.02247707487604043</v>
      </c>
      <c r="AM250" s="890">
        <v>0.023632905134182574</v>
      </c>
      <c r="AN250" s="610"/>
      <c r="AP250" s="1056">
        <f t="shared" si="24"/>
        <v>4000000</v>
      </c>
      <c r="AQ250" s="1266">
        <v>113.47613071532817</v>
      </c>
      <c r="AR250" s="1266">
        <v>412.64519623534386</v>
      </c>
      <c r="AS250" s="1266">
        <v>711.8314997096518</v>
      </c>
      <c r="AT250" s="1266">
        <v>1011.0350243043124</v>
      </c>
      <c r="AU250" s="1266">
        <v>1310.2557532018252</v>
      </c>
      <c r="AV250" s="1266">
        <v>2806.616874768397</v>
      </c>
      <c r="AW250" s="1266">
        <v>4303.405590705822</v>
      </c>
      <c r="AX250" s="1266">
        <v>5614.944137224842</v>
      </c>
      <c r="AY250" s="1266">
        <v>7112.581800691092</v>
      </c>
      <c r="AZ250" s="1266">
        <v>8610.640837575622</v>
      </c>
      <c r="BA250" s="1266">
        <v>9923.443514405646</v>
      </c>
      <c r="BB250" s="1266">
        <v>11422.339147715538</v>
      </c>
      <c r="BC250" s="1266">
        <v>12921.650023998056</v>
      </c>
      <c r="BD250" s="1266">
        <v>14235.698439655822</v>
      </c>
      <c r="BE250" s="610"/>
      <c r="BG250" s="1056">
        <f t="shared" si="25"/>
        <v>4000000</v>
      </c>
      <c r="BH250" s="1073">
        <v>0.027146645560108183</v>
      </c>
      <c r="BI250" s="1073">
        <v>0.04827423680982232</v>
      </c>
      <c r="BJ250" s="1073">
        <v>0.05531807474859479</v>
      </c>
      <c r="BK250" s="1073">
        <v>0.058840973401974014</v>
      </c>
      <c r="BL250" s="1073">
        <v>0.060955495575817795</v>
      </c>
      <c r="BM250" s="1073">
        <v>0.06519039891915016</v>
      </c>
      <c r="BN250" s="1073">
        <v>0.06660852008946416</v>
      </c>
      <c r="BO250" s="1073">
        <v>0.06520985920286511</v>
      </c>
      <c r="BP250" s="1073">
        <v>0.06606456710681946</v>
      </c>
      <c r="BQ250" s="1073">
        <v>0.06663756855062204</v>
      </c>
      <c r="BR250" s="1073">
        <v>0.06584240277792268</v>
      </c>
      <c r="BS250" s="1073">
        <v>0.0663046836748592</v>
      </c>
      <c r="BT250" s="1073">
        <v>0.06666633526641319</v>
      </c>
      <c r="BU250" s="1073">
        <v>0.06611251201267415</v>
      </c>
      <c r="CB250" s="587"/>
      <c r="CC250" s="1369"/>
      <c r="CD250" s="1369"/>
      <c r="CE250" s="1369"/>
      <c r="CF250" s="1369"/>
      <c r="CG250" s="1369"/>
      <c r="CH250" s="1369"/>
      <c r="CI250" s="1369"/>
      <c r="CJ250" s="1369"/>
      <c r="CK250" s="1369"/>
      <c r="CL250" s="1369"/>
      <c r="CM250" s="1369"/>
      <c r="CN250" s="1369"/>
      <c r="CO250" s="1369"/>
      <c r="CP250" s="1369"/>
    </row>
    <row r="251">
      <c r="S251" s="1056">
        <f t="shared" si="22"/>
        <v>5500000</v>
      </c>
      <c r="T251" s="590">
        <v>0.01601546129550866</v>
      </c>
      <c r="U251" s="590">
        <v>0.02601141338472435</v>
      </c>
      <c r="V251" s="590">
        <v>0.03600736547394001</v>
      </c>
      <c r="W251" s="590">
        <v>0.046003317563155684</v>
      </c>
      <c r="X251" s="590">
        <v>0.05599926965237138</v>
      </c>
      <c r="Y251" s="590">
        <v>0.06599522174158708</v>
      </c>
      <c r="Z251" s="590">
        <v>0.07599117383080276</v>
      </c>
      <c r="AA251" s="610"/>
      <c r="AC251" s="1056">
        <f t="shared" si="23"/>
        <v>5500000</v>
      </c>
      <c r="AD251" s="804">
        <v>0.0032899622674475233</v>
      </c>
      <c r="AE251" s="821">
        <v>0.006220368334821161</v>
      </c>
      <c r="AF251" s="902">
        <v>0.009093780452353085</v>
      </c>
      <c r="AG251" s="763">
        <v>0.011921357435485965</v>
      </c>
      <c r="AH251" s="822">
        <v>0.014714258099662534</v>
      </c>
      <c r="AI251" s="852">
        <v>0.015824208570684548</v>
      </c>
      <c r="AJ251" s="831">
        <v>0.016931110405332694</v>
      </c>
      <c r="AK251" s="853">
        <v>0.018035677767795338</v>
      </c>
      <c r="AL251" s="853">
        <v>0.01913862482226081</v>
      </c>
      <c r="AM251" s="832">
        <v>0.020240665732917423</v>
      </c>
      <c r="AN251" s="610"/>
      <c r="AP251" s="1056">
        <f t="shared" si="24"/>
        <v>4500000</v>
      </c>
      <c r="AQ251" s="1359">
        <v>95.35684947904747</v>
      </c>
      <c r="AR251" s="1359">
        <v>376.40663376278246</v>
      </c>
      <c r="AS251" s="1359">
        <v>657.4736560008096</v>
      </c>
      <c r="AT251" s="1359">
        <v>938.5578993591896</v>
      </c>
      <c r="AU251" s="1359">
        <v>1219.6593470204218</v>
      </c>
      <c r="AV251" s="1359">
        <v>2625.42406240559</v>
      </c>
      <c r="AW251" s="1359">
        <v>4031.6163721616117</v>
      </c>
      <c r="AX251" s="1359">
        <v>5252.5585124992285</v>
      </c>
      <c r="AY251" s="1359">
        <v>6659.599769784076</v>
      </c>
      <c r="AZ251" s="1359">
        <v>8067.0624004872025</v>
      </c>
      <c r="BA251" s="1359">
        <v>9289.268671135824</v>
      </c>
      <c r="BB251" s="1359">
        <v>10697.567898264311</v>
      </c>
      <c r="BC251" s="1359">
        <v>12106.282368365426</v>
      </c>
      <c r="BD251" s="1359">
        <v>13329.734377841789</v>
      </c>
      <c r="BE251" s="610"/>
      <c r="BG251" s="1056">
        <f t="shared" si="25"/>
        <v>4500000</v>
      </c>
      <c r="BH251" s="594">
        <v>0.022947769105680166</v>
      </c>
      <c r="BI251" s="594">
        <v>0.044075360355394305</v>
      </c>
      <c r="BJ251" s="594">
        <v>0.051119198294166786</v>
      </c>
      <c r="BK251" s="594">
        <v>0.054642096947546</v>
      </c>
      <c r="BL251" s="594">
        <v>0.05675661912138978</v>
      </c>
      <c r="BM251" s="594">
        <v>0.06099152246472214</v>
      </c>
      <c r="BN251" s="594">
        <v>0.062409643635036156</v>
      </c>
      <c r="BO251" s="594">
        <v>0.0610109827484371</v>
      </c>
      <c r="BP251" s="594">
        <v>0.06186569065239145</v>
      </c>
      <c r="BQ251" s="594">
        <v>0.06243869209619403</v>
      </c>
      <c r="BR251" s="594">
        <v>0.06164352632349467</v>
      </c>
      <c r="BS251" s="594">
        <v>0.06210580722043119</v>
      </c>
      <c r="BT251" s="594">
        <v>0.06246745881198518</v>
      </c>
      <c r="BU251" s="594">
        <v>0.06191363555824614</v>
      </c>
      <c r="CB251" s="587"/>
      <c r="CC251" s="1369"/>
      <c r="CD251" s="1369"/>
      <c r="CE251" s="1369"/>
      <c r="CF251" s="1369"/>
      <c r="CG251" s="1369"/>
      <c r="CH251" s="1369"/>
      <c r="CI251" s="1369"/>
      <c r="CJ251" s="1369"/>
      <c r="CK251" s="1369"/>
      <c r="CL251" s="1369"/>
      <c r="CM251" s="1369"/>
      <c r="CN251" s="1369"/>
      <c r="CO251" s="1369"/>
      <c r="CP251" s="1369"/>
    </row>
    <row r="252">
      <c r="S252" s="1056">
        <f t="shared" si="22"/>
        <v>6000000</v>
      </c>
      <c r="T252" s="590">
        <v>0.013291899112039963</v>
      </c>
      <c r="U252" s="590">
        <v>0.022862294610088655</v>
      </c>
      <c r="V252" s="590">
        <v>0.03243269010813732</v>
      </c>
      <c r="W252" s="590">
        <v>0.04200308560618604</v>
      </c>
      <c r="X252" s="590">
        <v>0.05157348110423474</v>
      </c>
      <c r="Y252" s="590">
        <v>0.06114387660228344</v>
      </c>
      <c r="Z252" s="590">
        <v>0.07071427210033213</v>
      </c>
      <c r="AA252" s="610"/>
      <c r="AC252" s="1056">
        <f t="shared" si="23"/>
        <v>6000000</v>
      </c>
      <c r="AD252" s="843">
        <v>0.0010527653994034073</v>
      </c>
      <c r="AE252" s="804">
        <v>0.003858415605040589</v>
      </c>
      <c r="AF252" s="914">
        <v>0.0066094982581212025</v>
      </c>
      <c r="AG252" s="902">
        <v>0.009316697111040498</v>
      </c>
      <c r="AH252" s="763">
        <v>0.011990695916193833</v>
      </c>
      <c r="AI252" s="763">
        <v>0.013053392585417215</v>
      </c>
      <c r="AJ252" s="822">
        <v>0.014113170407534603</v>
      </c>
      <c r="AK252" s="916">
        <v>0.015170713142699221</v>
      </c>
      <c r="AL252" s="852">
        <v>0.016226704551064477</v>
      </c>
      <c r="AM252" s="831">
        <v>0.0172818283927836</v>
      </c>
      <c r="AN252" s="610"/>
      <c r="AP252" s="1056">
        <f t="shared" si="24"/>
        <v>5000000</v>
      </c>
      <c r="AQ252" s="1369">
        <v>80.02847622425162</v>
      </c>
      <c r="AR252" s="1369">
        <v>345.74988725319076</v>
      </c>
      <c r="AS252" s="1369">
        <v>611.4885362364221</v>
      </c>
      <c r="AT252" s="1369">
        <v>877.2444063400062</v>
      </c>
      <c r="AU252" s="1369">
        <v>1143.0174807464425</v>
      </c>
      <c r="AV252" s="1369">
        <v>2472.1403298576315</v>
      </c>
      <c r="AW252" s="1369">
        <v>3801.6907733396743</v>
      </c>
      <c r="AX252" s="1369">
        <v>4945.991047403311</v>
      </c>
      <c r="AY252" s="1369">
        <v>6276.39043841418</v>
      </c>
      <c r="AZ252" s="1369">
        <v>7607.211202843328</v>
      </c>
      <c r="BA252" s="1369">
        <v>8752.775607217969</v>
      </c>
      <c r="BB252" s="1369">
        <v>10084.432968072477</v>
      </c>
      <c r="BC252" s="1369">
        <v>11416.505571899614</v>
      </c>
      <c r="BD252" s="1369">
        <v>12563.315715101999</v>
      </c>
      <c r="BE252" s="610"/>
      <c r="BG252" s="1056">
        <f t="shared" si="25"/>
        <v>5000000</v>
      </c>
      <c r="BH252" s="577">
        <v>0.019395644454324103</v>
      </c>
      <c r="BI252" s="577">
        <v>0.04052323570403824</v>
      </c>
      <c r="BJ252" s="577">
        <v>0.04756707364281073</v>
      </c>
      <c r="BK252" s="577">
        <v>0.05108997229618994</v>
      </c>
      <c r="BL252" s="577">
        <v>0.053204494470033725</v>
      </c>
      <c r="BM252" s="577">
        <v>0.057439397813366086</v>
      </c>
      <c r="BN252" s="577">
        <v>0.05885751898368009</v>
      </c>
      <c r="BO252" s="577">
        <v>0.05745885809708103</v>
      </c>
      <c r="BP252" s="577">
        <v>0.0583135660010354</v>
      </c>
      <c r="BQ252" s="577">
        <v>0.058886567444837966</v>
      </c>
      <c r="BR252" s="577">
        <v>0.05809140167213862</v>
      </c>
      <c r="BS252" s="577">
        <v>0.05855368256907514</v>
      </c>
      <c r="BT252" s="577">
        <v>0.05891533416062913</v>
      </c>
      <c r="BU252" s="577">
        <v>0.05836151090689008</v>
      </c>
      <c r="CB252" s="587"/>
      <c r="CC252" s="1369"/>
      <c r="CD252" s="1369"/>
      <c r="CE252" s="1369"/>
      <c r="CF252" s="1369"/>
      <c r="CG252" s="1369"/>
      <c r="CH252" s="1369"/>
      <c r="CI252" s="1369"/>
      <c r="CJ252" s="1369"/>
      <c r="CK252" s="1369"/>
      <c r="CL252" s="1369"/>
      <c r="CM252" s="1369"/>
      <c r="CN252" s="1369"/>
      <c r="CO252" s="1369"/>
      <c r="CP252" s="1369"/>
    </row>
    <row r="253">
      <c r="S253" s="1056">
        <f t="shared" si="22"/>
        <v>6500000</v>
      </c>
      <c r="T253" s="590">
        <v>0.010888974796351219</v>
      </c>
      <c r="U253" s="590">
        <v>0.02008391337007353</v>
      </c>
      <c r="V253" s="590">
        <v>0.029278851943795866</v>
      </c>
      <c r="W253" s="590">
        <v>0.03847379051751819</v>
      </c>
      <c r="X253" s="590">
        <v>0.047668729091240515</v>
      </c>
      <c r="Y253" s="590">
        <v>0.05686366766496283</v>
      </c>
      <c r="Z253" s="590">
        <v>0.06605860623868519</v>
      </c>
      <c r="AA253" s="610"/>
      <c r="AC253" s="1056">
        <f t="shared" si="23"/>
        <v>6500000</v>
      </c>
      <c r="AD253" s="820">
        <v>-9.210521201067538E-4</v>
      </c>
      <c r="AE253" s="762">
        <v>0.0017745294058025235</v>
      </c>
      <c r="AF253" s="804">
        <v>0.004417684123020509</v>
      </c>
      <c r="AG253" s="1192">
        <v>0.007018676648827828</v>
      </c>
      <c r="AH253" s="902">
        <v>0.009587771600505085</v>
      </c>
      <c r="AI253" s="931">
        <v>0.01060877753469043</v>
      </c>
      <c r="AJ253" s="932">
        <v>0.011626979131285813</v>
      </c>
      <c r="AK253" s="763">
        <v>0.012643033325797198</v>
      </c>
      <c r="AL253" s="738">
        <v>0.013657597053730574</v>
      </c>
      <c r="AM253" s="822">
        <v>0.014671327250591816</v>
      </c>
      <c r="AN253" s="610"/>
      <c r="AP253" s="1056">
        <f t="shared" si="24"/>
        <v>5500000</v>
      </c>
      <c r="AQ253" s="1369">
        <v>66.84102697926363</v>
      </c>
      <c r="AR253" s="1369">
        <v>319.3749887632148</v>
      </c>
      <c r="AS253" s="1369">
        <v>571.926188501458</v>
      </c>
      <c r="AT253" s="1369">
        <v>824.4946093600543</v>
      </c>
      <c r="AU253" s="1369">
        <v>1077.0802345215025</v>
      </c>
      <c r="AV253" s="1369">
        <v>2340.2658374077514</v>
      </c>
      <c r="AW253" s="1369">
        <v>3603.8790346648534</v>
      </c>
      <c r="AX253" s="1369">
        <v>4682.24206250355</v>
      </c>
      <c r="AY253" s="1369">
        <v>5946.704207289479</v>
      </c>
      <c r="AZ253" s="1369">
        <v>7211.587725493686</v>
      </c>
      <c r="BA253" s="1369">
        <v>8291.214883643388</v>
      </c>
      <c r="BB253" s="1369">
        <v>9556.934998272956</v>
      </c>
      <c r="BC253" s="1369">
        <v>10823.070355875152</v>
      </c>
      <c r="BD253" s="1369">
        <v>11903.943252852598</v>
      </c>
      <c r="BE253" s="610"/>
      <c r="BG253" s="1056">
        <f t="shared" si="25"/>
        <v>5500000</v>
      </c>
      <c r="BH253" s="577">
        <v>0.016339647397560553</v>
      </c>
      <c r="BI253" s="577">
        <v>0.037467238647274685</v>
      </c>
      <c r="BJ253" s="577">
        <v>0.04451107658604718</v>
      </c>
      <c r="BK253" s="577">
        <v>0.04803397523942639</v>
      </c>
      <c r="BL253" s="577">
        <v>0.050148497413270175</v>
      </c>
      <c r="BM253" s="577">
        <v>0.054383400756602536</v>
      </c>
      <c r="BN253" s="577">
        <v>0.055801521926916536</v>
      </c>
      <c r="BO253" s="577">
        <v>0.054402861040317496</v>
      </c>
      <c r="BP253" s="577">
        <v>0.05525756894427184</v>
      </c>
      <c r="BQ253" s="577">
        <v>0.055830570388074416</v>
      </c>
      <c r="BR253" s="577">
        <v>0.05503540461537506</v>
      </c>
      <c r="BS253" s="577">
        <v>0.05549768551231159</v>
      </c>
      <c r="BT253" s="577">
        <v>0.055859337103865564</v>
      </c>
      <c r="BU253" s="577">
        <v>0.05530551385012652</v>
      </c>
      <c r="CB253" s="587"/>
      <c r="CC253" s="1369"/>
      <c r="CD253" s="1369"/>
      <c r="CE253" s="1369"/>
      <c r="CF253" s="1369"/>
      <c r="CG253" s="1369"/>
      <c r="CH253" s="1369"/>
      <c r="CI253" s="1369"/>
      <c r="CJ253" s="1369"/>
      <c r="CK253" s="1369"/>
      <c r="CL253" s="1369"/>
      <c r="CM253" s="1369"/>
      <c r="CN253" s="1369"/>
      <c r="CO253" s="1369"/>
      <c r="CP253" s="1369"/>
    </row>
    <row r="254">
      <c r="S254" s="1056">
        <f t="shared" si="22"/>
        <v>7000000</v>
      </c>
      <c r="T254" s="590">
        <v>0.008748340819672112</v>
      </c>
      <c r="U254" s="590">
        <v>0.017608805334538322</v>
      </c>
      <c r="V254" s="590">
        <v>0.026469269849404564</v>
      </c>
      <c r="W254" s="590">
        <v>0.03532973436427077</v>
      </c>
      <c r="X254" s="590">
        <v>0.044190198879137</v>
      </c>
      <c r="Y254" s="590">
        <v>0.05305066339400322</v>
      </c>
      <c r="Z254" s="590">
        <v>0.061911127908869434</v>
      </c>
      <c r="AA254" s="610"/>
      <c r="AC254" s="1056">
        <f t="shared" si="23"/>
        <v>7000000</v>
      </c>
      <c r="AD254" s="944">
        <v>-0.0026794182985341586</v>
      </c>
      <c r="AE254" s="880">
        <v>-8.189094522426627E-5</v>
      </c>
      <c r="AF254" s="762">
        <v>0.002465116671133352</v>
      </c>
      <c r="AG254" s="887">
        <v>0.004971495783247254</v>
      </c>
      <c r="AH254" s="844">
        <v>0.007447137623825984</v>
      </c>
      <c r="AI254" s="844">
        <v>0.008431003560154329</v>
      </c>
      <c r="AJ254" s="902">
        <v>0.009412167169163774</v>
      </c>
      <c r="AK254" s="931">
        <v>0.010391261489747642</v>
      </c>
      <c r="AL254" s="932">
        <v>0.011368919560799313</v>
      </c>
      <c r="AM254" s="763">
        <v>0.012345774421212085</v>
      </c>
      <c r="AN254" s="610"/>
      <c r="AP254" s="1056">
        <f t="shared" si="24"/>
        <v>6000000</v>
      </c>
      <c r="AQ254" s="1369">
        <v>55.33844339608925</v>
      </c>
      <c r="AR254" s="1369">
        <v>296.369821596866</v>
      </c>
      <c r="AS254" s="1369">
        <v>537.418437751935</v>
      </c>
      <c r="AT254" s="1369">
        <v>778.4842750273567</v>
      </c>
      <c r="AU254" s="1369">
        <v>1019.5673166056306</v>
      </c>
      <c r="AV254" s="1369">
        <v>2225.2400015760077</v>
      </c>
      <c r="AW254" s="1369">
        <v>3431.340280917238</v>
      </c>
      <c r="AX254" s="1369">
        <v>4452.190390840064</v>
      </c>
      <c r="AY254" s="1369">
        <v>5659.13961771012</v>
      </c>
      <c r="AZ254" s="1369">
        <v>6866.510217998455</v>
      </c>
      <c r="BA254" s="1369">
        <v>7888.624458232285</v>
      </c>
      <c r="BB254" s="1369">
        <v>9096.831654945981</v>
      </c>
      <c r="BC254" s="1369">
        <v>10305.454094632305</v>
      </c>
      <c r="BD254" s="1369">
        <v>11328.814073693877</v>
      </c>
      <c r="BE254" s="610"/>
      <c r="BG254" s="1056">
        <f t="shared" si="25"/>
        <v>6000000</v>
      </c>
      <c r="BH254" s="577">
        <v>0.013674093132870794</v>
      </c>
      <c r="BI254" s="577">
        <v>0.03480168438258493</v>
      </c>
      <c r="BJ254" s="577">
        <v>0.04184552232135741</v>
      </c>
      <c r="BK254" s="577">
        <v>0.04536842097473663</v>
      </c>
      <c r="BL254" s="577">
        <v>0.047482943148580405</v>
      </c>
      <c r="BM254" s="577">
        <v>0.051717846491912765</v>
      </c>
      <c r="BN254" s="577">
        <v>0.053135967662226766</v>
      </c>
      <c r="BO254" s="577">
        <v>0.05173730677562771</v>
      </c>
      <c r="BP254" s="577">
        <v>0.05259201467958207</v>
      </c>
      <c r="BQ254" s="577">
        <v>0.053165016123384645</v>
      </c>
      <c r="BR254" s="577">
        <v>0.052369850350685296</v>
      </c>
      <c r="BS254" s="577">
        <v>0.052832131247621816</v>
      </c>
      <c r="BT254" s="577">
        <v>0.0531937828391758</v>
      </c>
      <c r="BU254" s="577">
        <v>0.052639959585436755</v>
      </c>
      <c r="CB254" s="587"/>
      <c r="CC254" s="1369"/>
      <c r="CD254" s="1369"/>
      <c r="CE254" s="1369"/>
      <c r="CF254" s="1369"/>
      <c r="CG254" s="1369"/>
      <c r="CH254" s="1369"/>
      <c r="CI254" s="1369"/>
      <c r="CJ254" s="1369"/>
      <c r="CK254" s="1369"/>
      <c r="CL254" s="1369"/>
      <c r="CM254" s="1369"/>
      <c r="CN254" s="1369"/>
      <c r="CO254" s="1369"/>
      <c r="CP254" s="1369"/>
    </row>
    <row r="255">
      <c r="S255" s="1056">
        <f t="shared" si="22"/>
        <v>7500000</v>
      </c>
      <c r="T255" s="590">
        <v>0.006825508481827086</v>
      </c>
      <c r="U255" s="590">
        <v>0.015385530443905029</v>
      </c>
      <c r="V255" s="590">
        <v>0.023945552405982944</v>
      </c>
      <c r="W255" s="590">
        <v>0.0325055743680609</v>
      </c>
      <c r="X255" s="590">
        <v>0.04106559633013885</v>
      </c>
      <c r="Y255" s="590">
        <v>0.04962561829221674</v>
      </c>
      <c r="Z255" s="590">
        <v>0.05818564025429469</v>
      </c>
      <c r="AA255" s="610"/>
      <c r="AC255" s="1056">
        <f t="shared" si="23"/>
        <v>7500000</v>
      </c>
      <c r="AD255" s="803">
        <v>-0.004258877181504162</v>
      </c>
      <c r="AE255" s="956">
        <v>-0.0017494273491477543</v>
      </c>
      <c r="AF255" s="843">
        <v>7.112157804557352E-4</v>
      </c>
      <c r="AG255" s="804">
        <v>0.0031326080459505357</v>
      </c>
      <c r="AH255" s="887">
        <v>0.0055243052859809535</v>
      </c>
      <c r="AI255" s="914">
        <v>0.006474810082719388</v>
      </c>
      <c r="AJ255" s="844">
        <v>0.007422704183239848</v>
      </c>
      <c r="AK255" s="844">
        <v>0.008368599161215547</v>
      </c>
      <c r="AL255" s="902">
        <v>0.009313106590319708</v>
      </c>
      <c r="AM255" s="1200">
        <v>0.010256838044225568</v>
      </c>
      <c r="AN255" s="610"/>
      <c r="AP255" s="1056">
        <f t="shared" si="24"/>
        <v>6500000</v>
      </c>
      <c r="AQ255" s="1369">
        <v>45.19002895818201</v>
      </c>
      <c r="AR255" s="1369">
        <v>276.07299272105155</v>
      </c>
      <c r="AS255" s="1369">
        <v>506.9731944382133</v>
      </c>
      <c r="AT255" s="1369">
        <v>737.8906172757278</v>
      </c>
      <c r="AU255" s="1369">
        <v>968.8252444160944</v>
      </c>
      <c r="AV255" s="1369">
        <v>2123.7558571969353</v>
      </c>
      <c r="AW255" s="1369">
        <v>3279.1140643486297</v>
      </c>
      <c r="AX255" s="1369">
        <v>4249.222102081918</v>
      </c>
      <c r="AY255" s="1369">
        <v>5405.429256762439</v>
      </c>
      <c r="AZ255" s="1369">
        <v>6562.057784861238</v>
      </c>
      <c r="BA255" s="1369">
        <v>7533.4299529055315</v>
      </c>
      <c r="BB255" s="1369">
        <v>8690.895077429692</v>
      </c>
      <c r="BC255" s="1369">
        <v>9848.77544492648</v>
      </c>
      <c r="BD255" s="1369">
        <v>10821.393351798517</v>
      </c>
      <c r="BE255" s="610"/>
      <c r="BG255" s="1056">
        <f t="shared" si="25"/>
        <v>6500000</v>
      </c>
      <c r="BH255" s="577">
        <v>0.01132234761507491</v>
      </c>
      <c r="BI255" s="577">
        <v>0.032449938864789044</v>
      </c>
      <c r="BJ255" s="577">
        <v>0.03949377680356154</v>
      </c>
      <c r="BK255" s="577">
        <v>0.04301667545694074</v>
      </c>
      <c r="BL255" s="577">
        <v>0.04513119763078453</v>
      </c>
      <c r="BM255" s="577">
        <v>0.04936610097411689</v>
      </c>
      <c r="BN255" s="577">
        <v>0.050784222144430895</v>
      </c>
      <c r="BO255" s="577">
        <v>0.04938556125783184</v>
      </c>
      <c r="BP255" s="577">
        <v>0.05024026916178619</v>
      </c>
      <c r="BQ255" s="577">
        <v>0.050813270605588774</v>
      </c>
      <c r="BR255" s="577">
        <v>0.05001810483288942</v>
      </c>
      <c r="BS255" s="577">
        <v>0.05048038572982594</v>
      </c>
      <c r="BT255" s="577">
        <v>0.05084203732137992</v>
      </c>
      <c r="BU255" s="577">
        <v>0.05028821406764088</v>
      </c>
      <c r="CB255" s="587"/>
      <c r="CC255" s="1359"/>
      <c r="CD255" s="1359"/>
      <c r="CE255" s="1359"/>
      <c r="CF255" s="1359"/>
      <c r="CG255" s="1359"/>
      <c r="CH255" s="1359"/>
      <c r="CI255" s="1359"/>
      <c r="CJ255" s="1359"/>
      <c r="CK255" s="1359"/>
      <c r="CL255" s="1359"/>
      <c r="CM255" s="1359"/>
      <c r="CN255" s="1359"/>
      <c r="CO255" s="1359"/>
      <c r="CP255" s="1359"/>
    </row>
    <row r="256">
      <c r="S256" s="1056">
        <f t="shared" si="22"/>
        <v>8000000</v>
      </c>
      <c r="T256" s="590">
        <v>0.005085883928204436</v>
      </c>
      <c r="U256" s="590">
        <v>0.013374089553778832</v>
      </c>
      <c r="V256" s="590">
        <v>0.021662295179353235</v>
      </c>
      <c r="W256" s="590">
        <v>0.029950500804927612</v>
      </c>
      <c r="X256" s="590">
        <v>0.038238706430501986</v>
      </c>
      <c r="Y256" s="590">
        <v>0.04652691205607639</v>
      </c>
      <c r="Z256" s="590">
        <v>0.054815117681650795</v>
      </c>
      <c r="AA256" s="610"/>
      <c r="AC256" s="1056">
        <f t="shared" si="23"/>
        <v>8000000</v>
      </c>
      <c r="AD256" s="967">
        <v>-0.0056878449600112554</v>
      </c>
      <c r="AE256" s="861">
        <v>-0.0032580806077964087</v>
      </c>
      <c r="AF256" s="880">
        <v>-8.755731423179213E-4</v>
      </c>
      <c r="AG256" s="762">
        <v>0.0014689298374062903</v>
      </c>
      <c r="AH256" s="804">
        <v>0.0037846807323583024</v>
      </c>
      <c r="AI256" s="887">
        <v>0.004705003044422874</v>
      </c>
      <c r="AJ256" s="887">
        <v>0.00562279756074385</v>
      </c>
      <c r="AK256" s="914">
        <v>0.0065386564349841254</v>
      </c>
      <c r="AL256" s="844">
        <v>0.0074531718208065275</v>
      </c>
      <c r="AM256" s="844">
        <v>0.008366935871873898</v>
      </c>
      <c r="AN256" s="610"/>
      <c r="AP256" s="1056">
        <f t="shared" si="24"/>
        <v>7000000</v>
      </c>
      <c r="AQ256" s="1369">
        <v>36.149361046434535</v>
      </c>
      <c r="AR256" s="1369">
        <v>257.9916568975566</v>
      </c>
      <c r="AS256" s="1369">
        <v>479.8511907029709</v>
      </c>
      <c r="AT256" s="1369">
        <v>701.7279456287379</v>
      </c>
      <c r="AU256" s="1369">
        <v>923.6219048573571</v>
      </c>
      <c r="AV256" s="1369">
        <v>2033.3491780794607</v>
      </c>
      <c r="AW256" s="1369">
        <v>3143.5040456724178</v>
      </c>
      <c r="AX256" s="1369">
        <v>4068.408743846969</v>
      </c>
      <c r="AY256" s="1369">
        <v>5179.412558968753</v>
      </c>
      <c r="AZ256" s="1369">
        <v>6290.837747508815</v>
      </c>
      <c r="BA256" s="1369">
        <v>7217.006575994372</v>
      </c>
      <c r="BB256" s="1369">
        <v>8329.268360959793</v>
      </c>
      <c r="BC256" s="1369">
        <v>9441.945388897844</v>
      </c>
      <c r="BD256" s="1369">
        <v>10369.359956211145</v>
      </c>
      <c r="BE256" s="610"/>
      <c r="BG256" s="1056">
        <f t="shared" si="25"/>
        <v>7000000</v>
      </c>
      <c r="BH256" s="577">
        <v>0.009227306033020908</v>
      </c>
      <c r="BI256" s="577">
        <v>0.030354897282735042</v>
      </c>
      <c r="BJ256" s="577">
        <v>0.03739873522150754</v>
      </c>
      <c r="BK256" s="577">
        <v>0.040921633874886745</v>
      </c>
      <c r="BL256" s="577">
        <v>0.04303615604873053</v>
      </c>
      <c r="BM256" s="577">
        <v>0.04727105939206289</v>
      </c>
      <c r="BN256" s="577">
        <v>0.048689180562376894</v>
      </c>
      <c r="BO256" s="577">
        <v>0.04729051967577785</v>
      </c>
      <c r="BP256" s="577">
        <v>0.0481452275797322</v>
      </c>
      <c r="BQ256" s="577">
        <v>0.04871822902353477</v>
      </c>
      <c r="BR256" s="577">
        <v>0.04792306325083542</v>
      </c>
      <c r="BS256" s="577">
        <v>0.048385344147771944</v>
      </c>
      <c r="BT256" s="577">
        <v>0.04874699573932592</v>
      </c>
      <c r="BU256" s="577">
        <v>0.04819317248558688</v>
      </c>
      <c r="CA256" s="589"/>
      <c r="CB256" s="587"/>
      <c r="CC256" s="1369"/>
      <c r="CD256" s="1369"/>
      <c r="CE256" s="1369"/>
      <c r="CF256" s="1369"/>
      <c r="CG256" s="1369"/>
      <c r="CH256" s="1369"/>
      <c r="CI256" s="1369"/>
      <c r="CJ256" s="1369"/>
      <c r="CK256" s="1369"/>
      <c r="CL256" s="1369"/>
      <c r="CM256" s="1369"/>
      <c r="CN256" s="1369"/>
      <c r="CO256" s="1369"/>
      <c r="CP256" s="1369"/>
    </row>
    <row r="257">
      <c r="S257" s="1056">
        <f t="shared" si="22"/>
        <v>8500000</v>
      </c>
      <c r="T257" s="591">
        <v>0.0035021072993337205</v>
      </c>
      <c r="U257" s="591">
        <v>0.01154284782664707</v>
      </c>
      <c r="V257" s="591">
        <v>0.019583588353960433</v>
      </c>
      <c r="W257" s="591">
        <v>0.027624328881273776</v>
      </c>
      <c r="X257" s="591">
        <v>0.035665069408587116</v>
      </c>
      <c r="Y257" s="591">
        <v>0.04370580993590047</v>
      </c>
      <c r="Z257" s="591">
        <v>0.05174655046321382</v>
      </c>
      <c r="AA257" s="610"/>
      <c r="AC257" s="1056">
        <f t="shared" si="23"/>
        <v>8500000</v>
      </c>
      <c r="AD257" s="980">
        <v>-0.00698879565439869</v>
      </c>
      <c r="AE257" s="981">
        <v>-0.004631577990976997</v>
      </c>
      <c r="AF257" s="982">
        <v>-0.002320206241802761</v>
      </c>
      <c r="AG257" s="1005">
        <v>-4.5704259454932976E-5</v>
      </c>
      <c r="AH257" s="1007">
        <v>0.0022009041034875883</v>
      </c>
      <c r="AI257" s="985">
        <v>0.003093747892253441</v>
      </c>
      <c r="AJ257" s="985">
        <v>0.003984139358936774</v>
      </c>
      <c r="AK257" s="986">
        <v>0.004872652976972524</v>
      </c>
      <c r="AL257" s="986">
        <v>0.005759863219795629</v>
      </c>
      <c r="AM257" s="1210">
        <v>0.0066463445608410665</v>
      </c>
      <c r="AN257" s="610"/>
      <c r="AP257" s="1056">
        <f t="shared" si="24"/>
        <v>7500000</v>
      </c>
      <c r="AQ257" s="1369">
        <v>28.028547864073374</v>
      </c>
      <c r="AR257" s="1369">
        <v>241.75003053283427</v>
      </c>
      <c r="AS257" s="1369">
        <v>455.4887511558874</v>
      </c>
      <c r="AT257" s="1369">
        <v>669.2446928992932</v>
      </c>
      <c r="AU257" s="1369">
        <v>883.0178389455511</v>
      </c>
      <c r="AV257" s="1369">
        <v>1952.1410462558488</v>
      </c>
      <c r="AW257" s="1369">
        <v>3021.691847937</v>
      </c>
      <c r="AX257" s="1369">
        <v>3905.9924801997454</v>
      </c>
      <c r="AY257" s="1369">
        <v>4976.392229409723</v>
      </c>
      <c r="AZ257" s="1369">
        <v>6047.213352037979</v>
      </c>
      <c r="BA257" s="1369">
        <v>6932.7781146117295</v>
      </c>
      <c r="BB257" s="1369">
        <v>8004.435833665346</v>
      </c>
      <c r="BC257" s="1369">
        <v>9076.50879569159</v>
      </c>
      <c r="BD257" s="1369">
        <v>9963.319297093083</v>
      </c>
      <c r="BE257" s="610"/>
      <c r="BG257" s="1056">
        <f t="shared" si="25"/>
        <v>7500000</v>
      </c>
      <c r="BH257" s="577">
        <v>0.007345427231231046</v>
      </c>
      <c r="BI257" s="577">
        <v>0.028473018480945182</v>
      </c>
      <c r="BJ257" s="577">
        <v>0.03551685641971766</v>
      </c>
      <c r="BK257" s="577">
        <v>0.03903975507309688</v>
      </c>
      <c r="BL257" s="577">
        <v>0.041154277246940665</v>
      </c>
      <c r="BM257" s="577">
        <v>0.045389180590273026</v>
      </c>
      <c r="BN257" s="577">
        <v>0.046807301760587026</v>
      </c>
      <c r="BO257" s="577">
        <v>0.04540864087398798</v>
      </c>
      <c r="BP257" s="577">
        <v>0.04626334877794234</v>
      </c>
      <c r="BQ257" s="577">
        <v>0.046836350221744906</v>
      </c>
      <c r="BR257" s="577">
        <v>0.04604118444904556</v>
      </c>
      <c r="BS257" s="577">
        <v>0.04650346534598208</v>
      </c>
      <c r="BT257" s="577">
        <v>0.04686511693753607</v>
      </c>
      <c r="BU257" s="577">
        <v>0.04631129368379703</v>
      </c>
      <c r="CA257" s="589"/>
      <c r="CB257" s="587"/>
      <c r="CC257" s="1359"/>
      <c r="CD257" s="1359"/>
      <c r="CE257" s="1359"/>
      <c r="CF257" s="1359"/>
      <c r="CG257" s="1359"/>
      <c r="CH257" s="1359"/>
      <c r="CI257" s="1359"/>
      <c r="CJ257" s="1359"/>
      <c r="CK257" s="1359"/>
      <c r="CL257" s="1359"/>
      <c r="CM257" s="1359"/>
      <c r="CN257" s="1359"/>
      <c r="CO257" s="1359"/>
      <c r="CP257" s="1359"/>
    </row>
    <row r="258">
      <c r="R258" s="1222"/>
      <c r="S258" s="1056">
        <f t="shared" si="22"/>
        <v>9000000</v>
      </c>
      <c r="T258" s="590">
        <v>0.002052217219138609</v>
      </c>
      <c r="U258" s="590">
        <v>0.009866412421421465</v>
      </c>
      <c r="V258" s="590">
        <v>0.017680607623704343</v>
      </c>
      <c r="W258" s="590">
        <v>0.025494802825987185</v>
      </c>
      <c r="X258" s="590">
        <v>0.03330899802827005</v>
      </c>
      <c r="Y258" s="590">
        <v>0.0411231932305529</v>
      </c>
      <c r="Z258" s="590">
        <v>0.048937388432835766</v>
      </c>
      <c r="AA258" s="610"/>
      <c r="AB258" s="1406"/>
      <c r="AC258" s="1056">
        <f t="shared" si="23"/>
        <v>9000000</v>
      </c>
      <c r="AD258" s="994">
        <v>-0.008179768846091923</v>
      </c>
      <c r="AE258" s="967">
        <v>-0.0058889650459100044</v>
      </c>
      <c r="AF258" s="861">
        <v>-0.003642715465820102</v>
      </c>
      <c r="AG258" s="820">
        <v>-0.0014322968585200276</v>
      </c>
      <c r="AH258" s="843">
        <v>7.510140232924768E-4</v>
      </c>
      <c r="AI258" s="762">
        <v>0.0016187022202766616</v>
      </c>
      <c r="AJ258" s="785">
        <v>0.0024840071885785177</v>
      </c>
      <c r="AK258" s="804">
        <v>0.0033474872160254303</v>
      </c>
      <c r="AL258" s="804">
        <v>0.004209700590444697</v>
      </c>
      <c r="AM258" s="887">
        <v>0.005071205599663674</v>
      </c>
      <c r="AN258" s="610"/>
      <c r="AP258" s="1056">
        <f t="shared" si="24"/>
        <v>8000000</v>
      </c>
      <c r="AQ258" s="1369">
        <v>20.681487109285627</v>
      </c>
      <c r="AR258" s="1369">
        <v>227.05590902325878</v>
      </c>
      <c r="AS258" s="1369">
        <v>433.4475688915241</v>
      </c>
      <c r="AT258" s="1369">
        <v>639.8564498801422</v>
      </c>
      <c r="AU258" s="1369">
        <v>846.2825351716124</v>
      </c>
      <c r="AV258" s="1369">
        <v>1878.6704387079712</v>
      </c>
      <c r="AW258" s="1369">
        <v>2911.4859366151836</v>
      </c>
      <c r="AX258" s="1369">
        <v>3759.0512651039903</v>
      </c>
      <c r="AY258" s="1369">
        <v>4792.715710540029</v>
      </c>
      <c r="AZ258" s="1369">
        <v>5826.801529394346</v>
      </c>
      <c r="BA258" s="1369">
        <v>6675.630988194159</v>
      </c>
      <c r="BB258" s="1369">
        <v>7710.553403473836</v>
      </c>
      <c r="BC258" s="1369">
        <v>8745.891061726143</v>
      </c>
      <c r="BD258" s="1369">
        <v>9595.966259353696</v>
      </c>
      <c r="BE258" s="610"/>
      <c r="BG258" s="1056">
        <f t="shared" si="25"/>
        <v>8000000</v>
      </c>
      <c r="BH258" s="577">
        <v>0.005642854153952492</v>
      </c>
      <c r="BI258" s="577">
        <v>0.026770445403666628</v>
      </c>
      <c r="BJ258" s="577">
        <v>0.03381428334243911</v>
      </c>
      <c r="BK258" s="577">
        <v>0.03733718199581833</v>
      </c>
      <c r="BL258" s="577">
        <v>0.039451704169662115</v>
      </c>
      <c r="BM258" s="577">
        <v>0.04368660751299447</v>
      </c>
      <c r="BN258" s="577">
        <v>0.045104728683308476</v>
      </c>
      <c r="BO258" s="577">
        <v>0.04370606779670942</v>
      </c>
      <c r="BP258" s="577">
        <v>0.04456077570066378</v>
      </c>
      <c r="BQ258" s="577">
        <v>0.045133777144466355</v>
      </c>
      <c r="BR258" s="577">
        <v>0.044338611371767</v>
      </c>
      <c r="BS258" s="577">
        <v>0.04480089226870352</v>
      </c>
      <c r="BT258" s="577">
        <v>0.045162543860257504</v>
      </c>
      <c r="BU258" s="577">
        <v>0.044608720606518465</v>
      </c>
      <c r="CA258" s="569"/>
      <c r="CB258" s="587"/>
      <c r="CC258" s="1359"/>
      <c r="CD258" s="1359"/>
      <c r="CE258" s="1359"/>
      <c r="CF258" s="1359"/>
      <c r="CG258" s="1359"/>
      <c r="CH258" s="1359"/>
      <c r="CI258" s="1359"/>
      <c r="CJ258" s="1359"/>
      <c r="CK258" s="1359"/>
      <c r="CL258" s="1359"/>
      <c r="CM258" s="1359"/>
      <c r="CN258" s="1359"/>
      <c r="CO258" s="1359"/>
      <c r="CP258" s="1359"/>
    </row>
    <row r="259">
      <c r="R259" s="1222"/>
      <c r="S259" s="1056">
        <f t="shared" si="22"/>
        <v>9500000</v>
      </c>
      <c r="T259" s="591">
        <v>7.183541916967583E-4</v>
      </c>
      <c r="U259" s="591">
        <v>0.008324133295941843</v>
      </c>
      <c r="V259" s="591">
        <v>0.015929912400186895</v>
      </c>
      <c r="W259" s="591">
        <v>0.023535691504431987</v>
      </c>
      <c r="X259" s="591">
        <v>0.031141470608677065</v>
      </c>
      <c r="Y259" s="591">
        <v>0.03874724971292213</v>
      </c>
      <c r="Z259" s="591">
        <v>0.04635302881716719</v>
      </c>
      <c r="AA259" s="610"/>
      <c r="AB259" s="1222"/>
      <c r="AC259" s="1056">
        <f t="shared" si="23"/>
        <v>9500000</v>
      </c>
      <c r="AD259" s="1002">
        <v>-0.009275434737440214</v>
      </c>
      <c r="AE259" s="980">
        <v>-0.00704573004945663</v>
      </c>
      <c r="AF259" s="981">
        <v>-0.004859391254877262</v>
      </c>
      <c r="AG259" s="982">
        <v>-0.002707927768256667</v>
      </c>
      <c r="AH259" s="1413">
        <v>-5.82849004149371E-4</v>
      </c>
      <c r="AI259" s="1005">
        <v>2.61696670329616E-4</v>
      </c>
      <c r="AJ259" s="1006">
        <v>0.001103922680346243</v>
      </c>
      <c r="AK259" s="1007">
        <v>0.0019443724233690301</v>
      </c>
      <c r="AL259" s="1008">
        <v>0.002783589296866492</v>
      </c>
      <c r="AM259" s="985">
        <v>0.003622116698307142</v>
      </c>
      <c r="AN259" s="610"/>
      <c r="AP259" s="1056">
        <f t="shared" si="24"/>
        <v>8500000</v>
      </c>
      <c r="AQ259" s="1359">
        <v>13.992628245978182</v>
      </c>
      <c r="AR259" s="1359">
        <v>213.6781912966439</v>
      </c>
      <c r="AS259" s="1359">
        <v>413.3809923016019</v>
      </c>
      <c r="AT259" s="1359">
        <v>613.1010144269125</v>
      </c>
      <c r="AU259" s="1359">
        <v>812.8382408550754</v>
      </c>
      <c r="AV259" s="1359">
        <v>1811.7818500748972</v>
      </c>
      <c r="AW259" s="1359">
        <v>2811.1530536655723</v>
      </c>
      <c r="AX259" s="1359">
        <v>3625.274087837842</v>
      </c>
      <c r="AY259" s="1359">
        <v>4625.494238957343</v>
      </c>
      <c r="AZ259" s="1359">
        <v>5626.135763495124</v>
      </c>
      <c r="BA259" s="1359">
        <v>6441.5209279783985</v>
      </c>
      <c r="BB259" s="1359">
        <v>7442.9990489415395</v>
      </c>
      <c r="BC259" s="1359">
        <v>8444.892412877309</v>
      </c>
      <c r="BD259" s="1359">
        <v>9261.523316188326</v>
      </c>
      <c r="BE259" s="610"/>
      <c r="BG259" s="1056">
        <f t="shared" si="25"/>
        <v>8500000</v>
      </c>
      <c r="BH259" s="594">
        <v>0.004092809666983721</v>
      </c>
      <c r="BI259" s="594">
        <v>0.025220400916697857</v>
      </c>
      <c r="BJ259" s="594">
        <v>0.03226423885547034</v>
      </c>
      <c r="BK259" s="594">
        <v>0.035787137508849556</v>
      </c>
      <c r="BL259" s="594">
        <v>0.037901659682693344</v>
      </c>
      <c r="BM259" s="594">
        <v>0.0421365630260257</v>
      </c>
      <c r="BN259" s="594">
        <v>0.043554684196339705</v>
      </c>
      <c r="BO259" s="594">
        <v>0.04215602330974066</v>
      </c>
      <c r="BP259" s="594">
        <v>0.043010731213695</v>
      </c>
      <c r="BQ259" s="594">
        <v>0.043583732657497584</v>
      </c>
      <c r="BR259" s="594">
        <v>0.04278856688479823</v>
      </c>
      <c r="BS259" s="594">
        <v>0.04325084778173475</v>
      </c>
      <c r="BT259" s="594">
        <v>0.04361249937328873</v>
      </c>
      <c r="BU259" s="594">
        <v>0.043058676119549694</v>
      </c>
    </row>
    <row r="260">
      <c r="R260" s="1222"/>
      <c r="S260" s="1056">
        <f t="shared" si="22"/>
        <v>10000000</v>
      </c>
      <c r="T260" s="591">
        <v>-5.141746283535794E-4</v>
      </c>
      <c r="U260" s="591">
        <v>0.006899021847758625</v>
      </c>
      <c r="V260" s="591">
        <v>0.014312218323870843</v>
      </c>
      <c r="W260" s="591">
        <v>0.021725414799983037</v>
      </c>
      <c r="X260" s="591">
        <v>0.029138611276095253</v>
      </c>
      <c r="Y260" s="591">
        <v>0.03655180775220745</v>
      </c>
      <c r="Z260" s="591">
        <v>0.04396500422831965</v>
      </c>
      <c r="AA260" s="610"/>
      <c r="AB260" s="1222"/>
      <c r="AC260" s="1056">
        <f t="shared" si="23"/>
        <v>10000000</v>
      </c>
      <c r="AD260" s="819">
        <v>-0.010287862370900337</v>
      </c>
      <c r="AE260" s="994">
        <v>-0.008114615066557095</v>
      </c>
      <c r="AF260" s="967">
        <v>-0.005983635606672837</v>
      </c>
      <c r="AG260" s="861">
        <v>-0.0038866483922271695</v>
      </c>
      <c r="AH260" s="956">
        <v>-0.001815377824199711</v>
      </c>
      <c r="AI260" s="880">
        <v>-9.922165238052461E-4</v>
      </c>
      <c r="AJ260" s="880">
        <v>-1.7131615265714636E-4</v>
      </c>
      <c r="AK260" s="843">
        <v>6.478529275819307E-4</v>
      </c>
      <c r="AL260" s="762">
        <v>0.001465820355249266</v>
      </c>
      <c r="AM260" s="762">
        <v>0.0022831157686821675</v>
      </c>
      <c r="AN260" s="610"/>
      <c r="AO260" s="1227"/>
      <c r="AP260" s="1056">
        <f t="shared" si="24"/>
        <v>9000000</v>
      </c>
      <c r="AQ260" s="1369">
        <v>7.869220476885374</v>
      </c>
      <c r="AR260" s="1369">
        <v>201.43137575845827</v>
      </c>
      <c r="AS260" s="1369">
        <v>395.0107689943234</v>
      </c>
      <c r="AT260" s="1369">
        <v>588.6073833505412</v>
      </c>
      <c r="AU260" s="1369">
        <v>782.2212020096113</v>
      </c>
      <c r="AV260" s="1369">
        <v>1750.547772383969</v>
      </c>
      <c r="AW260" s="1369">
        <v>2719.3019371291803</v>
      </c>
      <c r="AX260" s="1369">
        <v>3502.805932455986</v>
      </c>
      <c r="AY260" s="1369">
        <v>4472.409044730023</v>
      </c>
      <c r="AZ260" s="1369">
        <v>5442.43353042234</v>
      </c>
      <c r="BA260" s="1369">
        <v>6227.2016560601505</v>
      </c>
      <c r="BB260" s="1369">
        <v>7198.062738177827</v>
      </c>
      <c r="BC260" s="1369">
        <v>8169.339063268131</v>
      </c>
      <c r="BD260" s="1369">
        <v>8955.352927733686</v>
      </c>
      <c r="BE260" s="610"/>
      <c r="BF260" s="1227"/>
      <c r="BG260" s="1056">
        <f t="shared" si="25"/>
        <v>9000000</v>
      </c>
      <c r="BH260" s="577">
        <v>0.002673800139661921</v>
      </c>
      <c r="BI260" s="577">
        <v>0.023801391389376057</v>
      </c>
      <c r="BJ260" s="577">
        <v>0.03084522932814854</v>
      </c>
      <c r="BK260" s="577">
        <v>0.03436812798152775</v>
      </c>
      <c r="BL260" s="577">
        <v>0.036482650155371533</v>
      </c>
      <c r="BM260" s="577">
        <v>0.040717553498703894</v>
      </c>
      <c r="BN260" s="577">
        <v>0.042135674669017895</v>
      </c>
      <c r="BO260" s="577">
        <v>0.04073701378241885</v>
      </c>
      <c r="BP260" s="577">
        <v>0.0415917216863732</v>
      </c>
      <c r="BQ260" s="577">
        <v>0.042164723130175774</v>
      </c>
      <c r="BR260" s="577">
        <v>0.041369557357476425</v>
      </c>
      <c r="BS260" s="577">
        <v>0.041831838254412945</v>
      </c>
      <c r="BT260" s="577">
        <v>0.04219348984596693</v>
      </c>
      <c r="BU260" s="577">
        <v>0.04163966659222789</v>
      </c>
    </row>
    <row r="261">
      <c r="R261" s="610"/>
      <c r="S261" s="610"/>
      <c r="T261" s="610"/>
      <c r="U261" s="610"/>
      <c r="V261" s="610"/>
      <c r="W261" s="610"/>
      <c r="X261" s="610"/>
      <c r="Y261" s="610"/>
      <c r="Z261" s="610"/>
      <c r="AA261" s="610"/>
      <c r="AB261" s="610"/>
      <c r="AC261" s="610"/>
      <c r="AD261" s="610"/>
      <c r="AE261" s="610"/>
      <c r="AF261" s="610"/>
      <c r="AG261" s="610"/>
      <c r="AH261" s="610"/>
      <c r="AI261" s="610"/>
      <c r="AJ261" s="610"/>
      <c r="AK261" s="610"/>
      <c r="AL261" s="610"/>
      <c r="AM261" s="610"/>
      <c r="AN261" s="610"/>
      <c r="AO261" s="1227"/>
      <c r="AP261" s="1056">
        <f t="shared" si="24"/>
        <v>9500000</v>
      </c>
      <c r="AQ261" s="1359">
        <v>2.2358367213085444</v>
      </c>
      <c r="AR261" s="1359">
        <v>190.1646082473046</v>
      </c>
      <c r="AS261" s="1359">
        <v>378.1106177275929</v>
      </c>
      <c r="AT261" s="1359">
        <v>566.0738483282339</v>
      </c>
      <c r="AU261" s="1359">
        <v>754.0542832317271</v>
      </c>
      <c r="AV261" s="1359">
        <v>1694.2139348282008</v>
      </c>
      <c r="AW261" s="1359">
        <v>2634.8011807955277</v>
      </c>
      <c r="AX261" s="1359">
        <v>3390.1382573444494</v>
      </c>
      <c r="AY261" s="1359">
        <v>4331.574450840602</v>
      </c>
      <c r="AZ261" s="1359">
        <v>5273.432017755034</v>
      </c>
      <c r="BA261" s="1359">
        <v>6030.033224614962</v>
      </c>
      <c r="BB261" s="1359">
        <v>6972.727387954754</v>
      </c>
      <c r="BC261" s="1359">
        <v>7915.836794267174</v>
      </c>
      <c r="BD261" s="1359">
        <v>8673.683739954842</v>
      </c>
      <c r="BE261" s="610"/>
      <c r="BF261" s="1227"/>
      <c r="BG261" s="1056">
        <f t="shared" si="25"/>
        <v>9500000</v>
      </c>
      <c r="BH261" s="594">
        <v>0.0013683464573885852</v>
      </c>
      <c r="BI261" s="594">
        <v>0.02249593770710272</v>
      </c>
      <c r="BJ261" s="594">
        <v>0.0295397756458752</v>
      </c>
      <c r="BK261" s="594">
        <v>0.03306267429925442</v>
      </c>
      <c r="BL261" s="594">
        <v>0.0351771964730982</v>
      </c>
      <c r="BM261" s="594">
        <v>0.03941209981643056</v>
      </c>
      <c r="BN261" s="594">
        <v>0.04083022098674456</v>
      </c>
      <c r="BO261" s="594">
        <v>0.039431560100145514</v>
      </c>
      <c r="BP261" s="594">
        <v>0.040286268004099866</v>
      </c>
      <c r="BQ261" s="594">
        <v>0.04085926944790244</v>
      </c>
      <c r="BR261" s="594">
        <v>0.04006410367520309</v>
      </c>
      <c r="BS261" s="594">
        <v>0.04052638457213961</v>
      </c>
      <c r="BT261" s="594">
        <v>0.04088803616369359</v>
      </c>
      <c r="BU261" s="594">
        <v>0.04033421290995455</v>
      </c>
    </row>
    <row r="262">
      <c r="R262" s="610"/>
      <c r="S262" s="610"/>
      <c r="T262" s="610"/>
      <c r="U262" s="610"/>
      <c r="V262" s="610"/>
      <c r="W262" s="610"/>
      <c r="X262" s="610"/>
      <c r="Y262" s="610"/>
      <c r="Z262" s="610"/>
      <c r="AA262" s="610"/>
      <c r="AB262" s="610"/>
      <c r="AC262" s="610"/>
      <c r="AD262" s="610"/>
      <c r="AE262" s="610"/>
      <c r="AF262" s="610"/>
      <c r="AG262" s="610"/>
      <c r="AH262" s="610"/>
      <c r="AI262" s="610"/>
      <c r="AJ262" s="610"/>
      <c r="AK262" s="610"/>
      <c r="AL262" s="610"/>
      <c r="AM262" s="610"/>
      <c r="AN262" s="610"/>
      <c r="AO262" s="1222"/>
      <c r="AP262" s="1056">
        <f t="shared" si="24"/>
        <v>10000000</v>
      </c>
      <c r="AQ262" s="1359">
        <v>-2.9695761961392293</v>
      </c>
      <c r="AR262" s="1359">
        <v>179.75378241240907</v>
      </c>
      <c r="AS262" s="1359">
        <v>362.4943789752496</v>
      </c>
      <c r="AT262" s="1359">
        <v>545.2521966584428</v>
      </c>
      <c r="AU262" s="1359">
        <v>728.0272186444881</v>
      </c>
      <c r="AV262" s="1359">
        <v>1642.159805653723</v>
      </c>
      <c r="AW262" s="1359">
        <v>2556.719987033811</v>
      </c>
      <c r="AX262" s="1359">
        <v>3286.0299989954938</v>
      </c>
      <c r="AY262" s="1359">
        <v>4201.4391279044075</v>
      </c>
      <c r="AZ262" s="1359">
        <v>5117.269630231601</v>
      </c>
      <c r="BA262" s="1359">
        <v>5847.843772504289</v>
      </c>
      <c r="BB262" s="1359">
        <v>6764.5108712568435</v>
      </c>
      <c r="BC262" s="1359">
        <v>7681.593212982023</v>
      </c>
      <c r="BD262" s="1359">
        <v>8413.413094082454</v>
      </c>
      <c r="BE262" s="610"/>
      <c r="BF262" s="1222"/>
      <c r="BG262" s="1056">
        <f t="shared" si="25"/>
        <v>10000000</v>
      </c>
      <c r="BH262" s="594">
        <v>1.6206871106814015E-4</v>
      </c>
      <c r="BI262" s="594">
        <v>0.021289659960782276</v>
      </c>
      <c r="BJ262" s="594">
        <v>0.028333497899554767</v>
      </c>
      <c r="BK262" s="594">
        <v>0.03185639655293397</v>
      </c>
      <c r="BL262" s="594">
        <v>0.03397091872677776</v>
      </c>
      <c r="BM262" s="594">
        <v>0.03820582207011012</v>
      </c>
      <c r="BN262" s="594">
        <v>0.03962394324042413</v>
      </c>
      <c r="BO262" s="594">
        <v>0.03822528235382507</v>
      </c>
      <c r="BP262" s="594">
        <v>0.03907999025777943</v>
      </c>
      <c r="BQ262" s="594">
        <v>0.039652991701582006</v>
      </c>
      <c r="BR262" s="594">
        <v>0.03885782592888265</v>
      </c>
      <c r="BS262" s="594">
        <v>0.03932010682581918</v>
      </c>
      <c r="BT262" s="594">
        <v>0.039681758417373154</v>
      </c>
      <c r="BU262" s="594">
        <v>0.03912793516363412</v>
      </c>
    </row>
    <row r="269">
      <c r="R269" s="1125" t="s">
        <v>157</v>
      </c>
      <c r="S269" s="556"/>
      <c r="T269" s="556"/>
      <c r="U269" s="556"/>
      <c r="V269" s="556"/>
      <c r="W269" s="556"/>
      <c r="X269" s="556"/>
      <c r="Y269" s="556"/>
      <c r="Z269" s="556"/>
      <c r="AA269" s="556"/>
      <c r="AB269" s="556"/>
      <c r="AC269" s="556"/>
      <c r="AD269" s="556"/>
      <c r="AE269" s="556"/>
      <c r="AF269" s="556"/>
      <c r="AG269" s="556"/>
      <c r="AH269" s="556"/>
      <c r="AI269" s="556"/>
      <c r="AJ269" s="556"/>
      <c r="AK269" s="556"/>
      <c r="AL269" s="556"/>
      <c r="AM269" s="556"/>
      <c r="AN269" s="556"/>
      <c r="AO269" s="556"/>
      <c r="AP269" s="556"/>
      <c r="AQ269" s="556"/>
      <c r="AR269" s="556"/>
      <c r="AS269" s="556"/>
      <c r="AT269" s="556"/>
      <c r="AU269" s="556"/>
      <c r="AV269" s="556"/>
      <c r="AW269" s="556"/>
      <c r="AX269" s="556"/>
      <c r="AY269" s="556"/>
      <c r="AZ269" s="556"/>
      <c r="BA269" s="556"/>
      <c r="BB269" s="556"/>
      <c r="BC269" s="556"/>
      <c r="BD269" s="556"/>
      <c r="BE269" s="556"/>
      <c r="BF269" s="556"/>
      <c r="BG269" s="556"/>
      <c r="BH269" s="556"/>
      <c r="BI269" s="556"/>
      <c r="BJ269" s="556"/>
      <c r="BK269" s="556"/>
      <c r="BL269" s="556"/>
      <c r="BM269" s="556"/>
      <c r="BN269" s="556"/>
      <c r="BO269" s="556"/>
      <c r="BP269" s="556"/>
      <c r="BQ269" s="556"/>
      <c r="BR269" s="556"/>
      <c r="BS269" s="556"/>
      <c r="BT269" s="556"/>
      <c r="BU269" s="556"/>
      <c r="BV269" s="557"/>
    </row>
    <row r="270">
      <c r="R270" s="559"/>
      <c r="BV270" s="560"/>
    </row>
    <row r="271">
      <c r="R271" s="559"/>
      <c r="BV271" s="560"/>
    </row>
    <row r="272">
      <c r="R272" s="574"/>
      <c r="S272" s="575"/>
      <c r="T272" s="575"/>
      <c r="U272" s="575"/>
      <c r="V272" s="575"/>
      <c r="W272" s="575"/>
      <c r="X272" s="575"/>
      <c r="Y272" s="575"/>
      <c r="Z272" s="575"/>
      <c r="AA272" s="575"/>
      <c r="AB272" s="575"/>
      <c r="AC272" s="575"/>
      <c r="AD272" s="575"/>
      <c r="AE272" s="575"/>
      <c r="AF272" s="575"/>
      <c r="AG272" s="575"/>
      <c r="AH272" s="575"/>
      <c r="AI272" s="575"/>
      <c r="AJ272" s="575"/>
      <c r="AK272" s="575"/>
      <c r="AL272" s="575"/>
      <c r="AM272" s="575"/>
      <c r="AN272" s="575"/>
      <c r="AO272" s="575"/>
      <c r="AP272" s="575"/>
      <c r="AQ272" s="575"/>
      <c r="AR272" s="575"/>
      <c r="AS272" s="575"/>
      <c r="AT272" s="575"/>
      <c r="AU272" s="575"/>
      <c r="AV272" s="575"/>
      <c r="AW272" s="575"/>
      <c r="AX272" s="575"/>
      <c r="AY272" s="575"/>
      <c r="AZ272" s="575"/>
      <c r="BA272" s="575"/>
      <c r="BB272" s="575"/>
      <c r="BC272" s="575"/>
      <c r="BD272" s="575"/>
      <c r="BE272" s="575"/>
      <c r="BF272" s="575"/>
      <c r="BG272" s="575"/>
      <c r="BH272" s="575"/>
      <c r="BI272" s="575"/>
      <c r="BJ272" s="575"/>
      <c r="BK272" s="575"/>
      <c r="BL272" s="575"/>
      <c r="BM272" s="575"/>
      <c r="BN272" s="575"/>
      <c r="BO272" s="575"/>
      <c r="BP272" s="575"/>
      <c r="BQ272" s="575"/>
      <c r="BR272" s="575"/>
      <c r="BS272" s="575"/>
      <c r="BT272" s="575"/>
      <c r="BU272" s="575"/>
      <c r="BV272" s="576"/>
    </row>
    <row r="277">
      <c r="BN277" s="171"/>
      <c r="BO277" s="23"/>
    </row>
    <row r="278">
      <c r="BN278" s="171"/>
      <c r="BO278" s="23"/>
    </row>
    <row r="279">
      <c r="R279" s="1134"/>
      <c r="BN279" s="171"/>
      <c r="BO279" s="23"/>
    </row>
    <row r="280">
      <c r="BN280" s="171"/>
      <c r="BO280" s="23"/>
    </row>
    <row r="281">
      <c r="BH281" s="171"/>
      <c r="BI281" s="171"/>
      <c r="BJ281" s="171"/>
      <c r="BK281" s="171"/>
      <c r="BL281" s="171"/>
      <c r="BN281" s="171"/>
      <c r="BO281" s="23"/>
    </row>
    <row r="282">
      <c r="BH282" s="172"/>
      <c r="BI282" s="172"/>
      <c r="BJ282" s="172"/>
      <c r="BK282" s="172"/>
      <c r="BL282" s="172"/>
      <c r="BN282" s="171"/>
      <c r="BO282" s="23"/>
    </row>
    <row r="283">
      <c r="BH283" s="173"/>
      <c r="BI283" s="173"/>
      <c r="BJ283" s="173"/>
      <c r="BK283" s="173"/>
      <c r="BL283" s="173"/>
      <c r="BN283" s="171"/>
      <c r="BO283" s="23"/>
    </row>
    <row r="284">
      <c r="BH284" s="174"/>
      <c r="BI284" s="174"/>
      <c r="BJ284" s="174"/>
      <c r="BK284" s="174"/>
      <c r="BL284" s="174"/>
      <c r="BN284" s="171"/>
      <c r="BO284" s="23"/>
    </row>
    <row r="285">
      <c r="BH285" s="175"/>
      <c r="BI285" s="175"/>
      <c r="BJ285" s="175"/>
      <c r="BK285" s="175"/>
      <c r="BL285" s="175"/>
      <c r="BN285" s="171"/>
      <c r="BO285" s="23"/>
    </row>
    <row r="286">
      <c r="BH286" s="175"/>
      <c r="BI286" s="175"/>
      <c r="BJ286" s="175"/>
      <c r="BK286" s="175"/>
      <c r="BL286" s="175"/>
      <c r="BN286" s="171"/>
      <c r="BO286" s="23"/>
    </row>
    <row r="287">
      <c r="BH287" s="175"/>
      <c r="BI287" s="175"/>
      <c r="BJ287" s="175"/>
      <c r="BK287" s="175"/>
      <c r="BL287" s="175"/>
      <c r="BN287" s="171"/>
      <c r="BO287" s="23"/>
    </row>
    <row r="288">
      <c r="BH288" s="175"/>
      <c r="BI288" s="175"/>
      <c r="BJ288" s="175"/>
      <c r="BK288" s="175"/>
      <c r="BL288" s="175"/>
      <c r="BN288" s="171"/>
      <c r="BO288" s="23"/>
    </row>
    <row r="289">
      <c r="BH289" s="175"/>
      <c r="BI289" s="175"/>
      <c r="BJ289" s="175"/>
      <c r="BK289" s="175"/>
      <c r="BL289" s="175"/>
      <c r="BN289" s="171"/>
      <c r="BO289" s="23"/>
    </row>
    <row r="290">
      <c r="BH290" s="175"/>
      <c r="BI290" s="175"/>
      <c r="BJ290" s="175"/>
      <c r="BK290" s="175"/>
      <c r="BL290" s="175"/>
    </row>
    <row r="291">
      <c r="BH291" s="175"/>
      <c r="BI291" s="175"/>
      <c r="BJ291" s="175"/>
      <c r="BK291" s="175"/>
      <c r="BL291" s="175"/>
    </row>
    <row r="292">
      <c r="BH292" s="175"/>
      <c r="BI292" s="175"/>
      <c r="BJ292" s="175"/>
      <c r="BK292" s="175"/>
      <c r="BL292" s="175"/>
    </row>
    <row r="293">
      <c r="BH293" s="175"/>
      <c r="BI293" s="175"/>
      <c r="BJ293" s="175"/>
      <c r="BK293" s="175"/>
      <c r="BL293" s="175"/>
    </row>
    <row r="294">
      <c r="BH294" s="175"/>
      <c r="BI294" s="175"/>
      <c r="BJ294" s="175"/>
      <c r="BK294" s="175"/>
      <c r="BL294" s="175"/>
    </row>
    <row r="295">
      <c r="BH295" s="175"/>
      <c r="BI295" s="175"/>
      <c r="BJ295" s="175"/>
      <c r="BK295" s="175"/>
      <c r="BL295" s="175"/>
    </row>
    <row r="296">
      <c r="BH296" s="175"/>
      <c r="BI296" s="175"/>
      <c r="BJ296" s="175"/>
      <c r="BK296" s="175"/>
      <c r="BL296" s="175"/>
    </row>
    <row r="297">
      <c r="BH297" s="175"/>
      <c r="BI297" s="175"/>
      <c r="BJ297" s="175"/>
      <c r="BK297" s="175"/>
      <c r="BL297" s="175"/>
    </row>
    <row r="298">
      <c r="BH298" s="175"/>
      <c r="BI298" s="175"/>
      <c r="BJ298" s="175"/>
      <c r="BK298" s="175"/>
      <c r="BL298" s="175"/>
    </row>
    <row r="299">
      <c r="BH299" s="175"/>
      <c r="BI299" s="175"/>
      <c r="BJ299" s="175"/>
      <c r="BK299" s="175"/>
      <c r="BL299" s="175"/>
    </row>
    <row r="300">
      <c r="BH300" s="175"/>
      <c r="BI300" s="175"/>
      <c r="BJ300" s="175"/>
      <c r="BK300" s="175"/>
      <c r="BL300" s="175"/>
    </row>
    <row r="301">
      <c r="BH301" s="175"/>
      <c r="BI301" s="175"/>
      <c r="BJ301" s="175"/>
      <c r="BK301" s="175"/>
      <c r="BL301" s="175"/>
    </row>
    <row r="306">
      <c r="R306" s="1221" t="s">
        <v>86</v>
      </c>
      <c r="S306" s="1222"/>
      <c r="T306" s="1222"/>
      <c r="U306" s="1222"/>
      <c r="V306" s="1222"/>
      <c r="W306" s="1222"/>
      <c r="X306" s="1222"/>
      <c r="Y306" s="1222"/>
      <c r="Z306" s="1222"/>
      <c r="AA306" s="610"/>
      <c r="AB306" s="1221" t="s">
        <v>86</v>
      </c>
      <c r="AC306" s="1222"/>
      <c r="AD306" s="1222"/>
      <c r="AE306" s="1222"/>
      <c r="AF306" s="1222"/>
      <c r="AG306" s="1222"/>
      <c r="AH306" s="1222"/>
      <c r="AI306" s="1222"/>
      <c r="AJ306" s="1222"/>
      <c r="AK306" s="1222"/>
      <c r="AL306" s="1222"/>
      <c r="AM306" s="1222"/>
      <c r="AN306" s="610"/>
      <c r="AO306" s="1221" t="s">
        <v>158</v>
      </c>
      <c r="AP306" s="1222"/>
      <c r="AQ306" s="1222"/>
      <c r="AR306" s="1222"/>
      <c r="AS306" s="1222"/>
      <c r="AT306" s="1222"/>
      <c r="AU306" s="1222"/>
      <c r="AV306" s="1222"/>
      <c r="AW306" s="1222"/>
      <c r="AX306" s="1222"/>
      <c r="AY306" s="1222"/>
      <c r="AZ306" s="1222"/>
      <c r="BA306" s="1222"/>
      <c r="BB306" s="1222"/>
      <c r="BC306" s="1222"/>
      <c r="BD306" s="1222"/>
      <c r="BE306" s="610"/>
      <c r="BF306" s="1221" t="s">
        <v>86</v>
      </c>
      <c r="BG306" s="1222"/>
      <c r="BH306" s="1222"/>
      <c r="BI306" s="1222"/>
      <c r="BJ306" s="1222"/>
      <c r="BK306" s="1222"/>
      <c r="BL306" s="1222"/>
      <c r="BM306" s="1222"/>
      <c r="BN306" s="1222"/>
      <c r="BO306" s="1222"/>
      <c r="BP306" s="1222"/>
      <c r="BQ306" s="1222"/>
      <c r="BR306" s="1222"/>
      <c r="BS306" s="1222"/>
      <c r="BT306" s="1222"/>
      <c r="BU306" s="1222"/>
    </row>
    <row r="307">
      <c r="R307" s="1052" t="s">
        <v>57</v>
      </c>
      <c r="AA307" s="569"/>
      <c r="AB307" s="1224" t="s">
        <v>58</v>
      </c>
      <c r="AC307" s="1100"/>
      <c r="AD307" s="1100"/>
      <c r="AE307" s="1100"/>
      <c r="AF307" s="1101" t="s">
        <v>59</v>
      </c>
      <c r="AG307" s="1101"/>
      <c r="AH307" s="1101"/>
      <c r="AI307" s="1101"/>
      <c r="AJ307" s="1101"/>
      <c r="AK307" s="1101"/>
      <c r="AL307" s="1101"/>
      <c r="AM307" s="1101"/>
      <c r="AN307" s="610"/>
      <c r="AO307" s="1224" t="s">
        <v>58</v>
      </c>
      <c r="AP307" s="1052"/>
      <c r="AQ307" s="1052" t="s">
        <v>44</v>
      </c>
      <c r="BE307" s="610"/>
      <c r="BF307" s="1224" t="s">
        <v>58</v>
      </c>
      <c r="BG307" s="1052"/>
      <c r="BH307" s="1052" t="s">
        <v>44</v>
      </c>
    </row>
    <row r="308">
      <c r="R308" s="1100"/>
      <c r="S308" s="1103">
        <f>$F$93</f>
        <v>0.2053115915</v>
      </c>
      <c r="T308" s="681">
        <v>64.0</v>
      </c>
      <c r="U308" s="681">
        <f t="shared" ref="U308:Z308" si="26">T308+10</f>
        <v>74</v>
      </c>
      <c r="V308" s="681">
        <f t="shared" si="26"/>
        <v>84</v>
      </c>
      <c r="W308" s="681">
        <f t="shared" si="26"/>
        <v>94</v>
      </c>
      <c r="X308" s="681">
        <f t="shared" si="26"/>
        <v>104</v>
      </c>
      <c r="Y308" s="681">
        <f t="shared" si="26"/>
        <v>114</v>
      </c>
      <c r="Z308" s="681">
        <f t="shared" si="26"/>
        <v>124</v>
      </c>
      <c r="AA308" s="596"/>
      <c r="AB308" s="1100"/>
      <c r="AC308" s="683">
        <f>$F$93</f>
        <v>0.2053115915</v>
      </c>
      <c r="AD308" s="684">
        <f t="shared" ref="AD308:AF308" si="27">AE308-0.05</f>
        <v>0.7</v>
      </c>
      <c r="AE308" s="684">
        <f t="shared" si="27"/>
        <v>0.75</v>
      </c>
      <c r="AF308" s="684">
        <f t="shared" si="27"/>
        <v>0.8</v>
      </c>
      <c r="AG308" s="684">
        <v>0.85</v>
      </c>
      <c r="AH308" s="684">
        <v>0.9</v>
      </c>
      <c r="AI308" s="684">
        <f t="shared" ref="AI308:AM308" si="28">AH308+0.02</f>
        <v>0.92</v>
      </c>
      <c r="AJ308" s="684">
        <f t="shared" si="28"/>
        <v>0.94</v>
      </c>
      <c r="AK308" s="684">
        <f t="shared" si="28"/>
        <v>0.96</v>
      </c>
      <c r="AL308" s="684">
        <f t="shared" si="28"/>
        <v>0.98</v>
      </c>
      <c r="AM308" s="684">
        <f t="shared" si="28"/>
        <v>1</v>
      </c>
      <c r="AN308" s="610"/>
      <c r="AO308" s="1224" t="s">
        <v>159</v>
      </c>
      <c r="AP308" s="1052"/>
      <c r="AQ308" s="1052"/>
      <c r="AR308" s="1052"/>
      <c r="AS308" s="1052"/>
      <c r="AT308" s="1052"/>
      <c r="AU308" s="1052"/>
      <c r="AV308" s="1052"/>
      <c r="AW308" s="1052"/>
      <c r="AX308" s="1052"/>
      <c r="AY308" s="1052"/>
      <c r="AZ308" s="1052"/>
      <c r="BA308" s="1052"/>
      <c r="BB308" s="1052"/>
      <c r="BC308" s="1052"/>
      <c r="BD308" s="1052"/>
      <c r="BE308" s="610"/>
      <c r="BF308" s="1224" t="s">
        <v>159</v>
      </c>
      <c r="BG308" s="1052"/>
      <c r="BH308" s="1052"/>
      <c r="BI308" s="1052"/>
      <c r="BJ308" s="1052"/>
      <c r="BK308" s="1052"/>
      <c r="BL308" s="1052"/>
      <c r="BM308" s="1052"/>
      <c r="BN308" s="1052"/>
      <c r="BO308" s="1052"/>
      <c r="BP308" s="1052"/>
      <c r="BQ308" s="1052"/>
      <c r="BR308" s="1052"/>
      <c r="BS308" s="1052"/>
      <c r="BT308" s="1052"/>
      <c r="BU308" s="1052"/>
    </row>
    <row r="309">
      <c r="R309" s="1225" t="s">
        <v>66</v>
      </c>
      <c r="S309" s="1062">
        <v>524288.0</v>
      </c>
      <c r="T309" s="704">
        <v>0.14470514063935982</v>
      </c>
      <c r="U309" s="705">
        <v>0.17708094386425993</v>
      </c>
      <c r="V309" s="706">
        <v>0.2094567470891598</v>
      </c>
      <c r="W309" s="1144">
        <v>0.2418325503140598</v>
      </c>
      <c r="X309" s="1234">
        <v>0.2742083535389597</v>
      </c>
      <c r="Y309" s="709">
        <v>0.3065841567638598</v>
      </c>
      <c r="Z309" s="710">
        <v>0.33895995998875966</v>
      </c>
      <c r="AA309" s="587"/>
      <c r="AB309" s="1225" t="s">
        <v>66</v>
      </c>
      <c r="AC309" s="1062">
        <v>524288.0</v>
      </c>
      <c r="AD309" s="704">
        <v>0.10636858472542134</v>
      </c>
      <c r="AE309" s="705">
        <v>0.11585985172626057</v>
      </c>
      <c r="AF309" s="706">
        <v>0.12516652151328594</v>
      </c>
      <c r="AG309" s="1144">
        <v>0.13432473627783365</v>
      </c>
      <c r="AH309" s="1234">
        <v>0.14337063821123988</v>
      </c>
      <c r="AI309" s="709">
        <v>0.1469656472427421</v>
      </c>
      <c r="AJ309" s="710">
        <v>0.15055078207212103</v>
      </c>
      <c r="AK309" s="711">
        <v>0.15412835579962209</v>
      </c>
      <c r="AL309" s="712">
        <v>0.15770068152549083</v>
      </c>
      <c r="AM309" s="1141">
        <v>0.16127007234997276</v>
      </c>
      <c r="AN309" s="610"/>
      <c r="AO309" s="1224" t="s">
        <v>68</v>
      </c>
      <c r="AP309" s="1052"/>
      <c r="AQ309" s="1052"/>
      <c r="AR309" s="1052"/>
      <c r="AS309" s="1052"/>
      <c r="AT309" s="1052"/>
      <c r="AU309" s="1052"/>
      <c r="AV309" s="1052"/>
      <c r="AW309" s="1052"/>
      <c r="AX309" s="1052"/>
      <c r="AY309" s="1052"/>
      <c r="AZ309" s="1052"/>
      <c r="BA309" s="1052"/>
      <c r="BB309" s="1052"/>
      <c r="BC309" s="1052"/>
      <c r="BD309" s="1052"/>
      <c r="BE309" s="610"/>
      <c r="BF309" s="1224" t="s">
        <v>68</v>
      </c>
      <c r="BG309" s="1052"/>
      <c r="BH309" s="1052"/>
      <c r="BI309" s="1052"/>
      <c r="BJ309" s="1052"/>
      <c r="BK309" s="1052"/>
      <c r="BL309" s="1052"/>
      <c r="BM309" s="1052"/>
      <c r="BN309" s="1052"/>
      <c r="BO309" s="1052"/>
      <c r="BP309" s="1052"/>
      <c r="BQ309" s="1052"/>
      <c r="BR309" s="1052"/>
      <c r="BS309" s="1052"/>
      <c r="BT309" s="1052"/>
      <c r="BU309" s="1052"/>
    </row>
    <row r="310">
      <c r="S310" s="1062">
        <v>1000000.0</v>
      </c>
      <c r="T310" s="727">
        <v>0.08753254788383098</v>
      </c>
      <c r="U310" s="728">
        <v>0.11097513349067949</v>
      </c>
      <c r="V310" s="729">
        <v>0.1344177190975281</v>
      </c>
      <c r="W310" s="1150">
        <v>0.15786030470437667</v>
      </c>
      <c r="X310" s="1245">
        <v>0.18130289031122526</v>
      </c>
      <c r="Y310" s="732">
        <v>0.20474547591807385</v>
      </c>
      <c r="Z310" s="733">
        <v>0.2281880615249225</v>
      </c>
      <c r="AA310" s="577"/>
      <c r="AC310" s="1062">
        <v>1000000.0</v>
      </c>
      <c r="AD310" s="727">
        <v>0.059405696847557796</v>
      </c>
      <c r="AE310" s="728">
        <v>0.06627810824810357</v>
      </c>
      <c r="AF310" s="729">
        <v>0.07301685698837325</v>
      </c>
      <c r="AG310" s="1150">
        <v>0.07964811281027347</v>
      </c>
      <c r="AH310" s="1245">
        <v>0.08619804545571103</v>
      </c>
      <c r="AI310" s="732">
        <v>0.08880111004666358</v>
      </c>
      <c r="AJ310" s="733">
        <v>0.09139702495156915</v>
      </c>
      <c r="AK310" s="734">
        <v>0.09398746503390987</v>
      </c>
      <c r="AL310" s="735">
        <v>0.09657410515716765</v>
      </c>
      <c r="AM310" s="1153">
        <v>0.09915862018482459</v>
      </c>
      <c r="AN310" s="610"/>
      <c r="AO310" s="1100"/>
      <c r="AP310" s="1054">
        <f>F92</f>
        <v>106800.4619</v>
      </c>
      <c r="AQ310" s="1062">
        <v>50.0</v>
      </c>
      <c r="AR310" s="1062">
        <v>100.0</v>
      </c>
      <c r="AS310" s="1062">
        <v>250.0</v>
      </c>
      <c r="AT310" s="1062">
        <v>500.0</v>
      </c>
      <c r="AU310" s="1062">
        <f t="shared" ref="AU310:BD310" si="29">AT310+250</f>
        <v>750</v>
      </c>
      <c r="AV310" s="1062">
        <f t="shared" si="29"/>
        <v>1000</v>
      </c>
      <c r="AW310" s="1062">
        <f t="shared" si="29"/>
        <v>1250</v>
      </c>
      <c r="AX310" s="1062">
        <f t="shared" si="29"/>
        <v>1500</v>
      </c>
      <c r="AY310" s="1062">
        <f t="shared" si="29"/>
        <v>1750</v>
      </c>
      <c r="AZ310" s="1062">
        <f t="shared" si="29"/>
        <v>2000</v>
      </c>
      <c r="BA310" s="1062">
        <f t="shared" si="29"/>
        <v>2250</v>
      </c>
      <c r="BB310" s="1062">
        <f t="shared" si="29"/>
        <v>2500</v>
      </c>
      <c r="BC310" s="1062">
        <f t="shared" si="29"/>
        <v>2750</v>
      </c>
      <c r="BD310" s="1062">
        <f t="shared" si="29"/>
        <v>3000</v>
      </c>
      <c r="BE310" s="610"/>
      <c r="BF310" s="1100"/>
      <c r="BG310" s="1054">
        <f>$F$93</f>
        <v>0.2053115915</v>
      </c>
      <c r="BH310" s="1062">
        <v>50.0</v>
      </c>
      <c r="BI310" s="1062">
        <v>100.0</v>
      </c>
      <c r="BJ310" s="1062">
        <v>250.0</v>
      </c>
      <c r="BK310" s="1062">
        <v>500.0</v>
      </c>
      <c r="BL310" s="1062">
        <f t="shared" ref="BL310:BU310" si="30">BK310+250</f>
        <v>750</v>
      </c>
      <c r="BM310" s="1062">
        <f t="shared" si="30"/>
        <v>1000</v>
      </c>
      <c r="BN310" s="1062">
        <f t="shared" si="30"/>
        <v>1250</v>
      </c>
      <c r="BO310" s="1062">
        <f t="shared" si="30"/>
        <v>1500</v>
      </c>
      <c r="BP310" s="1062">
        <f t="shared" si="30"/>
        <v>1750</v>
      </c>
      <c r="BQ310" s="1062">
        <f t="shared" si="30"/>
        <v>2000</v>
      </c>
      <c r="BR310" s="1062">
        <f t="shared" si="30"/>
        <v>2250</v>
      </c>
      <c r="BS310" s="1062">
        <f t="shared" si="30"/>
        <v>2500</v>
      </c>
      <c r="BT310" s="1062">
        <f t="shared" si="30"/>
        <v>2750</v>
      </c>
      <c r="BU310" s="1062">
        <f t="shared" si="30"/>
        <v>3000</v>
      </c>
    </row>
    <row r="311">
      <c r="S311" s="1056">
        <f t="shared" ref="S311:S328" si="31">S310+500000</f>
        <v>1500000</v>
      </c>
      <c r="T311" s="751">
        <v>0.060001062375023326</v>
      </c>
      <c r="U311" s="752">
        <v>0.07914185337112072</v>
      </c>
      <c r="V311" s="753">
        <v>0.09828264436721805</v>
      </c>
      <c r="W311" s="1156">
        <v>0.11742343536331548</v>
      </c>
      <c r="X311" s="1154">
        <v>0.1365642263594129</v>
      </c>
      <c r="Y311" s="756">
        <v>0.1557050173555103</v>
      </c>
      <c r="Z311" s="757">
        <v>0.17484580835160765</v>
      </c>
      <c r="AA311" s="594"/>
      <c r="AC311" s="1056">
        <f t="shared" ref="AC311:AC328" si="32">AC310+500000</f>
        <v>1500000</v>
      </c>
      <c r="AD311" s="751">
        <v>0.03679069891332253</v>
      </c>
      <c r="AE311" s="752">
        <v>0.042401999324596894</v>
      </c>
      <c r="AF311" s="753">
        <v>0.04790416463075812</v>
      </c>
      <c r="AG311" s="1156">
        <v>0.053318562336596716</v>
      </c>
      <c r="AH311" s="1154">
        <v>0.05866655994690338</v>
      </c>
      <c r="AI311" s="756">
        <v>0.06079195328535016</v>
      </c>
      <c r="AJ311" s="757">
        <v>0.0629115089295849</v>
      </c>
      <c r="AK311" s="758">
        <v>0.06502659439991418</v>
      </c>
      <c r="AL311" s="759">
        <v>0.06713857721664468</v>
      </c>
      <c r="AM311" s="1159">
        <v>0.0692488249000829</v>
      </c>
      <c r="AN311" s="610"/>
      <c r="AO311" s="1225" t="s">
        <v>66</v>
      </c>
      <c r="AP311" s="1062">
        <v>524288.0</v>
      </c>
      <c r="AQ311" s="1266">
        <v>42770.09513853233</v>
      </c>
      <c r="AR311" s="1266">
        <v>86525.19027706466</v>
      </c>
      <c r="AS311" s="1266">
        <v>217790.47569266168</v>
      </c>
      <c r="AT311" s="1266">
        <v>436565.95138532337</v>
      </c>
      <c r="AU311" s="1266">
        <v>655341.4270779849</v>
      </c>
      <c r="AV311" s="1266">
        <v>874116.9027706467</v>
      </c>
      <c r="AW311" s="1266">
        <v>1091907.3784633083</v>
      </c>
      <c r="AX311" s="1266">
        <v>1310682.8541559698</v>
      </c>
      <c r="AY311" s="1266">
        <v>1529458.3298486315</v>
      </c>
      <c r="AZ311" s="1266">
        <v>1748233.8055412935</v>
      </c>
      <c r="BA311" s="1266">
        <v>1966024.2812339552</v>
      </c>
      <c r="BB311" s="1266">
        <v>2184799.7569266167</v>
      </c>
      <c r="BC311" s="1266">
        <v>2403575.2326192786</v>
      </c>
      <c r="BD311" s="1266">
        <v>2622350.7083119396</v>
      </c>
      <c r="BE311" s="610"/>
      <c r="BF311" s="1225" t="s">
        <v>66</v>
      </c>
      <c r="BG311" s="1062">
        <v>524288.0</v>
      </c>
      <c r="BH311" s="1073">
        <v>0.20256206800944807</v>
      </c>
      <c r="BI311" s="1073">
        <v>0.20488360432440392</v>
      </c>
      <c r="BJ311" s="1073">
        <v>0.20627652611337746</v>
      </c>
      <c r="BK311" s="1073">
        <v>0.20674083337636864</v>
      </c>
      <c r="BL311" s="1073">
        <v>0.20689560246403235</v>
      </c>
      <c r="BM311" s="1073">
        <v>0.20697298700786423</v>
      </c>
      <c r="BN311" s="1073">
        <v>0.20683369482896688</v>
      </c>
      <c r="BO311" s="1073">
        <v>0.20689560246403235</v>
      </c>
      <c r="BP311" s="1073">
        <v>0.20693982220336488</v>
      </c>
      <c r="BQ311" s="1073">
        <v>0.20697298700786423</v>
      </c>
      <c r="BR311" s="1073">
        <v>0.20689560246403238</v>
      </c>
      <c r="BS311" s="1073">
        <v>0.20692655628156512</v>
      </c>
      <c r="BT311" s="1073">
        <v>0.20695188213227375</v>
      </c>
      <c r="BU311" s="1073">
        <v>0.2069729870078642</v>
      </c>
    </row>
    <row r="312">
      <c r="S312" s="1056">
        <f t="shared" si="31"/>
        <v>2000000</v>
      </c>
      <c r="T312" s="740">
        <v>0.04358903200735228</v>
      </c>
      <c r="U312" s="766">
        <v>0.06016544325850107</v>
      </c>
      <c r="V312" s="775">
        <v>0.07674185450964988</v>
      </c>
      <c r="W312" s="799">
        <v>0.09331826576079863</v>
      </c>
      <c r="X312" s="752">
        <v>0.10989467701194737</v>
      </c>
      <c r="Y312" s="778">
        <v>0.1264710882630962</v>
      </c>
      <c r="Z312" s="779">
        <v>0.14304749951424497</v>
      </c>
      <c r="AA312" s="577"/>
      <c r="AC312" s="1056">
        <f t="shared" si="32"/>
        <v>2000000</v>
      </c>
      <c r="AD312" s="740">
        <v>0.0233094781944932</v>
      </c>
      <c r="AE312" s="766">
        <v>0.028169006898922898</v>
      </c>
      <c r="AF312" s="775">
        <v>0.032934021829879874</v>
      </c>
      <c r="AG312" s="799">
        <v>0.0376230277893283</v>
      </c>
      <c r="AH312" s="752">
        <v>0.04225452957923233</v>
      </c>
      <c r="AI312" s="778">
        <v>0.04409517420336147</v>
      </c>
      <c r="AJ312" s="779">
        <v>0.045930763236003425</v>
      </c>
      <c r="AK312" s="780">
        <v>0.04776248098448397</v>
      </c>
      <c r="AL312" s="781">
        <v>0.04959151175612877</v>
      </c>
      <c r="AM312" s="1165">
        <v>0.05141903985826351</v>
      </c>
      <c r="AN312" s="610"/>
      <c r="AP312" s="1062">
        <v>1000000.0</v>
      </c>
      <c r="AQ312" s="1281">
        <v>30697.073071532814</v>
      </c>
      <c r="AR312" s="1281">
        <v>62379.14614306563</v>
      </c>
      <c r="AS312" s="1281">
        <v>157425.3653576641</v>
      </c>
      <c r="AT312" s="1281">
        <v>315835.7307153282</v>
      </c>
      <c r="AU312" s="1281">
        <v>474246.0960729922</v>
      </c>
      <c r="AV312" s="1281">
        <v>632656.4614306564</v>
      </c>
      <c r="AW312" s="1281">
        <v>790081.8267883204</v>
      </c>
      <c r="AX312" s="1281">
        <v>948492.1921459844</v>
      </c>
      <c r="AY312" s="1281">
        <v>1106902.5575036486</v>
      </c>
      <c r="AZ312" s="1281">
        <v>1265312.9228613127</v>
      </c>
      <c r="BA312" s="1281">
        <v>1422738.2882189767</v>
      </c>
      <c r="BB312" s="1281">
        <v>1581148.6535766409</v>
      </c>
      <c r="BC312" s="1281">
        <v>1739559.018934305</v>
      </c>
      <c r="BD312" s="1281">
        <v>1897969.3842919688</v>
      </c>
      <c r="BE312" s="610"/>
      <c r="BG312" s="1062">
        <v>1000000.0</v>
      </c>
      <c r="BH312" s="1075">
        <v>0.1453894752539192</v>
      </c>
      <c r="BI312" s="1075">
        <v>0.1477110115688751</v>
      </c>
      <c r="BJ312" s="1075">
        <v>0.1491039333578486</v>
      </c>
      <c r="BK312" s="1075">
        <v>0.1495682406208398</v>
      </c>
      <c r="BL312" s="1075">
        <v>0.14972300970850352</v>
      </c>
      <c r="BM312" s="1075">
        <v>0.14980039425233538</v>
      </c>
      <c r="BN312" s="1075">
        <v>0.14966110207343802</v>
      </c>
      <c r="BO312" s="1075">
        <v>0.14972300970850352</v>
      </c>
      <c r="BP312" s="1075">
        <v>0.149767229447836</v>
      </c>
      <c r="BQ312" s="1075">
        <v>0.14980039425233538</v>
      </c>
      <c r="BR312" s="1075">
        <v>0.14972300970850352</v>
      </c>
      <c r="BS312" s="1075">
        <v>0.14975396352603626</v>
      </c>
      <c r="BT312" s="1075">
        <v>0.14977928937674487</v>
      </c>
      <c r="BU312" s="1075">
        <v>0.14980039425233538</v>
      </c>
    </row>
    <row r="313">
      <c r="S313" s="1056">
        <f t="shared" si="31"/>
        <v>2500000</v>
      </c>
      <c r="T313" s="795">
        <v>0.032388914894236245</v>
      </c>
      <c r="U313" s="714">
        <v>0.04721530784646066</v>
      </c>
      <c r="V313" s="740">
        <v>0.06204170079868509</v>
      </c>
      <c r="W313" s="1168">
        <v>0.07686809375090947</v>
      </c>
      <c r="X313" s="1287">
        <v>0.0916944867031339</v>
      </c>
      <c r="Y313" s="798">
        <v>0.1065208796553583</v>
      </c>
      <c r="Z313" s="715">
        <v>0.1213472726075827</v>
      </c>
      <c r="AA313" s="577"/>
      <c r="AC313" s="1056">
        <f t="shared" si="32"/>
        <v>2500000</v>
      </c>
      <c r="AD313" s="795">
        <v>0.014109443372715053</v>
      </c>
      <c r="AE313" s="714">
        <v>0.018455937981401528</v>
      </c>
      <c r="AF313" s="740">
        <v>0.022717896901170046</v>
      </c>
      <c r="AG313" s="1168">
        <v>0.02691187133006138</v>
      </c>
      <c r="AH313" s="1287">
        <v>0.031054412466116295</v>
      </c>
      <c r="AI313" s="798">
        <v>0.03270073506690522</v>
      </c>
      <c r="AJ313" s="715">
        <v>0.034342535809201435</v>
      </c>
      <c r="AK313" s="751">
        <v>0.03598087396967958</v>
      </c>
      <c r="AL313" s="799">
        <v>0.03761680882501425</v>
      </c>
      <c r="AM313" s="1171">
        <v>0.03925139965188005</v>
      </c>
      <c r="AN313" s="610"/>
      <c r="AP313" s="1056">
        <f t="shared" ref="AP313:AP330" si="33">AP312+500000</f>
        <v>1500000</v>
      </c>
      <c r="AQ313" s="1266">
        <v>24883.304339608923</v>
      </c>
      <c r="AR313" s="1266">
        <v>50751.60867921785</v>
      </c>
      <c r="AS313" s="1266">
        <v>128356.52169804463</v>
      </c>
      <c r="AT313" s="1266">
        <v>257698.04339608926</v>
      </c>
      <c r="AU313" s="1266">
        <v>387039.56509413384</v>
      </c>
      <c r="AV313" s="1266">
        <v>516381.0867921785</v>
      </c>
      <c r="AW313" s="1266">
        <v>644737.6084902232</v>
      </c>
      <c r="AX313" s="1266">
        <v>774079.1301882677</v>
      </c>
      <c r="AY313" s="1266">
        <v>903420.6518863123</v>
      </c>
      <c r="AZ313" s="1266">
        <v>1032762.173584357</v>
      </c>
      <c r="BA313" s="1266">
        <v>1161118.6952824017</v>
      </c>
      <c r="BB313" s="1266">
        <v>1290460.2169804464</v>
      </c>
      <c r="BC313" s="1266">
        <v>1419801.738678491</v>
      </c>
      <c r="BD313" s="1266">
        <v>1549143.2603765354</v>
      </c>
      <c r="BE313" s="610"/>
      <c r="BG313" s="1056">
        <f t="shared" ref="BG313:BG330" si="34">BG312+500000</f>
        <v>1500000</v>
      </c>
      <c r="BH313" s="1073">
        <v>0.11785798974511157</v>
      </c>
      <c r="BI313" s="1073">
        <v>0.12017952606006745</v>
      </c>
      <c r="BJ313" s="1073">
        <v>0.12157244784904098</v>
      </c>
      <c r="BK313" s="1073">
        <v>0.12203675511203216</v>
      </c>
      <c r="BL313" s="1073">
        <v>0.12219152419969587</v>
      </c>
      <c r="BM313" s="1073">
        <v>0.12226890874352775</v>
      </c>
      <c r="BN313" s="1073">
        <v>0.1221296165646304</v>
      </c>
      <c r="BO313" s="1073">
        <v>0.12219152419969587</v>
      </c>
      <c r="BP313" s="1073">
        <v>0.12223574393902836</v>
      </c>
      <c r="BQ313" s="1073">
        <v>0.12226890874352775</v>
      </c>
      <c r="BR313" s="1073">
        <v>0.12219152419969588</v>
      </c>
      <c r="BS313" s="1073">
        <v>0.12222247801722863</v>
      </c>
      <c r="BT313" s="1073">
        <v>0.12224780386793722</v>
      </c>
      <c r="BU313" s="1073">
        <v>0.12226890874352773</v>
      </c>
    </row>
    <row r="314">
      <c r="S314" s="1056">
        <f t="shared" si="31"/>
        <v>3000000</v>
      </c>
      <c r="T314" s="764">
        <v>0.024121331907935216</v>
      </c>
      <c r="U314" s="739">
        <v>0.0376559150185501</v>
      </c>
      <c r="V314" s="795">
        <v>0.05119049812916495</v>
      </c>
      <c r="W314" s="714">
        <v>0.06472508123977984</v>
      </c>
      <c r="X314" s="740">
        <v>0.07825966435039475</v>
      </c>
      <c r="Y314" s="813">
        <v>0.09179424746100957</v>
      </c>
      <c r="Z314" s="814">
        <v>0.10532883057162448</v>
      </c>
      <c r="AA314" s="577"/>
      <c r="AC314" s="1056">
        <f t="shared" si="32"/>
        <v>3000000</v>
      </c>
      <c r="AD314" s="764">
        <v>0.007318259798675704</v>
      </c>
      <c r="AE314" s="739">
        <v>0.01128604837076267</v>
      </c>
      <c r="AF314" s="795">
        <v>0.015176666769958611</v>
      </c>
      <c r="AG314" s="714">
        <v>0.019005224103797975</v>
      </c>
      <c r="AH314" s="740">
        <v>0.022786829479815255</v>
      </c>
      <c r="AI314" s="813">
        <v>0.024289709522119698</v>
      </c>
      <c r="AJ314" s="814">
        <v>0.02578846169126033</v>
      </c>
      <c r="AK314" s="766">
        <v>0.0272840529701193</v>
      </c>
      <c r="AL314" s="815">
        <v>0.02877745034157887</v>
      </c>
      <c r="AM314" s="1176">
        <v>0.030269620788521256</v>
      </c>
      <c r="AN314" s="610"/>
      <c r="AP314" s="1056">
        <f t="shared" si="33"/>
        <v>2000000</v>
      </c>
      <c r="AQ314" s="1266">
        <v>21417.60871092856</v>
      </c>
      <c r="AR314" s="1266">
        <v>43820.21742185712</v>
      </c>
      <c r="AS314" s="1266">
        <v>111028.04355464282</v>
      </c>
      <c r="AT314" s="1266">
        <v>223041.08710928564</v>
      </c>
      <c r="AU314" s="1266">
        <v>335054.1306639284</v>
      </c>
      <c r="AV314" s="1266">
        <v>447067.1742185713</v>
      </c>
      <c r="AW314" s="1266">
        <v>558095.2177732141</v>
      </c>
      <c r="AX314" s="1266">
        <v>670108.2613278568</v>
      </c>
      <c r="AY314" s="1266">
        <v>782121.3048824996</v>
      </c>
      <c r="AZ314" s="1266">
        <v>894134.3484371426</v>
      </c>
      <c r="BA314" s="1266">
        <v>1005162.3919917854</v>
      </c>
      <c r="BB314" s="1266">
        <v>1117175.4355464282</v>
      </c>
      <c r="BC314" s="1266">
        <v>1229188.4791010711</v>
      </c>
      <c r="BD314" s="1266">
        <v>1341201.5226557136</v>
      </c>
      <c r="BE314" s="610"/>
      <c r="BG314" s="1056">
        <f t="shared" si="34"/>
        <v>2000000</v>
      </c>
      <c r="BH314" s="1073">
        <v>0.10144595937744051</v>
      </c>
      <c r="BI314" s="1073">
        <v>0.10376749569239639</v>
      </c>
      <c r="BJ314" s="1073">
        <v>0.10516041748136992</v>
      </c>
      <c r="BK314" s="1073">
        <v>0.10562472474436109</v>
      </c>
      <c r="BL314" s="1073">
        <v>0.10577949383202483</v>
      </c>
      <c r="BM314" s="1073">
        <v>0.10585687837585668</v>
      </c>
      <c r="BN314" s="1073">
        <v>0.10571758619695934</v>
      </c>
      <c r="BO314" s="1073">
        <v>0.10577949383202483</v>
      </c>
      <c r="BP314" s="1073">
        <v>0.10582371357135731</v>
      </c>
      <c r="BQ314" s="1073">
        <v>0.10585687837585668</v>
      </c>
      <c r="BR314" s="1073">
        <v>0.10577949383202481</v>
      </c>
      <c r="BS314" s="1073">
        <v>0.10581044764955758</v>
      </c>
      <c r="BT314" s="1073">
        <v>0.10583577350026617</v>
      </c>
      <c r="BU314" s="1073">
        <v>0.10585687837585668</v>
      </c>
    </row>
    <row r="315">
      <c r="S315" s="1056">
        <f t="shared" si="31"/>
        <v>3500000</v>
      </c>
      <c r="T315" s="831">
        <v>0.017695770149435863</v>
      </c>
      <c r="U315" s="832">
        <v>0.03022635923528521</v>
      </c>
      <c r="V315" s="833">
        <v>0.0427569483211346</v>
      </c>
      <c r="W315" s="856">
        <v>0.05528753740698393</v>
      </c>
      <c r="X315" s="787">
        <v>0.0678181264928333</v>
      </c>
      <c r="Y315" s="836">
        <v>0.08034871557868269</v>
      </c>
      <c r="Z315" s="714">
        <v>0.09287930466453201</v>
      </c>
      <c r="AA315" s="577"/>
      <c r="AC315" s="1056">
        <f t="shared" si="32"/>
        <v>3500000</v>
      </c>
      <c r="AD315" s="831">
        <v>0.002040154995784636</v>
      </c>
      <c r="AE315" s="832">
        <v>0.005713613407470563</v>
      </c>
      <c r="AF315" s="833">
        <v>0.009315626121991093</v>
      </c>
      <c r="AG315" s="856">
        <v>0.0128601814547912</v>
      </c>
      <c r="AH315" s="787">
        <v>0.016361267721315922</v>
      </c>
      <c r="AI315" s="836">
        <v>0.01775266427202838</v>
      </c>
      <c r="AJ315" s="714">
        <v>0.01914023915479647</v>
      </c>
      <c r="AK315" s="837">
        <v>0.020524887621808662</v>
      </c>
      <c r="AL315" s="838">
        <v>0.021907504925253438</v>
      </c>
      <c r="AM315" s="740">
        <v>0.023288986317319287</v>
      </c>
      <c r="AN315" s="610"/>
      <c r="AP315" s="1056">
        <f t="shared" si="33"/>
        <v>2500000</v>
      </c>
      <c r="AQ315" s="1266">
        <v>19052.502380386075</v>
      </c>
      <c r="AR315" s="1266">
        <v>39090.00476077215</v>
      </c>
      <c r="AS315" s="1266">
        <v>99202.5119019304</v>
      </c>
      <c r="AT315" s="1266">
        <v>199390.0238038608</v>
      </c>
      <c r="AU315" s="1266">
        <v>299577.53570579115</v>
      </c>
      <c r="AV315" s="1266">
        <v>399765.0476077216</v>
      </c>
      <c r="AW315" s="1266">
        <v>498967.55950965197</v>
      </c>
      <c r="AX315" s="1266">
        <v>599155.0714115823</v>
      </c>
      <c r="AY315" s="1266">
        <v>699342.5833135127</v>
      </c>
      <c r="AZ315" s="1266">
        <v>799530.0952154432</v>
      </c>
      <c r="BA315" s="1266">
        <v>898732.6071173736</v>
      </c>
      <c r="BB315" s="1266">
        <v>998920.1190193039</v>
      </c>
      <c r="BC315" s="1266">
        <v>1099107.6309212344</v>
      </c>
      <c r="BD315" s="1266">
        <v>1199295.1428231646</v>
      </c>
      <c r="BE315" s="610"/>
      <c r="BG315" s="1056">
        <f t="shared" si="34"/>
        <v>2500000</v>
      </c>
      <c r="BH315" s="1073">
        <v>0.0902458422643245</v>
      </c>
      <c r="BI315" s="1073">
        <v>0.09256737857928037</v>
      </c>
      <c r="BJ315" s="1073">
        <v>0.09396030036825388</v>
      </c>
      <c r="BK315" s="1073">
        <v>0.09442460763124506</v>
      </c>
      <c r="BL315" s="1073">
        <v>0.0945793767189088</v>
      </c>
      <c r="BM315" s="1073">
        <v>0.09465676126274065</v>
      </c>
      <c r="BN315" s="1073">
        <v>0.09451746908384331</v>
      </c>
      <c r="BO315" s="1073">
        <v>0.0945793767189088</v>
      </c>
      <c r="BP315" s="1073">
        <v>0.0946235964582413</v>
      </c>
      <c r="BQ315" s="1073">
        <v>0.09465676126274065</v>
      </c>
      <c r="BR315" s="1073">
        <v>0.0945793767189088</v>
      </c>
      <c r="BS315" s="1073">
        <v>0.09461033053644154</v>
      </c>
      <c r="BT315" s="1073">
        <v>0.09463565638715016</v>
      </c>
      <c r="BU315" s="1073">
        <v>0.09465676126274065</v>
      </c>
    </row>
    <row r="316">
      <c r="S316" s="1056">
        <f t="shared" si="31"/>
        <v>4000000</v>
      </c>
      <c r="T316" s="763">
        <v>0.01251627394191549</v>
      </c>
      <c r="U316" s="852">
        <v>0.024237566745339747</v>
      </c>
      <c r="V316" s="853">
        <v>0.035958859548764044</v>
      </c>
      <c r="W316" s="890">
        <v>0.047680152352188344</v>
      </c>
      <c r="X316" s="739">
        <v>0.059401445155612624</v>
      </c>
      <c r="Y316" s="856">
        <v>0.07112273795903692</v>
      </c>
      <c r="Z316" s="857">
        <v>0.08284403076246125</v>
      </c>
      <c r="AA316" s="577"/>
      <c r="AC316" s="1056">
        <f t="shared" si="32"/>
        <v>4000000</v>
      </c>
      <c r="AD316" s="763">
        <v>-0.0022144027902810753</v>
      </c>
      <c r="AE316" s="852">
        <v>0.001221802909991813</v>
      </c>
      <c r="AF316" s="853">
        <v>0.004591177280126652</v>
      </c>
      <c r="AG316" s="890">
        <v>0.007906805191076761</v>
      </c>
      <c r="AH316" s="739">
        <v>0.011181771513795543</v>
      </c>
      <c r="AI316" s="856">
        <v>0.012483303809271812</v>
      </c>
      <c r="AJ316" s="857">
        <v>0.013781261261724598</v>
      </c>
      <c r="AK316" s="795">
        <v>0.015076481302894962</v>
      </c>
      <c r="AL316" s="787">
        <v>0.016369801364523855</v>
      </c>
      <c r="AM316" s="836">
        <v>0.01766205887835232</v>
      </c>
      <c r="AN316" s="610"/>
      <c r="AP316" s="1056">
        <f t="shared" si="33"/>
        <v>3000000</v>
      </c>
      <c r="AQ316" s="1266">
        <v>17306.65341633486</v>
      </c>
      <c r="AR316" s="1266">
        <v>35598.30683266972</v>
      </c>
      <c r="AS316" s="1266">
        <v>90473.2670816743</v>
      </c>
      <c r="AT316" s="1266">
        <v>181931.5341633486</v>
      </c>
      <c r="AU316" s="1266">
        <v>273389.8012450229</v>
      </c>
      <c r="AV316" s="1266">
        <v>364848.0683266972</v>
      </c>
      <c r="AW316" s="1266">
        <v>455321.3354083716</v>
      </c>
      <c r="AX316" s="1266">
        <v>546779.6024900458</v>
      </c>
      <c r="AY316" s="1266">
        <v>638237.8695717201</v>
      </c>
      <c r="AZ316" s="1266">
        <v>729696.1366533944</v>
      </c>
      <c r="BA316" s="1266">
        <v>820169.4037350687</v>
      </c>
      <c r="BB316" s="1266">
        <v>911627.6708167432</v>
      </c>
      <c r="BC316" s="1266">
        <v>1003085.9378984175</v>
      </c>
      <c r="BD316" s="1266">
        <v>1094544.2049800917</v>
      </c>
      <c r="BE316" s="610"/>
      <c r="BG316" s="1056">
        <f t="shared" si="34"/>
        <v>3000000</v>
      </c>
      <c r="BH316" s="1073">
        <v>0.08197825927802345</v>
      </c>
      <c r="BI316" s="1073">
        <v>0.08429979559297933</v>
      </c>
      <c r="BJ316" s="1073">
        <v>0.08569271738195286</v>
      </c>
      <c r="BK316" s="1073">
        <v>0.08615702464494403</v>
      </c>
      <c r="BL316" s="1073">
        <v>0.08631179373260776</v>
      </c>
      <c r="BM316" s="1073">
        <v>0.08638917827643962</v>
      </c>
      <c r="BN316" s="1073">
        <v>0.08624988609754228</v>
      </c>
      <c r="BO316" s="1073">
        <v>0.08631179373260776</v>
      </c>
      <c r="BP316" s="1073">
        <v>0.08635601347194025</v>
      </c>
      <c r="BQ316" s="1073">
        <v>0.08638917827643962</v>
      </c>
      <c r="BR316" s="1073">
        <v>0.08631179373260775</v>
      </c>
      <c r="BS316" s="1073">
        <v>0.08634274755014051</v>
      </c>
      <c r="BT316" s="1073">
        <v>0.08636807340084912</v>
      </c>
      <c r="BU316" s="1073">
        <v>0.08638917827643962</v>
      </c>
    </row>
    <row r="317">
      <c r="S317" s="1056">
        <f t="shared" si="31"/>
        <v>4500000</v>
      </c>
      <c r="T317" s="867">
        <v>0.008226021338234841</v>
      </c>
      <c r="U317" s="868">
        <v>0.019276962172334027</v>
      </c>
      <c r="V317" s="869">
        <v>0.030327903006433225</v>
      </c>
      <c r="W317" s="1182">
        <v>0.04137884384053243</v>
      </c>
      <c r="X317" s="1333">
        <v>0.0524297846746316</v>
      </c>
      <c r="Y317" s="872">
        <v>0.06348072550873082</v>
      </c>
      <c r="Z317" s="873">
        <v>0.07453166634283001</v>
      </c>
      <c r="AA317" s="577"/>
      <c r="AC317" s="1056">
        <f t="shared" si="32"/>
        <v>4500000</v>
      </c>
      <c r="AD317" s="867">
        <v>-0.005738515346377836</v>
      </c>
      <c r="AE317" s="868">
        <v>-0.00249882954342472</v>
      </c>
      <c r="AF317" s="869">
        <v>6.778470772132716E-4</v>
      </c>
      <c r="AG317" s="1182">
        <v>0.0038038510501788823</v>
      </c>
      <c r="AH317" s="1333">
        <v>0.006891518910114891</v>
      </c>
      <c r="AI317" s="872">
        <v>0.008118615326200986</v>
      </c>
      <c r="AJ317" s="873">
        <v>0.009342341347962305</v>
      </c>
      <c r="AK317" s="874">
        <v>0.010563486513615999</v>
      </c>
      <c r="AL317" s="875">
        <v>0.011782840361379209</v>
      </c>
      <c r="AM317" s="1185">
        <v>0.013001192429469045</v>
      </c>
      <c r="AN317" s="610"/>
      <c r="AP317" s="1056">
        <f t="shared" si="33"/>
        <v>3500000</v>
      </c>
      <c r="AQ317" s="1266">
        <v>15949.780390916072</v>
      </c>
      <c r="AR317" s="1266">
        <v>32884.560781832144</v>
      </c>
      <c r="AS317" s="1266">
        <v>83688.90195458036</v>
      </c>
      <c r="AT317" s="1266">
        <v>168362.80390916072</v>
      </c>
      <c r="AU317" s="1266">
        <v>253036.70586374105</v>
      </c>
      <c r="AV317" s="1266">
        <v>337710.60781832144</v>
      </c>
      <c r="AW317" s="1266">
        <v>421399.50977290183</v>
      </c>
      <c r="AX317" s="1266">
        <v>506073.4117274821</v>
      </c>
      <c r="AY317" s="1266">
        <v>590747.3136820624</v>
      </c>
      <c r="AZ317" s="1266">
        <v>675421.2156366429</v>
      </c>
      <c r="BA317" s="1266">
        <v>759110.1175912233</v>
      </c>
      <c r="BB317" s="1266">
        <v>843784.0195458037</v>
      </c>
      <c r="BC317" s="1266">
        <v>928457.921500384</v>
      </c>
      <c r="BD317" s="1266">
        <v>1013131.8234549642</v>
      </c>
      <c r="BE317" s="610"/>
      <c r="BG317" s="1056">
        <f t="shared" si="34"/>
        <v>3500000</v>
      </c>
      <c r="BH317" s="1073">
        <v>0.0755526975195241</v>
      </c>
      <c r="BI317" s="1073">
        <v>0.07787423383447999</v>
      </c>
      <c r="BJ317" s="1073">
        <v>0.07926715562345352</v>
      </c>
      <c r="BK317" s="1073">
        <v>0.07973146288644468</v>
      </c>
      <c r="BL317" s="1073">
        <v>0.07988623197410842</v>
      </c>
      <c r="BM317" s="1073">
        <v>0.07996361651794028</v>
      </c>
      <c r="BN317" s="1073">
        <v>0.07982432433904292</v>
      </c>
      <c r="BO317" s="1073">
        <v>0.07988623197410842</v>
      </c>
      <c r="BP317" s="1073">
        <v>0.07993045171344092</v>
      </c>
      <c r="BQ317" s="1073">
        <v>0.07996361651794028</v>
      </c>
      <c r="BR317" s="1073">
        <v>0.07988623197410841</v>
      </c>
      <c r="BS317" s="1073">
        <v>0.07991718579164116</v>
      </c>
      <c r="BT317" s="1073">
        <v>0.07994251164234978</v>
      </c>
      <c r="BU317" s="1073">
        <v>0.07996361651794028</v>
      </c>
    </row>
    <row r="318">
      <c r="S318" s="1056">
        <f t="shared" si="31"/>
        <v>5000000</v>
      </c>
      <c r="T318" s="887">
        <v>0.004596595181147639</v>
      </c>
      <c r="U318" s="844">
        <v>0.015080438178201943</v>
      </c>
      <c r="V318" s="763">
        <v>0.02556428117525626</v>
      </c>
      <c r="W318" s="916">
        <v>0.03604812417231062</v>
      </c>
      <c r="X318" s="853">
        <v>0.046531967169364905</v>
      </c>
      <c r="Y318" s="853">
        <v>0.05701581016641922</v>
      </c>
      <c r="Z318" s="832">
        <v>0.06749965316347352</v>
      </c>
      <c r="AA318" s="594"/>
      <c r="AC318" s="1056">
        <f t="shared" si="32"/>
        <v>5000000</v>
      </c>
      <c r="AD318" s="887">
        <v>-0.008719809799912815</v>
      </c>
      <c r="AE318" s="844">
        <v>-0.005646373987719825</v>
      </c>
      <c r="AF318" s="763">
        <v>-0.0026327139344130067</v>
      </c>
      <c r="AG318" s="916">
        <v>3.3287382437902405E-4</v>
      </c>
      <c r="AH318" s="853">
        <v>0.003262092753027688</v>
      </c>
      <c r="AI318" s="853">
        <v>0.00442621862806619</v>
      </c>
      <c r="AJ318" s="832">
        <v>0.0055871470663009576</v>
      </c>
      <c r="AK318" s="786">
        <v>0.006745627089451734</v>
      </c>
      <c r="AL318" s="890">
        <v>0.007902407719238318</v>
      </c>
      <c r="AM318" s="890">
        <v>0.009058237977380456</v>
      </c>
      <c r="AN318" s="610"/>
      <c r="AP318" s="1056">
        <f t="shared" si="33"/>
        <v>4000000</v>
      </c>
      <c r="AQ318" s="1266">
        <v>14856.036535766407</v>
      </c>
      <c r="AR318" s="1266">
        <v>30697.073071532814</v>
      </c>
      <c r="AS318" s="1266">
        <v>78220.18267883205</v>
      </c>
      <c r="AT318" s="1266">
        <v>157425.3653576641</v>
      </c>
      <c r="AU318" s="1266">
        <v>236630.5480364961</v>
      </c>
      <c r="AV318" s="1266">
        <v>315835.7307153282</v>
      </c>
      <c r="AW318" s="1266">
        <v>394055.9133941602</v>
      </c>
      <c r="AX318" s="1266">
        <v>473261.0960729922</v>
      </c>
      <c r="AY318" s="1266">
        <v>552466.2787518243</v>
      </c>
      <c r="AZ318" s="1266">
        <v>631671.4614306564</v>
      </c>
      <c r="BA318" s="1266">
        <v>709891.6441094883</v>
      </c>
      <c r="BB318" s="1266">
        <v>789096.8267883204</v>
      </c>
      <c r="BC318" s="1266">
        <v>868302.0094671525</v>
      </c>
      <c r="BD318" s="1266">
        <v>947507.1921459844</v>
      </c>
      <c r="BE318" s="610"/>
      <c r="BG318" s="1056">
        <f t="shared" si="34"/>
        <v>4000000</v>
      </c>
      <c r="BH318" s="1073">
        <v>0.07037320131200372</v>
      </c>
      <c r="BI318" s="1073">
        <v>0.0726947376269596</v>
      </c>
      <c r="BJ318" s="1073">
        <v>0.07408765941593312</v>
      </c>
      <c r="BK318" s="1073">
        <v>0.0745519666789243</v>
      </c>
      <c r="BL318" s="1073">
        <v>0.07470673576658804</v>
      </c>
      <c r="BM318" s="1073">
        <v>0.0747841203104199</v>
      </c>
      <c r="BN318" s="1073">
        <v>0.07464482813152255</v>
      </c>
      <c r="BO318" s="1073">
        <v>0.07470673576658804</v>
      </c>
      <c r="BP318" s="1073">
        <v>0.07475095550592052</v>
      </c>
      <c r="BQ318" s="1073">
        <v>0.0747841203104199</v>
      </c>
      <c r="BR318" s="1073">
        <v>0.07470673576658804</v>
      </c>
      <c r="BS318" s="1073">
        <v>0.07473768958412079</v>
      </c>
      <c r="BT318" s="1073">
        <v>0.0747630154348294</v>
      </c>
      <c r="BU318" s="1073">
        <v>0.0747841203104199</v>
      </c>
    </row>
    <row r="319">
      <c r="S319" s="1056">
        <f t="shared" si="31"/>
        <v>5500000</v>
      </c>
      <c r="T319" s="804">
        <v>0.0014740933709803635</v>
      </c>
      <c r="U319" s="821">
        <v>0.011470045460196051</v>
      </c>
      <c r="V319" s="902">
        <v>0.02146599754941171</v>
      </c>
      <c r="W319" s="763">
        <v>0.03146194963862738</v>
      </c>
      <c r="X319" s="822">
        <v>0.04145790172784309</v>
      </c>
      <c r="Y319" s="852">
        <v>0.051453853817058776</v>
      </c>
      <c r="Z319" s="831">
        <v>0.06144980590627446</v>
      </c>
      <c r="AA319" s="577"/>
      <c r="AC319" s="1056">
        <f t="shared" si="32"/>
        <v>5500000</v>
      </c>
      <c r="AD319" s="804">
        <v>-0.011284704889354593</v>
      </c>
      <c r="AE319" s="821">
        <v>-0.008354298821980955</v>
      </c>
      <c r="AF319" s="902">
        <v>-0.005480886704449027</v>
      </c>
      <c r="AG319" s="763">
        <v>-0.0026533097213161504</v>
      </c>
      <c r="AH319" s="822">
        <v>1.3959094286041446E-4</v>
      </c>
      <c r="AI319" s="852">
        <v>0.001249541413882427</v>
      </c>
      <c r="AJ319" s="831">
        <v>0.0023564432485305787</v>
      </c>
      <c r="AK319" s="853">
        <v>0.003461010610993225</v>
      </c>
      <c r="AL319" s="853">
        <v>0.004563957665458693</v>
      </c>
      <c r="AM319" s="832">
        <v>0.005665998576115312</v>
      </c>
      <c r="AN319" s="610"/>
      <c r="AP319" s="1056">
        <f t="shared" si="33"/>
        <v>4500000</v>
      </c>
      <c r="AQ319" s="1359">
        <v>13950.072473952374</v>
      </c>
      <c r="AR319" s="1359">
        <v>28885.144947904748</v>
      </c>
      <c r="AS319" s="1359">
        <v>73690.36236976188</v>
      </c>
      <c r="AT319" s="1359">
        <v>148365.72473952375</v>
      </c>
      <c r="AU319" s="1359">
        <v>223041.0871092856</v>
      </c>
      <c r="AV319" s="1359">
        <v>297716.4494790475</v>
      </c>
      <c r="AW319" s="1359">
        <v>371406.81184880936</v>
      </c>
      <c r="AX319" s="1359">
        <v>446082.1742185712</v>
      </c>
      <c r="AY319" s="1359">
        <v>520757.5365883331</v>
      </c>
      <c r="AZ319" s="1359">
        <v>595432.898958095</v>
      </c>
      <c r="BA319" s="1359">
        <v>669123.2613278569</v>
      </c>
      <c r="BB319" s="1359">
        <v>743798.6236976187</v>
      </c>
      <c r="BC319" s="1359">
        <v>818473.9860673806</v>
      </c>
      <c r="BD319" s="1359">
        <v>893149.3484371424</v>
      </c>
      <c r="BE319" s="610"/>
      <c r="BG319" s="1056">
        <f t="shared" si="34"/>
        <v>4500000</v>
      </c>
      <c r="BH319" s="594">
        <v>0.06608294870832308</v>
      </c>
      <c r="BI319" s="594">
        <v>0.06840448502327896</v>
      </c>
      <c r="BJ319" s="594">
        <v>0.0697974068122525</v>
      </c>
      <c r="BK319" s="594">
        <v>0.07026171407524368</v>
      </c>
      <c r="BL319" s="594">
        <v>0.0704164831629074</v>
      </c>
      <c r="BM319" s="594">
        <v>0.07049386770673927</v>
      </c>
      <c r="BN319" s="594">
        <v>0.07035457552784191</v>
      </c>
      <c r="BO319" s="594">
        <v>0.0704164831629074</v>
      </c>
      <c r="BP319" s="594">
        <v>0.07046070290223988</v>
      </c>
      <c r="BQ319" s="594">
        <v>0.07049386770673927</v>
      </c>
      <c r="BR319" s="594">
        <v>0.0704164831629074</v>
      </c>
      <c r="BS319" s="594">
        <v>0.07044743698044015</v>
      </c>
      <c r="BT319" s="594">
        <v>0.07047276283114876</v>
      </c>
      <c r="BU319" s="594">
        <v>0.07049386770673925</v>
      </c>
    </row>
    <row r="320">
      <c r="S320" s="1056">
        <f t="shared" si="31"/>
        <v>6000000</v>
      </c>
      <c r="T320" s="843">
        <v>-0.0012494688124883356</v>
      </c>
      <c r="U320" s="804">
        <v>0.008320926685560356</v>
      </c>
      <c r="V320" s="914">
        <v>0.01789132218360902</v>
      </c>
      <c r="W320" s="902">
        <v>0.02746171768165774</v>
      </c>
      <c r="X320" s="763">
        <v>0.03703211317970645</v>
      </c>
      <c r="Y320" s="763">
        <v>0.04660250867775514</v>
      </c>
      <c r="Z320" s="822">
        <v>0.05617290417580383</v>
      </c>
      <c r="AA320" s="577"/>
      <c r="AC320" s="1056">
        <f t="shared" si="32"/>
        <v>6000000</v>
      </c>
      <c r="AD320" s="843">
        <v>-0.013521901757398709</v>
      </c>
      <c r="AE320" s="804">
        <v>-0.010716251551761525</v>
      </c>
      <c r="AF320" s="914">
        <v>-0.007965168898680914</v>
      </c>
      <c r="AG320" s="902">
        <v>-0.005257970045761615</v>
      </c>
      <c r="AH320" s="763">
        <v>-0.002583971240608282</v>
      </c>
      <c r="AI320" s="763">
        <v>-0.0015212745713848908</v>
      </c>
      <c r="AJ320" s="822">
        <v>-4.614967492675241E-4</v>
      </c>
      <c r="AK320" s="916">
        <v>5.960459858971161E-4</v>
      </c>
      <c r="AL320" s="852">
        <v>0.0016520373942623685</v>
      </c>
      <c r="AM320" s="831">
        <v>0.002707161235981476</v>
      </c>
      <c r="AN320" s="610"/>
      <c r="AP320" s="1056">
        <f t="shared" si="33"/>
        <v>5000000</v>
      </c>
      <c r="AQ320" s="1369">
        <v>13183.653811212582</v>
      </c>
      <c r="AR320" s="1369">
        <v>27352.307622425164</v>
      </c>
      <c r="AS320" s="1369">
        <v>69858.26905606291</v>
      </c>
      <c r="AT320" s="1369">
        <v>140701.53811212583</v>
      </c>
      <c r="AU320" s="1369">
        <v>211544.8071681887</v>
      </c>
      <c r="AV320" s="1369">
        <v>282388.07622425165</v>
      </c>
      <c r="AW320" s="1369">
        <v>352246.34528031456</v>
      </c>
      <c r="AX320" s="1369">
        <v>423089.6143363774</v>
      </c>
      <c r="AY320" s="1369">
        <v>493932.8833924404</v>
      </c>
      <c r="AZ320" s="1369">
        <v>564776.1524485033</v>
      </c>
      <c r="BA320" s="1369">
        <v>634634.4215045662</v>
      </c>
      <c r="BB320" s="1369">
        <v>705477.6905606291</v>
      </c>
      <c r="BC320" s="1369">
        <v>776320.959616692</v>
      </c>
      <c r="BD320" s="1369">
        <v>847164.2286727548</v>
      </c>
      <c r="BE320" s="610"/>
      <c r="BG320" s="1056">
        <f t="shared" si="34"/>
        <v>5000000</v>
      </c>
      <c r="BH320" s="577">
        <v>0.062453522551235874</v>
      </c>
      <c r="BI320" s="577">
        <v>0.06477505886619175</v>
      </c>
      <c r="BJ320" s="577">
        <v>0.06616798065516528</v>
      </c>
      <c r="BK320" s="577">
        <v>0.06663228791815647</v>
      </c>
      <c r="BL320" s="577">
        <v>0.06678705700582017</v>
      </c>
      <c r="BM320" s="577">
        <v>0.06686444154965204</v>
      </c>
      <c r="BN320" s="577">
        <v>0.06672514937075469</v>
      </c>
      <c r="BO320" s="577">
        <v>0.06678705700582017</v>
      </c>
      <c r="BP320" s="577">
        <v>0.06683127674515268</v>
      </c>
      <c r="BQ320" s="577">
        <v>0.06686444154965204</v>
      </c>
      <c r="BR320" s="577">
        <v>0.06678705700582017</v>
      </c>
      <c r="BS320" s="577">
        <v>0.06681801082335292</v>
      </c>
      <c r="BT320" s="577">
        <v>0.06684333667406155</v>
      </c>
      <c r="BU320" s="577">
        <v>0.06686444154965204</v>
      </c>
    </row>
    <row r="321">
      <c r="S321" s="1056">
        <f t="shared" si="31"/>
        <v>6500000</v>
      </c>
      <c r="T321" s="820">
        <v>-0.003652393128177081</v>
      </c>
      <c r="U321" s="762">
        <v>0.00554254544554523</v>
      </c>
      <c r="V321" s="804">
        <v>0.014737484019267569</v>
      </c>
      <c r="W321" s="1192">
        <v>0.02393242259298989</v>
      </c>
      <c r="X321" s="902">
        <v>0.033127361166712214</v>
      </c>
      <c r="Y321" s="931">
        <v>0.04232229974043453</v>
      </c>
      <c r="Z321" s="932">
        <v>0.051517238314156895</v>
      </c>
      <c r="AA321" s="577"/>
      <c r="AC321" s="1056">
        <f t="shared" si="32"/>
        <v>6500000</v>
      </c>
      <c r="AD321" s="820">
        <v>-0.015495719276908864</v>
      </c>
      <c r="AE321" s="762">
        <v>-0.012800137750999585</v>
      </c>
      <c r="AF321" s="804">
        <v>-0.010156983033781607</v>
      </c>
      <c r="AG321" s="1192">
        <v>-0.007555990507974291</v>
      </c>
      <c r="AH321" s="902">
        <v>-0.004986895556297028</v>
      </c>
      <c r="AI321" s="931">
        <v>-0.003965889622111684</v>
      </c>
      <c r="AJ321" s="932">
        <v>-0.002947688025516303</v>
      </c>
      <c r="AK321" s="763">
        <v>-0.0019316338310049217</v>
      </c>
      <c r="AL321" s="738">
        <v>-9.170701030715408E-4</v>
      </c>
      <c r="AM321" s="822">
        <v>9.66600937897085E-5</v>
      </c>
      <c r="AN321" s="610"/>
      <c r="AP321" s="1056">
        <f t="shared" si="33"/>
        <v>5500000</v>
      </c>
      <c r="AQ321" s="1369">
        <v>12524.28134896318</v>
      </c>
      <c r="AR321" s="1369">
        <v>26033.56269792636</v>
      </c>
      <c r="AS321" s="1369">
        <v>66561.4067448159</v>
      </c>
      <c r="AT321" s="1369">
        <v>134107.8134896318</v>
      </c>
      <c r="AU321" s="1369">
        <v>201654.2202344477</v>
      </c>
      <c r="AV321" s="1369">
        <v>269200.6269792636</v>
      </c>
      <c r="AW321" s="1369">
        <v>335762.03372407955</v>
      </c>
      <c r="AX321" s="1369">
        <v>403308.4404688954</v>
      </c>
      <c r="AY321" s="1369">
        <v>470854.8472137113</v>
      </c>
      <c r="AZ321" s="1369">
        <v>538401.2539585272</v>
      </c>
      <c r="BA321" s="1369">
        <v>604962.6607033432</v>
      </c>
      <c r="BB321" s="1369">
        <v>672509.0674481591</v>
      </c>
      <c r="BC321" s="1369">
        <v>740055.474192975</v>
      </c>
      <c r="BD321" s="1369">
        <v>807601.8809377908</v>
      </c>
      <c r="BE321" s="610"/>
      <c r="BG321" s="1056">
        <f t="shared" si="34"/>
        <v>5500000</v>
      </c>
      <c r="BH321" s="577">
        <v>0.05933102074106861</v>
      </c>
      <c r="BI321" s="577">
        <v>0.06165255705602449</v>
      </c>
      <c r="BJ321" s="577">
        <v>0.06304547884499802</v>
      </c>
      <c r="BK321" s="577">
        <v>0.0635097861079892</v>
      </c>
      <c r="BL321" s="577">
        <v>0.06366455519565292</v>
      </c>
      <c r="BM321" s="577">
        <v>0.06374193973948478</v>
      </c>
      <c r="BN321" s="577">
        <v>0.06360264756058742</v>
      </c>
      <c r="BO321" s="577">
        <v>0.06366455519565292</v>
      </c>
      <c r="BP321" s="577">
        <v>0.0637087749349854</v>
      </c>
      <c r="BQ321" s="577">
        <v>0.06374193973948478</v>
      </c>
      <c r="BR321" s="577">
        <v>0.06366455519565291</v>
      </c>
      <c r="BS321" s="577">
        <v>0.06369550901318566</v>
      </c>
      <c r="BT321" s="577">
        <v>0.06372083486389428</v>
      </c>
      <c r="BU321" s="577">
        <v>0.06374193973948478</v>
      </c>
    </row>
    <row r="322">
      <c r="S322" s="1056">
        <f t="shared" si="31"/>
        <v>7000000</v>
      </c>
      <c r="T322" s="944">
        <v>-0.005793027104856187</v>
      </c>
      <c r="U322" s="880">
        <v>0.0030674374100100226</v>
      </c>
      <c r="V322" s="762">
        <v>0.011927901924876265</v>
      </c>
      <c r="W322" s="887">
        <v>0.02078836643974247</v>
      </c>
      <c r="X322" s="844">
        <v>0.0296488309546087</v>
      </c>
      <c r="Y322" s="844">
        <v>0.038509295469474916</v>
      </c>
      <c r="Z322" s="902">
        <v>0.047369759984341134</v>
      </c>
      <c r="AA322" s="577"/>
      <c r="AC322" s="1056">
        <f t="shared" si="32"/>
        <v>7000000</v>
      </c>
      <c r="AD322" s="944">
        <v>-0.017254085455336274</v>
      </c>
      <c r="AE322" s="880">
        <v>-0.014656558102026377</v>
      </c>
      <c r="AF322" s="762">
        <v>-0.012109550485668764</v>
      </c>
      <c r="AG322" s="887">
        <v>-0.009603171373554856</v>
      </c>
      <c r="AH322" s="844">
        <v>-0.007127529532976131</v>
      </c>
      <c r="AI322" s="844">
        <v>-0.00614366359664778</v>
      </c>
      <c r="AJ322" s="902">
        <v>-0.005162499987638336</v>
      </c>
      <c r="AK322" s="931">
        <v>-0.004183405667054474</v>
      </c>
      <c r="AL322" s="932">
        <v>-0.0032057475960027984</v>
      </c>
      <c r="AM322" s="763">
        <v>-0.0022288927355900226</v>
      </c>
      <c r="AN322" s="610"/>
      <c r="AP322" s="1056">
        <f t="shared" si="33"/>
        <v>6000000</v>
      </c>
      <c r="AQ322" s="1369">
        <v>11949.152169804462</v>
      </c>
      <c r="AR322" s="1369">
        <v>24883.304339608923</v>
      </c>
      <c r="AS322" s="1369">
        <v>63685.760849022314</v>
      </c>
      <c r="AT322" s="1369">
        <v>128356.52169804463</v>
      </c>
      <c r="AU322" s="1369">
        <v>193027.28254706692</v>
      </c>
      <c r="AV322" s="1369">
        <v>257698.04339608926</v>
      </c>
      <c r="AW322" s="1369">
        <v>321383.8042451116</v>
      </c>
      <c r="AX322" s="1369">
        <v>386054.56509413384</v>
      </c>
      <c r="AY322" s="1369">
        <v>450725.32594315615</v>
      </c>
      <c r="AZ322" s="1369">
        <v>515396.0867921785</v>
      </c>
      <c r="BA322" s="1369">
        <v>579081.8476412009</v>
      </c>
      <c r="BB322" s="1369">
        <v>643752.6084902232</v>
      </c>
      <c r="BC322" s="1369">
        <v>708423.3693392455</v>
      </c>
      <c r="BD322" s="1369">
        <v>773094.1301882677</v>
      </c>
      <c r="BE322" s="610"/>
      <c r="BG322" s="1056">
        <f t="shared" si="34"/>
        <v>6000000</v>
      </c>
      <c r="BH322" s="577">
        <v>0.0566074585575999</v>
      </c>
      <c r="BI322" s="577">
        <v>0.05892899487255578</v>
      </c>
      <c r="BJ322" s="577">
        <v>0.060321916661529314</v>
      </c>
      <c r="BK322" s="577">
        <v>0.06078622392452049</v>
      </c>
      <c r="BL322" s="577">
        <v>0.06094099301218421</v>
      </c>
      <c r="BM322" s="577">
        <v>0.06101837755601608</v>
      </c>
      <c r="BN322" s="577">
        <v>0.060879085377118725</v>
      </c>
      <c r="BO322" s="577">
        <v>0.06094099301218421</v>
      </c>
      <c r="BP322" s="577">
        <v>0.06098521275151671</v>
      </c>
      <c r="BQ322" s="577">
        <v>0.06101837755601608</v>
      </c>
      <c r="BR322" s="577">
        <v>0.06094099301218422</v>
      </c>
      <c r="BS322" s="577">
        <v>0.06097194682971696</v>
      </c>
      <c r="BT322" s="577">
        <v>0.06099727268042556</v>
      </c>
      <c r="BU322" s="577">
        <v>0.06101837755601607</v>
      </c>
    </row>
    <row r="323">
      <c r="S323" s="1056">
        <f t="shared" si="31"/>
        <v>7500000</v>
      </c>
      <c r="T323" s="803">
        <v>-0.007715859442701212</v>
      </c>
      <c r="U323" s="956">
        <v>8.441625193767293E-4</v>
      </c>
      <c r="V323" s="843">
        <v>0.009404184481454645</v>
      </c>
      <c r="W323" s="804">
        <v>0.0179642064435326</v>
      </c>
      <c r="X323" s="887">
        <v>0.026524228405610552</v>
      </c>
      <c r="Y323" s="914">
        <v>0.03508425036768844</v>
      </c>
      <c r="Z323" s="844">
        <v>0.0436442723297664</v>
      </c>
      <c r="AA323" s="577"/>
      <c r="AC323" s="1056">
        <f t="shared" si="32"/>
        <v>7500000</v>
      </c>
      <c r="AD323" s="803">
        <v>-0.018833544338306276</v>
      </c>
      <c r="AE323" s="956">
        <v>-0.016324094505949866</v>
      </c>
      <c r="AF323" s="843">
        <v>-0.013863451376346378</v>
      </c>
      <c r="AG323" s="804">
        <v>-0.01144205911085158</v>
      </c>
      <c r="AH323" s="887">
        <v>-0.00905036187082116</v>
      </c>
      <c r="AI323" s="914">
        <v>-0.008099857074082725</v>
      </c>
      <c r="AJ323" s="844">
        <v>-0.007151962973562265</v>
      </c>
      <c r="AK323" s="844">
        <v>-0.006206067995586571</v>
      </c>
      <c r="AL323" s="902">
        <v>-0.0052615605664824055</v>
      </c>
      <c r="AM323" s="1200">
        <v>-0.004317829112576546</v>
      </c>
      <c r="AN323" s="610"/>
      <c r="AP323" s="1056">
        <f t="shared" si="33"/>
        <v>6500000</v>
      </c>
      <c r="AQ323" s="1369">
        <v>11441.7314479091</v>
      </c>
      <c r="AR323" s="1369">
        <v>23868.4628958182</v>
      </c>
      <c r="AS323" s="1369">
        <v>61148.65723954551</v>
      </c>
      <c r="AT323" s="1369">
        <v>123282.31447909102</v>
      </c>
      <c r="AU323" s="1369">
        <v>185415.9717186365</v>
      </c>
      <c r="AV323" s="1369">
        <v>247549.62895818203</v>
      </c>
      <c r="AW323" s="1369">
        <v>308698.28619772755</v>
      </c>
      <c r="AX323" s="1369">
        <v>370831.943437273</v>
      </c>
      <c r="AY323" s="1369">
        <v>432965.6006768185</v>
      </c>
      <c r="AZ323" s="1369">
        <v>495099.25791636406</v>
      </c>
      <c r="BA323" s="1369">
        <v>556247.9151559096</v>
      </c>
      <c r="BB323" s="1369">
        <v>618381.5723954551</v>
      </c>
      <c r="BC323" s="1369">
        <v>680515.2296350006</v>
      </c>
      <c r="BD323" s="1369">
        <v>742648.886874546</v>
      </c>
      <c r="BE323" s="610"/>
      <c r="BG323" s="1056">
        <f t="shared" si="34"/>
        <v>6500000</v>
      </c>
      <c r="BH323" s="577">
        <v>0.05420453424191116</v>
      </c>
      <c r="BI323" s="577">
        <v>0.05652607055686704</v>
      </c>
      <c r="BJ323" s="577">
        <v>0.05791899234584057</v>
      </c>
      <c r="BK323" s="577">
        <v>0.05838329960883174</v>
      </c>
      <c r="BL323" s="577">
        <v>0.058538068696495464</v>
      </c>
      <c r="BM323" s="577">
        <v>0.05861545324032733</v>
      </c>
      <c r="BN323" s="577">
        <v>0.05847616106142998</v>
      </c>
      <c r="BO323" s="577">
        <v>0.058538068696495464</v>
      </c>
      <c r="BP323" s="577">
        <v>0.05858228843582795</v>
      </c>
      <c r="BQ323" s="577">
        <v>0.05861545324032733</v>
      </c>
      <c r="BR323" s="577">
        <v>0.058538068696495464</v>
      </c>
      <c r="BS323" s="577">
        <v>0.058569022514028214</v>
      </c>
      <c r="BT323" s="577">
        <v>0.058594348364736815</v>
      </c>
      <c r="BU323" s="577">
        <v>0.058615453240327325</v>
      </c>
    </row>
    <row r="324">
      <c r="S324" s="1056">
        <f t="shared" si="31"/>
        <v>8000000</v>
      </c>
      <c r="T324" s="967">
        <v>-0.009455483996323863</v>
      </c>
      <c r="U324" s="861">
        <v>-0.0011672783707494662</v>
      </c>
      <c r="V324" s="880">
        <v>0.007120927254824936</v>
      </c>
      <c r="W324" s="762">
        <v>0.015409132880399311</v>
      </c>
      <c r="X324" s="804">
        <v>0.02369733850597369</v>
      </c>
      <c r="Y324" s="887">
        <v>0.03198554413154809</v>
      </c>
      <c r="Z324" s="887">
        <v>0.040273749757122494</v>
      </c>
      <c r="AA324" s="577"/>
      <c r="AC324" s="1056">
        <f t="shared" si="32"/>
        <v>8000000</v>
      </c>
      <c r="AD324" s="967">
        <v>-0.02026251211681337</v>
      </c>
      <c r="AE324" s="861">
        <v>-0.017832747764598526</v>
      </c>
      <c r="AF324" s="880">
        <v>-0.015450240299120037</v>
      </c>
      <c r="AG324" s="762">
        <v>-0.013105737319395822</v>
      </c>
      <c r="AH324" s="804">
        <v>-0.010789986424443808</v>
      </c>
      <c r="AI324" s="887">
        <v>-0.009869664112379242</v>
      </c>
      <c r="AJ324" s="887">
        <v>-0.008951869596058261</v>
      </c>
      <c r="AK324" s="914">
        <v>-0.008036010721817987</v>
      </c>
      <c r="AL324" s="844">
        <v>-0.007121495335995589</v>
      </c>
      <c r="AM324" s="844">
        <v>-0.00620773128492822</v>
      </c>
      <c r="AN324" s="610"/>
      <c r="AP324" s="1056">
        <f t="shared" si="33"/>
        <v>7000000</v>
      </c>
      <c r="AQ324" s="1369">
        <v>10989.698052321728</v>
      </c>
      <c r="AR324" s="1369">
        <v>22964.396104643456</v>
      </c>
      <c r="AS324" s="1369">
        <v>58888.49026160865</v>
      </c>
      <c r="AT324" s="1369">
        <v>118761.9805232173</v>
      </c>
      <c r="AU324" s="1369">
        <v>178635.4707848259</v>
      </c>
      <c r="AV324" s="1369">
        <v>238508.9610464346</v>
      </c>
      <c r="AW324" s="1369">
        <v>297397.4513080432</v>
      </c>
      <c r="AX324" s="1369">
        <v>357270.9415696518</v>
      </c>
      <c r="AY324" s="1369">
        <v>417144.43183126044</v>
      </c>
      <c r="AZ324" s="1369">
        <v>477017.9220928692</v>
      </c>
      <c r="BA324" s="1369">
        <v>535906.4123544778</v>
      </c>
      <c r="BB324" s="1369">
        <v>595779.9026160864</v>
      </c>
      <c r="BC324" s="1369">
        <v>655653.3928776952</v>
      </c>
      <c r="BD324" s="1369">
        <v>715526.8831393037</v>
      </c>
      <c r="BE324" s="610"/>
      <c r="BG324" s="1056">
        <f t="shared" si="34"/>
        <v>7000000</v>
      </c>
      <c r="BH324" s="577">
        <v>0.052063900265232055</v>
      </c>
      <c r="BI324" s="577">
        <v>0.054385436580187935</v>
      </c>
      <c r="BJ324" s="577">
        <v>0.055778358369161465</v>
      </c>
      <c r="BK324" s="577">
        <v>0.05624266563215264</v>
      </c>
      <c r="BL324" s="577">
        <v>0.05639743471981636</v>
      </c>
      <c r="BM324" s="577">
        <v>0.056474819263648224</v>
      </c>
      <c r="BN324" s="577">
        <v>0.056335527084750876</v>
      </c>
      <c r="BO324" s="577">
        <v>0.05639743471981636</v>
      </c>
      <c r="BP324" s="577">
        <v>0.05644165445914886</v>
      </c>
      <c r="BQ324" s="577">
        <v>0.056474819263648224</v>
      </c>
      <c r="BR324" s="577">
        <v>0.05639743471981636</v>
      </c>
      <c r="BS324" s="577">
        <v>0.05642838853734911</v>
      </c>
      <c r="BT324" s="577">
        <v>0.05645371438805772</v>
      </c>
      <c r="BU324" s="577">
        <v>0.056474819263648224</v>
      </c>
    </row>
    <row r="325">
      <c r="S325" s="1056">
        <f t="shared" si="31"/>
        <v>8500000</v>
      </c>
      <c r="T325" s="980">
        <v>-0.011039260625194579</v>
      </c>
      <c r="U325" s="981">
        <v>-0.002998520097881229</v>
      </c>
      <c r="V325" s="982">
        <v>0.005042220429432134</v>
      </c>
      <c r="W325" s="1005">
        <v>0.013082960956745476</v>
      </c>
      <c r="X325" s="1007">
        <v>0.02112370148405882</v>
      </c>
      <c r="Y325" s="985">
        <v>0.029164442011372176</v>
      </c>
      <c r="Z325" s="985">
        <v>0.037205182538685516</v>
      </c>
      <c r="AA325" s="577"/>
      <c r="AC325" s="1056">
        <f t="shared" si="32"/>
        <v>8500000</v>
      </c>
      <c r="AD325" s="980">
        <v>-0.0215634628112008</v>
      </c>
      <c r="AE325" s="981">
        <v>-0.019206245147779105</v>
      </c>
      <c r="AF325" s="982">
        <v>-0.016894873398604876</v>
      </c>
      <c r="AG325" s="1005">
        <v>-0.01462037141625705</v>
      </c>
      <c r="AH325" s="1007">
        <v>-0.012373763053314524</v>
      </c>
      <c r="AI325" s="985">
        <v>-0.011480919264548669</v>
      </c>
      <c r="AJ325" s="985">
        <v>-0.010590527797865344</v>
      </c>
      <c r="AK325" s="986">
        <v>-0.009702014179829592</v>
      </c>
      <c r="AL325" s="986">
        <v>-0.008814803937006482</v>
      </c>
      <c r="AM325" s="1210">
        <v>-0.00792832259596105</v>
      </c>
      <c r="AN325" s="610"/>
      <c r="AP325" s="1056">
        <f t="shared" si="33"/>
        <v>7500000</v>
      </c>
      <c r="AQ325" s="1369">
        <v>10583.657393203668</v>
      </c>
      <c r="AR325" s="1369">
        <v>22152.314786407336</v>
      </c>
      <c r="AS325" s="1369">
        <v>56858.28696601835</v>
      </c>
      <c r="AT325" s="1369">
        <v>114701.5739320367</v>
      </c>
      <c r="AU325" s="1369">
        <v>172544.86089805502</v>
      </c>
      <c r="AV325" s="1369">
        <v>230388.1478640734</v>
      </c>
      <c r="AW325" s="1369">
        <v>287246.4348300918</v>
      </c>
      <c r="AX325" s="1369">
        <v>345089.72179611004</v>
      </c>
      <c r="AY325" s="1369">
        <v>402933.0087621284</v>
      </c>
      <c r="AZ325" s="1369">
        <v>460776.2957281468</v>
      </c>
      <c r="BA325" s="1369">
        <v>517634.5826941652</v>
      </c>
      <c r="BB325" s="1369">
        <v>575477.8696601836</v>
      </c>
      <c r="BC325" s="1369">
        <v>633321.1566262018</v>
      </c>
      <c r="BD325" s="1369">
        <v>691164.4435922201</v>
      </c>
      <c r="BE325" s="610"/>
      <c r="BG325" s="1056">
        <f t="shared" si="34"/>
        <v>7500000</v>
      </c>
      <c r="BH325" s="577">
        <v>0.050141067927387026</v>
      </c>
      <c r="BI325" s="577">
        <v>0.052462604242342906</v>
      </c>
      <c r="BJ325" s="577">
        <v>0.053855526031316436</v>
      </c>
      <c r="BK325" s="577">
        <v>0.05431983329430761</v>
      </c>
      <c r="BL325" s="577">
        <v>0.05447460238197134</v>
      </c>
      <c r="BM325" s="577">
        <v>0.0545519869258032</v>
      </c>
      <c r="BN325" s="577">
        <v>0.05441269474690585</v>
      </c>
      <c r="BO325" s="577">
        <v>0.05447460238197134</v>
      </c>
      <c r="BP325" s="577">
        <v>0.05451882212130383</v>
      </c>
      <c r="BQ325" s="577">
        <v>0.0545519869258032</v>
      </c>
      <c r="BR325" s="577">
        <v>0.054474602381971333</v>
      </c>
      <c r="BS325" s="577">
        <v>0.054505556199504084</v>
      </c>
      <c r="BT325" s="577">
        <v>0.05453088205021269</v>
      </c>
      <c r="BU325" s="577">
        <v>0.0545519869258032</v>
      </c>
    </row>
    <row r="326">
      <c r="R326" s="1222"/>
      <c r="S326" s="1056">
        <f t="shared" si="31"/>
        <v>9000000</v>
      </c>
      <c r="T326" s="994">
        <v>-0.01248915070538969</v>
      </c>
      <c r="U326" s="967">
        <v>-0.004674955503106834</v>
      </c>
      <c r="V326" s="861">
        <v>0.003139239699176043</v>
      </c>
      <c r="W326" s="820">
        <v>0.010953434901458885</v>
      </c>
      <c r="X326" s="843">
        <v>0.018767630103741755</v>
      </c>
      <c r="Y326" s="762">
        <v>0.026581825306024598</v>
      </c>
      <c r="Z326" s="785">
        <v>0.034396020508307465</v>
      </c>
      <c r="AA326" s="594"/>
      <c r="AB326" s="1406"/>
      <c r="AC326" s="1056">
        <f t="shared" si="32"/>
        <v>9000000</v>
      </c>
      <c r="AD326" s="994">
        <v>-0.02275443600289404</v>
      </c>
      <c r="AE326" s="967">
        <v>-0.020463632202712117</v>
      </c>
      <c r="AF326" s="861">
        <v>-0.018217382622622222</v>
      </c>
      <c r="AG326" s="820">
        <v>-0.016006964015322138</v>
      </c>
      <c r="AH326" s="843">
        <v>-0.013823653133509634</v>
      </c>
      <c r="AI326" s="762">
        <v>-0.012955964936525448</v>
      </c>
      <c r="AJ326" s="785">
        <v>-0.012090659968223599</v>
      </c>
      <c r="AK326" s="804">
        <v>-0.011227179940776686</v>
      </c>
      <c r="AL326" s="804">
        <v>-0.010364966566357419</v>
      </c>
      <c r="AM326" s="887">
        <v>-0.009503461557138439</v>
      </c>
      <c r="AN326" s="610"/>
      <c r="AP326" s="1056">
        <f t="shared" si="33"/>
        <v>8000000</v>
      </c>
      <c r="AQ326" s="1369">
        <v>10216.30435546428</v>
      </c>
      <c r="AR326" s="1369">
        <v>21417.60871092856</v>
      </c>
      <c r="AS326" s="1369">
        <v>55021.52177732141</v>
      </c>
      <c r="AT326" s="1369">
        <v>111028.04355464282</v>
      </c>
      <c r="AU326" s="1369">
        <v>167034.5653319642</v>
      </c>
      <c r="AV326" s="1369">
        <v>223041.08710928564</v>
      </c>
      <c r="AW326" s="1369">
        <v>278062.60888660705</v>
      </c>
      <c r="AX326" s="1369">
        <v>334069.1306639284</v>
      </c>
      <c r="AY326" s="1369">
        <v>390075.6524412498</v>
      </c>
      <c r="AZ326" s="1369">
        <v>446082.1742185713</v>
      </c>
      <c r="BA326" s="1369">
        <v>501103.6959958927</v>
      </c>
      <c r="BB326" s="1369">
        <v>557110.2177732141</v>
      </c>
      <c r="BC326" s="1369">
        <v>613116.7395505356</v>
      </c>
      <c r="BD326" s="1369">
        <v>669123.2613278568</v>
      </c>
      <c r="BE326" s="610"/>
      <c r="BG326" s="1056">
        <f t="shared" si="34"/>
        <v>8000000</v>
      </c>
      <c r="BH326" s="577">
        <v>0.048401443373764376</v>
      </c>
      <c r="BI326" s="577">
        <v>0.050722979688720256</v>
      </c>
      <c r="BJ326" s="577">
        <v>0.05211590147769378</v>
      </c>
      <c r="BK326" s="577">
        <v>0.05258020874068496</v>
      </c>
      <c r="BL326" s="577">
        <v>0.052734977828348684</v>
      </c>
      <c r="BM326" s="577">
        <v>0.052812362372180545</v>
      </c>
      <c r="BN326" s="577">
        <v>0.0526730701932832</v>
      </c>
      <c r="BO326" s="577">
        <v>0.052734977828348684</v>
      </c>
      <c r="BP326" s="577">
        <v>0.05277919756768118</v>
      </c>
      <c r="BQ326" s="577">
        <v>0.052812362372180545</v>
      </c>
      <c r="BR326" s="577">
        <v>0.052734977828348684</v>
      </c>
      <c r="BS326" s="577">
        <v>0.052765931645881434</v>
      </c>
      <c r="BT326" s="577">
        <v>0.052791257496590034</v>
      </c>
      <c r="BU326" s="577">
        <v>0.052812362372180545</v>
      </c>
    </row>
    <row r="327">
      <c r="R327" s="1222"/>
      <c r="S327" s="1056">
        <f t="shared" si="31"/>
        <v>9500000</v>
      </c>
      <c r="T327" s="1002">
        <v>-0.01382301373283154</v>
      </c>
      <c r="U327" s="980">
        <v>-0.006217234628586456</v>
      </c>
      <c r="V327" s="981">
        <v>0.0013885444756585954</v>
      </c>
      <c r="W327" s="982">
        <v>0.008994323579903686</v>
      </c>
      <c r="X327" s="1413">
        <v>0.016600102684148764</v>
      </c>
      <c r="Y327" s="1005">
        <v>0.024205881788393828</v>
      </c>
      <c r="Z327" s="1006">
        <v>0.03181166089263889</v>
      </c>
      <c r="AA327" s="577"/>
      <c r="AB327" s="1222"/>
      <c r="AC327" s="1056">
        <f t="shared" si="32"/>
        <v>9500000</v>
      </c>
      <c r="AD327" s="1002">
        <v>-0.023850101894242325</v>
      </c>
      <c r="AE327" s="980">
        <v>-0.02162039720625874</v>
      </c>
      <c r="AF327" s="981">
        <v>-0.019434058411679375</v>
      </c>
      <c r="AG327" s="982">
        <v>-0.01728259492505878</v>
      </c>
      <c r="AH327" s="1413">
        <v>-0.015157516160951486</v>
      </c>
      <c r="AI327" s="1005">
        <v>-0.014312970486472497</v>
      </c>
      <c r="AJ327" s="1006">
        <v>-0.013470744476455873</v>
      </c>
      <c r="AK327" s="1007">
        <v>-0.012630294733433085</v>
      </c>
      <c r="AL327" s="1008">
        <v>-0.011791077859935621</v>
      </c>
      <c r="AM327" s="985">
        <v>-0.010952550458494971</v>
      </c>
      <c r="AN327" s="610"/>
      <c r="AP327" s="1056">
        <f t="shared" si="33"/>
        <v>8500000</v>
      </c>
      <c r="AQ327" s="1359">
        <v>9881.86141229891</v>
      </c>
      <c r="AR327" s="1359">
        <v>20748.72282459782</v>
      </c>
      <c r="AS327" s="1359">
        <v>53349.30706149455</v>
      </c>
      <c r="AT327" s="1359">
        <v>107683.6141229891</v>
      </c>
      <c r="AU327" s="1359">
        <v>162017.92118448365</v>
      </c>
      <c r="AV327" s="1359">
        <v>216352.2282459782</v>
      </c>
      <c r="AW327" s="1359">
        <v>269701.5353074728</v>
      </c>
      <c r="AX327" s="1359">
        <v>324035.8423689673</v>
      </c>
      <c r="AY327" s="1359">
        <v>378370.14943046187</v>
      </c>
      <c r="AZ327" s="1359">
        <v>432704.4564919564</v>
      </c>
      <c r="BA327" s="1359">
        <v>486053.763553451</v>
      </c>
      <c r="BB327" s="1359">
        <v>540388.0706149456</v>
      </c>
      <c r="BC327" s="1359">
        <v>594722.3776764402</v>
      </c>
      <c r="BD327" s="1359">
        <v>649056.6847379346</v>
      </c>
      <c r="BE327" s="610"/>
      <c r="BG327" s="1056">
        <f t="shared" si="34"/>
        <v>8500000</v>
      </c>
      <c r="BH327" s="594">
        <v>0.04681766674489366</v>
      </c>
      <c r="BI327" s="594">
        <v>0.04913920305984954</v>
      </c>
      <c r="BJ327" s="594">
        <v>0.05053212484882307</v>
      </c>
      <c r="BK327" s="594">
        <v>0.05099643211181425</v>
      </c>
      <c r="BL327" s="594">
        <v>0.051151201199477976</v>
      </c>
      <c r="BM327" s="594">
        <v>0.05122858574330983</v>
      </c>
      <c r="BN327" s="594">
        <v>0.05108929356441248</v>
      </c>
      <c r="BO327" s="594">
        <v>0.051151201199477976</v>
      </c>
      <c r="BP327" s="594">
        <v>0.05119542093881046</v>
      </c>
      <c r="BQ327" s="594">
        <v>0.05122858574330983</v>
      </c>
      <c r="BR327" s="594">
        <v>0.05115120119947797</v>
      </c>
      <c r="BS327" s="594">
        <v>0.05118215501701072</v>
      </c>
      <c r="BT327" s="594">
        <v>0.05120748086771933</v>
      </c>
      <c r="BU327" s="594">
        <v>0.05122858574330984</v>
      </c>
    </row>
    <row r="328">
      <c r="R328" s="1222"/>
      <c r="S328" s="1056">
        <f t="shared" si="31"/>
        <v>10000000</v>
      </c>
      <c r="T328" s="819">
        <v>-0.015055542552881877</v>
      </c>
      <c r="U328" s="994">
        <v>-0.0076423460767696735</v>
      </c>
      <c r="V328" s="967">
        <v>-2.291496006574548E-4</v>
      </c>
      <c r="W328" s="861">
        <v>0.007184046875454737</v>
      </c>
      <c r="X328" s="956">
        <v>0.014597243351566955</v>
      </c>
      <c r="Y328" s="880">
        <v>0.022010439827679147</v>
      </c>
      <c r="Z328" s="880">
        <v>0.029423636303791353</v>
      </c>
      <c r="AA328" s="569"/>
      <c r="AB328" s="1222"/>
      <c r="AC328" s="1056">
        <f t="shared" si="32"/>
        <v>10000000</v>
      </c>
      <c r="AD328" s="819">
        <v>-0.024862529527702446</v>
      </c>
      <c r="AE328" s="994">
        <v>-0.022689282223359208</v>
      </c>
      <c r="AF328" s="967">
        <v>-0.02055830276347495</v>
      </c>
      <c r="AG328" s="861">
        <v>-0.018461315549029283</v>
      </c>
      <c r="AH328" s="956">
        <v>-0.016390044981001824</v>
      </c>
      <c r="AI328" s="880">
        <v>-0.015566883680607362</v>
      </c>
      <c r="AJ328" s="880">
        <v>-0.014745983309459256</v>
      </c>
      <c r="AK328" s="843">
        <v>-0.013926814229220182</v>
      </c>
      <c r="AL328" s="762">
        <v>-0.013108846801552847</v>
      </c>
      <c r="AM328" s="762">
        <v>-0.012291551388119947</v>
      </c>
      <c r="AN328" s="610"/>
      <c r="AO328" s="1227"/>
      <c r="AP328" s="1056">
        <f t="shared" si="33"/>
        <v>9000000</v>
      </c>
      <c r="AQ328" s="1369">
        <v>9575.691023844269</v>
      </c>
      <c r="AR328" s="1369">
        <v>20136.382047688538</v>
      </c>
      <c r="AS328" s="1369">
        <v>51818.455119221355</v>
      </c>
      <c r="AT328" s="1369">
        <v>104621.91023844271</v>
      </c>
      <c r="AU328" s="1369">
        <v>157425.36535766404</v>
      </c>
      <c r="AV328" s="1369">
        <v>210228.82047688542</v>
      </c>
      <c r="AW328" s="1369">
        <v>262047.27559610677</v>
      </c>
      <c r="AX328" s="1369">
        <v>314850.73071532807</v>
      </c>
      <c r="AY328" s="1369">
        <v>367654.1858345494</v>
      </c>
      <c r="AZ328" s="1369">
        <v>420457.64095377084</v>
      </c>
      <c r="BA328" s="1369">
        <v>472276.09607299214</v>
      </c>
      <c r="BB328" s="1369">
        <v>525079.5511922135</v>
      </c>
      <c r="BC328" s="1369">
        <v>577883.0063114349</v>
      </c>
      <c r="BD328" s="1369">
        <v>630686.4614306561</v>
      </c>
      <c r="BE328" s="610"/>
      <c r="BF328" s="1227"/>
      <c r="BG328" s="1056">
        <f t="shared" si="34"/>
        <v>9000000</v>
      </c>
      <c r="BH328" s="577">
        <v>0.04536777666469855</v>
      </c>
      <c r="BI328" s="577">
        <v>0.04768931297965443</v>
      </c>
      <c r="BJ328" s="577">
        <v>0.04908223476862796</v>
      </c>
      <c r="BK328" s="577">
        <v>0.04954654203161914</v>
      </c>
      <c r="BL328" s="577">
        <v>0.04970131111928286</v>
      </c>
      <c r="BM328" s="577">
        <v>0.04977869566311473</v>
      </c>
      <c r="BN328" s="577">
        <v>0.04963940348421737</v>
      </c>
      <c r="BO328" s="577">
        <v>0.04970131111928286</v>
      </c>
      <c r="BP328" s="577">
        <v>0.04974553085861535</v>
      </c>
      <c r="BQ328" s="577">
        <v>0.04977869566311473</v>
      </c>
      <c r="BR328" s="577">
        <v>0.04970131111928286</v>
      </c>
      <c r="BS328" s="577">
        <v>0.0497322649368156</v>
      </c>
      <c r="BT328" s="577">
        <v>0.04975759078752422</v>
      </c>
      <c r="BU328" s="577">
        <v>0.04977869566311472</v>
      </c>
    </row>
    <row r="329">
      <c r="R329" s="610"/>
      <c r="S329" s="610"/>
      <c r="T329" s="610"/>
      <c r="U329" s="610"/>
      <c r="V329" s="610"/>
      <c r="W329" s="610"/>
      <c r="X329" s="610"/>
      <c r="Y329" s="610"/>
      <c r="Z329" s="610"/>
      <c r="AA329" s="610"/>
      <c r="AB329" s="610"/>
      <c r="AC329" s="610"/>
      <c r="AD329" s="610"/>
      <c r="AE329" s="610"/>
      <c r="AF329" s="610"/>
      <c r="AG329" s="610"/>
      <c r="AH329" s="610"/>
      <c r="AI329" s="610"/>
      <c r="AJ329" s="610"/>
      <c r="AK329" s="610"/>
      <c r="AL329" s="610"/>
      <c r="AM329" s="610"/>
      <c r="AN329" s="610"/>
      <c r="AO329" s="1227"/>
      <c r="AP329" s="1056">
        <f t="shared" si="33"/>
        <v>9500000</v>
      </c>
      <c r="AQ329" s="1359">
        <v>9294.021836065427</v>
      </c>
      <c r="AR329" s="1359">
        <v>19573.043672130854</v>
      </c>
      <c r="AS329" s="1359">
        <v>50410.10918032715</v>
      </c>
      <c r="AT329" s="1359">
        <v>101805.2183606543</v>
      </c>
      <c r="AU329" s="1359">
        <v>153200.3275409814</v>
      </c>
      <c r="AV329" s="1359">
        <v>204595.4367213086</v>
      </c>
      <c r="AW329" s="1359">
        <v>255005.54590163572</v>
      </c>
      <c r="AX329" s="1359">
        <v>306400.6550819628</v>
      </c>
      <c r="AY329" s="1359">
        <v>357795.76426229</v>
      </c>
      <c r="AZ329" s="1359">
        <v>409190.8734426172</v>
      </c>
      <c r="BA329" s="1359">
        <v>459600.98262294434</v>
      </c>
      <c r="BB329" s="1359">
        <v>510996.09180327144</v>
      </c>
      <c r="BC329" s="1359">
        <v>562391.2009835986</v>
      </c>
      <c r="BD329" s="1359">
        <v>613786.3101639256</v>
      </c>
      <c r="BE329" s="610"/>
      <c r="BF329" s="1227"/>
      <c r="BG329" s="1056">
        <f t="shared" si="34"/>
        <v>9500000</v>
      </c>
      <c r="BH329" s="594">
        <v>0.0440339136372567</v>
      </c>
      <c r="BI329" s="594">
        <v>0.04635544995221258</v>
      </c>
      <c r="BJ329" s="594">
        <v>0.04774837174118611</v>
      </c>
      <c r="BK329" s="594">
        <v>0.048212679004177285</v>
      </c>
      <c r="BL329" s="594">
        <v>0.04836744809184101</v>
      </c>
      <c r="BM329" s="594">
        <v>0.048444832635672876</v>
      </c>
      <c r="BN329" s="594">
        <v>0.04830554045677552</v>
      </c>
      <c r="BO329" s="594">
        <v>0.04836744809184101</v>
      </c>
      <c r="BP329" s="594">
        <v>0.0484116678311735</v>
      </c>
      <c r="BQ329" s="594">
        <v>0.048444832635672876</v>
      </c>
      <c r="BR329" s="594">
        <v>0.04836744809184101</v>
      </c>
      <c r="BS329" s="594">
        <v>0.04839840190937376</v>
      </c>
      <c r="BT329" s="594">
        <v>0.048423727760082365</v>
      </c>
      <c r="BU329" s="594">
        <v>0.048444832635672876</v>
      </c>
    </row>
    <row r="330">
      <c r="R330" s="610"/>
      <c r="S330" s="610"/>
      <c r="T330" s="610"/>
      <c r="U330" s="610"/>
      <c r="V330" s="610"/>
      <c r="W330" s="610"/>
      <c r="X330" s="610"/>
      <c r="Y330" s="610"/>
      <c r="Z330" s="610"/>
      <c r="AA330" s="610"/>
      <c r="AB330" s="610"/>
      <c r="AC330" s="610"/>
      <c r="AD330" s="610"/>
      <c r="AE330" s="610"/>
      <c r="AF330" s="610"/>
      <c r="AG330" s="610"/>
      <c r="AH330" s="610"/>
      <c r="AI330" s="610"/>
      <c r="AJ330" s="610"/>
      <c r="AK330" s="610"/>
      <c r="AL330" s="610"/>
      <c r="AM330" s="610"/>
      <c r="AN330" s="610"/>
      <c r="AO330" s="1222"/>
      <c r="AP330" s="1056">
        <f t="shared" si="33"/>
        <v>10000000</v>
      </c>
      <c r="AQ330" s="1442">
        <v>9033.751190193037</v>
      </c>
      <c r="AR330" s="1443">
        <v>19052.502380386075</v>
      </c>
      <c r="AS330" s="1444">
        <v>49108.7559509652</v>
      </c>
      <c r="AT330" s="1445">
        <v>99202.5119019304</v>
      </c>
      <c r="AU330" s="1446">
        <v>149296.26785289557</v>
      </c>
      <c r="AV330" s="1447">
        <v>199390.0238038608</v>
      </c>
      <c r="AW330" s="1448">
        <v>248498.77975482598</v>
      </c>
      <c r="AX330" s="1447">
        <v>298592.53570579115</v>
      </c>
      <c r="AY330" s="1448">
        <v>348686.29165675637</v>
      </c>
      <c r="AZ330" s="1448">
        <v>398780.0476077216</v>
      </c>
      <c r="BA330" s="1448">
        <v>447888.8035586868</v>
      </c>
      <c r="BB330" s="1448">
        <v>497982.55950965197</v>
      </c>
      <c r="BC330" s="1448">
        <v>548076.3154606172</v>
      </c>
      <c r="BD330" s="1448">
        <v>598170.0714115823</v>
      </c>
      <c r="BE330" s="610"/>
      <c r="BF330" s="1222"/>
      <c r="BG330" s="1056">
        <f t="shared" si="34"/>
        <v>10000000</v>
      </c>
      <c r="BH330" s="591">
        <v>0.04280138481720637</v>
      </c>
      <c r="BI330" s="1449">
        <v>0.04512292113216225</v>
      </c>
      <c r="BJ330" s="1450">
        <v>0.04651584292113577</v>
      </c>
      <c r="BK330" s="1451">
        <v>0.04698015018412694</v>
      </c>
      <c r="BL330" s="1452">
        <v>0.04713491927179067</v>
      </c>
      <c r="BM330" s="1453">
        <v>0.04721230381562253</v>
      </c>
      <c r="BN330" s="1454">
        <v>0.047073011636725184</v>
      </c>
      <c r="BO330" s="1453">
        <v>0.04713491927179067</v>
      </c>
      <c r="BP330" s="1454">
        <v>0.04717913901112317</v>
      </c>
      <c r="BQ330" s="1454">
        <v>0.04721230381562253</v>
      </c>
      <c r="BR330" s="1454">
        <v>0.04713491927179067</v>
      </c>
      <c r="BS330" s="1454">
        <v>0.04716587308932342</v>
      </c>
      <c r="BT330" s="1454">
        <v>0.04719119894003203</v>
      </c>
      <c r="BU330" s="1454">
        <v>0.04721230381562253</v>
      </c>
    </row>
    <row r="331">
      <c r="R331" s="220"/>
      <c r="S331" s="220"/>
      <c r="T331" s="220"/>
    </row>
    <row r="332">
      <c r="R332" s="220"/>
      <c r="S332" s="220"/>
      <c r="T332" s="220"/>
    </row>
    <row r="333">
      <c r="R333" s="220"/>
      <c r="S333" s="220"/>
      <c r="T333" s="220"/>
    </row>
    <row r="334">
      <c r="R334" s="220"/>
      <c r="S334" s="220"/>
      <c r="T334" s="220"/>
    </row>
    <row r="335">
      <c r="R335" s="220"/>
      <c r="S335" s="220"/>
      <c r="T335" s="220"/>
    </row>
    <row r="336">
      <c r="R336" s="220"/>
      <c r="S336" s="220"/>
      <c r="T336" s="220"/>
    </row>
  </sheetData>
  <mergeCells count="41">
    <mergeCell ref="B8:F13"/>
    <mergeCell ref="R8:BB11"/>
    <mergeCell ref="B15:F16"/>
    <mergeCell ref="B17:F18"/>
    <mergeCell ref="B21:F23"/>
    <mergeCell ref="B47:F49"/>
    <mergeCell ref="R71:BB74"/>
    <mergeCell ref="B71:I73"/>
    <mergeCell ref="U108:AC108"/>
    <mergeCell ref="AE108:AM108"/>
    <mergeCell ref="AE110:AE126"/>
    <mergeCell ref="AO110:AO126"/>
    <mergeCell ref="F128:F150"/>
    <mergeCell ref="R135:BV138"/>
    <mergeCell ref="CC235:CP235"/>
    <mergeCell ref="CA239:CA255"/>
    <mergeCell ref="AO243:AO259"/>
    <mergeCell ref="BF243:BF259"/>
    <mergeCell ref="R269:BV272"/>
    <mergeCell ref="AR173:BE173"/>
    <mergeCell ref="BI173:BV173"/>
    <mergeCell ref="AP177:AP186"/>
    <mergeCell ref="BG177:BG193"/>
    <mergeCell ref="R202:BV205"/>
    <mergeCell ref="AQ239:BD239"/>
    <mergeCell ref="BH239:BU239"/>
    <mergeCell ref="R241:R257"/>
    <mergeCell ref="R307:Z307"/>
    <mergeCell ref="AQ307:BD307"/>
    <mergeCell ref="BH307:BU307"/>
    <mergeCell ref="R309:R325"/>
    <mergeCell ref="AB309:AB325"/>
    <mergeCell ref="AO311:AO327"/>
    <mergeCell ref="BF311:BF327"/>
    <mergeCell ref="U110:U126"/>
    <mergeCell ref="R173:Z173"/>
    <mergeCell ref="R175:R191"/>
    <mergeCell ref="AC175:AC191"/>
    <mergeCell ref="D191:D229"/>
    <mergeCell ref="R239:Z239"/>
    <mergeCell ref="AB241:AB257"/>
  </mergeCells>
  <conditionalFormatting sqref="CF63:DH63 CE123 U172:Z172 AP172:BE172 BG172:BV172 CA234:CP234 U238:Z238 AO238:BD238 BF238:BU238 U306:Z306 AO306:BD306 BF306:BU306">
    <cfRule type="colorScale" priority="1">
      <colorScale>
        <cfvo type="min"/>
        <cfvo type="percentile" val="50"/>
        <cfvo type="max"/>
        <color rgb="FFE67C73"/>
        <color rgb="FFFFFFFF"/>
        <color rgb="FF57BB8A"/>
      </colorScale>
    </cfRule>
  </conditionalFormatting>
  <conditionalFormatting sqref="C87 I87:I88 C91:C92 F92:F93">
    <cfRule type="cellIs" dxfId="0" priority="2" operator="greaterThan">
      <formula>0</formula>
    </cfRule>
  </conditionalFormatting>
  <conditionalFormatting sqref="C87 I87:I88 C91:C92 F92:F93">
    <cfRule type="cellIs" dxfId="1" priority="3" operator="lessThan">
      <formula>0</formula>
    </cfRule>
  </conditionalFormatting>
  <conditionalFormatting sqref="C53:C55">
    <cfRule type="cellIs" dxfId="0" priority="4" operator="equal">
      <formula>"Yes"</formula>
    </cfRule>
  </conditionalFormatting>
  <conditionalFormatting sqref="C53:C55">
    <cfRule type="cellIs" dxfId="1" priority="5" operator="equal">
      <formula>"No"</formula>
    </cfRule>
  </conditionalFormatting>
  <conditionalFormatting sqref="T241:Z260 T309:Z328">
    <cfRule type="colorScale" priority="6">
      <colorScale>
        <cfvo type="min"/>
        <cfvo type="percentile" val="10"/>
        <cfvo type="max"/>
        <color rgb="FFE67C73"/>
        <color rgb="FFFFFFFF"/>
        <color rgb="FF57BB8A"/>
      </colorScale>
    </cfRule>
  </conditionalFormatting>
  <conditionalFormatting sqref="AD241:AM260 T309:Z328 AD309:AM328">
    <cfRule type="colorScale" priority="7">
      <colorScale>
        <cfvo type="min"/>
        <cfvo type="percentile" val="30"/>
        <cfvo type="max"/>
        <color rgb="FFE67C73"/>
        <color rgb="FFFFFFFF"/>
        <color rgb="FF57BB8A"/>
      </colorScale>
    </cfRule>
  </conditionalFormatting>
  <conditionalFormatting sqref="AR177:BE186">
    <cfRule type="colorScale" priority="8">
      <colorScale>
        <cfvo type="min"/>
        <cfvo type="max"/>
        <color rgb="FF57BB8A"/>
        <color rgb="FFFFFFFF"/>
      </colorScale>
    </cfRule>
  </conditionalFormatting>
  <conditionalFormatting sqref="BI177:BV196">
    <cfRule type="colorScale" priority="9">
      <colorScale>
        <cfvo type="min"/>
        <cfvo type="max"/>
        <color rgb="FFFFFFFF"/>
        <color rgb="FF57BB8A"/>
      </colorScale>
    </cfRule>
  </conditionalFormatting>
  <conditionalFormatting sqref="AQ243:BD262">
    <cfRule type="colorScale" priority="10">
      <colorScale>
        <cfvo type="min"/>
        <cfvo type="max"/>
        <color rgb="FFFFFFFF"/>
        <color rgb="FF57BB8A"/>
      </colorScale>
    </cfRule>
  </conditionalFormatting>
  <conditionalFormatting sqref="BH243:BU262">
    <cfRule type="colorScale" priority="11">
      <colorScale>
        <cfvo type="min"/>
        <cfvo type="max"/>
        <color rgb="FFFFFFFF"/>
        <color rgb="FF57BB8A"/>
      </colorScale>
    </cfRule>
  </conditionalFormatting>
  <conditionalFormatting sqref="T175:Z194">
    <cfRule type="colorScale" priority="12">
      <colorScale>
        <cfvo type="min"/>
        <cfvo type="max"/>
        <color rgb="FFFFFFFF"/>
        <color rgb="FF57BB8A"/>
      </colorScale>
    </cfRule>
  </conditionalFormatting>
  <conditionalFormatting sqref="AQ311:BD330">
    <cfRule type="colorScale" priority="13">
      <colorScale>
        <cfvo type="min"/>
        <cfvo type="max"/>
        <color rgb="FFFFFFFF"/>
        <color rgb="FF57BB8A"/>
      </colorScale>
    </cfRule>
  </conditionalFormatting>
  <conditionalFormatting sqref="BH311:BU330">
    <cfRule type="colorScale" priority="14">
      <colorScale>
        <cfvo type="min"/>
        <cfvo type="max"/>
        <color rgb="FFFFFFFF"/>
        <color rgb="FF57BB8A"/>
      </colorScale>
    </cfRule>
  </conditionalFormatting>
  <dataValidations>
    <dataValidation type="list" allowBlank="1" sqref="C53:C55">
      <formula1>"Yes,No"</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38"/>
    <col customWidth="1" min="2" max="2" width="40.13"/>
    <col customWidth="1" min="4" max="4" width="2.25"/>
    <col customWidth="1" min="5" max="5" width="23.75"/>
    <col customWidth="1" min="6" max="6" width="16.88"/>
    <col customWidth="1" min="7" max="8" width="2.38"/>
    <col customWidth="1" min="9" max="9" width="6.25"/>
    <col customWidth="1" min="10" max="10" width="16.88"/>
    <col customWidth="1" min="11" max="11" width="17.13"/>
    <col customWidth="1" min="12" max="12" width="40.38"/>
    <col customWidth="1" min="13" max="13" width="10.13"/>
    <col customWidth="1" min="14" max="14" width="2.38"/>
    <col customWidth="1" min="15" max="15" width="39.63"/>
    <col customWidth="1" min="16" max="16" width="8.75"/>
    <col customWidth="1" min="17" max="20" width="2.38"/>
    <col customWidth="1" min="21" max="21" width="3.63"/>
    <col customWidth="1" min="22" max="22" width="10.75"/>
    <col customWidth="1" min="23" max="23" width="6.5"/>
    <col customWidth="1" min="24" max="24" width="8.13"/>
    <col customWidth="1" min="25" max="26" width="6.75"/>
    <col customWidth="1" min="27" max="27" width="7.5"/>
    <col customWidth="1" min="28" max="31" width="6.75"/>
    <col customWidth="1" min="32" max="32" width="9.38"/>
    <col customWidth="1" min="33" max="33" width="7.63"/>
    <col customWidth="1" min="34" max="34" width="6.75"/>
    <col customWidth="1" min="35" max="35" width="10.0"/>
    <col customWidth="1" min="36" max="36" width="6.75"/>
    <col customWidth="1" min="37" max="37" width="10.75"/>
    <col customWidth="1" min="38" max="38" width="7.63"/>
    <col customWidth="1" min="39" max="39" width="6.75"/>
    <col customWidth="1" min="40" max="40" width="9.13"/>
    <col customWidth="1" min="41" max="41" width="6.75"/>
    <col customWidth="1" min="42" max="43" width="9.0"/>
    <col customWidth="1" min="44" max="44" width="6.75"/>
    <col customWidth="1" min="45" max="45" width="8.13"/>
    <col customWidth="1" min="46" max="47" width="6.75"/>
    <col customWidth="1" min="48" max="48" width="10.0"/>
    <col customWidth="1" min="49" max="49" width="6.75"/>
    <col customWidth="1" min="50" max="50" width="8.5"/>
    <col customWidth="1" min="51" max="53" width="6.75"/>
    <col customWidth="1" min="54" max="54" width="10.0"/>
    <col customWidth="1" min="55" max="61" width="6.75"/>
    <col customWidth="1" min="62" max="62" width="8.63"/>
    <col customWidth="1" min="63" max="112" width="6.75"/>
  </cols>
  <sheetData>
    <row r="1">
      <c r="A1" s="1"/>
      <c r="B1" s="1"/>
      <c r="C1" s="1"/>
      <c r="D1" s="1"/>
      <c r="F1" s="1"/>
    </row>
    <row r="2">
      <c r="D2" s="2"/>
      <c r="F2" s="521"/>
      <c r="G2" s="522"/>
      <c r="H2" s="522"/>
      <c r="I2" s="522"/>
      <c r="J2" s="522"/>
      <c r="K2" s="522"/>
      <c r="L2" s="522"/>
    </row>
    <row r="3">
      <c r="D3" s="2"/>
      <c r="F3" s="523" t="s">
        <v>0</v>
      </c>
      <c r="G3" s="522"/>
      <c r="H3" s="522"/>
      <c r="I3" s="522"/>
      <c r="J3" s="522"/>
      <c r="K3" s="522"/>
      <c r="L3" s="522"/>
    </row>
    <row r="4">
      <c r="D4" s="2"/>
      <c r="F4" s="523" t="s">
        <v>111</v>
      </c>
      <c r="G4" s="522"/>
      <c r="H4" s="522"/>
      <c r="I4" s="522"/>
      <c r="J4" s="522"/>
      <c r="K4" s="522"/>
      <c r="L4" s="522"/>
      <c r="P4" s="23"/>
      <c r="R4" s="524"/>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row>
    <row r="5" ht="85.5" customHeight="1">
      <c r="D5" s="2"/>
      <c r="P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row>
    <row r="6" ht="19.5" customHeight="1">
      <c r="B6" s="1460" t="s">
        <v>167</v>
      </c>
      <c r="C6" s="526"/>
      <c r="D6" s="526"/>
      <c r="E6" s="526"/>
      <c r="F6" s="527"/>
      <c r="K6" s="1461" t="s">
        <v>113</v>
      </c>
      <c r="L6" s="526"/>
      <c r="M6" s="526"/>
      <c r="N6" s="526"/>
      <c r="O6" s="527"/>
      <c r="P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row>
    <row r="7">
      <c r="B7" s="110"/>
      <c r="F7" s="78"/>
      <c r="K7" s="110"/>
      <c r="O7" s="78"/>
      <c r="P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row>
    <row r="8">
      <c r="B8" s="110"/>
      <c r="F8" s="78"/>
      <c r="K8" s="110"/>
      <c r="O8" s="78"/>
      <c r="P8" s="23"/>
      <c r="R8" s="23"/>
      <c r="S8" s="23"/>
      <c r="T8" s="23"/>
      <c r="U8" s="23"/>
      <c r="V8" s="23"/>
      <c r="W8" s="23"/>
      <c r="X8" s="23"/>
      <c r="Y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row>
    <row r="9">
      <c r="B9" s="110"/>
      <c r="F9" s="78"/>
      <c r="K9" s="146"/>
      <c r="L9" s="528"/>
      <c r="M9" s="528"/>
      <c r="N9" s="528"/>
      <c r="O9" s="529"/>
      <c r="P9" s="23"/>
      <c r="R9" s="23"/>
      <c r="S9" s="23"/>
      <c r="T9" s="23"/>
      <c r="U9" s="23"/>
      <c r="V9" s="23"/>
      <c r="W9" s="23"/>
      <c r="X9" s="23"/>
      <c r="Y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row>
    <row r="10">
      <c r="B10" s="110"/>
      <c r="F10" s="78"/>
      <c r="P10" s="23"/>
      <c r="R10" s="23"/>
      <c r="S10" s="23"/>
      <c r="T10" s="23"/>
      <c r="U10" s="23"/>
      <c r="V10" s="23"/>
      <c r="W10" s="23"/>
      <c r="X10" s="23"/>
      <c r="Y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row>
    <row r="11">
      <c r="B11" s="110"/>
      <c r="F11" s="78"/>
      <c r="K11" s="1462" t="s">
        <v>114</v>
      </c>
      <c r="L11" s="526"/>
      <c r="M11" s="526"/>
      <c r="N11" s="526"/>
      <c r="O11" s="527"/>
      <c r="P11" s="23"/>
      <c r="R11" s="23"/>
      <c r="S11" s="23"/>
      <c r="T11" s="23"/>
      <c r="U11" s="23"/>
      <c r="V11" s="23"/>
      <c r="W11" s="23"/>
      <c r="X11" s="23"/>
      <c r="Y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row>
    <row r="12">
      <c r="B12" s="110"/>
      <c r="F12" s="78"/>
      <c r="K12" s="110"/>
      <c r="O12" s="78"/>
      <c r="P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row>
    <row r="13">
      <c r="B13" s="110"/>
      <c r="F13" s="78"/>
      <c r="K13" s="110"/>
      <c r="O13" s="78"/>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row>
    <row r="14">
      <c r="B14" s="146"/>
      <c r="C14" s="528"/>
      <c r="D14" s="528"/>
      <c r="E14" s="528"/>
      <c r="F14" s="529"/>
      <c r="K14" s="110"/>
      <c r="O14" s="78"/>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row>
    <row r="15">
      <c r="K15" s="110"/>
      <c r="O15" s="78"/>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row>
    <row r="16">
      <c r="K16" s="110"/>
      <c r="O16" s="78"/>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row>
    <row r="17">
      <c r="B17" s="1463" t="s">
        <v>115</v>
      </c>
      <c r="K17" s="110"/>
      <c r="O17" s="78"/>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row>
    <row r="18">
      <c r="K18" s="110"/>
      <c r="O18" s="78"/>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row>
    <row r="19">
      <c r="B19" s="1464" t="s">
        <v>168</v>
      </c>
      <c r="K19" s="110"/>
      <c r="O19" s="78"/>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row>
    <row r="20">
      <c r="K20" s="110"/>
      <c r="O20" s="78"/>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row>
    <row r="21">
      <c r="K21" s="110"/>
      <c r="O21" s="78"/>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row>
    <row r="22" ht="30.0" customHeight="1">
      <c r="K22" s="146"/>
      <c r="L22" s="528"/>
      <c r="M22" s="528"/>
      <c r="N22" s="528"/>
      <c r="O22" s="529"/>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row>
    <row r="23" ht="22.5" customHeight="1">
      <c r="B23" s="1464" t="s">
        <v>116</v>
      </c>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row>
    <row r="24">
      <c r="K24" s="1465" t="s">
        <v>169</v>
      </c>
      <c r="L24" s="526"/>
      <c r="M24" s="526"/>
      <c r="N24" s="526"/>
      <c r="O24" s="527"/>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row>
    <row r="25">
      <c r="K25" s="110"/>
      <c r="O25" s="78"/>
      <c r="R25" s="23"/>
      <c r="S25" s="23"/>
      <c r="T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row>
    <row r="26">
      <c r="K26" s="110"/>
      <c r="O26" s="78"/>
      <c r="R26" s="23"/>
      <c r="S26" s="23"/>
      <c r="T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row>
    <row r="27">
      <c r="B27" s="1466" t="s">
        <v>117</v>
      </c>
      <c r="K27" s="110"/>
      <c r="O27" s="78"/>
      <c r="R27" s="23"/>
      <c r="S27" s="23"/>
      <c r="T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row>
    <row r="28">
      <c r="K28" s="110"/>
      <c r="O28" s="78"/>
      <c r="R28" s="23"/>
      <c r="S28" s="23"/>
      <c r="T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row>
    <row r="29">
      <c r="K29" s="110"/>
      <c r="O29" s="78"/>
      <c r="R29" s="23"/>
      <c r="S29" s="23"/>
      <c r="T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row>
    <row r="30">
      <c r="B30" s="1464" t="s">
        <v>170</v>
      </c>
      <c r="K30" s="110"/>
      <c r="O30" s="78"/>
      <c r="R30" s="23"/>
      <c r="S30" s="23"/>
      <c r="T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row>
    <row r="31" ht="37.5" customHeight="1">
      <c r="K31" s="146"/>
      <c r="L31" s="528"/>
      <c r="M31" s="528"/>
      <c r="N31" s="528"/>
      <c r="O31" s="529"/>
      <c r="R31" s="23"/>
      <c r="S31" s="23"/>
      <c r="T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row>
    <row r="32" ht="17.25" customHeight="1">
      <c r="K32" s="535"/>
      <c r="L32" s="535"/>
      <c r="M32" s="535"/>
      <c r="N32" s="535"/>
      <c r="O32" s="535"/>
      <c r="P32" s="535"/>
      <c r="Q32" s="535"/>
      <c r="R32" s="535"/>
      <c r="S32" s="535"/>
      <c r="T32" s="535"/>
      <c r="U32" s="535"/>
      <c r="V32" s="535"/>
      <c r="W32" s="535"/>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row>
    <row r="33" ht="13.5" customHeight="1">
      <c r="B33" s="1464" t="s">
        <v>171</v>
      </c>
      <c r="K33" s="1467" t="s">
        <v>172</v>
      </c>
      <c r="L33" s="526"/>
      <c r="M33" s="526"/>
      <c r="N33" s="526"/>
      <c r="O33" s="527"/>
      <c r="R33" s="23"/>
      <c r="S33" s="23"/>
      <c r="T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row>
    <row r="34" ht="32.25" customHeight="1">
      <c r="K34" s="110"/>
      <c r="O34" s="78"/>
      <c r="R34" s="23"/>
      <c r="S34" s="23"/>
      <c r="T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row>
    <row r="35">
      <c r="K35" s="110"/>
      <c r="O35" s="78"/>
      <c r="R35" s="23"/>
      <c r="S35" s="23"/>
      <c r="T35" s="23"/>
      <c r="Z35" s="23"/>
      <c r="AA35" s="23"/>
      <c r="AB35" s="23"/>
      <c r="AC35" s="23"/>
      <c r="AD35" s="23"/>
      <c r="AE35" s="23"/>
      <c r="AF35" s="23"/>
      <c r="AG35" s="23"/>
      <c r="AH35" s="23"/>
      <c r="AI35" s="23"/>
      <c r="AJ35" s="23"/>
      <c r="AK35" s="23"/>
      <c r="AL35" s="23"/>
      <c r="AM35" s="536"/>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row>
    <row r="36">
      <c r="B36" s="1466" t="s">
        <v>173</v>
      </c>
      <c r="H36" s="9" t="s">
        <v>62</v>
      </c>
      <c r="K36" s="110"/>
      <c r="O36" s="78"/>
      <c r="R36" s="23"/>
      <c r="S36" s="23"/>
      <c r="T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row>
    <row r="37">
      <c r="K37" s="110"/>
      <c r="O37" s="78"/>
      <c r="R37" s="23"/>
      <c r="S37" s="23"/>
      <c r="T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row>
    <row r="38">
      <c r="K38" s="110"/>
      <c r="O38" s="78"/>
      <c r="R38" s="23"/>
      <c r="S38" s="23"/>
      <c r="T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row>
    <row r="39">
      <c r="B39" s="1464" t="s">
        <v>123</v>
      </c>
      <c r="K39" s="146"/>
      <c r="L39" s="528"/>
      <c r="M39" s="528"/>
      <c r="N39" s="528"/>
      <c r="O39" s="529"/>
      <c r="P39" s="537"/>
      <c r="R39" s="23"/>
      <c r="S39" s="23"/>
      <c r="T39" s="23"/>
      <c r="Z39" s="535"/>
      <c r="AA39" s="535"/>
      <c r="AB39" s="535"/>
      <c r="AC39" s="535"/>
      <c r="AD39" s="505"/>
      <c r="AE39" s="538"/>
      <c r="AF39" s="535"/>
      <c r="AG39" s="535"/>
      <c r="AH39" s="535"/>
      <c r="AI39" s="535"/>
      <c r="AJ39" s="535"/>
      <c r="AK39" s="535"/>
      <c r="AL39" s="535"/>
      <c r="AM39" s="535"/>
      <c r="AN39" s="23"/>
      <c r="AO39" s="539"/>
      <c r="AP39" s="505"/>
      <c r="AQ39" s="505"/>
      <c r="AR39" s="505"/>
      <c r="AS39" s="505"/>
      <c r="AT39" s="505"/>
      <c r="AU39" s="505"/>
      <c r="AV39" s="535"/>
      <c r="AW39" s="535"/>
      <c r="AX39" s="535"/>
      <c r="AY39" s="535"/>
      <c r="AZ39" s="535"/>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row>
    <row r="40">
      <c r="K40" s="535"/>
      <c r="L40" s="535"/>
      <c r="M40" s="535"/>
      <c r="N40" s="535"/>
      <c r="O40" s="535"/>
      <c r="P40" s="535"/>
      <c r="Q40" s="535"/>
      <c r="R40" s="535"/>
      <c r="S40" s="535"/>
      <c r="T40" s="535"/>
      <c r="U40" s="535"/>
      <c r="V40" s="535"/>
      <c r="W40" s="535"/>
      <c r="Z40" s="540"/>
      <c r="AA40" s="540"/>
      <c r="AB40" s="540"/>
      <c r="AC40" s="540"/>
      <c r="AD40" s="505"/>
      <c r="AE40" s="540"/>
      <c r="AN40" s="23"/>
      <c r="AO40" s="541"/>
      <c r="AP40" s="505"/>
      <c r="AQ40" s="505"/>
      <c r="AR40" s="505"/>
      <c r="AS40" s="542"/>
      <c r="AT40" s="505"/>
      <c r="AU40" s="505"/>
      <c r="AV40" s="535"/>
      <c r="AW40" s="535"/>
      <c r="AX40" s="535"/>
      <c r="AY40" s="535"/>
      <c r="AZ40" s="535"/>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row>
    <row r="41">
      <c r="K41" s="1467" t="s">
        <v>174</v>
      </c>
      <c r="L41" s="526"/>
      <c r="M41" s="526"/>
      <c r="N41" s="526"/>
      <c r="O41" s="527"/>
      <c r="P41" s="537"/>
      <c r="R41" s="23"/>
      <c r="S41" s="23"/>
      <c r="T41" s="23"/>
      <c r="Z41" s="543"/>
      <c r="AA41" s="543"/>
      <c r="AB41" s="543"/>
      <c r="AC41" s="543"/>
      <c r="AD41" s="505"/>
      <c r="AE41" s="535"/>
      <c r="AF41" s="544"/>
      <c r="AG41" s="543"/>
      <c r="AH41" s="543"/>
      <c r="AI41" s="543"/>
      <c r="AJ41" s="543"/>
      <c r="AK41" s="543"/>
      <c r="AL41" s="543"/>
      <c r="AM41" s="543"/>
      <c r="AN41" s="23"/>
      <c r="AO41" s="505"/>
      <c r="AP41" s="545"/>
      <c r="AQ41" s="546"/>
      <c r="AR41" s="546"/>
      <c r="AS41" s="546"/>
      <c r="AT41" s="546"/>
      <c r="AU41" s="546"/>
      <c r="AV41" s="546"/>
      <c r="AW41" s="546"/>
      <c r="AX41" s="546"/>
      <c r="AY41" s="546"/>
      <c r="AZ41" s="546"/>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row>
    <row r="42">
      <c r="K42" s="110"/>
      <c r="O42" s="78"/>
      <c r="P42" s="23"/>
      <c r="R42" s="23"/>
      <c r="S42" s="23"/>
      <c r="T42" s="23"/>
      <c r="Z42" s="550"/>
      <c r="AA42" s="550"/>
      <c r="AB42" s="550"/>
      <c r="AC42" s="550"/>
      <c r="AD42" s="505"/>
      <c r="AE42" s="551"/>
      <c r="AF42" s="543"/>
      <c r="AG42" s="552"/>
      <c r="AH42" s="552"/>
      <c r="AI42" s="552"/>
      <c r="AJ42" s="552"/>
      <c r="AK42" s="552"/>
      <c r="AL42" s="552"/>
      <c r="AM42" s="552"/>
      <c r="AN42" s="23"/>
      <c r="AO42" s="551"/>
      <c r="AP42" s="543"/>
      <c r="AQ42" s="550"/>
      <c r="AR42" s="550"/>
      <c r="AS42" s="550"/>
      <c r="AT42" s="550"/>
      <c r="AU42" s="550"/>
      <c r="AV42" s="550"/>
      <c r="AW42" s="550"/>
      <c r="AX42" s="550"/>
      <c r="AY42" s="550"/>
      <c r="AZ42" s="550"/>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row>
    <row r="43">
      <c r="B43" s="1464" t="s">
        <v>124</v>
      </c>
      <c r="K43" s="110"/>
      <c r="O43" s="78"/>
      <c r="P43" s="553"/>
      <c r="R43" s="23"/>
      <c r="S43" s="23"/>
      <c r="T43" s="23"/>
      <c r="Z43" s="550"/>
      <c r="AA43" s="550"/>
      <c r="AB43" s="550"/>
      <c r="AC43" s="550"/>
      <c r="AD43" s="505"/>
      <c r="AF43" s="543"/>
      <c r="AG43" s="552"/>
      <c r="AH43" s="552"/>
      <c r="AI43" s="552"/>
      <c r="AJ43" s="552"/>
      <c r="AK43" s="552"/>
      <c r="AL43" s="552"/>
      <c r="AM43" s="552"/>
      <c r="AN43" s="23"/>
      <c r="AP43" s="543"/>
      <c r="AQ43" s="554"/>
      <c r="AR43" s="554"/>
      <c r="AS43" s="554"/>
      <c r="AT43" s="554"/>
      <c r="AU43" s="554"/>
      <c r="AV43" s="554"/>
      <c r="AW43" s="554"/>
      <c r="AX43" s="554"/>
      <c r="AY43" s="554"/>
      <c r="AZ43" s="554"/>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row>
    <row r="44">
      <c r="K44" s="110"/>
      <c r="O44" s="78"/>
      <c r="P44" s="558"/>
      <c r="R44" s="23"/>
      <c r="S44" s="23"/>
      <c r="T44" s="23"/>
      <c r="Z44" s="550"/>
      <c r="AA44" s="550"/>
      <c r="AB44" s="550"/>
      <c r="AC44" s="550"/>
      <c r="AD44" s="505"/>
      <c r="AF44" s="543"/>
      <c r="AG44" s="552"/>
      <c r="AH44" s="552"/>
      <c r="AI44" s="552"/>
      <c r="AJ44" s="552"/>
      <c r="AK44" s="552"/>
      <c r="AL44" s="552"/>
      <c r="AM44" s="552"/>
      <c r="AN44" s="23"/>
      <c r="AP44" s="543"/>
      <c r="AQ44" s="550"/>
      <c r="AR44" s="550"/>
      <c r="AS44" s="550"/>
      <c r="AT44" s="550"/>
      <c r="AU44" s="550"/>
      <c r="AV44" s="550"/>
      <c r="AW44" s="550"/>
      <c r="AX44" s="550"/>
      <c r="AY44" s="550"/>
      <c r="AZ44" s="550"/>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row>
    <row r="45">
      <c r="K45" s="110"/>
      <c r="O45" s="78"/>
      <c r="P45" s="561"/>
      <c r="R45" s="23"/>
      <c r="S45" s="23"/>
      <c r="T45" s="23"/>
      <c r="Z45" s="550"/>
      <c r="AA45" s="550"/>
      <c r="AB45" s="550"/>
      <c r="AC45" s="550"/>
      <c r="AD45" s="505"/>
      <c r="AF45" s="543"/>
      <c r="AG45" s="552"/>
      <c r="AH45" s="552"/>
      <c r="AI45" s="552"/>
      <c r="AJ45" s="552"/>
      <c r="AK45" s="552"/>
      <c r="AL45" s="552"/>
      <c r="AM45" s="552"/>
      <c r="AN45" s="23"/>
      <c r="AP45" s="543"/>
      <c r="AQ45" s="550"/>
      <c r="AR45" s="550"/>
      <c r="AS45" s="550"/>
      <c r="AT45" s="550"/>
      <c r="AU45" s="550"/>
      <c r="AV45" s="550"/>
      <c r="AW45" s="550"/>
      <c r="AX45" s="550"/>
      <c r="AY45" s="550"/>
      <c r="AZ45" s="550"/>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row>
    <row r="46">
      <c r="B46" s="1464" t="s">
        <v>175</v>
      </c>
      <c r="K46" s="110"/>
      <c r="O46" s="78"/>
      <c r="P46" s="563"/>
      <c r="R46" s="23"/>
      <c r="S46" s="23"/>
      <c r="T46" s="23"/>
      <c r="Z46" s="550"/>
      <c r="AA46" s="550"/>
      <c r="AB46" s="550"/>
      <c r="AC46" s="550"/>
      <c r="AD46" s="505"/>
      <c r="AF46" s="543"/>
      <c r="AG46" s="552"/>
      <c r="AH46" s="552"/>
      <c r="AI46" s="552"/>
      <c r="AJ46" s="552"/>
      <c r="AK46" s="552"/>
      <c r="AL46" s="552"/>
      <c r="AM46" s="552"/>
      <c r="AN46" s="23"/>
      <c r="AP46" s="543"/>
      <c r="AQ46" s="550"/>
      <c r="AR46" s="550"/>
      <c r="AS46" s="550"/>
      <c r="AT46" s="550"/>
      <c r="AU46" s="550"/>
      <c r="AV46" s="550"/>
      <c r="AW46" s="550"/>
      <c r="AX46" s="550"/>
      <c r="AY46" s="550"/>
      <c r="AZ46" s="550"/>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row>
    <row r="47">
      <c r="K47" s="146"/>
      <c r="L47" s="528"/>
      <c r="M47" s="528"/>
      <c r="N47" s="528"/>
      <c r="O47" s="529"/>
      <c r="P47" s="564"/>
      <c r="R47" s="23"/>
      <c r="S47" s="23"/>
      <c r="T47" s="23"/>
      <c r="Z47" s="550"/>
      <c r="AA47" s="550"/>
      <c r="AB47" s="550"/>
      <c r="AC47" s="550"/>
      <c r="AD47" s="505"/>
      <c r="AF47" s="543"/>
      <c r="AG47" s="552"/>
      <c r="AH47" s="552"/>
      <c r="AI47" s="552"/>
      <c r="AJ47" s="552"/>
      <c r="AK47" s="552"/>
      <c r="AL47" s="552"/>
      <c r="AM47" s="552"/>
      <c r="AN47" s="23"/>
      <c r="AP47" s="543"/>
      <c r="AQ47" s="550"/>
      <c r="AR47" s="550"/>
      <c r="AS47" s="550"/>
      <c r="AT47" s="550"/>
      <c r="AU47" s="550"/>
      <c r="AV47" s="550"/>
      <c r="AW47" s="550"/>
      <c r="AX47" s="550"/>
      <c r="AY47" s="550"/>
      <c r="AZ47" s="550"/>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row>
    <row r="48">
      <c r="K48" s="535"/>
      <c r="L48" s="535"/>
      <c r="M48" s="535"/>
      <c r="N48" s="535"/>
      <c r="O48" s="535"/>
      <c r="P48" s="535"/>
      <c r="Q48" s="535"/>
      <c r="R48" s="535"/>
      <c r="S48" s="535"/>
      <c r="T48" s="535"/>
      <c r="U48" s="535"/>
      <c r="V48" s="535"/>
      <c r="W48" s="535"/>
      <c r="Z48" s="550"/>
      <c r="AA48" s="550"/>
      <c r="AB48" s="550"/>
      <c r="AC48" s="550"/>
      <c r="AD48" s="505"/>
      <c r="AF48" s="543"/>
      <c r="AG48" s="552"/>
      <c r="AH48" s="552"/>
      <c r="AI48" s="552"/>
      <c r="AJ48" s="552"/>
      <c r="AK48" s="552"/>
      <c r="AL48" s="552"/>
      <c r="AM48" s="552"/>
      <c r="AN48" s="23"/>
      <c r="AP48" s="543"/>
      <c r="AQ48" s="550"/>
      <c r="AR48" s="550"/>
      <c r="AS48" s="550"/>
      <c r="AT48" s="550"/>
      <c r="AU48" s="550"/>
      <c r="AV48" s="550"/>
      <c r="AW48" s="550"/>
      <c r="AX48" s="550"/>
      <c r="AY48" s="550"/>
      <c r="AZ48" s="550"/>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row>
    <row r="49">
      <c r="K49" s="1465" t="s">
        <v>176</v>
      </c>
      <c r="L49" s="526"/>
      <c r="M49" s="526"/>
      <c r="N49" s="526"/>
      <c r="O49" s="527"/>
      <c r="P49" s="565"/>
      <c r="R49" s="23"/>
      <c r="S49" s="23"/>
      <c r="T49" s="23"/>
      <c r="Z49" s="550"/>
      <c r="AA49" s="550"/>
      <c r="AB49" s="550"/>
      <c r="AC49" s="550"/>
      <c r="AD49" s="505"/>
      <c r="AF49" s="543"/>
      <c r="AG49" s="552"/>
      <c r="AH49" s="552"/>
      <c r="AI49" s="552"/>
      <c r="AJ49" s="552"/>
      <c r="AK49" s="552"/>
      <c r="AL49" s="552"/>
      <c r="AM49" s="552"/>
      <c r="AN49" s="23"/>
      <c r="AP49" s="543"/>
      <c r="AQ49" s="550"/>
      <c r="AR49" s="550"/>
      <c r="AS49" s="550"/>
      <c r="AT49" s="550"/>
      <c r="AU49" s="550"/>
      <c r="AV49" s="550"/>
      <c r="AW49" s="550"/>
      <c r="AX49" s="550"/>
      <c r="AY49" s="550"/>
      <c r="AZ49" s="550"/>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row>
    <row r="50">
      <c r="K50" s="110"/>
      <c r="O50" s="78"/>
      <c r="P50" s="566"/>
      <c r="R50" s="23"/>
      <c r="S50" s="23"/>
      <c r="T50" s="23"/>
      <c r="Z50" s="550"/>
      <c r="AA50" s="550"/>
      <c r="AB50" s="550"/>
      <c r="AC50" s="550"/>
      <c r="AD50" s="505"/>
      <c r="AF50" s="543"/>
      <c r="AG50" s="552"/>
      <c r="AH50" s="552"/>
      <c r="AI50" s="552"/>
      <c r="AJ50" s="552"/>
      <c r="AK50" s="552"/>
      <c r="AL50" s="552"/>
      <c r="AM50" s="552"/>
      <c r="AN50" s="23"/>
      <c r="AP50" s="543"/>
      <c r="AQ50" s="554"/>
      <c r="AR50" s="554"/>
      <c r="AS50" s="554"/>
      <c r="AT50" s="554"/>
      <c r="AU50" s="554"/>
      <c r="AV50" s="554"/>
      <c r="AW50" s="554"/>
      <c r="AX50" s="554"/>
      <c r="AY50" s="554"/>
      <c r="AZ50" s="554"/>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row>
    <row r="51">
      <c r="K51" s="110"/>
      <c r="O51" s="78"/>
      <c r="P51" s="563"/>
      <c r="R51" s="23"/>
      <c r="S51" s="23"/>
      <c r="T51" s="23"/>
      <c r="Z51" s="550"/>
      <c r="AA51" s="550"/>
      <c r="AB51" s="550"/>
      <c r="AC51" s="550"/>
      <c r="AD51" s="505"/>
      <c r="AF51" s="543"/>
      <c r="AG51" s="552"/>
      <c r="AH51" s="552"/>
      <c r="AI51" s="552"/>
      <c r="AJ51" s="552"/>
      <c r="AK51" s="552"/>
      <c r="AL51" s="552"/>
      <c r="AM51" s="552"/>
      <c r="AN51" s="23"/>
      <c r="AP51" s="543"/>
      <c r="AQ51" s="550"/>
      <c r="AR51" s="550"/>
      <c r="AS51" s="550"/>
      <c r="AT51" s="550"/>
      <c r="AU51" s="550"/>
      <c r="AV51" s="550"/>
      <c r="AW51" s="550"/>
      <c r="AX51" s="550"/>
      <c r="AY51" s="550"/>
      <c r="AZ51" s="550"/>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row>
    <row r="52">
      <c r="K52" s="110"/>
      <c r="O52" s="78"/>
      <c r="P52" s="567"/>
      <c r="R52" s="23"/>
      <c r="S52" s="23"/>
      <c r="T52" s="23"/>
      <c r="Z52" s="550"/>
      <c r="AA52" s="550"/>
      <c r="AB52" s="550"/>
      <c r="AC52" s="550"/>
      <c r="AD52" s="505"/>
      <c r="AF52" s="543"/>
      <c r="AG52" s="552"/>
      <c r="AH52" s="552"/>
      <c r="AI52" s="552"/>
      <c r="AJ52" s="552"/>
      <c r="AK52" s="552"/>
      <c r="AL52" s="552"/>
      <c r="AM52" s="552"/>
      <c r="AN52" s="23"/>
      <c r="AP52" s="543"/>
      <c r="AQ52" s="550"/>
      <c r="AR52" s="550"/>
      <c r="AS52" s="550"/>
      <c r="AT52" s="550"/>
      <c r="AU52" s="550"/>
      <c r="AV52" s="550"/>
      <c r="AW52" s="550"/>
      <c r="AX52" s="550"/>
      <c r="AY52" s="550"/>
      <c r="AZ52" s="550"/>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row>
    <row r="53">
      <c r="B53" s="555" t="s">
        <v>126</v>
      </c>
      <c r="C53" s="556"/>
      <c r="D53" s="556"/>
      <c r="E53" s="556"/>
      <c r="F53" s="557"/>
      <c r="K53" s="110"/>
      <c r="O53" s="78"/>
      <c r="P53" s="563"/>
      <c r="R53" s="23"/>
      <c r="S53" s="23"/>
      <c r="T53" s="23"/>
      <c r="Z53" s="550"/>
      <c r="AA53" s="550"/>
      <c r="AB53" s="550"/>
      <c r="AC53" s="550"/>
      <c r="AD53" s="505"/>
      <c r="AF53" s="543"/>
      <c r="AG53" s="552"/>
      <c r="AH53" s="552"/>
      <c r="AI53" s="552"/>
      <c r="AJ53" s="552"/>
      <c r="AK53" s="552"/>
      <c r="AL53" s="552"/>
      <c r="AM53" s="552"/>
      <c r="AN53" s="23"/>
      <c r="AP53" s="543"/>
      <c r="AQ53" s="550"/>
      <c r="AR53" s="550"/>
      <c r="AS53" s="550"/>
      <c r="AT53" s="550"/>
      <c r="AU53" s="550"/>
      <c r="AV53" s="550"/>
      <c r="AW53" s="550"/>
      <c r="AX53" s="550"/>
      <c r="AY53" s="550"/>
      <c r="AZ53" s="550"/>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row>
    <row r="54">
      <c r="B54" s="559"/>
      <c r="F54" s="560"/>
      <c r="K54" s="110"/>
      <c r="O54" s="78"/>
      <c r="P54" s="568"/>
      <c r="R54" s="23"/>
      <c r="S54" s="23"/>
      <c r="T54" s="23"/>
      <c r="Z54" s="550"/>
      <c r="AA54" s="550"/>
      <c r="AB54" s="550"/>
      <c r="AC54" s="550"/>
      <c r="AD54" s="505"/>
      <c r="AF54" s="543"/>
      <c r="AG54" s="552"/>
      <c r="AH54" s="552"/>
      <c r="AI54" s="552"/>
      <c r="AJ54" s="552"/>
      <c r="AK54" s="552"/>
      <c r="AL54" s="552"/>
      <c r="AM54" s="552"/>
      <c r="AN54" s="23"/>
      <c r="AP54" s="543"/>
      <c r="AQ54" s="550"/>
      <c r="AR54" s="550"/>
      <c r="AS54" s="550"/>
      <c r="AT54" s="550"/>
      <c r="AU54" s="550"/>
      <c r="AV54" s="550"/>
      <c r="AW54" s="550"/>
      <c r="AX54" s="550"/>
      <c r="AY54" s="550"/>
      <c r="AZ54" s="550"/>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row>
    <row r="55" ht="19.5" customHeight="1">
      <c r="B55" s="562" t="str">
        <f>HYPERLINK("https://ethos.dev/beacon-chain/","1. Best eth2 Explainer")</f>
        <v>1. Best eth2 Explainer</v>
      </c>
      <c r="F55" s="560"/>
      <c r="G55" s="52"/>
      <c r="H55" s="52"/>
      <c r="I55" s="52"/>
      <c r="J55" s="52"/>
      <c r="K55" s="110"/>
      <c r="O55" s="78"/>
      <c r="P55" s="569"/>
      <c r="Q55" s="52"/>
      <c r="R55" s="23"/>
      <c r="S55" s="23"/>
      <c r="T55" s="23"/>
      <c r="Z55" s="550"/>
      <c r="AA55" s="550"/>
      <c r="AB55" s="550"/>
      <c r="AC55" s="550"/>
      <c r="AD55" s="505"/>
      <c r="AF55" s="543"/>
      <c r="AG55" s="552"/>
      <c r="AH55" s="552"/>
      <c r="AI55" s="552"/>
      <c r="AJ55" s="552"/>
      <c r="AK55" s="552"/>
      <c r="AL55" s="552"/>
      <c r="AM55" s="552"/>
      <c r="AN55" s="23"/>
      <c r="AP55" s="543"/>
      <c r="AQ55" s="550"/>
      <c r="AR55" s="550"/>
      <c r="AS55" s="550"/>
      <c r="AT55" s="550"/>
      <c r="AU55" s="550"/>
      <c r="AV55" s="550"/>
      <c r="AW55" s="550"/>
      <c r="AX55" s="550"/>
      <c r="AY55" s="550"/>
      <c r="AZ55" s="550"/>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570"/>
      <c r="CA55" s="52"/>
      <c r="CB55" s="52"/>
      <c r="CC55" s="52"/>
      <c r="CD55" s="52"/>
      <c r="CE55" s="52"/>
      <c r="CF55" s="52"/>
      <c r="CG55" s="52"/>
      <c r="CH55" s="52"/>
      <c r="CI55" s="52"/>
      <c r="CJ55" s="52"/>
      <c r="CK55" s="52"/>
      <c r="CL55" s="52"/>
      <c r="CM55" s="52"/>
      <c r="CN55" s="52"/>
      <c r="CO55" s="52"/>
      <c r="CP55" s="52"/>
      <c r="CQ55" s="52"/>
      <c r="CR55" s="52"/>
      <c r="CS55" s="52"/>
      <c r="CT55" s="52"/>
      <c r="CU55" s="52"/>
      <c r="CV55" s="52"/>
      <c r="CW55" s="52"/>
      <c r="CX55" s="52"/>
      <c r="CY55" s="52"/>
      <c r="CZ55" s="52"/>
      <c r="DA55" s="52"/>
      <c r="DB55" s="52"/>
      <c r="DC55" s="52"/>
      <c r="DD55" s="52"/>
      <c r="DE55" s="52"/>
      <c r="DF55" s="52"/>
      <c r="DG55" s="52"/>
      <c r="DH55" s="52"/>
    </row>
    <row r="56">
      <c r="B56" s="559"/>
      <c r="F56" s="560"/>
      <c r="K56" s="110"/>
      <c r="O56" s="78"/>
      <c r="P56" s="569"/>
      <c r="R56" s="23"/>
      <c r="S56" s="23"/>
      <c r="T56" s="23"/>
      <c r="Z56" s="550"/>
      <c r="AA56" s="550"/>
      <c r="AB56" s="550"/>
      <c r="AC56" s="550"/>
      <c r="AD56" s="505"/>
      <c r="AF56" s="543"/>
      <c r="AG56" s="552"/>
      <c r="AH56" s="552"/>
      <c r="AI56" s="552"/>
      <c r="AJ56" s="552"/>
      <c r="AK56" s="552"/>
      <c r="AL56" s="552"/>
      <c r="AM56" s="552"/>
      <c r="AN56" s="23"/>
      <c r="AP56" s="543"/>
      <c r="AQ56" s="550"/>
      <c r="AR56" s="550"/>
      <c r="AS56" s="550"/>
      <c r="AT56" s="550"/>
      <c r="AU56" s="550"/>
      <c r="AV56" s="550"/>
      <c r="AW56" s="550"/>
      <c r="AX56" s="550"/>
      <c r="AY56" s="550"/>
      <c r="AZ56" s="550"/>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row>
    <row r="57">
      <c r="B57" s="559"/>
      <c r="F57" s="560"/>
      <c r="K57" s="110"/>
      <c r="O57" s="78"/>
      <c r="P57" s="571"/>
      <c r="R57" s="23"/>
      <c r="S57" s="23"/>
      <c r="T57" s="23"/>
      <c r="Z57" s="550"/>
      <c r="AA57" s="550"/>
      <c r="AB57" s="550"/>
      <c r="AC57" s="550"/>
      <c r="AD57" s="505"/>
      <c r="AF57" s="543"/>
      <c r="AG57" s="552"/>
      <c r="AH57" s="552"/>
      <c r="AI57" s="552"/>
      <c r="AJ57" s="552"/>
      <c r="AK57" s="552"/>
      <c r="AL57" s="552"/>
      <c r="AM57" s="552"/>
      <c r="AN57" s="23"/>
      <c r="AP57" s="543"/>
      <c r="AQ57" s="550"/>
      <c r="AR57" s="550"/>
      <c r="AS57" s="550"/>
      <c r="AT57" s="550"/>
      <c r="AU57" s="550"/>
      <c r="AV57" s="550"/>
      <c r="AW57" s="550"/>
      <c r="AX57" s="550"/>
      <c r="AY57" s="550"/>
      <c r="AZ57" s="550"/>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row>
    <row r="58">
      <c r="B58" s="559"/>
      <c r="F58" s="560"/>
      <c r="I58" s="63"/>
      <c r="K58" s="146"/>
      <c r="L58" s="528"/>
      <c r="M58" s="528"/>
      <c r="N58" s="528"/>
      <c r="O58" s="529"/>
      <c r="P58" s="572"/>
      <c r="R58" s="23"/>
      <c r="S58" s="23"/>
      <c r="T58" s="23"/>
      <c r="Z58" s="550"/>
      <c r="AA58" s="550"/>
      <c r="AB58" s="550"/>
      <c r="AC58" s="550"/>
      <c r="AD58" s="505"/>
      <c r="AF58" s="543"/>
      <c r="AG58" s="552"/>
      <c r="AH58" s="552"/>
      <c r="AI58" s="552"/>
      <c r="AJ58" s="552"/>
      <c r="AK58" s="552"/>
      <c r="AL58" s="552"/>
      <c r="AM58" s="552"/>
      <c r="AN58" s="23"/>
      <c r="AP58" s="543"/>
      <c r="AQ58" s="554"/>
      <c r="AR58" s="554"/>
      <c r="AS58" s="554"/>
      <c r="AT58" s="554"/>
      <c r="AU58" s="554"/>
      <c r="AV58" s="554"/>
      <c r="AW58" s="554"/>
      <c r="AX58" s="554"/>
      <c r="AY58" s="554"/>
      <c r="AZ58" s="554"/>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row>
    <row r="59">
      <c r="B59" s="562" t="str">
        <f>HYPERLINK("https://github.com/ethereum/eth2.0-specs","2. eth2 Spec")</f>
        <v>2. eth2 Spec</v>
      </c>
      <c r="F59" s="560"/>
      <c r="K59" s="535"/>
      <c r="L59" s="535"/>
      <c r="M59" s="535"/>
      <c r="N59" s="535"/>
      <c r="O59" s="535"/>
      <c r="P59" s="573"/>
      <c r="Q59" s="535"/>
      <c r="R59" s="535"/>
      <c r="S59" s="535"/>
      <c r="T59" s="535"/>
      <c r="U59" s="535"/>
      <c r="V59" s="535"/>
      <c r="W59" s="535"/>
      <c r="Z59" s="550"/>
      <c r="AA59" s="550"/>
      <c r="AB59" s="550"/>
      <c r="AC59" s="550"/>
      <c r="AD59" s="505"/>
      <c r="AE59" s="535"/>
      <c r="AF59" s="543"/>
      <c r="AG59" s="552"/>
      <c r="AH59" s="552"/>
      <c r="AI59" s="552"/>
      <c r="AJ59" s="552"/>
      <c r="AK59" s="552"/>
      <c r="AL59" s="552"/>
      <c r="AM59" s="552"/>
      <c r="AN59" s="23"/>
      <c r="AO59" s="535"/>
      <c r="AP59" s="543"/>
      <c r="AQ59" s="550"/>
      <c r="AR59" s="550"/>
      <c r="AS59" s="550"/>
      <c r="AT59" s="550"/>
      <c r="AU59" s="550"/>
      <c r="AV59" s="550"/>
      <c r="AW59" s="550"/>
      <c r="AX59" s="550"/>
      <c r="AY59" s="550"/>
      <c r="AZ59" s="550"/>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row>
    <row r="60">
      <c r="B60" s="559"/>
      <c r="F60" s="560"/>
      <c r="K60" s="1465" t="s">
        <v>177</v>
      </c>
      <c r="L60" s="526"/>
      <c r="M60" s="526"/>
      <c r="N60" s="526"/>
      <c r="O60" s="527"/>
      <c r="P60" s="569"/>
      <c r="R60" s="23"/>
      <c r="S60" s="23"/>
      <c r="T60" s="23"/>
      <c r="Z60" s="550"/>
      <c r="AA60" s="550"/>
      <c r="AB60" s="550"/>
      <c r="AC60" s="550"/>
      <c r="AD60" s="505"/>
      <c r="AE60" s="535"/>
      <c r="AF60" s="543"/>
      <c r="AG60" s="552"/>
      <c r="AH60" s="552"/>
      <c r="AI60" s="552"/>
      <c r="AJ60" s="552"/>
      <c r="AK60" s="552"/>
      <c r="AL60" s="552"/>
      <c r="AM60" s="552"/>
      <c r="AN60" s="23"/>
      <c r="AO60" s="535"/>
      <c r="AP60" s="543"/>
      <c r="AQ60" s="554"/>
      <c r="AR60" s="554"/>
      <c r="AS60" s="554"/>
      <c r="AT60" s="554"/>
      <c r="AU60" s="554"/>
      <c r="AV60" s="554"/>
      <c r="AW60" s="554"/>
      <c r="AX60" s="554"/>
      <c r="AY60" s="554"/>
      <c r="AZ60" s="554"/>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row>
    <row r="61">
      <c r="B61" s="559"/>
      <c r="F61" s="560"/>
      <c r="K61" s="110"/>
      <c r="O61" s="78"/>
      <c r="P61" s="569"/>
      <c r="R61" s="23"/>
      <c r="S61" s="23"/>
      <c r="T61" s="23"/>
      <c r="Z61" s="550"/>
      <c r="AA61" s="550"/>
      <c r="AB61" s="550"/>
      <c r="AC61" s="550"/>
      <c r="AD61" s="535"/>
      <c r="AE61" s="535"/>
      <c r="AF61" s="543"/>
      <c r="AG61" s="552"/>
      <c r="AH61" s="552"/>
      <c r="AI61" s="552"/>
      <c r="AJ61" s="552"/>
      <c r="AK61" s="552"/>
      <c r="AL61" s="552"/>
      <c r="AM61" s="552"/>
      <c r="AN61" s="23"/>
      <c r="AO61" s="535"/>
      <c r="AP61" s="543"/>
      <c r="AQ61" s="550"/>
      <c r="AR61" s="550"/>
      <c r="AS61" s="550"/>
      <c r="AT61" s="550"/>
      <c r="AU61" s="550"/>
      <c r="AV61" s="550"/>
      <c r="AW61" s="550"/>
      <c r="AX61" s="550"/>
      <c r="AY61" s="550"/>
      <c r="AZ61" s="550"/>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row>
    <row r="62">
      <c r="B62" s="562" t="str">
        <f>HYPERLINK("https://github.com/ethereum/eth2.0-specs","3. Ben E's Master Guide")</f>
        <v>3. Ben E's Master Guide</v>
      </c>
      <c r="F62" s="560"/>
      <c r="K62" s="110"/>
      <c r="O62" s="78"/>
      <c r="P62" s="569"/>
      <c r="R62" s="23"/>
      <c r="S62" s="23"/>
      <c r="T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row>
    <row r="63">
      <c r="B63" s="559"/>
      <c r="F63" s="560"/>
      <c r="K63" s="110"/>
      <c r="O63" s="78"/>
      <c r="P63" s="569"/>
      <c r="R63" s="23"/>
      <c r="S63" s="23"/>
      <c r="T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E63" s="87"/>
      <c r="CF63" s="87"/>
      <c r="CG63" s="87"/>
      <c r="CH63" s="87"/>
      <c r="CI63" s="87"/>
      <c r="CJ63" s="87"/>
      <c r="CK63" s="87"/>
      <c r="CL63" s="87"/>
      <c r="CM63" s="87"/>
      <c r="CN63" s="87"/>
      <c r="CO63" s="87"/>
      <c r="CP63" s="87"/>
      <c r="CQ63" s="87"/>
      <c r="CR63" s="87"/>
      <c r="CS63" s="87"/>
      <c r="CT63" s="87"/>
      <c r="CU63" s="87"/>
      <c r="CV63" s="87"/>
      <c r="CW63" s="87"/>
      <c r="CX63" s="87"/>
      <c r="CY63" s="87"/>
      <c r="CZ63" s="87"/>
      <c r="DA63" s="87"/>
      <c r="DB63" s="87"/>
      <c r="DC63" s="87"/>
      <c r="DD63" s="87"/>
      <c r="DE63" s="87"/>
      <c r="DF63" s="87"/>
      <c r="DG63" s="87"/>
      <c r="DH63" s="87"/>
    </row>
    <row r="64">
      <c r="B64" s="559"/>
      <c r="F64" s="560"/>
      <c r="I64" s="9" t="s">
        <v>62</v>
      </c>
      <c r="K64" s="110"/>
      <c r="O64" s="78"/>
      <c r="R64" s="23"/>
      <c r="S64" s="23"/>
      <c r="T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E64" s="87"/>
      <c r="CF64" s="87"/>
      <c r="CG64" s="87"/>
      <c r="CH64" s="87"/>
      <c r="CI64" s="87"/>
      <c r="CJ64" s="87"/>
      <c r="CK64" s="87"/>
      <c r="CL64" s="87"/>
      <c r="CM64" s="87"/>
      <c r="CN64" s="87"/>
      <c r="CO64" s="87"/>
      <c r="CP64" s="87"/>
      <c r="CQ64" s="87"/>
      <c r="CR64" s="87"/>
      <c r="CS64" s="87"/>
      <c r="CT64" s="87"/>
      <c r="CU64" s="87"/>
      <c r="CV64" s="87"/>
      <c r="CW64" s="87"/>
      <c r="CX64" s="87"/>
      <c r="CY64" s="87"/>
      <c r="CZ64" s="87"/>
      <c r="DA64" s="87"/>
      <c r="DB64" s="87"/>
      <c r="DC64" s="87"/>
      <c r="DD64" s="87"/>
      <c r="DE64" s="87"/>
      <c r="DF64" s="87"/>
      <c r="DG64" s="87"/>
      <c r="DH64" s="87"/>
    </row>
    <row r="65">
      <c r="B65" s="562" t="str">
        <f>HYPERLINK("https://prysmaticlabs.com/","4. Prysmatic Labs")</f>
        <v>4. Prysmatic Labs</v>
      </c>
      <c r="F65" s="560"/>
      <c r="K65" s="110"/>
      <c r="O65" s="78"/>
      <c r="R65" s="524"/>
      <c r="S65" s="23"/>
      <c r="T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E65" s="87"/>
      <c r="CF65" s="87"/>
      <c r="CG65" s="87"/>
      <c r="CH65" s="87"/>
      <c r="CI65" s="87"/>
      <c r="CJ65" s="87"/>
      <c r="CK65" s="87"/>
      <c r="CL65" s="87"/>
      <c r="CM65" s="87"/>
      <c r="CN65" s="87"/>
      <c r="CO65" s="87"/>
      <c r="CP65" s="87"/>
      <c r="CQ65" s="87"/>
      <c r="CR65" s="87"/>
      <c r="CS65" s="87"/>
      <c r="CT65" s="87"/>
      <c r="CU65" s="87"/>
      <c r="CV65" s="87"/>
      <c r="CW65" s="87"/>
      <c r="CX65" s="87"/>
      <c r="CY65" s="87"/>
      <c r="CZ65" s="87"/>
      <c r="DA65" s="87"/>
      <c r="DB65" s="87"/>
      <c r="DC65" s="87"/>
      <c r="DD65" s="87"/>
      <c r="DE65" s="87"/>
      <c r="DF65" s="87"/>
      <c r="DG65" s="87"/>
      <c r="DH65" s="87"/>
    </row>
    <row r="66">
      <c r="B66" s="559"/>
      <c r="F66" s="560"/>
      <c r="K66" s="110"/>
      <c r="O66" s="78"/>
      <c r="R66" s="23"/>
      <c r="S66" s="23"/>
      <c r="T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3"/>
      <c r="BU66" s="23"/>
      <c r="BV66" s="23"/>
      <c r="BW66" s="23"/>
      <c r="BX66" s="23"/>
      <c r="BY66" s="23"/>
      <c r="BZ66" s="23"/>
      <c r="CE66" s="115"/>
      <c r="CF66" s="115"/>
      <c r="CG66" s="115"/>
      <c r="CH66" s="115"/>
      <c r="CI66" s="115"/>
      <c r="CJ66" s="115"/>
      <c r="CK66" s="115"/>
      <c r="CL66" s="115"/>
      <c r="CM66" s="115"/>
      <c r="CN66" s="115"/>
      <c r="CO66" s="115"/>
      <c r="CP66" s="115"/>
      <c r="CQ66" s="115"/>
      <c r="CR66" s="115"/>
      <c r="CS66" s="115"/>
      <c r="CT66" s="115"/>
      <c r="CU66" s="115"/>
      <c r="CV66" s="115"/>
      <c r="CW66" s="115"/>
      <c r="CX66" s="115"/>
      <c r="CY66" s="115"/>
      <c r="CZ66" s="115"/>
      <c r="DA66" s="115"/>
      <c r="DB66" s="115"/>
      <c r="DC66" s="115"/>
      <c r="DD66" s="115"/>
      <c r="DE66" s="115"/>
      <c r="DF66" s="115"/>
      <c r="DG66" s="115"/>
      <c r="DH66" s="115"/>
    </row>
    <row r="67">
      <c r="B67" s="559"/>
      <c r="F67" s="560"/>
      <c r="K67" s="110"/>
      <c r="O67" s="78"/>
      <c r="R67" s="23"/>
      <c r="S67" s="23"/>
      <c r="T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51"/>
      <c r="BB67" s="51"/>
      <c r="BC67" s="51"/>
      <c r="BD67" s="51"/>
      <c r="BE67" s="51"/>
      <c r="BF67" s="51"/>
      <c r="BG67" s="51"/>
      <c r="BH67" s="51"/>
      <c r="BI67" s="51"/>
      <c r="BJ67" s="51"/>
      <c r="BK67" s="51"/>
      <c r="BL67" s="51"/>
      <c r="BM67" s="51"/>
      <c r="BN67" s="23"/>
      <c r="BO67" s="23"/>
      <c r="BP67" s="23"/>
      <c r="BQ67" s="23"/>
      <c r="BR67" s="23"/>
      <c r="BS67" s="23"/>
      <c r="BT67" s="23"/>
      <c r="BU67" s="23"/>
      <c r="BV67" s="23"/>
      <c r="BW67" s="23"/>
      <c r="BX67" s="23"/>
      <c r="BY67" s="23"/>
      <c r="BZ67" s="23"/>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row>
    <row r="68">
      <c r="B68" s="562" t="str">
        <f>HYPERLINK("https://lighthouse.sigmaprime.io/","5. Lighthouse (SigmaPrime)")</f>
        <v>5. Lighthouse (SigmaPrime)</v>
      </c>
      <c r="F68" s="560"/>
      <c r="K68" s="110"/>
      <c r="O68" s="78"/>
      <c r="P68" s="535"/>
      <c r="Q68" s="535"/>
      <c r="R68" s="535"/>
      <c r="S68" s="535"/>
      <c r="T68" s="535"/>
      <c r="U68" s="535"/>
      <c r="V68" s="535"/>
      <c r="W68" s="535"/>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51"/>
      <c r="BB68" s="51"/>
      <c r="BC68" s="51"/>
      <c r="BD68" s="51"/>
      <c r="BE68" s="51"/>
      <c r="BF68" s="51"/>
      <c r="BG68" s="51"/>
      <c r="BH68" s="51"/>
      <c r="BI68" s="51"/>
      <c r="BJ68" s="51"/>
      <c r="BK68" s="51"/>
      <c r="BL68" s="51"/>
      <c r="BM68" s="51"/>
      <c r="BN68" s="23"/>
      <c r="BO68" s="23"/>
      <c r="BP68" s="23"/>
      <c r="BQ68" s="23"/>
      <c r="BR68" s="23"/>
      <c r="BS68" s="23"/>
      <c r="BT68" s="23"/>
      <c r="BU68" s="23"/>
      <c r="BV68" s="23"/>
      <c r="BW68" s="23"/>
      <c r="BX68" s="23"/>
      <c r="BY68" s="23"/>
      <c r="BZ68" s="23"/>
      <c r="CE68" s="123"/>
      <c r="CF68" s="123"/>
      <c r="CG68" s="123"/>
      <c r="CH68" s="123"/>
      <c r="CI68" s="123"/>
      <c r="CJ68" s="123"/>
      <c r="CK68" s="123"/>
      <c r="CL68" s="123"/>
      <c r="CM68" s="123"/>
      <c r="CN68" s="123"/>
      <c r="CO68" s="123"/>
      <c r="CP68" s="123"/>
      <c r="CQ68" s="123"/>
      <c r="CR68" s="123"/>
      <c r="CS68" s="123"/>
      <c r="CT68" s="123"/>
      <c r="CU68" s="123"/>
      <c r="CV68" s="123"/>
      <c r="CW68" s="123"/>
      <c r="CX68" s="123"/>
      <c r="CY68" s="123"/>
      <c r="CZ68" s="123"/>
      <c r="DA68" s="123"/>
      <c r="DB68" s="123"/>
      <c r="DC68" s="123"/>
      <c r="DD68" s="123"/>
      <c r="DE68" s="123"/>
      <c r="DF68" s="123"/>
      <c r="DG68" s="123"/>
      <c r="DH68" s="123"/>
    </row>
    <row r="69" ht="19.5" customHeight="1">
      <c r="B69" s="559"/>
      <c r="F69" s="560"/>
      <c r="K69" s="146"/>
      <c r="L69" s="528"/>
      <c r="M69" s="528"/>
      <c r="N69" s="528"/>
      <c r="O69" s="529"/>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51"/>
      <c r="BB69" s="51"/>
      <c r="BC69" s="51"/>
      <c r="BD69" s="51"/>
      <c r="BE69" s="51"/>
      <c r="BF69" s="51"/>
      <c r="BG69" s="51"/>
      <c r="BH69" s="51"/>
      <c r="BI69" s="51"/>
      <c r="BJ69" s="51"/>
      <c r="BK69" s="51"/>
      <c r="BL69" s="51"/>
      <c r="BM69" s="51"/>
      <c r="BN69" s="23"/>
      <c r="BO69" s="23"/>
      <c r="BP69" s="23"/>
      <c r="BQ69" s="23"/>
      <c r="BR69" s="23"/>
      <c r="BS69" s="23"/>
      <c r="BT69" s="23"/>
      <c r="BU69" s="23"/>
      <c r="BV69" s="23"/>
      <c r="BW69" s="23"/>
      <c r="BX69" s="23"/>
      <c r="BY69" s="23"/>
      <c r="BZ69" s="23"/>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row>
    <row r="70">
      <c r="B70" s="559"/>
      <c r="F70" s="560"/>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51"/>
      <c r="BB70" s="51"/>
      <c r="BC70" s="51"/>
      <c r="BD70" s="51"/>
      <c r="BE70" s="51"/>
      <c r="BF70" s="51"/>
      <c r="BG70" s="51"/>
      <c r="BH70" s="51"/>
      <c r="BI70" s="51"/>
      <c r="BJ70" s="51"/>
      <c r="BK70" s="51"/>
      <c r="BL70" s="51"/>
      <c r="BM70" s="51"/>
      <c r="BN70" s="23"/>
      <c r="BO70" s="23"/>
      <c r="BP70" s="23"/>
      <c r="BQ70" s="23"/>
      <c r="BR70" s="23"/>
      <c r="BS70" s="23"/>
      <c r="BT70" s="23"/>
      <c r="BU70" s="23"/>
      <c r="BV70" s="23"/>
      <c r="BW70" s="23"/>
      <c r="BX70" s="23"/>
      <c r="BY70" s="23"/>
      <c r="BZ70" s="23"/>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row>
    <row r="71" ht="18.0" customHeight="1">
      <c r="B71" s="562" t="str">
        <f>HYPERLINK("https://eth2stats.io/sapphire-testnet","6. Alehtio eth2 Stats (Block Explorer)")</f>
        <v>6. Alehtio eth2 Stats (Block Explorer)</v>
      </c>
      <c r="F71" s="560"/>
      <c r="K71" s="1465" t="s">
        <v>178</v>
      </c>
      <c r="L71" s="526"/>
      <c r="M71" s="526"/>
      <c r="N71" s="526"/>
      <c r="O71" s="527"/>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51"/>
      <c r="BB71" s="51"/>
      <c r="BC71" s="51"/>
      <c r="BD71" s="51"/>
      <c r="BE71" s="51"/>
      <c r="BF71" s="51"/>
      <c r="BG71" s="51"/>
      <c r="BH71" s="51"/>
      <c r="BI71" s="51"/>
      <c r="BJ71" s="51"/>
      <c r="BK71" s="51"/>
      <c r="BL71" s="51"/>
      <c r="BM71" s="51"/>
      <c r="BN71" s="23"/>
      <c r="BO71" s="23"/>
      <c r="BP71" s="23"/>
      <c r="BQ71" s="23"/>
      <c r="BR71" s="23"/>
      <c r="BS71" s="23"/>
      <c r="BT71" s="23"/>
      <c r="BU71" s="23"/>
      <c r="BV71" s="23"/>
      <c r="BW71" s="23"/>
      <c r="BX71" s="23"/>
      <c r="BY71" s="23"/>
      <c r="BZ71" s="23"/>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row>
    <row r="72">
      <c r="B72" s="559"/>
      <c r="F72" s="560"/>
      <c r="K72" s="110"/>
      <c r="O72" s="78"/>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51"/>
      <c r="BB72" s="51"/>
      <c r="BC72" s="51"/>
      <c r="BD72" s="51"/>
      <c r="BE72" s="51"/>
      <c r="BF72" s="51"/>
      <c r="BG72" s="51"/>
      <c r="BH72" s="51"/>
      <c r="BI72" s="51"/>
      <c r="BJ72" s="51"/>
      <c r="BK72" s="51"/>
      <c r="BL72" s="51"/>
      <c r="BM72" s="51"/>
      <c r="BN72" s="23"/>
      <c r="BO72" s="23"/>
      <c r="BP72" s="23"/>
      <c r="BQ72" s="23"/>
      <c r="BR72" s="23"/>
      <c r="BS72" s="23"/>
      <c r="BT72" s="23"/>
      <c r="BU72" s="23"/>
      <c r="BV72" s="23"/>
      <c r="BW72" s="23"/>
      <c r="BX72" s="23"/>
      <c r="BY72" s="23"/>
      <c r="BZ72" s="23"/>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row>
    <row r="73">
      <c r="B73" s="559"/>
      <c r="F73" s="560"/>
      <c r="K73" s="110"/>
      <c r="O73" s="78"/>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51"/>
      <c r="BB73" s="51"/>
      <c r="BC73" s="51"/>
      <c r="BD73" s="51"/>
      <c r="BE73" s="51"/>
      <c r="BF73" s="51"/>
      <c r="BG73" s="51"/>
      <c r="BH73" s="51"/>
      <c r="BI73" s="51"/>
      <c r="BJ73" s="51"/>
      <c r="BK73" s="51"/>
      <c r="BL73" s="51"/>
      <c r="BM73" s="51"/>
      <c r="BN73" s="23"/>
      <c r="BO73" s="23"/>
      <c r="BP73" s="23"/>
      <c r="BQ73" s="23"/>
      <c r="BR73" s="23"/>
      <c r="BS73" s="23"/>
      <c r="BT73" s="23"/>
      <c r="BU73" s="23"/>
      <c r="BV73" s="23"/>
      <c r="BW73" s="23"/>
      <c r="BX73" s="23"/>
      <c r="BY73" s="23"/>
      <c r="BZ73" s="23"/>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row>
    <row r="74">
      <c r="B74" s="559"/>
      <c r="F74" s="560"/>
      <c r="K74" s="110"/>
      <c r="O74" s="78"/>
      <c r="P74" s="535"/>
      <c r="Q74" s="535"/>
      <c r="W74" s="535"/>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51"/>
      <c r="BB74" s="51"/>
      <c r="BC74" s="51"/>
      <c r="BD74" s="51"/>
      <c r="BE74" s="51"/>
      <c r="BF74" s="51"/>
      <c r="BG74" s="51"/>
      <c r="BH74" s="51"/>
      <c r="BI74" s="51"/>
      <c r="BJ74" s="51"/>
      <c r="BK74" s="51"/>
      <c r="BL74" s="51"/>
      <c r="BM74" s="51"/>
      <c r="BN74" s="23"/>
      <c r="BO74" s="23"/>
      <c r="BP74" s="23"/>
      <c r="BQ74" s="23"/>
      <c r="BR74" s="23"/>
      <c r="BS74" s="23"/>
      <c r="BT74" s="23"/>
      <c r="BU74" s="23"/>
      <c r="BV74" s="23"/>
      <c r="BW74" s="23"/>
      <c r="BX74" s="23"/>
      <c r="BY74" s="23"/>
      <c r="BZ74" s="23"/>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row>
    <row r="75">
      <c r="B75" s="562" t="str">
        <f>HYPERLINK("https://eth2stats.io/sapphire-testnet","7. eth2 Rewards &amp; Penalties")</f>
        <v>7. eth2 Rewards &amp; Penalties</v>
      </c>
      <c r="F75" s="560"/>
      <c r="K75" s="110"/>
      <c r="O75" s="78"/>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51"/>
      <c r="BB75" s="51"/>
      <c r="BC75" s="51"/>
      <c r="BD75" s="51"/>
      <c r="BE75" s="51"/>
      <c r="BF75" s="51"/>
      <c r="BG75" s="51"/>
      <c r="BH75" s="51"/>
      <c r="BI75" s="51"/>
      <c r="BJ75" s="51"/>
      <c r="BK75" s="51"/>
      <c r="BL75" s="51"/>
      <c r="BM75" s="51"/>
      <c r="BN75" s="23"/>
      <c r="BO75" s="23"/>
      <c r="BP75" s="23"/>
      <c r="BQ75" s="23"/>
      <c r="BR75" s="23"/>
      <c r="BS75" s="23"/>
      <c r="BT75" s="23"/>
      <c r="BU75" s="23"/>
      <c r="BV75" s="23"/>
      <c r="BW75" s="23"/>
      <c r="BX75" s="23"/>
      <c r="BY75" s="23"/>
      <c r="BZ75" s="23"/>
      <c r="CE75" s="144"/>
      <c r="CF75" s="144"/>
      <c r="CG75" s="144"/>
      <c r="CH75" s="144"/>
      <c r="CI75" s="144"/>
      <c r="CJ75" s="144"/>
      <c r="CK75" s="144"/>
      <c r="CL75" s="144"/>
      <c r="CM75" s="144"/>
      <c r="CN75" s="144"/>
      <c r="CO75" s="144"/>
      <c r="CP75" s="144"/>
      <c r="CQ75" s="144"/>
      <c r="CR75" s="144"/>
      <c r="CS75" s="144"/>
      <c r="CT75" s="144"/>
      <c r="CU75" s="144"/>
      <c r="CV75" s="144"/>
      <c r="CW75" s="144"/>
      <c r="CX75" s="144"/>
      <c r="CY75" s="144"/>
      <c r="CZ75" s="144"/>
      <c r="DA75" s="144"/>
      <c r="DB75" s="144"/>
      <c r="DC75" s="144"/>
      <c r="DD75" s="144"/>
      <c r="DE75" s="144"/>
      <c r="DF75" s="144"/>
      <c r="DG75" s="144"/>
      <c r="DH75" s="144"/>
    </row>
    <row r="76">
      <c r="B76" s="559"/>
      <c r="F76" s="560"/>
      <c r="K76" s="146"/>
      <c r="L76" s="528"/>
      <c r="M76" s="528"/>
      <c r="N76" s="528"/>
      <c r="O76" s="529"/>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51"/>
      <c r="BB76" s="51"/>
      <c r="BC76" s="51"/>
      <c r="BD76" s="51"/>
      <c r="BE76" s="51"/>
      <c r="BF76" s="51"/>
      <c r="BG76" s="51"/>
      <c r="BH76" s="51"/>
      <c r="BI76" s="51"/>
      <c r="BJ76" s="51"/>
      <c r="BK76" s="51"/>
      <c r="BL76" s="51"/>
      <c r="BM76" s="51"/>
      <c r="BN76" s="23"/>
      <c r="BO76" s="23"/>
      <c r="BP76" s="23"/>
      <c r="BQ76" s="23"/>
      <c r="BR76" s="23"/>
      <c r="BS76" s="23"/>
      <c r="BT76" s="23"/>
      <c r="BU76" s="23"/>
      <c r="BV76" s="23"/>
      <c r="BW76" s="23"/>
      <c r="BX76" s="23"/>
      <c r="BY76" s="23"/>
      <c r="BZ76" s="23"/>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row>
    <row r="77">
      <c r="B77" s="559"/>
      <c r="F77" s="560"/>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51"/>
      <c r="BB77" s="51"/>
      <c r="BC77" s="51"/>
      <c r="BD77" s="51"/>
      <c r="BE77" s="51"/>
      <c r="BF77" s="51"/>
      <c r="BG77" s="51"/>
      <c r="BH77" s="51"/>
      <c r="BI77" s="51"/>
      <c r="BJ77" s="51"/>
      <c r="BK77" s="51"/>
      <c r="BL77" s="51"/>
      <c r="BM77" s="51"/>
      <c r="BN77" s="23"/>
      <c r="BO77" s="23"/>
      <c r="BP77" s="23"/>
      <c r="BQ77" s="23"/>
      <c r="BR77" s="23"/>
      <c r="BS77" s="23"/>
      <c r="BT77" s="23"/>
      <c r="BU77" s="23"/>
      <c r="BV77" s="23"/>
      <c r="BW77" s="23"/>
      <c r="BX77" s="23"/>
      <c r="BY77" s="23"/>
      <c r="BZ77" s="23"/>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row>
    <row r="78">
      <c r="B78" s="562" t="str">
        <f>HYPERLINK("https://www.adiasg.me/2020/03/31/casper-ffg-explainer.html","8. Casper FFG Explainer ")</f>
        <v>8. Casper FFG Explainer </v>
      </c>
      <c r="F78" s="560"/>
      <c r="K78" s="534"/>
      <c r="L78" s="526"/>
      <c r="M78" s="526"/>
      <c r="N78" s="526"/>
      <c r="O78" s="527"/>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51"/>
      <c r="BB78" s="51"/>
      <c r="BC78" s="51"/>
      <c r="BD78" s="51"/>
      <c r="BE78" s="51"/>
      <c r="BF78" s="51"/>
      <c r="BG78" s="51"/>
      <c r="BH78" s="51"/>
      <c r="BI78" s="51"/>
      <c r="BJ78" s="51"/>
      <c r="BK78" s="51"/>
      <c r="BL78" s="51"/>
      <c r="BM78" s="51"/>
      <c r="BN78" s="23"/>
      <c r="BO78" s="23"/>
      <c r="BP78" s="23"/>
      <c r="BQ78" s="23"/>
      <c r="BR78" s="23"/>
      <c r="BS78" s="23"/>
      <c r="BT78" s="23"/>
      <c r="BU78" s="23"/>
      <c r="BV78" s="23"/>
      <c r="BW78" s="23"/>
      <c r="BX78" s="23"/>
      <c r="BY78" s="23"/>
      <c r="BZ78" s="23"/>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row>
    <row r="79">
      <c r="B79" s="559"/>
      <c r="F79" s="560"/>
      <c r="K79" s="110"/>
      <c r="O79" s="78"/>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51"/>
      <c r="BB79" s="51"/>
      <c r="BC79" s="51"/>
      <c r="BD79" s="51"/>
      <c r="BE79" s="51"/>
      <c r="BF79" s="51"/>
      <c r="BG79" s="51"/>
      <c r="BH79" s="51"/>
      <c r="BI79" s="51"/>
      <c r="BJ79" s="51"/>
      <c r="BK79" s="51"/>
      <c r="BL79" s="51"/>
      <c r="BM79" s="51"/>
      <c r="BN79" s="23"/>
      <c r="BO79" s="23"/>
      <c r="BP79" s="23"/>
      <c r="BQ79" s="23"/>
      <c r="BR79" s="23"/>
      <c r="BS79" s="23"/>
      <c r="BT79" s="23"/>
      <c r="BU79" s="23"/>
      <c r="BV79" s="23"/>
      <c r="BW79" s="23"/>
      <c r="BX79" s="23"/>
      <c r="BY79" s="23"/>
      <c r="BZ79" s="23"/>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row>
    <row r="80">
      <c r="B80" s="574"/>
      <c r="C80" s="575"/>
      <c r="D80" s="575"/>
      <c r="E80" s="575"/>
      <c r="F80" s="576"/>
      <c r="K80" s="110"/>
      <c r="O80" s="78"/>
      <c r="AB80" s="23"/>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51"/>
      <c r="BB80" s="51"/>
      <c r="BC80" s="51"/>
      <c r="BD80" s="51"/>
      <c r="BE80" s="51"/>
      <c r="BF80" s="51"/>
      <c r="BG80" s="51"/>
      <c r="BH80" s="51"/>
      <c r="BI80" s="51"/>
      <c r="BJ80" s="51"/>
      <c r="BK80" s="51"/>
      <c r="BL80" s="51"/>
      <c r="BM80" s="51"/>
      <c r="BN80" s="23"/>
      <c r="BO80" s="23"/>
      <c r="BP80" s="23"/>
      <c r="BQ80" s="23"/>
      <c r="BR80" s="23"/>
      <c r="BS80" s="23"/>
      <c r="BT80" s="23"/>
      <c r="BU80" s="23"/>
      <c r="BV80" s="23"/>
      <c r="BW80" s="23"/>
      <c r="BX80" s="23"/>
      <c r="BY80" s="23"/>
      <c r="BZ80" s="23"/>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row>
    <row r="81">
      <c r="K81" s="110"/>
      <c r="O81" s="78"/>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51"/>
      <c r="BB81" s="51"/>
      <c r="BC81" s="51"/>
      <c r="BD81" s="51"/>
      <c r="BE81" s="51"/>
      <c r="BF81" s="51"/>
      <c r="BG81" s="51"/>
      <c r="BH81" s="51"/>
      <c r="BI81" s="51"/>
      <c r="BJ81" s="51"/>
      <c r="BK81" s="51"/>
      <c r="BL81" s="51"/>
      <c r="BM81" s="51"/>
      <c r="BN81" s="23"/>
      <c r="BO81" s="23"/>
      <c r="BP81" s="23"/>
      <c r="BQ81" s="23"/>
      <c r="BR81" s="23"/>
      <c r="BS81" s="23"/>
      <c r="BT81" s="23"/>
      <c r="BU81" s="23"/>
      <c r="BV81" s="23"/>
      <c r="BW81" s="23"/>
      <c r="BX81" s="23"/>
      <c r="BY81" s="23"/>
      <c r="BZ81" s="23"/>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row>
    <row r="82">
      <c r="K82" s="110"/>
      <c r="O82" s="78"/>
      <c r="R82" s="23"/>
      <c r="S82" s="23"/>
      <c r="T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51"/>
      <c r="BB82" s="51"/>
      <c r="BC82" s="51"/>
      <c r="BD82" s="51"/>
      <c r="BE82" s="51"/>
      <c r="BF82" s="51"/>
      <c r="BG82" s="51"/>
      <c r="BH82" s="51"/>
      <c r="BI82" s="51"/>
      <c r="BJ82" s="51"/>
      <c r="BK82" s="51"/>
      <c r="BL82" s="51"/>
      <c r="BM82" s="51"/>
      <c r="BN82" s="23"/>
      <c r="BO82" s="23"/>
      <c r="BP82" s="23"/>
      <c r="BQ82" s="23"/>
      <c r="BR82" s="23"/>
      <c r="BS82" s="23"/>
      <c r="BT82" s="23"/>
      <c r="BU82" s="23"/>
      <c r="BV82" s="23"/>
      <c r="BW82" s="23"/>
      <c r="BX82" s="23"/>
      <c r="BY82" s="23"/>
      <c r="BZ82" s="23"/>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row>
    <row r="83">
      <c r="K83" s="110"/>
      <c r="O83" s="78"/>
      <c r="R83" s="23"/>
      <c r="S83" s="23"/>
      <c r="T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51"/>
      <c r="BB83" s="51"/>
      <c r="BC83" s="51"/>
      <c r="BD83" s="51"/>
      <c r="BE83" s="51"/>
      <c r="BF83" s="51"/>
      <c r="BG83" s="51"/>
      <c r="BH83" s="51"/>
      <c r="BI83" s="51"/>
      <c r="BJ83" s="51"/>
      <c r="BK83" s="51"/>
      <c r="BL83" s="51"/>
      <c r="BM83" s="51"/>
      <c r="BN83" s="23"/>
      <c r="BO83" s="23"/>
      <c r="BP83" s="23"/>
      <c r="BQ83" s="23"/>
      <c r="BR83" s="23"/>
      <c r="BS83" s="23"/>
      <c r="BT83" s="23"/>
      <c r="BU83" s="23"/>
      <c r="BV83" s="23"/>
      <c r="BW83" s="23"/>
      <c r="BX83" s="23"/>
      <c r="BY83" s="23"/>
      <c r="BZ83" s="23"/>
      <c r="CE83" s="144"/>
      <c r="CF83" s="144"/>
      <c r="CG83" s="144"/>
      <c r="CH83" s="144"/>
      <c r="CI83" s="144"/>
      <c r="CJ83" s="144"/>
      <c r="CK83" s="144"/>
      <c r="CL83" s="144"/>
      <c r="CM83" s="144"/>
      <c r="CN83" s="144"/>
      <c r="CO83" s="144"/>
      <c r="CP83" s="144"/>
      <c r="CQ83" s="144"/>
      <c r="CR83" s="144"/>
      <c r="CS83" s="144"/>
      <c r="CT83" s="144"/>
      <c r="CU83" s="144"/>
      <c r="CV83" s="144"/>
      <c r="CW83" s="144"/>
      <c r="CX83" s="144"/>
      <c r="CY83" s="144"/>
      <c r="CZ83" s="144"/>
      <c r="DA83" s="144"/>
      <c r="DB83" s="144"/>
      <c r="DC83" s="144"/>
      <c r="DD83" s="144"/>
      <c r="DE83" s="144"/>
      <c r="DF83" s="144"/>
      <c r="DG83" s="144"/>
      <c r="DH83" s="144"/>
    </row>
    <row r="84">
      <c r="K84" s="146"/>
      <c r="L84" s="528"/>
      <c r="M84" s="528"/>
      <c r="N84" s="528"/>
      <c r="O84" s="529"/>
      <c r="R84" s="23"/>
      <c r="S84" s="23"/>
      <c r="T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51"/>
      <c r="BB84" s="51"/>
      <c r="BC84" s="51"/>
      <c r="BD84" s="51"/>
      <c r="BE84" s="51"/>
      <c r="BF84" s="51"/>
      <c r="BG84" s="51"/>
      <c r="BH84" s="51"/>
      <c r="BI84" s="51"/>
      <c r="BJ84" s="51"/>
      <c r="BK84" s="51"/>
      <c r="BL84" s="51"/>
      <c r="BM84" s="51"/>
      <c r="BN84" s="23"/>
      <c r="BO84" s="23"/>
      <c r="BP84" s="23"/>
      <c r="BQ84" s="23"/>
      <c r="BR84" s="23"/>
      <c r="BS84" s="23"/>
      <c r="BT84" s="23"/>
      <c r="BU84" s="23"/>
      <c r="BV84" s="23"/>
      <c r="BW84" s="23"/>
      <c r="BX84" s="23"/>
      <c r="BY84" s="23"/>
      <c r="BZ84" s="23"/>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row>
    <row r="85">
      <c r="R85" s="23"/>
      <c r="S85" s="23"/>
      <c r="T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51"/>
      <c r="BB85" s="51"/>
      <c r="BC85" s="51"/>
      <c r="BD85" s="51"/>
      <c r="BE85" s="51"/>
      <c r="BF85" s="51"/>
      <c r="BG85" s="51"/>
      <c r="BH85" s="51"/>
      <c r="BI85" s="51"/>
      <c r="BJ85" s="51"/>
      <c r="BK85" s="51"/>
      <c r="BL85" s="51"/>
      <c r="BM85" s="51"/>
      <c r="BN85" s="23"/>
      <c r="BO85" s="23"/>
      <c r="BP85" s="23"/>
      <c r="BQ85" s="23"/>
      <c r="BR85" s="23"/>
      <c r="BS85" s="23"/>
      <c r="BT85" s="23"/>
      <c r="BU85" s="23"/>
      <c r="BV85" s="23"/>
      <c r="BW85" s="23"/>
      <c r="BX85" s="23"/>
      <c r="BY85" s="23"/>
      <c r="BZ85" s="23"/>
      <c r="CE85" s="144"/>
      <c r="CF85" s="144"/>
      <c r="CG85" s="144"/>
      <c r="CH85" s="144"/>
      <c r="CI85" s="144"/>
      <c r="CJ85" s="144"/>
      <c r="CK85" s="144"/>
      <c r="CL85" s="144"/>
      <c r="CM85" s="144"/>
      <c r="CN85" s="144"/>
      <c r="CO85" s="144"/>
      <c r="CP85" s="144"/>
      <c r="CQ85" s="144"/>
      <c r="CR85" s="144"/>
      <c r="CS85" s="144"/>
      <c r="CT85" s="144"/>
      <c r="CU85" s="144"/>
      <c r="CV85" s="144"/>
      <c r="CW85" s="144"/>
      <c r="CX85" s="144"/>
      <c r="CY85" s="144"/>
      <c r="CZ85" s="144"/>
      <c r="DA85" s="144"/>
      <c r="DB85" s="144"/>
      <c r="DC85" s="144"/>
      <c r="DD85" s="144"/>
      <c r="DE85" s="144"/>
      <c r="DF85" s="144"/>
      <c r="DG85" s="144"/>
      <c r="DH85" s="144"/>
    </row>
    <row r="86">
      <c r="R86" s="23"/>
      <c r="S86" s="23"/>
      <c r="T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51"/>
      <c r="BB86" s="51"/>
      <c r="BC86" s="51"/>
      <c r="BD86" s="51"/>
      <c r="BE86" s="51"/>
      <c r="BF86" s="51"/>
      <c r="BG86" s="51"/>
      <c r="BH86" s="51"/>
      <c r="BI86" s="51"/>
      <c r="BJ86" s="51"/>
      <c r="BK86" s="51"/>
      <c r="BL86" s="51"/>
      <c r="BM86" s="51"/>
      <c r="BN86" s="23"/>
      <c r="BO86" s="23"/>
      <c r="BP86" s="23"/>
      <c r="BQ86" s="23"/>
      <c r="BR86" s="23"/>
      <c r="BS86" s="23"/>
      <c r="BT86" s="23"/>
      <c r="BU86" s="23"/>
      <c r="BV86" s="23"/>
      <c r="BW86" s="23"/>
      <c r="BX86" s="23"/>
      <c r="BY86" s="23"/>
      <c r="BZ86" s="23"/>
    </row>
    <row r="87">
      <c r="R87" s="23"/>
      <c r="S87" s="23"/>
      <c r="T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51"/>
      <c r="BB87" s="51"/>
      <c r="BC87" s="51"/>
      <c r="BD87" s="51"/>
      <c r="BE87" s="51"/>
      <c r="BF87" s="51"/>
      <c r="BG87" s="51"/>
      <c r="BH87" s="51"/>
      <c r="BI87" s="51"/>
      <c r="BJ87" s="51"/>
      <c r="BK87" s="51"/>
      <c r="BL87" s="51"/>
      <c r="BM87" s="51"/>
      <c r="BN87" s="23"/>
      <c r="BO87" s="23"/>
      <c r="BP87" s="23"/>
      <c r="BQ87" s="23"/>
      <c r="BR87" s="23"/>
      <c r="BS87" s="23"/>
      <c r="BT87" s="23"/>
      <c r="BU87" s="23"/>
      <c r="BV87" s="23"/>
      <c r="BW87" s="23"/>
      <c r="BX87" s="23"/>
      <c r="BY87" s="23"/>
      <c r="BZ87" s="23"/>
    </row>
    <row r="88">
      <c r="R88" s="23"/>
      <c r="S88" s="23"/>
      <c r="T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c r="AX88" s="23"/>
      <c r="AY88" s="23"/>
      <c r="AZ88" s="23"/>
      <c r="BA88" s="51"/>
      <c r="BB88" s="51"/>
      <c r="BC88" s="51"/>
      <c r="BD88" s="51"/>
      <c r="BE88" s="51"/>
      <c r="BF88" s="51"/>
      <c r="BG88" s="51"/>
      <c r="BH88" s="51"/>
      <c r="BI88" s="51"/>
      <c r="BJ88" s="51"/>
      <c r="BK88" s="51"/>
      <c r="BL88" s="51"/>
      <c r="BM88" s="51"/>
      <c r="BN88" s="23"/>
      <c r="BO88" s="23"/>
      <c r="BP88" s="23"/>
      <c r="BQ88" s="23"/>
      <c r="BR88" s="23"/>
      <c r="BS88" s="23"/>
      <c r="BT88" s="23"/>
      <c r="BU88" s="23"/>
      <c r="BV88" s="23"/>
      <c r="BW88" s="23"/>
      <c r="BX88" s="23"/>
      <c r="BY88" s="23"/>
      <c r="BZ88" s="23"/>
    </row>
    <row r="89">
      <c r="R89" s="23"/>
      <c r="S89" s="23"/>
      <c r="T89" s="23"/>
      <c r="Z89" s="23"/>
      <c r="AA89" s="23"/>
      <c r="AB89" s="23"/>
      <c r="AC89" s="23"/>
      <c r="AD89" s="51"/>
      <c r="AE89" s="51"/>
      <c r="AF89" s="51"/>
      <c r="AG89" s="51"/>
      <c r="AH89" s="51"/>
      <c r="AI89" s="51"/>
      <c r="AJ89" s="51"/>
      <c r="AK89" s="51"/>
      <c r="AL89" s="51"/>
      <c r="AM89" s="51"/>
      <c r="AN89" s="51"/>
      <c r="AO89" s="51"/>
      <c r="AP89" s="51"/>
      <c r="AQ89" s="23"/>
      <c r="AR89" s="23"/>
      <c r="AS89" s="23"/>
      <c r="AT89" s="23"/>
      <c r="AU89" s="23"/>
      <c r="AV89" s="23"/>
      <c r="AW89" s="23"/>
      <c r="AX89" s="23"/>
      <c r="AY89" s="23"/>
      <c r="AZ89" s="23"/>
      <c r="BA89" s="51"/>
      <c r="BB89" s="51"/>
      <c r="BC89" s="51"/>
      <c r="BD89" s="51"/>
      <c r="BE89" s="51"/>
      <c r="BF89" s="51"/>
      <c r="BG89" s="51"/>
      <c r="BH89" s="51"/>
      <c r="BI89" s="51"/>
      <c r="BJ89" s="51"/>
      <c r="BK89" s="51"/>
      <c r="BL89" s="51"/>
      <c r="BM89" s="51"/>
      <c r="BN89" s="23"/>
      <c r="BO89" s="23"/>
      <c r="BP89" s="23"/>
      <c r="BQ89" s="23"/>
      <c r="BR89" s="23"/>
      <c r="BS89" s="23"/>
      <c r="BT89" s="23"/>
      <c r="BU89" s="23"/>
      <c r="BV89" s="23"/>
      <c r="BW89" s="23"/>
      <c r="BX89" s="23"/>
      <c r="BY89" s="23"/>
      <c r="BZ89" s="23"/>
    </row>
    <row r="90">
      <c r="R90" s="570"/>
      <c r="S90" s="570"/>
      <c r="T90" s="570"/>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570"/>
      <c r="BV90" s="570"/>
      <c r="BW90" s="570"/>
      <c r="BX90" s="570"/>
      <c r="BY90" s="570"/>
      <c r="BZ90" s="23"/>
    </row>
    <row r="91">
      <c r="R91" s="23"/>
      <c r="S91" s="23"/>
      <c r="T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23"/>
      <c r="BP91" s="23"/>
      <c r="BQ91" s="23"/>
      <c r="BR91" s="23"/>
      <c r="BS91" s="23"/>
      <c r="BT91" s="23"/>
      <c r="BU91" s="23"/>
      <c r="BV91" s="23"/>
      <c r="BW91" s="23"/>
      <c r="BX91" s="23"/>
      <c r="BY91" s="23"/>
      <c r="BZ91" s="23"/>
    </row>
    <row r="92">
      <c r="R92" s="23"/>
      <c r="S92" s="23"/>
      <c r="T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23"/>
      <c r="BP92" s="23"/>
      <c r="BQ92" s="23"/>
      <c r="BR92" s="23"/>
      <c r="BS92" s="23"/>
      <c r="BT92" s="23"/>
      <c r="BU92" s="23"/>
      <c r="BV92" s="23"/>
      <c r="BW92" s="23"/>
      <c r="BX92" s="23"/>
      <c r="BY92" s="23"/>
      <c r="BZ92" s="23"/>
    </row>
    <row r="93">
      <c r="R93" s="23"/>
      <c r="S93" s="23"/>
      <c r="T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23"/>
      <c r="BP93" s="23"/>
      <c r="BQ93" s="23"/>
      <c r="BR93" s="23"/>
      <c r="BS93" s="23"/>
      <c r="BT93" s="23"/>
      <c r="BU93" s="23"/>
      <c r="BV93" s="23"/>
      <c r="BW93" s="23"/>
      <c r="BX93" s="23"/>
      <c r="BY93" s="23"/>
      <c r="BZ93" s="23"/>
    </row>
    <row r="94">
      <c r="R94" s="23"/>
      <c r="S94" s="23"/>
      <c r="T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row>
    <row r="95">
      <c r="R95" s="23"/>
      <c r="S95" s="23"/>
      <c r="T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c r="BW95" s="23"/>
      <c r="BX95" s="23"/>
      <c r="BY95" s="23"/>
      <c r="BZ95" s="23"/>
    </row>
    <row r="96">
      <c r="R96" s="23"/>
      <c r="S96" s="23"/>
      <c r="T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3"/>
      <c r="BU96" s="23"/>
      <c r="BV96" s="23"/>
      <c r="BW96" s="23"/>
      <c r="BX96" s="23"/>
      <c r="BY96" s="23"/>
      <c r="BZ96" s="23"/>
    </row>
    <row r="97">
      <c r="R97" s="23"/>
      <c r="S97" s="23"/>
      <c r="T97" s="23"/>
      <c r="Z97" s="569"/>
      <c r="AA97" s="569"/>
      <c r="AB97" s="569"/>
      <c r="AC97" s="569"/>
      <c r="AD97" s="577"/>
      <c r="AE97" s="538"/>
      <c r="AF97" s="578"/>
      <c r="AG97" s="578"/>
      <c r="AH97" s="578"/>
      <c r="AI97" s="578"/>
      <c r="AJ97" s="578"/>
      <c r="AK97" s="578"/>
      <c r="AL97" s="579"/>
      <c r="AM97" s="579"/>
      <c r="AN97" s="579"/>
      <c r="AO97" s="579"/>
      <c r="AP97" s="579"/>
      <c r="AQ97" s="569"/>
      <c r="AR97" s="580"/>
      <c r="AS97" s="569"/>
      <c r="AT97" s="569"/>
      <c r="AU97" s="569"/>
      <c r="AV97" s="569"/>
      <c r="AW97" s="569"/>
      <c r="AX97" s="569"/>
      <c r="AY97" s="569"/>
      <c r="AZ97" s="569"/>
      <c r="BA97" s="569"/>
      <c r="BB97" s="569"/>
      <c r="BC97" s="569"/>
      <c r="BD97" s="569"/>
      <c r="BE97" s="569"/>
      <c r="BF97" s="569"/>
      <c r="BG97" s="569"/>
      <c r="BH97" s="569"/>
      <c r="BI97" s="580"/>
      <c r="BJ97" s="569"/>
      <c r="BK97" s="569"/>
      <c r="BL97" s="569"/>
      <c r="BM97" s="569"/>
      <c r="BN97" s="569"/>
      <c r="BO97" s="569"/>
      <c r="BP97" s="569"/>
      <c r="BQ97" s="569"/>
      <c r="BR97" s="569"/>
      <c r="BS97" s="569"/>
      <c r="BT97" s="569"/>
      <c r="BU97" s="569"/>
      <c r="BV97" s="569"/>
      <c r="BW97" s="569"/>
      <c r="BX97" s="569"/>
      <c r="BY97" s="23"/>
      <c r="BZ97" s="23"/>
    </row>
    <row r="98">
      <c r="R98" s="23"/>
      <c r="S98" s="23"/>
      <c r="T98" s="23"/>
      <c r="Z98" s="581"/>
      <c r="AA98" s="581"/>
      <c r="AB98" s="581"/>
      <c r="AC98" s="581"/>
      <c r="AD98" s="577"/>
      <c r="AE98" s="541"/>
      <c r="AF98" s="578"/>
      <c r="AG98" s="578"/>
      <c r="AH98" s="578"/>
      <c r="AI98" s="542"/>
      <c r="AJ98" s="582"/>
      <c r="AK98" s="582"/>
      <c r="AL98" s="583"/>
      <c r="AM98" s="583"/>
      <c r="AN98" s="583"/>
      <c r="AO98" s="583"/>
      <c r="AP98" s="579"/>
      <c r="AQ98" s="569"/>
      <c r="AR98" s="584"/>
      <c r="AS98" s="581"/>
      <c r="AT98" s="581"/>
      <c r="BH98" s="569"/>
      <c r="BI98" s="584"/>
      <c r="BJ98" s="581"/>
      <c r="BK98" s="581"/>
      <c r="BY98" s="23"/>
      <c r="BZ98" s="23"/>
    </row>
    <row r="99">
      <c r="R99" s="23"/>
      <c r="S99" s="23"/>
      <c r="T99" s="23"/>
      <c r="U99" s="553"/>
      <c r="V99" s="585"/>
      <c r="W99" s="586"/>
      <c r="X99" s="587"/>
      <c r="Y99" s="587"/>
      <c r="Z99" s="587"/>
      <c r="AA99" s="587"/>
      <c r="AB99" s="587"/>
      <c r="AC99" s="587"/>
      <c r="AD99" s="577"/>
      <c r="AE99" s="578"/>
      <c r="AF99" s="545"/>
      <c r="AG99" s="546"/>
      <c r="AH99" s="546"/>
      <c r="AI99" s="546"/>
      <c r="AJ99" s="546"/>
      <c r="AK99" s="546"/>
      <c r="AL99" s="546"/>
      <c r="AM99" s="546"/>
      <c r="AN99" s="546"/>
      <c r="AO99" s="546"/>
      <c r="AP99" s="546"/>
      <c r="AQ99" s="569"/>
      <c r="AR99" s="584"/>
      <c r="AS99" s="581"/>
      <c r="AT99" s="581"/>
      <c r="AU99" s="581"/>
      <c r="AV99" s="581"/>
      <c r="AW99" s="581"/>
      <c r="AX99" s="581"/>
      <c r="AY99" s="581"/>
      <c r="AZ99" s="581"/>
      <c r="BA99" s="581"/>
      <c r="BB99" s="581"/>
      <c r="BC99" s="581"/>
      <c r="BD99" s="581"/>
      <c r="BE99" s="581"/>
      <c r="BF99" s="581"/>
      <c r="BG99" s="581"/>
      <c r="BH99" s="569"/>
      <c r="BI99" s="584"/>
      <c r="BJ99" s="581"/>
      <c r="BK99" s="581"/>
      <c r="BL99" s="581"/>
      <c r="BM99" s="581"/>
      <c r="BN99" s="581"/>
      <c r="BO99" s="581"/>
      <c r="BP99" s="581"/>
      <c r="BQ99" s="581"/>
      <c r="BR99" s="581"/>
      <c r="BS99" s="581"/>
      <c r="BT99" s="581"/>
      <c r="BU99" s="581"/>
      <c r="BV99" s="581"/>
      <c r="BW99" s="581"/>
      <c r="BX99" s="581"/>
      <c r="BY99" s="23"/>
      <c r="BZ99" s="23"/>
    </row>
    <row r="100">
      <c r="R100" s="23"/>
      <c r="S100" s="23"/>
      <c r="T100" s="23"/>
      <c r="U100" s="588"/>
      <c r="V100" s="586"/>
      <c r="W100" s="577"/>
      <c r="X100" s="589"/>
      <c r="Y100" s="589"/>
      <c r="Z100" s="589"/>
      <c r="AA100" s="589"/>
      <c r="AB100" s="589"/>
      <c r="AC100" s="589"/>
      <c r="AD100" s="577"/>
      <c r="AE100" s="588"/>
      <c r="AF100" s="586"/>
      <c r="AG100" s="590"/>
      <c r="AH100" s="590"/>
      <c r="AI100" s="590"/>
      <c r="AJ100" s="590"/>
      <c r="AK100" s="590"/>
      <c r="AL100" s="590"/>
      <c r="AM100" s="590"/>
      <c r="AN100" s="590"/>
      <c r="AO100" s="590"/>
      <c r="AP100" s="590"/>
      <c r="AQ100" s="569"/>
      <c r="AR100" s="584"/>
      <c r="AS100" s="581"/>
      <c r="AT100" s="581"/>
      <c r="AU100" s="581"/>
      <c r="AV100" s="581"/>
      <c r="AW100" s="581"/>
      <c r="AX100" s="581"/>
      <c r="AY100" s="581"/>
      <c r="AZ100" s="581"/>
      <c r="BA100" s="581"/>
      <c r="BB100" s="581"/>
      <c r="BC100" s="581"/>
      <c r="BD100" s="581"/>
      <c r="BE100" s="581"/>
      <c r="BF100" s="581"/>
      <c r="BG100" s="581"/>
      <c r="BH100" s="569"/>
      <c r="BI100" s="584"/>
      <c r="BJ100" s="581"/>
      <c r="BK100" s="581"/>
      <c r="BL100" s="581"/>
      <c r="BM100" s="581"/>
      <c r="BN100" s="581"/>
      <c r="BO100" s="581"/>
      <c r="BP100" s="581"/>
      <c r="BQ100" s="581"/>
      <c r="BR100" s="581"/>
      <c r="BS100" s="581"/>
      <c r="BT100" s="581"/>
      <c r="BU100" s="581"/>
      <c r="BV100" s="581"/>
      <c r="BW100" s="581"/>
      <c r="BX100" s="581"/>
      <c r="BY100" s="23"/>
      <c r="BZ100" s="23"/>
    </row>
    <row r="101">
      <c r="R101" s="23"/>
      <c r="S101" s="23"/>
      <c r="T101" s="23"/>
      <c r="V101" s="586"/>
      <c r="W101" s="577"/>
      <c r="X101" s="589"/>
      <c r="Y101" s="589"/>
      <c r="Z101" s="589"/>
      <c r="AA101" s="589"/>
      <c r="AB101" s="589"/>
      <c r="AC101" s="589"/>
      <c r="AD101" s="577"/>
      <c r="AF101" s="586"/>
      <c r="AG101" s="591"/>
      <c r="AH101" s="591"/>
      <c r="AI101" s="591"/>
      <c r="AJ101" s="591"/>
      <c r="AK101" s="591"/>
      <c r="AL101" s="591"/>
      <c r="AM101" s="591"/>
      <c r="AN101" s="591"/>
      <c r="AO101" s="591"/>
      <c r="AP101" s="591"/>
      <c r="AQ101" s="569"/>
      <c r="AR101" s="553"/>
      <c r="AS101" s="585"/>
      <c r="AT101" s="586"/>
      <c r="AU101" s="587"/>
      <c r="AV101" s="587"/>
      <c r="AW101" s="587"/>
      <c r="AX101" s="587"/>
      <c r="AY101" s="586"/>
      <c r="AZ101" s="586"/>
      <c r="BA101" s="586"/>
      <c r="BB101" s="586"/>
      <c r="BC101" s="586"/>
      <c r="BD101" s="586"/>
      <c r="BE101" s="586"/>
      <c r="BF101" s="586"/>
      <c r="BG101" s="586"/>
      <c r="BH101" s="569"/>
      <c r="BI101" s="553"/>
      <c r="BJ101" s="585"/>
      <c r="BK101" s="586"/>
      <c r="BL101" s="587"/>
      <c r="BM101" s="587"/>
      <c r="BN101" s="587"/>
      <c r="BO101" s="587"/>
      <c r="BP101" s="586"/>
      <c r="BQ101" s="586"/>
      <c r="BR101" s="586"/>
      <c r="BS101" s="586"/>
      <c r="BT101" s="586"/>
      <c r="BU101" s="586"/>
      <c r="BV101" s="586"/>
      <c r="BW101" s="586"/>
      <c r="BX101" s="586"/>
      <c r="BY101" s="23"/>
      <c r="BZ101" s="23"/>
    </row>
    <row r="102">
      <c r="R102" s="23"/>
      <c r="S102" s="23"/>
      <c r="T102" s="23"/>
      <c r="V102" s="587"/>
      <c r="W102" s="577"/>
      <c r="X102" s="589"/>
      <c r="Y102" s="589"/>
      <c r="Z102" s="589"/>
      <c r="AA102" s="589"/>
      <c r="AB102" s="589"/>
      <c r="AC102" s="589"/>
      <c r="AD102" s="577"/>
      <c r="AF102" s="587"/>
      <c r="AG102" s="590"/>
      <c r="AH102" s="590"/>
      <c r="AI102" s="590"/>
      <c r="AJ102" s="590"/>
      <c r="AK102" s="590"/>
      <c r="AL102" s="590"/>
      <c r="AM102" s="590"/>
      <c r="AN102" s="590"/>
      <c r="AO102" s="590"/>
      <c r="AP102" s="590"/>
      <c r="AQ102" s="569"/>
      <c r="AR102" s="592"/>
      <c r="AS102" s="593"/>
      <c r="AT102" s="577"/>
      <c r="AU102" s="577"/>
      <c r="AV102" s="577"/>
      <c r="AW102" s="577"/>
      <c r="AX102" s="577"/>
      <c r="AY102" s="577"/>
      <c r="AZ102" s="577"/>
      <c r="BA102" s="577"/>
      <c r="BB102" s="577"/>
      <c r="BC102" s="577"/>
      <c r="BD102" s="577"/>
      <c r="BE102" s="577"/>
      <c r="BF102" s="577"/>
      <c r="BG102" s="577"/>
      <c r="BH102" s="569"/>
      <c r="BI102" s="588"/>
      <c r="BJ102" s="586"/>
      <c r="BK102" s="577"/>
      <c r="BL102" s="577"/>
      <c r="BM102" s="577"/>
      <c r="BN102" s="577"/>
      <c r="BO102" s="577"/>
      <c r="BP102" s="577"/>
      <c r="BQ102" s="577"/>
      <c r="BR102" s="577"/>
      <c r="BS102" s="577"/>
      <c r="BT102" s="577"/>
      <c r="BU102" s="577"/>
      <c r="BV102" s="577"/>
      <c r="BW102" s="577"/>
      <c r="BX102" s="577"/>
      <c r="BY102" s="23"/>
      <c r="BZ102" s="23"/>
    </row>
    <row r="103">
      <c r="R103" s="23"/>
      <c r="S103" s="23"/>
      <c r="T103" s="23"/>
      <c r="V103" s="587"/>
      <c r="W103" s="577"/>
      <c r="X103" s="589"/>
      <c r="Y103" s="589"/>
      <c r="Z103" s="589"/>
      <c r="AA103" s="589"/>
      <c r="AB103" s="589"/>
      <c r="AC103" s="589"/>
      <c r="AD103" s="577"/>
      <c r="AF103" s="587"/>
      <c r="AG103" s="590"/>
      <c r="AH103" s="590"/>
      <c r="AI103" s="590"/>
      <c r="AJ103" s="590"/>
      <c r="AK103" s="590"/>
      <c r="AL103" s="590"/>
      <c r="AM103" s="590"/>
      <c r="AN103" s="590"/>
      <c r="AO103" s="590"/>
      <c r="AP103" s="590"/>
      <c r="AQ103" s="569"/>
      <c r="AS103" s="593"/>
      <c r="AT103" s="594"/>
      <c r="AU103" s="594"/>
      <c r="AV103" s="594"/>
      <c r="AW103" s="594"/>
      <c r="AX103" s="594"/>
      <c r="AY103" s="594"/>
      <c r="AZ103" s="594"/>
      <c r="BA103" s="594"/>
      <c r="BB103" s="594"/>
      <c r="BC103" s="594"/>
      <c r="BD103" s="594"/>
      <c r="BE103" s="594"/>
      <c r="BF103" s="594"/>
      <c r="BG103" s="594"/>
      <c r="BH103" s="569"/>
      <c r="BJ103" s="586"/>
      <c r="BK103" s="594"/>
      <c r="BL103" s="594"/>
      <c r="BM103" s="594"/>
      <c r="BN103" s="594"/>
      <c r="BO103" s="594"/>
      <c r="BP103" s="594"/>
      <c r="BQ103" s="594"/>
      <c r="BR103" s="594"/>
      <c r="BS103" s="594"/>
      <c r="BT103" s="594"/>
      <c r="BU103" s="594"/>
      <c r="BV103" s="594"/>
      <c r="BW103" s="594"/>
      <c r="BX103" s="594"/>
      <c r="BY103" s="23"/>
      <c r="BZ103" s="23"/>
    </row>
    <row r="104">
      <c r="B104" s="595"/>
      <c r="R104" s="23"/>
      <c r="S104" s="23"/>
      <c r="T104" s="23"/>
      <c r="V104" s="587"/>
      <c r="W104" s="577"/>
      <c r="X104" s="589"/>
      <c r="Y104" s="589"/>
      <c r="Z104" s="589"/>
      <c r="AA104" s="589"/>
      <c r="AB104" s="589"/>
      <c r="AC104" s="589"/>
      <c r="AD104" s="577"/>
      <c r="AF104" s="587"/>
      <c r="AG104" s="590"/>
      <c r="AH104" s="590"/>
      <c r="AI104" s="590"/>
      <c r="AJ104" s="590"/>
      <c r="AK104" s="590"/>
      <c r="AL104" s="590"/>
      <c r="AM104" s="590"/>
      <c r="AN104" s="590"/>
      <c r="AO104" s="590"/>
      <c r="AP104" s="590"/>
      <c r="AQ104" s="569"/>
      <c r="AS104" s="593"/>
      <c r="AT104" s="577"/>
      <c r="AU104" s="577"/>
      <c r="AV104" s="577"/>
      <c r="AW104" s="577"/>
      <c r="AX104" s="577"/>
      <c r="AY104" s="577"/>
      <c r="AZ104" s="577"/>
      <c r="BA104" s="577"/>
      <c r="BB104" s="577"/>
      <c r="BC104" s="577"/>
      <c r="BD104" s="577"/>
      <c r="BE104" s="577"/>
      <c r="BF104" s="577"/>
      <c r="BG104" s="577"/>
      <c r="BH104" s="569"/>
      <c r="BJ104" s="587"/>
      <c r="BK104" s="577"/>
      <c r="BL104" s="577"/>
      <c r="BM104" s="577"/>
      <c r="BN104" s="577"/>
      <c r="BO104" s="577"/>
      <c r="BP104" s="577"/>
      <c r="BQ104" s="577"/>
      <c r="BR104" s="577"/>
      <c r="BS104" s="577"/>
      <c r="BT104" s="577"/>
      <c r="BU104" s="577"/>
      <c r="BV104" s="577"/>
      <c r="BW104" s="577"/>
      <c r="BX104" s="577"/>
      <c r="BY104" s="23"/>
      <c r="BZ104" s="23"/>
    </row>
    <row r="105">
      <c r="R105" s="23"/>
      <c r="S105" s="23"/>
      <c r="T105" s="23"/>
      <c r="V105" s="587"/>
      <c r="W105" s="577"/>
      <c r="X105" s="589"/>
      <c r="Y105" s="589"/>
      <c r="Z105" s="589"/>
      <c r="AA105" s="589"/>
      <c r="AB105" s="589"/>
      <c r="AC105" s="589"/>
      <c r="AD105" s="577"/>
      <c r="AF105" s="587"/>
      <c r="AG105" s="590"/>
      <c r="AH105" s="590"/>
      <c r="AI105" s="590"/>
      <c r="AJ105" s="590"/>
      <c r="AK105" s="590"/>
      <c r="AL105" s="590"/>
      <c r="AM105" s="590"/>
      <c r="AN105" s="590"/>
      <c r="AO105" s="590"/>
      <c r="AP105" s="590"/>
      <c r="AQ105" s="569"/>
      <c r="AS105" s="593"/>
      <c r="AT105" s="577"/>
      <c r="AU105" s="577"/>
      <c r="AV105" s="577"/>
      <c r="AW105" s="577"/>
      <c r="AX105" s="577"/>
      <c r="AY105" s="577"/>
      <c r="AZ105" s="577"/>
      <c r="BA105" s="577"/>
      <c r="BB105" s="577"/>
      <c r="BC105" s="577"/>
      <c r="BD105" s="577"/>
      <c r="BE105" s="577"/>
      <c r="BF105" s="577"/>
      <c r="BG105" s="577"/>
      <c r="BH105" s="569"/>
      <c r="BJ105" s="587"/>
      <c r="BK105" s="577"/>
      <c r="BL105" s="577"/>
      <c r="BM105" s="577"/>
      <c r="BN105" s="577"/>
      <c r="BO105" s="577"/>
      <c r="BP105" s="577"/>
      <c r="BQ105" s="577"/>
      <c r="BR105" s="577"/>
      <c r="BS105" s="577"/>
      <c r="BT105" s="577"/>
      <c r="BU105" s="577"/>
      <c r="BV105" s="577"/>
      <c r="BW105" s="577"/>
      <c r="BX105" s="577"/>
      <c r="BY105" s="23"/>
      <c r="BZ105" s="23"/>
    </row>
    <row r="106">
      <c r="R106" s="23"/>
      <c r="S106" s="23"/>
      <c r="T106" s="23"/>
      <c r="V106" s="587"/>
      <c r="W106" s="577"/>
      <c r="X106" s="589"/>
      <c r="Y106" s="589"/>
      <c r="Z106" s="589"/>
      <c r="AA106" s="589"/>
      <c r="AB106" s="589"/>
      <c r="AC106" s="589"/>
      <c r="AD106" s="577"/>
      <c r="AF106" s="587"/>
      <c r="AG106" s="590"/>
      <c r="AH106" s="590"/>
      <c r="AI106" s="590"/>
      <c r="AJ106" s="590"/>
      <c r="AK106" s="590"/>
      <c r="AL106" s="590"/>
      <c r="AM106" s="590"/>
      <c r="AN106" s="590"/>
      <c r="AO106" s="590"/>
      <c r="AP106" s="590"/>
      <c r="AQ106" s="569"/>
      <c r="AS106" s="593"/>
      <c r="AT106" s="577"/>
      <c r="AU106" s="577"/>
      <c r="AV106" s="577"/>
      <c r="AW106" s="577"/>
      <c r="AX106" s="577"/>
      <c r="AY106" s="577"/>
      <c r="AZ106" s="577"/>
      <c r="BA106" s="577"/>
      <c r="BB106" s="577"/>
      <c r="BC106" s="577"/>
      <c r="BD106" s="577"/>
      <c r="BE106" s="577"/>
      <c r="BF106" s="577"/>
      <c r="BG106" s="577"/>
      <c r="BH106" s="569"/>
      <c r="BJ106" s="587"/>
      <c r="BK106" s="577"/>
      <c r="BL106" s="577"/>
      <c r="BM106" s="577"/>
      <c r="BN106" s="577"/>
      <c r="BO106" s="577"/>
      <c r="BP106" s="577"/>
      <c r="BQ106" s="577"/>
      <c r="BR106" s="577"/>
      <c r="BS106" s="577"/>
      <c r="BT106" s="577"/>
      <c r="BU106" s="577"/>
      <c r="BV106" s="577"/>
      <c r="BW106" s="577"/>
      <c r="BX106" s="577"/>
      <c r="BY106" s="23"/>
      <c r="BZ106" s="23"/>
    </row>
    <row r="107">
      <c r="R107" s="23"/>
      <c r="S107" s="23"/>
      <c r="T107" s="23"/>
      <c r="V107" s="587"/>
      <c r="W107" s="577"/>
      <c r="X107" s="589"/>
      <c r="Y107" s="589"/>
      <c r="Z107" s="589"/>
      <c r="AA107" s="589"/>
      <c r="AB107" s="589"/>
      <c r="AC107" s="589"/>
      <c r="AD107" s="577"/>
      <c r="AF107" s="587"/>
      <c r="AG107" s="590"/>
      <c r="AH107" s="590"/>
      <c r="AI107" s="590"/>
      <c r="AJ107" s="590"/>
      <c r="AK107" s="590"/>
      <c r="AL107" s="590"/>
      <c r="AM107" s="590"/>
      <c r="AN107" s="590"/>
      <c r="AO107" s="590"/>
      <c r="AP107" s="590"/>
      <c r="AQ107" s="569"/>
      <c r="AS107" s="593"/>
      <c r="AT107" s="577"/>
      <c r="AU107" s="577"/>
      <c r="AV107" s="577"/>
      <c r="AW107" s="577"/>
      <c r="AX107" s="577"/>
      <c r="AY107" s="577"/>
      <c r="AZ107" s="577"/>
      <c r="BA107" s="577"/>
      <c r="BB107" s="577"/>
      <c r="BC107" s="577"/>
      <c r="BD107" s="577"/>
      <c r="BE107" s="577"/>
      <c r="BF107" s="577"/>
      <c r="BG107" s="577"/>
      <c r="BH107" s="569"/>
      <c r="BJ107" s="587"/>
      <c r="BK107" s="577"/>
      <c r="BL107" s="577"/>
      <c r="BM107" s="577"/>
      <c r="BN107" s="577"/>
      <c r="BO107" s="577"/>
      <c r="BP107" s="577"/>
      <c r="BQ107" s="577"/>
      <c r="BR107" s="577"/>
      <c r="BS107" s="577"/>
      <c r="BT107" s="577"/>
      <c r="BU107" s="577"/>
      <c r="BV107" s="577"/>
      <c r="BW107" s="577"/>
      <c r="BX107" s="577"/>
      <c r="BY107" s="23"/>
      <c r="BZ107" s="23"/>
    </row>
    <row r="108">
      <c r="R108" s="23"/>
      <c r="S108" s="23"/>
      <c r="T108" s="23"/>
      <c r="V108" s="587"/>
      <c r="W108" s="577"/>
      <c r="X108" s="589"/>
      <c r="Y108" s="589"/>
      <c r="Z108" s="589"/>
      <c r="AA108" s="589"/>
      <c r="AB108" s="589"/>
      <c r="AC108" s="589"/>
      <c r="AD108" s="577"/>
      <c r="AF108" s="587"/>
      <c r="AG108" s="591"/>
      <c r="AH108" s="591"/>
      <c r="AI108" s="591"/>
      <c r="AJ108" s="591"/>
      <c r="AK108" s="591"/>
      <c r="AL108" s="591"/>
      <c r="AM108" s="591"/>
      <c r="AN108" s="591"/>
      <c r="AO108" s="591"/>
      <c r="AP108" s="591"/>
      <c r="AQ108" s="569"/>
      <c r="AS108" s="593"/>
      <c r="AT108" s="577"/>
      <c r="AU108" s="577"/>
      <c r="AV108" s="577"/>
      <c r="AW108" s="577"/>
      <c r="AX108" s="577"/>
      <c r="AY108" s="577"/>
      <c r="AZ108" s="577"/>
      <c r="BA108" s="577"/>
      <c r="BB108" s="577"/>
      <c r="BC108" s="577"/>
      <c r="BD108" s="577"/>
      <c r="BE108" s="577"/>
      <c r="BF108" s="577"/>
      <c r="BG108" s="577"/>
      <c r="BH108" s="569"/>
      <c r="BJ108" s="587"/>
      <c r="BK108" s="577"/>
      <c r="BL108" s="577"/>
      <c r="BM108" s="577"/>
      <c r="BN108" s="577"/>
      <c r="BO108" s="577"/>
      <c r="BP108" s="577"/>
      <c r="BQ108" s="577"/>
      <c r="BR108" s="577"/>
      <c r="BS108" s="577"/>
      <c r="BT108" s="577"/>
      <c r="BU108" s="577"/>
      <c r="BV108" s="577"/>
      <c r="BW108" s="577"/>
      <c r="BX108" s="577"/>
      <c r="BY108" s="23"/>
      <c r="BZ108" s="23"/>
    </row>
    <row r="109">
      <c r="R109" s="23"/>
      <c r="S109" s="23"/>
      <c r="T109" s="23"/>
      <c r="V109" s="587"/>
      <c r="W109" s="577"/>
      <c r="X109" s="589"/>
      <c r="Y109" s="589"/>
      <c r="Z109" s="589"/>
      <c r="AA109" s="589"/>
      <c r="AB109" s="589"/>
      <c r="AC109" s="589"/>
      <c r="AD109" s="577"/>
      <c r="AF109" s="587"/>
      <c r="AG109" s="590"/>
      <c r="AH109" s="590"/>
      <c r="AI109" s="590"/>
      <c r="AJ109" s="590"/>
      <c r="AK109" s="590"/>
      <c r="AL109" s="590"/>
      <c r="AM109" s="590"/>
      <c r="AN109" s="590"/>
      <c r="AO109" s="590"/>
      <c r="AP109" s="590"/>
      <c r="AQ109" s="569"/>
      <c r="AS109" s="593"/>
      <c r="AT109" s="577"/>
      <c r="AU109" s="577"/>
      <c r="AV109" s="577"/>
      <c r="AW109" s="577"/>
      <c r="AX109" s="577"/>
      <c r="AY109" s="577"/>
      <c r="AZ109" s="577"/>
      <c r="BA109" s="577"/>
      <c r="BB109" s="577"/>
      <c r="BC109" s="577"/>
      <c r="BD109" s="577"/>
      <c r="BE109" s="577"/>
      <c r="BF109" s="577"/>
      <c r="BG109" s="577"/>
      <c r="BH109" s="569"/>
      <c r="BJ109" s="587"/>
      <c r="BK109" s="577"/>
      <c r="BL109" s="577"/>
      <c r="BM109" s="577"/>
      <c r="BN109" s="577"/>
      <c r="BO109" s="577"/>
      <c r="BP109" s="577"/>
      <c r="BQ109" s="577"/>
      <c r="BR109" s="577"/>
      <c r="BS109" s="577"/>
      <c r="BT109" s="577"/>
      <c r="BU109" s="577"/>
      <c r="BV109" s="577"/>
      <c r="BW109" s="577"/>
      <c r="BX109" s="577"/>
      <c r="BY109" s="23"/>
      <c r="BZ109" s="23"/>
    </row>
    <row r="110">
      <c r="R110" s="23"/>
      <c r="S110" s="23"/>
      <c r="T110" s="23"/>
      <c r="V110" s="587"/>
      <c r="W110" s="577"/>
      <c r="X110" s="589"/>
      <c r="Y110" s="589"/>
      <c r="Z110" s="589"/>
      <c r="AA110" s="589"/>
      <c r="AB110" s="589"/>
      <c r="AC110" s="589"/>
      <c r="AD110" s="577"/>
      <c r="AF110" s="587"/>
      <c r="AG110" s="590"/>
      <c r="AH110" s="590"/>
      <c r="AI110" s="590"/>
      <c r="AJ110" s="590"/>
      <c r="AK110" s="590"/>
      <c r="AL110" s="590"/>
      <c r="AM110" s="590"/>
      <c r="AN110" s="590"/>
      <c r="AO110" s="590"/>
      <c r="AP110" s="590"/>
      <c r="AQ110" s="569"/>
      <c r="AS110" s="593"/>
      <c r="AT110" s="594"/>
      <c r="AU110" s="594"/>
      <c r="AV110" s="594"/>
      <c r="AW110" s="594"/>
      <c r="AX110" s="594"/>
      <c r="AY110" s="594"/>
      <c r="AZ110" s="594"/>
      <c r="BA110" s="594"/>
      <c r="BB110" s="594"/>
      <c r="BC110" s="594"/>
      <c r="BD110" s="594"/>
      <c r="BE110" s="594"/>
      <c r="BF110" s="594"/>
      <c r="BG110" s="594"/>
      <c r="BH110" s="569"/>
      <c r="BJ110" s="587"/>
      <c r="BK110" s="594"/>
      <c r="BL110" s="594"/>
      <c r="BM110" s="594"/>
      <c r="BN110" s="594"/>
      <c r="BO110" s="594"/>
      <c r="BP110" s="594"/>
      <c r="BQ110" s="594"/>
      <c r="BR110" s="594"/>
      <c r="BS110" s="594"/>
      <c r="BT110" s="594"/>
      <c r="BU110" s="594"/>
      <c r="BV110" s="594"/>
      <c r="BW110" s="594"/>
      <c r="BX110" s="594"/>
      <c r="BY110" s="23"/>
      <c r="BZ110" s="23"/>
    </row>
    <row r="111">
      <c r="R111" s="23"/>
      <c r="S111" s="23"/>
      <c r="T111" s="23"/>
      <c r="V111" s="587"/>
      <c r="W111" s="577"/>
      <c r="X111" s="589"/>
      <c r="Y111" s="589"/>
      <c r="Z111" s="589"/>
      <c r="AA111" s="589"/>
      <c r="AB111" s="589"/>
      <c r="AC111" s="589"/>
      <c r="AD111" s="577"/>
      <c r="AF111" s="587"/>
      <c r="AG111" s="590"/>
      <c r="AH111" s="590"/>
      <c r="AI111" s="590"/>
      <c r="AJ111" s="590"/>
      <c r="AK111" s="590"/>
      <c r="AL111" s="590"/>
      <c r="AM111" s="590"/>
      <c r="AN111" s="590"/>
      <c r="AO111" s="590"/>
      <c r="AP111" s="590"/>
      <c r="AQ111" s="569"/>
      <c r="AS111" s="593"/>
      <c r="AT111" s="577"/>
      <c r="AU111" s="577"/>
      <c r="AV111" s="577"/>
      <c r="AW111" s="577"/>
      <c r="AX111" s="577"/>
      <c r="AY111" s="577"/>
      <c r="AZ111" s="577"/>
      <c r="BA111" s="577"/>
      <c r="BB111" s="577"/>
      <c r="BC111" s="577"/>
      <c r="BD111" s="577"/>
      <c r="BE111" s="577"/>
      <c r="BF111" s="577"/>
      <c r="BG111" s="577"/>
      <c r="BH111" s="569"/>
      <c r="BJ111" s="587"/>
      <c r="BK111" s="577"/>
      <c r="BL111" s="577"/>
      <c r="BM111" s="577"/>
      <c r="BN111" s="577"/>
      <c r="BO111" s="577"/>
      <c r="BP111" s="577"/>
      <c r="BQ111" s="577"/>
      <c r="BR111" s="577"/>
      <c r="BS111" s="577"/>
      <c r="BT111" s="577"/>
      <c r="BU111" s="577"/>
      <c r="BV111" s="577"/>
      <c r="BW111" s="577"/>
      <c r="BX111" s="577"/>
      <c r="BY111" s="23"/>
      <c r="BZ111" s="23"/>
    </row>
    <row r="112">
      <c r="R112" s="23"/>
      <c r="S112" s="23"/>
      <c r="T112" s="23"/>
      <c r="V112" s="587"/>
      <c r="W112" s="577"/>
      <c r="X112" s="589"/>
      <c r="Y112" s="589"/>
      <c r="Z112" s="589"/>
      <c r="AA112" s="589"/>
      <c r="AB112" s="589"/>
      <c r="AC112" s="589"/>
      <c r="AD112" s="577"/>
      <c r="AF112" s="587"/>
      <c r="AG112" s="590"/>
      <c r="AH112" s="590"/>
      <c r="AI112" s="590"/>
      <c r="AJ112" s="590"/>
      <c r="AK112" s="590"/>
      <c r="AL112" s="590"/>
      <c r="AM112" s="590"/>
      <c r="AN112" s="590"/>
      <c r="AO112" s="590"/>
      <c r="AP112" s="590"/>
      <c r="AQ112" s="569"/>
      <c r="AR112" s="569"/>
      <c r="AS112" s="569"/>
      <c r="AT112" s="569"/>
      <c r="AU112" s="569"/>
      <c r="AV112" s="569"/>
      <c r="AW112" s="569"/>
      <c r="AX112" s="569"/>
      <c r="AY112" s="569"/>
      <c r="AZ112" s="569"/>
      <c r="BA112" s="569"/>
      <c r="BB112" s="569"/>
      <c r="BC112" s="569"/>
      <c r="BD112" s="569"/>
      <c r="BE112" s="569"/>
      <c r="BF112" s="569"/>
      <c r="BG112" s="569"/>
      <c r="BH112" s="569"/>
      <c r="BJ112" s="587"/>
      <c r="BK112" s="577"/>
      <c r="BL112" s="577"/>
      <c r="BM112" s="577"/>
      <c r="BN112" s="577"/>
      <c r="BO112" s="577"/>
      <c r="BP112" s="577"/>
      <c r="BQ112" s="577"/>
      <c r="BR112" s="577"/>
      <c r="BS112" s="577"/>
      <c r="BT112" s="577"/>
      <c r="BU112" s="577"/>
      <c r="BV112" s="577"/>
      <c r="BW112" s="577"/>
      <c r="BX112" s="577"/>
      <c r="BY112" s="23"/>
      <c r="BZ112" s="23"/>
    </row>
    <row r="113">
      <c r="R113" s="23"/>
      <c r="S113" s="23"/>
      <c r="T113" s="23"/>
      <c r="V113" s="587"/>
      <c r="W113" s="577"/>
      <c r="X113" s="589"/>
      <c r="Y113" s="589"/>
      <c r="Z113" s="589"/>
      <c r="AA113" s="589"/>
      <c r="AB113" s="589"/>
      <c r="AC113" s="589"/>
      <c r="AD113" s="577"/>
      <c r="AF113" s="587"/>
      <c r="AG113" s="590"/>
      <c r="AH113" s="590"/>
      <c r="AI113" s="590"/>
      <c r="AJ113" s="590"/>
      <c r="AK113" s="590"/>
      <c r="AL113" s="590"/>
      <c r="AM113" s="590"/>
      <c r="AN113" s="590"/>
      <c r="AO113" s="590"/>
      <c r="AP113" s="590"/>
      <c r="AQ113" s="569"/>
      <c r="AR113" s="569"/>
      <c r="AS113" s="569"/>
      <c r="AT113" s="569"/>
      <c r="AU113" s="569"/>
      <c r="AV113" s="569"/>
      <c r="AW113" s="569"/>
      <c r="AX113" s="569"/>
      <c r="AY113" s="569"/>
      <c r="AZ113" s="569"/>
      <c r="BA113" s="569"/>
      <c r="BB113" s="569"/>
      <c r="BC113" s="569"/>
      <c r="BD113" s="569"/>
      <c r="BE113" s="569"/>
      <c r="BF113" s="569"/>
      <c r="BG113" s="569"/>
      <c r="BH113" s="569"/>
      <c r="BJ113" s="587"/>
      <c r="BK113" s="577"/>
      <c r="BL113" s="577"/>
      <c r="BM113" s="577"/>
      <c r="BN113" s="577"/>
      <c r="BO113" s="577"/>
      <c r="BP113" s="577"/>
      <c r="BQ113" s="577"/>
      <c r="BR113" s="577"/>
      <c r="BS113" s="577"/>
      <c r="BT113" s="577"/>
      <c r="BU113" s="577"/>
      <c r="BV113" s="577"/>
      <c r="BW113" s="577"/>
      <c r="BX113" s="577"/>
      <c r="BY113" s="23"/>
      <c r="BZ113" s="23"/>
    </row>
    <row r="114">
      <c r="R114" s="23"/>
      <c r="S114" s="23"/>
      <c r="T114" s="23"/>
      <c r="V114" s="587"/>
      <c r="W114" s="577"/>
      <c r="X114" s="589"/>
      <c r="Y114" s="589"/>
      <c r="Z114" s="589"/>
      <c r="AA114" s="589"/>
      <c r="AB114" s="589"/>
      <c r="AC114" s="589"/>
      <c r="AD114" s="577"/>
      <c r="AF114" s="587"/>
      <c r="AG114" s="590"/>
      <c r="AH114" s="590"/>
      <c r="AI114" s="590"/>
      <c r="AJ114" s="590"/>
      <c r="AK114" s="590"/>
      <c r="AL114" s="590"/>
      <c r="AM114" s="590"/>
      <c r="AN114" s="590"/>
      <c r="AO114" s="590"/>
      <c r="AP114" s="590"/>
      <c r="AQ114" s="569"/>
      <c r="AR114" s="569"/>
      <c r="AS114" s="569"/>
      <c r="AT114" s="569"/>
      <c r="AU114" s="569"/>
      <c r="AV114" s="569"/>
      <c r="AW114" s="569"/>
      <c r="AX114" s="569"/>
      <c r="AY114" s="569"/>
      <c r="AZ114" s="569"/>
      <c r="BA114" s="569"/>
      <c r="BB114" s="569"/>
      <c r="BC114" s="569"/>
      <c r="BD114" s="569"/>
      <c r="BE114" s="569"/>
      <c r="BF114" s="569"/>
      <c r="BG114" s="569"/>
      <c r="BH114" s="569"/>
      <c r="BJ114" s="587"/>
      <c r="BK114" s="577"/>
      <c r="BL114" s="577"/>
      <c r="BM114" s="577"/>
      <c r="BN114" s="577"/>
      <c r="BO114" s="577"/>
      <c r="BP114" s="577"/>
      <c r="BQ114" s="577"/>
      <c r="BR114" s="577"/>
      <c r="BS114" s="577"/>
      <c r="BT114" s="577"/>
      <c r="BU114" s="577"/>
      <c r="BV114" s="577"/>
      <c r="BW114" s="577"/>
      <c r="BX114" s="577"/>
      <c r="BY114" s="23"/>
      <c r="BZ114" s="23"/>
    </row>
    <row r="115">
      <c r="R115" s="23"/>
      <c r="S115" s="23"/>
      <c r="T115" s="23"/>
      <c r="V115" s="587"/>
      <c r="W115" s="577"/>
      <c r="X115" s="589"/>
      <c r="Y115" s="589"/>
      <c r="Z115" s="589"/>
      <c r="AA115" s="589"/>
      <c r="AB115" s="589"/>
      <c r="AC115" s="589"/>
      <c r="AD115" s="577"/>
      <c r="AF115" s="587"/>
      <c r="AG115" s="590"/>
      <c r="AH115" s="590"/>
      <c r="AI115" s="590"/>
      <c r="AJ115" s="590"/>
      <c r="AK115" s="590"/>
      <c r="AL115" s="590"/>
      <c r="AM115" s="590"/>
      <c r="AN115" s="590"/>
      <c r="AO115" s="590"/>
      <c r="AP115" s="590"/>
      <c r="AQ115" s="569"/>
      <c r="AR115" s="569"/>
      <c r="AS115" s="569"/>
      <c r="AT115" s="569"/>
      <c r="AU115" s="569"/>
      <c r="AV115" s="569"/>
      <c r="AW115" s="569"/>
      <c r="AX115" s="569"/>
      <c r="AY115" s="569"/>
      <c r="AZ115" s="569"/>
      <c r="BA115" s="569"/>
      <c r="BB115" s="569"/>
      <c r="BC115" s="569"/>
      <c r="BD115" s="569"/>
      <c r="BE115" s="569"/>
      <c r="BF115" s="569"/>
      <c r="BG115" s="569"/>
      <c r="BH115" s="569"/>
      <c r="BJ115" s="587"/>
      <c r="BK115" s="577"/>
      <c r="BL115" s="577"/>
      <c r="BM115" s="577"/>
      <c r="BN115" s="577"/>
      <c r="BO115" s="577"/>
      <c r="BP115" s="577"/>
      <c r="BQ115" s="577"/>
      <c r="BR115" s="577"/>
      <c r="BS115" s="577"/>
      <c r="BT115" s="577"/>
      <c r="BU115" s="577"/>
      <c r="BV115" s="577"/>
      <c r="BW115" s="577"/>
      <c r="BX115" s="577"/>
      <c r="BY115" s="23"/>
      <c r="BZ115" s="23"/>
    </row>
    <row r="116" ht="24.0" customHeight="1">
      <c r="R116" s="23"/>
      <c r="S116" s="23"/>
      <c r="T116" s="23"/>
      <c r="V116" s="587"/>
      <c r="W116" s="577"/>
      <c r="X116" s="589"/>
      <c r="Y116" s="589"/>
      <c r="Z116" s="589"/>
      <c r="AA116" s="589"/>
      <c r="AB116" s="589"/>
      <c r="AC116" s="589"/>
      <c r="AD116" s="577"/>
      <c r="AF116" s="587"/>
      <c r="AG116" s="591"/>
      <c r="AH116" s="591"/>
      <c r="AI116" s="591"/>
      <c r="AJ116" s="591"/>
      <c r="AK116" s="591"/>
      <c r="AL116" s="591"/>
      <c r="AM116" s="591"/>
      <c r="AN116" s="591"/>
      <c r="AO116" s="591"/>
      <c r="AP116" s="591"/>
      <c r="AQ116" s="569"/>
      <c r="AR116" s="569"/>
      <c r="AS116" s="569"/>
      <c r="AT116" s="569"/>
      <c r="AU116" s="569"/>
      <c r="AV116" s="569"/>
      <c r="AW116" s="569"/>
      <c r="AX116" s="569"/>
      <c r="AY116" s="569"/>
      <c r="AZ116" s="569"/>
      <c r="BA116" s="569"/>
      <c r="BB116" s="569"/>
      <c r="BC116" s="569"/>
      <c r="BD116" s="569"/>
      <c r="BE116" s="569"/>
      <c r="BF116" s="569"/>
      <c r="BG116" s="569"/>
      <c r="BH116" s="569"/>
      <c r="BJ116" s="587"/>
      <c r="BK116" s="577"/>
      <c r="BL116" s="577"/>
      <c r="BM116" s="577"/>
      <c r="BN116" s="577"/>
      <c r="BO116" s="577"/>
      <c r="BP116" s="577"/>
      <c r="BQ116" s="577"/>
      <c r="BR116" s="577"/>
      <c r="BS116" s="577"/>
      <c r="BT116" s="577"/>
      <c r="BU116" s="577"/>
      <c r="BV116" s="577"/>
      <c r="BW116" s="577"/>
      <c r="BX116" s="577"/>
      <c r="BY116" s="23"/>
      <c r="BZ116" s="23"/>
    </row>
    <row r="117">
      <c r="R117" s="23"/>
      <c r="S117" s="23"/>
      <c r="T117" s="23"/>
      <c r="U117" s="569"/>
      <c r="V117" s="587"/>
      <c r="W117" s="577"/>
      <c r="X117" s="589"/>
      <c r="Y117" s="589"/>
      <c r="Z117" s="589"/>
      <c r="AA117" s="589"/>
      <c r="AB117" s="589"/>
      <c r="AC117" s="589"/>
      <c r="AD117" s="577"/>
      <c r="AE117" s="569"/>
      <c r="AF117" s="587"/>
      <c r="AG117" s="590"/>
      <c r="AH117" s="590"/>
      <c r="AI117" s="590"/>
      <c r="AJ117" s="590"/>
      <c r="AK117" s="590"/>
      <c r="AL117" s="590"/>
      <c r="AM117" s="590"/>
      <c r="AN117" s="590"/>
      <c r="AO117" s="590"/>
      <c r="AP117" s="590"/>
      <c r="AQ117" s="569"/>
      <c r="AR117" s="569"/>
      <c r="AS117" s="569"/>
      <c r="AT117" s="569"/>
      <c r="AU117" s="569"/>
      <c r="AV117" s="569"/>
      <c r="AW117" s="569"/>
      <c r="AX117" s="569"/>
      <c r="AY117" s="569"/>
      <c r="AZ117" s="569"/>
      <c r="BA117" s="569"/>
      <c r="BB117" s="569"/>
      <c r="BC117" s="569"/>
      <c r="BD117" s="569"/>
      <c r="BE117" s="569"/>
      <c r="BF117" s="569"/>
      <c r="BG117" s="569"/>
      <c r="BH117" s="569"/>
      <c r="BJ117" s="587"/>
      <c r="BK117" s="577"/>
      <c r="BL117" s="577"/>
      <c r="BM117" s="577"/>
      <c r="BN117" s="577"/>
      <c r="BO117" s="577"/>
      <c r="BP117" s="577"/>
      <c r="BQ117" s="577"/>
      <c r="BR117" s="577"/>
      <c r="BS117" s="577"/>
      <c r="BT117" s="577"/>
      <c r="BU117" s="577"/>
      <c r="BV117" s="577"/>
      <c r="BW117" s="577"/>
      <c r="BX117" s="577"/>
      <c r="BY117" s="23"/>
      <c r="BZ117" s="179"/>
      <c r="CA117" s="179"/>
      <c r="CB117" s="179"/>
      <c r="CC117" s="179"/>
      <c r="CD117" s="179"/>
      <c r="CE117" s="179"/>
      <c r="CF117" s="179"/>
      <c r="CG117" s="179"/>
      <c r="CH117" s="179"/>
      <c r="CI117" s="179"/>
      <c r="CJ117" s="179"/>
      <c r="CK117" s="179"/>
      <c r="CL117" s="179"/>
      <c r="CM117" s="179"/>
      <c r="CN117" s="179"/>
      <c r="CO117" s="179"/>
      <c r="CP117" s="179"/>
      <c r="CQ117" s="179"/>
      <c r="CR117" s="179"/>
      <c r="CS117" s="179"/>
      <c r="CT117" s="179"/>
      <c r="CU117" s="179"/>
      <c r="CV117" s="179"/>
      <c r="CW117" s="179"/>
      <c r="CX117" s="179"/>
      <c r="CY117" s="179"/>
      <c r="CZ117" s="179"/>
      <c r="DA117" s="179"/>
      <c r="DB117" s="179"/>
      <c r="DC117" s="179"/>
      <c r="DD117" s="179"/>
      <c r="DE117" s="179"/>
      <c r="DF117" s="179"/>
      <c r="DG117" s="179"/>
      <c r="DH117" s="179"/>
    </row>
    <row r="118">
      <c r="R118" s="23"/>
      <c r="S118" s="23"/>
      <c r="T118" s="23"/>
      <c r="U118" s="569"/>
      <c r="V118" s="587"/>
      <c r="W118" s="577"/>
      <c r="X118" s="589"/>
      <c r="Y118" s="589"/>
      <c r="Z118" s="589"/>
      <c r="AA118" s="589"/>
      <c r="AB118" s="589"/>
      <c r="AC118" s="589"/>
      <c r="AD118" s="577"/>
      <c r="AE118" s="569"/>
      <c r="AF118" s="587"/>
      <c r="AG118" s="591"/>
      <c r="AH118" s="591"/>
      <c r="AI118" s="591"/>
      <c r="AJ118" s="591"/>
      <c r="AK118" s="591"/>
      <c r="AL118" s="591"/>
      <c r="AM118" s="591"/>
      <c r="AN118" s="591"/>
      <c r="AO118" s="591"/>
      <c r="AP118" s="591"/>
      <c r="AQ118" s="569"/>
      <c r="AR118" s="569"/>
      <c r="AS118" s="569"/>
      <c r="AT118" s="569"/>
      <c r="AU118" s="569"/>
      <c r="AV118" s="569"/>
      <c r="AW118" s="569"/>
      <c r="AX118" s="569"/>
      <c r="AY118" s="569"/>
      <c r="AZ118" s="569"/>
      <c r="BA118" s="569"/>
      <c r="BB118" s="569"/>
      <c r="BC118" s="569"/>
      <c r="BD118" s="569"/>
      <c r="BE118" s="569"/>
      <c r="BF118" s="569"/>
      <c r="BG118" s="569"/>
      <c r="BH118" s="569"/>
      <c r="BJ118" s="587"/>
      <c r="BK118" s="594"/>
      <c r="BL118" s="594"/>
      <c r="BM118" s="594"/>
      <c r="BN118" s="594"/>
      <c r="BO118" s="594"/>
      <c r="BP118" s="594"/>
      <c r="BQ118" s="594"/>
      <c r="BR118" s="594"/>
      <c r="BS118" s="594"/>
      <c r="BT118" s="594"/>
      <c r="BU118" s="594"/>
      <c r="BV118" s="594"/>
      <c r="BW118" s="594"/>
      <c r="BX118" s="594"/>
      <c r="BY118" s="23"/>
      <c r="BZ118" s="23"/>
    </row>
    <row r="119">
      <c r="R119" s="23"/>
      <c r="S119" s="23"/>
      <c r="T119" s="23"/>
      <c r="U119" s="569"/>
      <c r="V119" s="587"/>
      <c r="W119" s="577"/>
      <c r="X119" s="589"/>
      <c r="Y119" s="589"/>
      <c r="Z119" s="589"/>
      <c r="AA119" s="589"/>
      <c r="AB119" s="589"/>
      <c r="AC119" s="589"/>
      <c r="AD119" s="569"/>
      <c r="AE119" s="569"/>
      <c r="AF119" s="587"/>
      <c r="AG119" s="590"/>
      <c r="AH119" s="590"/>
      <c r="AI119" s="590"/>
      <c r="AJ119" s="590"/>
      <c r="AK119" s="590"/>
      <c r="AL119" s="590"/>
      <c r="AM119" s="590"/>
      <c r="AN119" s="590"/>
      <c r="AO119" s="590"/>
      <c r="AP119" s="590"/>
      <c r="AQ119" s="569"/>
      <c r="AR119" s="569"/>
      <c r="AS119" s="569"/>
      <c r="AT119" s="569"/>
      <c r="AU119" s="569"/>
      <c r="AV119" s="569"/>
      <c r="AW119" s="569"/>
      <c r="AX119" s="569"/>
      <c r="AY119" s="569"/>
      <c r="AZ119" s="569"/>
      <c r="BA119" s="569"/>
      <c r="BB119" s="569"/>
      <c r="BC119" s="569"/>
      <c r="BD119" s="569"/>
      <c r="BE119" s="569"/>
      <c r="BF119" s="569"/>
      <c r="BG119" s="569"/>
      <c r="BH119" s="569"/>
      <c r="BI119" s="589"/>
      <c r="BJ119" s="587"/>
      <c r="BK119" s="577"/>
      <c r="BL119" s="577"/>
      <c r="BM119" s="577"/>
      <c r="BN119" s="577"/>
      <c r="BO119" s="577"/>
      <c r="BP119" s="577"/>
      <c r="BQ119" s="577"/>
      <c r="BR119" s="577"/>
      <c r="BS119" s="577"/>
      <c r="BT119" s="577"/>
      <c r="BU119" s="577"/>
      <c r="BV119" s="577"/>
      <c r="BW119" s="577"/>
      <c r="BX119" s="577"/>
      <c r="BY119" s="23"/>
      <c r="BZ119" s="23"/>
    </row>
    <row r="120">
      <c r="R120" s="23"/>
      <c r="S120" s="23"/>
      <c r="T120" s="23"/>
      <c r="U120" s="569"/>
      <c r="V120" s="569"/>
      <c r="W120" s="569"/>
      <c r="X120" s="569"/>
      <c r="Y120" s="569"/>
      <c r="Z120" s="569"/>
      <c r="AA120" s="569"/>
      <c r="AB120" s="569"/>
      <c r="AC120" s="569"/>
      <c r="AD120" s="569"/>
      <c r="AE120" s="569"/>
      <c r="AF120" s="569"/>
      <c r="AG120" s="569"/>
      <c r="AH120" s="569"/>
      <c r="AI120" s="569"/>
      <c r="AJ120" s="569"/>
      <c r="AK120" s="569"/>
      <c r="AL120" s="569"/>
      <c r="AM120" s="569"/>
      <c r="AN120" s="569"/>
      <c r="AO120" s="569"/>
      <c r="AP120" s="569"/>
      <c r="AQ120" s="569"/>
      <c r="AR120" s="569"/>
      <c r="AS120" s="569"/>
      <c r="AT120" s="569"/>
      <c r="AU120" s="569"/>
      <c r="AV120" s="569"/>
      <c r="AW120" s="569"/>
      <c r="AX120" s="569"/>
      <c r="AY120" s="569"/>
      <c r="AZ120" s="569"/>
      <c r="BA120" s="569"/>
      <c r="BB120" s="569"/>
      <c r="BC120" s="569"/>
      <c r="BD120" s="569"/>
      <c r="BE120" s="569"/>
      <c r="BF120" s="569"/>
      <c r="BG120" s="569"/>
      <c r="BH120" s="569"/>
      <c r="BI120" s="589"/>
      <c r="BJ120" s="587"/>
      <c r="BK120" s="594"/>
      <c r="BL120" s="594"/>
      <c r="BM120" s="594"/>
      <c r="BN120" s="594"/>
      <c r="BO120" s="594"/>
      <c r="BP120" s="594"/>
      <c r="BQ120" s="594"/>
      <c r="BR120" s="594"/>
      <c r="BS120" s="594"/>
      <c r="BT120" s="594"/>
      <c r="BU120" s="594"/>
      <c r="BV120" s="594"/>
      <c r="BW120" s="594"/>
      <c r="BX120" s="594"/>
      <c r="BY120" s="23"/>
      <c r="BZ120" s="23"/>
    </row>
    <row r="121">
      <c r="R121" s="23"/>
      <c r="S121" s="23"/>
      <c r="T121" s="23"/>
      <c r="U121" s="569"/>
      <c r="V121" s="569"/>
      <c r="W121" s="569"/>
      <c r="X121" s="569"/>
      <c r="Y121" s="569"/>
      <c r="Z121" s="569"/>
      <c r="AA121" s="569"/>
      <c r="AB121" s="569"/>
      <c r="AC121" s="569"/>
      <c r="AD121" s="569"/>
      <c r="AE121" s="569"/>
      <c r="AF121" s="569"/>
      <c r="AG121" s="569"/>
      <c r="AH121" s="569"/>
      <c r="AI121" s="569"/>
      <c r="AJ121" s="569"/>
      <c r="AK121" s="569"/>
      <c r="AL121" s="569"/>
      <c r="AM121" s="569"/>
      <c r="AN121" s="569"/>
      <c r="AO121" s="569"/>
      <c r="AP121" s="569"/>
      <c r="AQ121" s="569"/>
      <c r="AR121" s="569"/>
      <c r="AS121" s="569"/>
      <c r="AT121" s="569"/>
      <c r="AU121" s="569"/>
      <c r="AV121" s="569"/>
      <c r="AW121" s="569"/>
      <c r="AX121" s="569"/>
      <c r="AY121" s="569"/>
      <c r="AZ121" s="569"/>
      <c r="BA121" s="569"/>
      <c r="BB121" s="569"/>
      <c r="BC121" s="569"/>
      <c r="BD121" s="569"/>
      <c r="BE121" s="569"/>
      <c r="BF121" s="569"/>
      <c r="BG121" s="569"/>
      <c r="BH121" s="569"/>
      <c r="BI121" s="569"/>
      <c r="BJ121" s="587"/>
      <c r="BK121" s="594"/>
      <c r="BL121" s="594"/>
      <c r="BM121" s="594"/>
      <c r="BN121" s="594"/>
      <c r="BO121" s="594"/>
      <c r="BP121" s="594"/>
      <c r="BQ121" s="594"/>
      <c r="BR121" s="594"/>
      <c r="BS121" s="594"/>
      <c r="BT121" s="594"/>
      <c r="BU121" s="594"/>
      <c r="BV121" s="594"/>
      <c r="BW121" s="594"/>
      <c r="BX121" s="594"/>
      <c r="BY121" s="23"/>
      <c r="BZ121" s="23"/>
    </row>
    <row r="122">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23"/>
      <c r="BP122" s="23"/>
      <c r="BQ122" s="23"/>
      <c r="BR122" s="23"/>
      <c r="BS122" s="23"/>
      <c r="BT122" s="23"/>
      <c r="BU122" s="23"/>
      <c r="BV122" s="23"/>
      <c r="BW122" s="23"/>
      <c r="BX122" s="23"/>
      <c r="BY122" s="23"/>
      <c r="BZ122" s="23"/>
    </row>
    <row r="1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row>
    <row r="124">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23"/>
      <c r="BP124" s="23"/>
      <c r="BQ124" s="23"/>
      <c r="BR124" s="23"/>
      <c r="BS124" s="23"/>
      <c r="BT124" s="23"/>
      <c r="BU124" s="23"/>
      <c r="BV124" s="23"/>
      <c r="BW124" s="23"/>
      <c r="BX124" s="23"/>
      <c r="BY124" s="23"/>
      <c r="BZ124" s="23"/>
    </row>
    <row r="125">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23"/>
      <c r="BP125" s="23"/>
      <c r="BQ125" s="23"/>
      <c r="BR125" s="23"/>
      <c r="BS125" s="23"/>
      <c r="BT125" s="23"/>
      <c r="BU125" s="23"/>
      <c r="BV125" s="23"/>
      <c r="BW125" s="23"/>
      <c r="BX125" s="23"/>
      <c r="BY125" s="23"/>
      <c r="BZ125" s="23"/>
    </row>
    <row r="126">
      <c r="R126" s="524"/>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23"/>
      <c r="BP126" s="23"/>
      <c r="BQ126" s="23"/>
      <c r="BR126" s="23"/>
      <c r="BS126" s="23"/>
      <c r="BT126" s="23"/>
      <c r="BU126" s="23"/>
      <c r="BV126" s="23"/>
      <c r="BW126" s="23"/>
      <c r="BX126" s="23"/>
      <c r="BY126" s="23"/>
      <c r="BZ126" s="23"/>
    </row>
    <row r="127">
      <c r="F127" s="191"/>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23"/>
      <c r="BP127" s="23"/>
      <c r="BQ127" s="23"/>
      <c r="BR127" s="23"/>
      <c r="BS127" s="23"/>
      <c r="BT127" s="23"/>
      <c r="BU127" s="23"/>
      <c r="BV127" s="23"/>
      <c r="BW127" s="23"/>
      <c r="BX127" s="23"/>
      <c r="BY127" s="23"/>
      <c r="BZ127" s="23"/>
    </row>
    <row r="128">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23"/>
      <c r="BP128" s="23"/>
      <c r="BQ128" s="23"/>
      <c r="BR128" s="23"/>
      <c r="BS128" s="23"/>
      <c r="BT128" s="23"/>
      <c r="BU128" s="23"/>
      <c r="BV128" s="23"/>
      <c r="BW128" s="23"/>
      <c r="BX128" s="23"/>
      <c r="BY128" s="23"/>
      <c r="BZ128" s="23"/>
    </row>
    <row r="129">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23"/>
      <c r="BP129" s="23"/>
      <c r="BQ129" s="23"/>
      <c r="BR129" s="23"/>
      <c r="BS129" s="23"/>
      <c r="BT129" s="23"/>
      <c r="BU129" s="23"/>
      <c r="BV129" s="23"/>
      <c r="BW129" s="23"/>
      <c r="BX129" s="23"/>
      <c r="BY129" s="23"/>
      <c r="BZ129" s="23"/>
    </row>
    <row r="130">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23"/>
      <c r="BP130" s="23"/>
      <c r="BQ130" s="23"/>
      <c r="BR130" s="23"/>
      <c r="BS130" s="23"/>
      <c r="BT130" s="23"/>
      <c r="BU130" s="23"/>
      <c r="BV130" s="23"/>
      <c r="BW130" s="23"/>
      <c r="BX130" s="23"/>
      <c r="BY130" s="23"/>
      <c r="BZ130" s="23"/>
    </row>
    <row r="131">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23"/>
      <c r="BP131" s="23"/>
      <c r="BQ131" s="23"/>
      <c r="BR131" s="23"/>
      <c r="BS131" s="23"/>
      <c r="BT131" s="23"/>
      <c r="BU131" s="23"/>
      <c r="BV131" s="23"/>
      <c r="BW131" s="23"/>
      <c r="BX131" s="23"/>
      <c r="BY131" s="23"/>
      <c r="BZ131" s="23"/>
    </row>
    <row r="132">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23"/>
      <c r="BP132" s="23"/>
      <c r="BQ132" s="23"/>
      <c r="BR132" s="23"/>
      <c r="BS132" s="23"/>
      <c r="BT132" s="23"/>
      <c r="BU132" s="23"/>
      <c r="BV132" s="23"/>
      <c r="BW132" s="23"/>
      <c r="BX132" s="23"/>
      <c r="BY132" s="23"/>
      <c r="BZ132" s="23"/>
    </row>
    <row r="13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171"/>
      <c r="BN133" s="23"/>
      <c r="BO133" s="23"/>
      <c r="BP133" s="23"/>
      <c r="BQ133" s="23"/>
      <c r="BR133" s="23"/>
      <c r="BS133" s="23"/>
      <c r="BT133" s="23"/>
      <c r="BU133" s="23"/>
      <c r="BV133" s="23"/>
      <c r="BW133" s="23"/>
      <c r="BX133" s="23"/>
      <c r="BY133" s="23"/>
      <c r="BZ133" s="23"/>
    </row>
    <row r="134">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172"/>
      <c r="BN134" s="23"/>
      <c r="BO134" s="23"/>
      <c r="BP134" s="23"/>
      <c r="BQ134" s="23"/>
      <c r="BR134" s="23"/>
      <c r="BS134" s="23"/>
      <c r="BT134" s="23"/>
      <c r="BU134" s="23"/>
      <c r="BV134" s="23"/>
      <c r="BW134" s="23"/>
      <c r="BX134" s="23"/>
      <c r="BY134" s="23"/>
      <c r="BZ134" s="23"/>
    </row>
    <row r="135">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173"/>
      <c r="BN135" s="23"/>
      <c r="BO135" s="23"/>
      <c r="BP135" s="23"/>
      <c r="BQ135" s="23"/>
      <c r="BR135" s="23"/>
      <c r="BS135" s="23"/>
      <c r="BT135" s="23"/>
      <c r="BU135" s="23"/>
      <c r="BV135" s="23"/>
      <c r="BW135" s="23"/>
      <c r="BX135" s="23"/>
      <c r="BY135" s="23"/>
      <c r="BZ135" s="23"/>
    </row>
    <row r="136">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174"/>
      <c r="BN136" s="23"/>
      <c r="BO136" s="23"/>
      <c r="BP136" s="23"/>
      <c r="BQ136" s="23"/>
      <c r="BR136" s="23"/>
      <c r="BS136" s="23"/>
      <c r="BT136" s="23"/>
      <c r="BU136" s="23"/>
      <c r="BV136" s="23"/>
      <c r="BW136" s="23"/>
      <c r="BX136" s="23"/>
      <c r="BY136" s="23"/>
      <c r="BZ136" s="23"/>
    </row>
    <row r="137">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175"/>
      <c r="BN137" s="23"/>
      <c r="BO137" s="23"/>
      <c r="BP137" s="23"/>
      <c r="BQ137" s="23"/>
      <c r="BR137" s="23"/>
      <c r="BS137" s="23"/>
      <c r="BT137" s="23"/>
      <c r="BU137" s="23"/>
      <c r="BV137" s="23"/>
      <c r="BW137" s="23"/>
      <c r="BX137" s="23"/>
      <c r="BY137" s="23"/>
      <c r="BZ137" s="23"/>
    </row>
    <row r="138">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175"/>
      <c r="BN138" s="23"/>
      <c r="BO138" s="23"/>
      <c r="BP138" s="23"/>
      <c r="BQ138" s="23"/>
      <c r="BR138" s="23"/>
      <c r="BS138" s="23"/>
      <c r="BT138" s="23"/>
      <c r="BU138" s="23"/>
      <c r="BV138" s="23"/>
      <c r="BW138" s="23"/>
      <c r="BX138" s="23"/>
      <c r="BY138" s="23"/>
      <c r="BZ138" s="23"/>
    </row>
    <row r="139">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176"/>
      <c r="AX139" s="177"/>
      <c r="AY139" s="51"/>
      <c r="AZ139" s="51"/>
      <c r="BA139" s="51"/>
      <c r="BB139" s="51"/>
      <c r="BC139" s="51"/>
      <c r="BD139" s="51"/>
      <c r="BE139" s="51"/>
      <c r="BF139" s="51"/>
      <c r="BG139" s="51"/>
      <c r="BH139" s="51"/>
      <c r="BI139" s="51"/>
      <c r="BJ139" s="51"/>
      <c r="BK139" s="51"/>
      <c r="BL139" s="51"/>
      <c r="BM139" s="175"/>
      <c r="BN139" s="23"/>
      <c r="BO139" s="23"/>
      <c r="BP139" s="23"/>
      <c r="BQ139" s="23"/>
      <c r="BR139" s="23"/>
      <c r="BS139" s="23"/>
      <c r="BT139" s="23"/>
      <c r="BU139" s="23"/>
      <c r="BV139" s="23"/>
      <c r="BW139" s="23"/>
      <c r="BX139" s="23"/>
      <c r="BY139" s="23"/>
      <c r="BZ139" s="23"/>
    </row>
    <row r="140">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176"/>
      <c r="AX140" s="177"/>
      <c r="AY140" s="51"/>
      <c r="AZ140" s="51"/>
      <c r="BA140" s="51"/>
      <c r="BB140" s="51"/>
      <c r="BC140" s="51"/>
      <c r="BD140" s="51"/>
      <c r="BE140" s="51"/>
      <c r="BF140" s="51"/>
      <c r="BG140" s="51"/>
      <c r="BH140" s="51"/>
      <c r="BI140" s="51"/>
      <c r="BJ140" s="51"/>
      <c r="BK140" s="51"/>
      <c r="BL140" s="51"/>
      <c r="BM140" s="175"/>
      <c r="BN140" s="23"/>
      <c r="BO140" s="23"/>
      <c r="BP140" s="23"/>
      <c r="BQ140" s="23"/>
      <c r="BR140" s="23"/>
      <c r="BS140" s="23"/>
      <c r="BT140" s="23"/>
      <c r="BU140" s="23"/>
      <c r="BV140" s="23"/>
      <c r="BW140" s="23"/>
      <c r="BX140" s="23"/>
      <c r="BY140" s="23"/>
      <c r="BZ140" s="23"/>
    </row>
    <row r="141">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176"/>
      <c r="AX141" s="177"/>
      <c r="AY141" s="51"/>
      <c r="AZ141" s="51"/>
      <c r="BA141" s="51"/>
      <c r="BB141" s="51"/>
      <c r="BC141" s="51"/>
      <c r="BD141" s="51"/>
      <c r="BE141" s="51"/>
      <c r="BF141" s="51"/>
      <c r="BG141" s="51"/>
      <c r="BH141" s="51"/>
      <c r="BI141" s="51"/>
      <c r="BJ141" s="51"/>
      <c r="BK141" s="51"/>
      <c r="BL141" s="51"/>
      <c r="BM141" s="175"/>
      <c r="BN141" s="23"/>
      <c r="BO141" s="23"/>
      <c r="BP141" s="23"/>
      <c r="BQ141" s="23"/>
      <c r="BR141" s="23"/>
      <c r="BS141" s="23"/>
      <c r="BT141" s="23"/>
      <c r="BU141" s="23"/>
      <c r="BV141" s="23"/>
      <c r="BW141" s="23"/>
      <c r="BX141" s="23"/>
      <c r="BY141" s="23"/>
      <c r="BZ141" s="23"/>
    </row>
    <row r="142">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176"/>
      <c r="AX142" s="177"/>
      <c r="AY142" s="51"/>
      <c r="AZ142" s="51"/>
      <c r="BA142" s="51"/>
      <c r="BB142" s="51"/>
      <c r="BC142" s="51"/>
      <c r="BD142" s="51"/>
      <c r="BE142" s="51"/>
      <c r="BF142" s="51"/>
      <c r="BG142" s="51"/>
      <c r="BH142" s="51"/>
      <c r="BI142" s="51"/>
      <c r="BJ142" s="51"/>
      <c r="BK142" s="51"/>
      <c r="BL142" s="51"/>
      <c r="BM142" s="175"/>
      <c r="BN142" s="23"/>
      <c r="BO142" s="23"/>
      <c r="BP142" s="23"/>
      <c r="BQ142" s="23"/>
      <c r="BR142" s="23"/>
      <c r="BS142" s="23"/>
      <c r="BT142" s="23"/>
      <c r="BU142" s="23"/>
      <c r="BV142" s="23"/>
      <c r="BW142" s="23"/>
      <c r="BX142" s="23"/>
      <c r="BY142" s="23"/>
      <c r="BZ142" s="23"/>
    </row>
    <row r="14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176"/>
      <c r="AX143" s="177"/>
      <c r="AY143" s="51"/>
      <c r="AZ143" s="51"/>
      <c r="BA143" s="51"/>
      <c r="BB143" s="51"/>
      <c r="BC143" s="51"/>
      <c r="BD143" s="51"/>
      <c r="BE143" s="51"/>
      <c r="BF143" s="51"/>
      <c r="BG143" s="51"/>
      <c r="BH143" s="51"/>
      <c r="BI143" s="51"/>
      <c r="BJ143" s="51"/>
      <c r="BK143" s="51"/>
      <c r="BL143" s="51"/>
      <c r="BM143" s="175"/>
      <c r="BN143" s="23"/>
      <c r="BO143" s="23"/>
      <c r="BP143" s="23"/>
      <c r="BQ143" s="23"/>
      <c r="BR143" s="23"/>
      <c r="BS143" s="23"/>
      <c r="BT143" s="23"/>
      <c r="BU143" s="23"/>
      <c r="BV143" s="23"/>
      <c r="BW143" s="23"/>
      <c r="BX143" s="23"/>
      <c r="BY143" s="23"/>
      <c r="BZ143" s="23"/>
    </row>
    <row r="144">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176"/>
      <c r="AX144" s="177"/>
      <c r="AY144" s="51"/>
      <c r="AZ144" s="51"/>
      <c r="BA144" s="51"/>
      <c r="BB144" s="51"/>
      <c r="BC144" s="51"/>
      <c r="BD144" s="51"/>
      <c r="BE144" s="51"/>
      <c r="BF144" s="51"/>
      <c r="BG144" s="51"/>
      <c r="BH144" s="51"/>
      <c r="BI144" s="51"/>
      <c r="BJ144" s="51"/>
      <c r="BK144" s="51"/>
      <c r="BL144" s="51"/>
      <c r="BM144" s="175"/>
      <c r="BN144" s="178"/>
      <c r="BO144" s="178"/>
      <c r="BP144" s="23"/>
      <c r="BQ144" s="23"/>
      <c r="BR144" s="23"/>
      <c r="BS144" s="23"/>
      <c r="BT144" s="23"/>
      <c r="BU144" s="23"/>
      <c r="BV144" s="23"/>
      <c r="BW144" s="23"/>
      <c r="BX144" s="23"/>
      <c r="BY144" s="23"/>
      <c r="BZ144" s="23"/>
    </row>
    <row r="145">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176"/>
      <c r="AX145" s="177"/>
      <c r="AY145" s="144"/>
      <c r="AZ145" s="144"/>
      <c r="BA145" s="144"/>
      <c r="BB145" s="144"/>
      <c r="BC145" s="144"/>
      <c r="BD145" s="144"/>
      <c r="BE145" s="144"/>
      <c r="BF145" s="144"/>
      <c r="BG145" s="144"/>
      <c r="BH145" s="144"/>
      <c r="BI145" s="144"/>
      <c r="BJ145" s="144"/>
      <c r="BK145" s="144"/>
      <c r="BL145" s="144"/>
      <c r="BM145" s="175"/>
      <c r="BN145" s="178"/>
      <c r="BO145" s="178"/>
      <c r="BP145" s="23"/>
      <c r="BQ145" s="23"/>
      <c r="BR145" s="23"/>
      <c r="BS145" s="23"/>
      <c r="BT145" s="23"/>
      <c r="BU145" s="23"/>
      <c r="BV145" s="23"/>
      <c r="BW145" s="23"/>
      <c r="BX145" s="23"/>
      <c r="BY145" s="23"/>
      <c r="BZ145" s="23"/>
    </row>
    <row r="146">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178"/>
      <c r="AX146" s="177"/>
      <c r="AY146" s="51"/>
      <c r="AZ146" s="51"/>
      <c r="BA146" s="51"/>
      <c r="BB146" s="51"/>
      <c r="BC146" s="51"/>
      <c r="BD146" s="51"/>
      <c r="BE146" s="51"/>
      <c r="BF146" s="51"/>
      <c r="BG146" s="51"/>
      <c r="BH146" s="51"/>
      <c r="BI146" s="51"/>
      <c r="BJ146" s="51"/>
      <c r="BK146" s="51"/>
      <c r="BL146" s="51"/>
      <c r="BM146" s="175"/>
      <c r="BN146" s="23"/>
      <c r="BO146" s="23"/>
      <c r="BP146" s="23"/>
      <c r="BQ146" s="23"/>
      <c r="BR146" s="23"/>
      <c r="BS146" s="23"/>
      <c r="BT146" s="23"/>
      <c r="BU146" s="23"/>
      <c r="BV146" s="23"/>
      <c r="BW146" s="23"/>
      <c r="BX146" s="23"/>
      <c r="BY146" s="23"/>
      <c r="BZ146" s="23"/>
    </row>
    <row r="147">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178"/>
      <c r="AX147" s="177"/>
      <c r="AY147" s="144"/>
      <c r="AZ147" s="144"/>
      <c r="BA147" s="144"/>
      <c r="BB147" s="144"/>
      <c r="BC147" s="144"/>
      <c r="BD147" s="144"/>
      <c r="BE147" s="144"/>
      <c r="BF147" s="144"/>
      <c r="BG147" s="144"/>
      <c r="BH147" s="144"/>
      <c r="BI147" s="144"/>
      <c r="BJ147" s="144"/>
      <c r="BK147" s="144"/>
      <c r="BL147" s="144"/>
      <c r="BM147" s="175"/>
      <c r="BN147" s="23"/>
      <c r="BO147" s="23"/>
      <c r="BP147" s="23"/>
      <c r="BQ147" s="23"/>
      <c r="BR147" s="23"/>
      <c r="BS147" s="23"/>
      <c r="BT147" s="23"/>
      <c r="BU147" s="23"/>
      <c r="BV147" s="23"/>
      <c r="BW147" s="23"/>
      <c r="BX147" s="23"/>
      <c r="BY147" s="23"/>
      <c r="BZ147" s="23"/>
    </row>
    <row r="148" ht="37.5" customHeight="1">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175"/>
      <c r="BN148" s="23"/>
      <c r="BO148" s="23"/>
      <c r="BP148" s="23"/>
      <c r="BQ148" s="23"/>
      <c r="BR148" s="23"/>
      <c r="BS148" s="23"/>
      <c r="BT148" s="23"/>
      <c r="BU148" s="23"/>
      <c r="BV148" s="23"/>
      <c r="BW148" s="23"/>
      <c r="BX148" s="23"/>
      <c r="BY148" s="23"/>
      <c r="BZ148" s="23"/>
    </row>
    <row r="149">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175"/>
      <c r="BN149" s="23"/>
      <c r="BO149" s="23"/>
      <c r="BP149" s="23"/>
      <c r="BQ149" s="23"/>
      <c r="BR149" s="23"/>
      <c r="BS149" s="23"/>
      <c r="BT149" s="23"/>
      <c r="BU149" s="23"/>
      <c r="BV149" s="23"/>
      <c r="BW149" s="23"/>
      <c r="BX149" s="23"/>
      <c r="BY149" s="23"/>
      <c r="BZ149" s="23"/>
    </row>
    <row r="150">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175"/>
      <c r="BN150" s="23"/>
      <c r="BO150" s="23"/>
      <c r="BP150" s="23"/>
      <c r="BQ150" s="23"/>
      <c r="BR150" s="23"/>
      <c r="BS150" s="23"/>
      <c r="BT150" s="23"/>
      <c r="BU150" s="23"/>
      <c r="BV150" s="23"/>
      <c r="BW150" s="23"/>
      <c r="BX150" s="23"/>
      <c r="BY150" s="23"/>
      <c r="BZ150" s="23"/>
    </row>
    <row r="151">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175"/>
      <c r="BN151" s="23"/>
      <c r="BO151" s="23"/>
      <c r="BP151" s="23"/>
      <c r="BQ151" s="23"/>
      <c r="BR151" s="23"/>
      <c r="BS151" s="23"/>
      <c r="BT151" s="23"/>
      <c r="BU151" s="23"/>
      <c r="BV151" s="23"/>
      <c r="BW151" s="23"/>
      <c r="BX151" s="23"/>
      <c r="BY151" s="23"/>
      <c r="BZ151" s="23"/>
    </row>
    <row r="152">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175"/>
      <c r="BN152" s="23"/>
      <c r="BO152" s="23"/>
      <c r="BP152" s="23"/>
      <c r="BQ152" s="23"/>
      <c r="BR152" s="23"/>
      <c r="BS152" s="23"/>
      <c r="BT152" s="179"/>
      <c r="BU152" s="179"/>
      <c r="BV152" s="179"/>
      <c r="BW152" s="179"/>
      <c r="BX152" s="179"/>
      <c r="BY152" s="179"/>
      <c r="BZ152" s="23"/>
    </row>
    <row r="15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175"/>
      <c r="BN153" s="23"/>
      <c r="BO153" s="23"/>
      <c r="BP153" s="23"/>
      <c r="BQ153" s="23"/>
      <c r="BR153" s="23"/>
      <c r="BS153" s="23"/>
      <c r="BT153" s="23"/>
      <c r="BU153" s="23"/>
      <c r="BV153" s="23"/>
      <c r="BW153" s="23"/>
      <c r="BX153" s="23"/>
      <c r="BY153" s="23"/>
      <c r="BZ153" s="23"/>
    </row>
    <row r="154">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23"/>
      <c r="BP154" s="23"/>
      <c r="BQ154" s="23"/>
      <c r="BR154" s="23"/>
      <c r="BS154" s="23"/>
      <c r="BT154" s="23"/>
      <c r="BU154" s="23"/>
      <c r="BV154" s="23"/>
      <c r="BW154" s="23"/>
      <c r="BX154" s="23"/>
      <c r="BY154" s="23"/>
      <c r="BZ154" s="23"/>
    </row>
    <row r="155">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23"/>
      <c r="BP155" s="23"/>
      <c r="BQ155" s="23"/>
      <c r="BR155" s="23"/>
      <c r="BS155" s="23"/>
      <c r="BT155" s="23"/>
      <c r="BU155" s="23"/>
      <c r="BV155" s="23"/>
      <c r="BW155" s="23"/>
      <c r="BX155" s="23"/>
      <c r="BY155" s="23"/>
      <c r="BZ155" s="23"/>
    </row>
    <row r="156">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181"/>
      <c r="BO156" s="23"/>
      <c r="BP156" s="23"/>
      <c r="BQ156" s="23"/>
      <c r="BR156" s="23"/>
      <c r="BS156" s="23"/>
      <c r="BT156" s="23"/>
      <c r="BU156" s="23"/>
      <c r="BV156" s="23"/>
      <c r="BW156" s="23"/>
      <c r="BX156" s="23"/>
      <c r="BY156" s="23"/>
      <c r="BZ156" s="23"/>
    </row>
    <row r="157">
      <c r="R157" s="23"/>
      <c r="S157" s="23"/>
      <c r="T157" s="23"/>
      <c r="U157" s="580"/>
      <c r="V157" s="569"/>
      <c r="W157" s="569"/>
      <c r="X157" s="569"/>
      <c r="Y157" s="569"/>
      <c r="Z157" s="569"/>
      <c r="AA157" s="569"/>
      <c r="AB157" s="569"/>
      <c r="AC157" s="569"/>
      <c r="AD157" s="569"/>
      <c r="AE157" s="580"/>
      <c r="AF157" s="569"/>
      <c r="AG157" s="569"/>
      <c r="AH157" s="569"/>
      <c r="AI157" s="569"/>
      <c r="AJ157" s="569"/>
      <c r="AK157" s="569"/>
      <c r="AL157" s="569"/>
      <c r="AM157" s="569"/>
      <c r="AN157" s="569"/>
      <c r="AO157" s="569"/>
      <c r="AP157" s="569"/>
      <c r="AQ157" s="569"/>
      <c r="AR157" s="580"/>
      <c r="AS157" s="569"/>
      <c r="AT157" s="569"/>
      <c r="AU157" s="569"/>
      <c r="AV157" s="569"/>
      <c r="AW157" s="569"/>
      <c r="AX157" s="569"/>
      <c r="AY157" s="569"/>
      <c r="AZ157" s="569"/>
      <c r="BA157" s="569"/>
      <c r="BB157" s="569"/>
      <c r="BC157" s="569"/>
      <c r="BD157" s="569"/>
      <c r="BE157" s="569"/>
      <c r="BF157" s="569"/>
      <c r="BG157" s="569"/>
      <c r="BH157" s="569"/>
      <c r="BI157" s="580"/>
      <c r="BJ157" s="569"/>
      <c r="BK157" s="569"/>
      <c r="BL157" s="569"/>
      <c r="BM157" s="569"/>
      <c r="BN157" s="569"/>
      <c r="BO157" s="569"/>
      <c r="BP157" s="569"/>
      <c r="BQ157" s="569"/>
      <c r="BR157" s="569"/>
      <c r="BS157" s="569"/>
      <c r="BT157" s="569"/>
      <c r="BU157" s="569"/>
      <c r="BV157" s="569"/>
      <c r="BW157" s="569"/>
      <c r="BX157" s="569"/>
      <c r="BY157" s="23"/>
      <c r="BZ157" s="23"/>
    </row>
    <row r="158">
      <c r="R158" s="23"/>
      <c r="S158" s="23"/>
      <c r="T158" s="23"/>
      <c r="U158" s="581"/>
      <c r="AD158" s="569"/>
      <c r="AE158" s="584"/>
      <c r="AF158" s="553"/>
      <c r="AG158" s="553"/>
      <c r="AH158" s="553"/>
      <c r="AI158" s="596"/>
      <c r="AJ158" s="596"/>
      <c r="AK158" s="596"/>
      <c r="AL158" s="596"/>
      <c r="AM158" s="596"/>
      <c r="AN158" s="596"/>
      <c r="AO158" s="596"/>
      <c r="AP158" s="596"/>
      <c r="AQ158" s="569"/>
      <c r="AR158" s="584"/>
      <c r="AS158" s="581"/>
      <c r="AT158" s="581"/>
      <c r="BH158" s="569"/>
      <c r="BI158" s="584"/>
      <c r="BJ158" s="581"/>
      <c r="BK158" s="581"/>
      <c r="BY158" s="23"/>
      <c r="BZ158" s="23"/>
    </row>
    <row r="159">
      <c r="R159" s="23"/>
      <c r="S159" s="23"/>
      <c r="T159" s="23"/>
      <c r="U159" s="553"/>
      <c r="V159" s="544"/>
      <c r="W159" s="543"/>
      <c r="X159" s="543"/>
      <c r="Y159" s="543"/>
      <c r="Z159" s="543"/>
      <c r="AA159" s="543"/>
      <c r="AB159" s="543"/>
      <c r="AC159" s="543"/>
      <c r="AD159" s="569"/>
      <c r="AE159" s="553"/>
      <c r="AF159" s="545"/>
      <c r="AG159" s="546"/>
      <c r="AH159" s="546"/>
      <c r="AI159" s="546"/>
      <c r="AJ159" s="546"/>
      <c r="AK159" s="546"/>
      <c r="AL159" s="546"/>
      <c r="AM159" s="546"/>
      <c r="AN159" s="546"/>
      <c r="AO159" s="546"/>
      <c r="AP159" s="546"/>
      <c r="AQ159" s="569"/>
      <c r="AR159" s="584"/>
      <c r="AS159" s="581"/>
      <c r="AT159" s="581"/>
      <c r="AU159" s="581"/>
      <c r="AV159" s="581"/>
      <c r="AW159" s="581"/>
      <c r="AX159" s="581"/>
      <c r="AY159" s="581"/>
      <c r="AZ159" s="581"/>
      <c r="BA159" s="581"/>
      <c r="BB159" s="581"/>
      <c r="BC159" s="581"/>
      <c r="BD159" s="581"/>
      <c r="BE159" s="581"/>
      <c r="BF159" s="581"/>
      <c r="BG159" s="581"/>
      <c r="BH159" s="569"/>
      <c r="BI159" s="584"/>
      <c r="BJ159" s="581"/>
      <c r="BK159" s="581"/>
      <c r="BL159" s="581"/>
      <c r="BM159" s="581"/>
      <c r="BN159" s="581"/>
      <c r="BO159" s="581"/>
      <c r="BP159" s="581"/>
      <c r="BQ159" s="581"/>
      <c r="BR159" s="581"/>
      <c r="BS159" s="581"/>
      <c r="BT159" s="581"/>
      <c r="BU159" s="581"/>
      <c r="BV159" s="581"/>
      <c r="BW159" s="581"/>
      <c r="BX159" s="581"/>
      <c r="BY159" s="23"/>
      <c r="BZ159" s="23"/>
    </row>
    <row r="160">
      <c r="R160" s="23"/>
      <c r="S160" s="23"/>
      <c r="T160" s="23"/>
      <c r="U160" s="588"/>
      <c r="V160" s="586"/>
      <c r="W160" s="590"/>
      <c r="X160" s="550"/>
      <c r="Y160" s="550"/>
      <c r="Z160" s="550"/>
      <c r="AA160" s="550"/>
      <c r="AB160" s="550"/>
      <c r="AC160" s="550"/>
      <c r="AD160" s="569"/>
      <c r="AE160" s="588"/>
      <c r="AF160" s="586"/>
      <c r="AG160" s="590"/>
      <c r="AH160" s="590"/>
      <c r="AI160" s="590"/>
      <c r="AJ160" s="590"/>
      <c r="AK160" s="590"/>
      <c r="AL160" s="590"/>
      <c r="AM160" s="590"/>
      <c r="AN160" s="590"/>
      <c r="AO160" s="590"/>
      <c r="AP160" s="590"/>
      <c r="AQ160" s="569"/>
      <c r="AR160" s="584"/>
      <c r="AS160" s="581"/>
      <c r="AT160" s="581"/>
      <c r="AU160" s="581"/>
      <c r="AV160" s="581"/>
      <c r="AW160" s="581"/>
      <c r="AX160" s="581"/>
      <c r="AY160" s="581"/>
      <c r="AZ160" s="581"/>
      <c r="BA160" s="581"/>
      <c r="BB160" s="581"/>
      <c r="BC160" s="581"/>
      <c r="BD160" s="581"/>
      <c r="BE160" s="581"/>
      <c r="BF160" s="581"/>
      <c r="BG160" s="581"/>
      <c r="BH160" s="569"/>
      <c r="BI160" s="584"/>
      <c r="BJ160" s="581"/>
      <c r="BK160" s="581"/>
      <c r="BL160" s="581"/>
      <c r="BM160" s="581"/>
      <c r="BN160" s="581"/>
      <c r="BO160" s="581"/>
      <c r="BP160" s="581"/>
      <c r="BQ160" s="581"/>
      <c r="BR160" s="581"/>
      <c r="BS160" s="581"/>
      <c r="BT160" s="581"/>
      <c r="BU160" s="581"/>
      <c r="BV160" s="581"/>
      <c r="BW160" s="581"/>
      <c r="BX160" s="581"/>
      <c r="BY160" s="23"/>
      <c r="BZ160" s="23"/>
    </row>
    <row r="161">
      <c r="R161" s="23"/>
      <c r="S161" s="23"/>
      <c r="T161" s="23"/>
      <c r="V161" s="586"/>
      <c r="W161" s="590"/>
      <c r="X161" s="550"/>
      <c r="Y161" s="550"/>
      <c r="Z161" s="550"/>
      <c r="AA161" s="550"/>
      <c r="AB161" s="550"/>
      <c r="AC161" s="550"/>
      <c r="AD161" s="569"/>
      <c r="AF161" s="586"/>
      <c r="AG161" s="591"/>
      <c r="AH161" s="591"/>
      <c r="AI161" s="591"/>
      <c r="AJ161" s="591"/>
      <c r="AK161" s="591"/>
      <c r="AL161" s="591"/>
      <c r="AM161" s="591"/>
      <c r="AN161" s="591"/>
      <c r="AO161" s="591"/>
      <c r="AP161" s="591"/>
      <c r="AQ161" s="569"/>
      <c r="AR161" s="553"/>
      <c r="AS161" s="597"/>
      <c r="AT161" s="586"/>
      <c r="AU161" s="587"/>
      <c r="AV161" s="587"/>
      <c r="AW161" s="587"/>
      <c r="AX161" s="587"/>
      <c r="AY161" s="586"/>
      <c r="AZ161" s="586"/>
      <c r="BA161" s="586"/>
      <c r="BB161" s="586"/>
      <c r="BC161" s="586"/>
      <c r="BD161" s="586"/>
      <c r="BE161" s="586"/>
      <c r="BF161" s="586"/>
      <c r="BG161" s="586"/>
      <c r="BH161" s="569"/>
      <c r="BI161" s="553"/>
      <c r="BJ161" s="597"/>
      <c r="BK161" s="586"/>
      <c r="BL161" s="587"/>
      <c r="BM161" s="587"/>
      <c r="BN161" s="587"/>
      <c r="BO161" s="587"/>
      <c r="BP161" s="586"/>
      <c r="BQ161" s="586"/>
      <c r="BR161" s="586"/>
      <c r="BS161" s="586"/>
      <c r="BT161" s="586"/>
      <c r="BU161" s="586"/>
      <c r="BV161" s="586"/>
      <c r="BW161" s="586"/>
      <c r="BX161" s="586"/>
      <c r="BY161" s="23"/>
      <c r="BZ161" s="23"/>
    </row>
    <row r="162">
      <c r="R162" s="23"/>
      <c r="S162" s="23"/>
      <c r="T162" s="23"/>
      <c r="V162" s="587"/>
      <c r="W162" s="590"/>
      <c r="X162" s="550"/>
      <c r="Y162" s="550"/>
      <c r="Z162" s="550"/>
      <c r="AA162" s="550"/>
      <c r="AB162" s="550"/>
      <c r="AC162" s="550"/>
      <c r="AD162" s="569"/>
      <c r="AF162" s="587"/>
      <c r="AG162" s="590"/>
      <c r="AH162" s="590"/>
      <c r="AI162" s="590"/>
      <c r="AJ162" s="590"/>
      <c r="AK162" s="590"/>
      <c r="AL162" s="590"/>
      <c r="AM162" s="590"/>
      <c r="AN162" s="590"/>
      <c r="AO162" s="590"/>
      <c r="AP162" s="590"/>
      <c r="AQ162" s="569"/>
      <c r="AR162" s="592"/>
      <c r="AS162" s="593"/>
      <c r="AT162" s="577"/>
      <c r="AU162" s="577"/>
      <c r="AV162" s="577"/>
      <c r="AW162" s="577"/>
      <c r="AX162" s="577"/>
      <c r="AY162" s="577"/>
      <c r="AZ162" s="577"/>
      <c r="BA162" s="577"/>
      <c r="BB162" s="577"/>
      <c r="BC162" s="577"/>
      <c r="BD162" s="577"/>
      <c r="BE162" s="577"/>
      <c r="BF162" s="577"/>
      <c r="BG162" s="577"/>
      <c r="BH162" s="569"/>
      <c r="BI162" s="588"/>
      <c r="BJ162" s="586"/>
      <c r="BK162" s="577"/>
      <c r="BL162" s="577"/>
      <c r="BM162" s="577"/>
      <c r="BN162" s="577"/>
      <c r="BO162" s="577"/>
      <c r="BP162" s="577"/>
      <c r="BQ162" s="577"/>
      <c r="BR162" s="577"/>
      <c r="BS162" s="577"/>
      <c r="BT162" s="577"/>
      <c r="BU162" s="577"/>
      <c r="BV162" s="577"/>
      <c r="BW162" s="577"/>
      <c r="BX162" s="577"/>
      <c r="BY162" s="23"/>
      <c r="BZ162" s="23"/>
    </row>
    <row r="163">
      <c r="R163" s="23"/>
      <c r="S163" s="23"/>
      <c r="T163" s="23"/>
      <c r="V163" s="587"/>
      <c r="W163" s="590"/>
      <c r="X163" s="550"/>
      <c r="Y163" s="550"/>
      <c r="Z163" s="550"/>
      <c r="AA163" s="550"/>
      <c r="AB163" s="550"/>
      <c r="AC163" s="550"/>
      <c r="AD163" s="569"/>
      <c r="AF163" s="587"/>
      <c r="AG163" s="590"/>
      <c r="AH163" s="590"/>
      <c r="AI163" s="590"/>
      <c r="AJ163" s="590"/>
      <c r="AK163" s="590"/>
      <c r="AL163" s="590"/>
      <c r="AM163" s="590"/>
      <c r="AN163" s="590"/>
      <c r="AO163" s="590"/>
      <c r="AP163" s="590"/>
      <c r="AQ163" s="569"/>
      <c r="AS163" s="593"/>
      <c r="AT163" s="594"/>
      <c r="AU163" s="594"/>
      <c r="AV163" s="594"/>
      <c r="AW163" s="594"/>
      <c r="AX163" s="594"/>
      <c r="AY163" s="594"/>
      <c r="AZ163" s="594"/>
      <c r="BA163" s="594"/>
      <c r="BB163" s="594"/>
      <c r="BC163" s="594"/>
      <c r="BD163" s="594"/>
      <c r="BE163" s="594"/>
      <c r="BF163" s="594"/>
      <c r="BG163" s="594"/>
      <c r="BH163" s="569"/>
      <c r="BJ163" s="586"/>
      <c r="BK163" s="594"/>
      <c r="BL163" s="594"/>
      <c r="BM163" s="594"/>
      <c r="BN163" s="594"/>
      <c r="BO163" s="594"/>
      <c r="BP163" s="594"/>
      <c r="BQ163" s="594"/>
      <c r="BR163" s="594"/>
      <c r="BS163" s="594"/>
      <c r="BT163" s="594"/>
      <c r="BU163" s="594"/>
      <c r="BV163" s="594"/>
      <c r="BW163" s="594"/>
      <c r="BX163" s="594"/>
      <c r="BY163" s="23"/>
      <c r="BZ163" s="23"/>
    </row>
    <row r="164">
      <c r="R164" s="23"/>
      <c r="S164" s="23"/>
      <c r="T164" s="23"/>
      <c r="V164" s="587"/>
      <c r="W164" s="590"/>
      <c r="X164" s="550"/>
      <c r="Y164" s="550"/>
      <c r="Z164" s="550"/>
      <c r="AA164" s="550"/>
      <c r="AB164" s="550"/>
      <c r="AC164" s="550"/>
      <c r="AD164" s="569"/>
      <c r="AF164" s="587"/>
      <c r="AG164" s="590"/>
      <c r="AH164" s="590"/>
      <c r="AI164" s="590"/>
      <c r="AJ164" s="590"/>
      <c r="AK164" s="590"/>
      <c r="AL164" s="590"/>
      <c r="AM164" s="590"/>
      <c r="AN164" s="590"/>
      <c r="AO164" s="590"/>
      <c r="AP164" s="590"/>
      <c r="AQ164" s="569"/>
      <c r="AS164" s="593"/>
      <c r="AT164" s="577"/>
      <c r="AU164" s="577"/>
      <c r="AV164" s="577"/>
      <c r="AW164" s="577"/>
      <c r="AX164" s="577"/>
      <c r="AY164" s="577"/>
      <c r="AZ164" s="577"/>
      <c r="BA164" s="577"/>
      <c r="BB164" s="577"/>
      <c r="BC164" s="577"/>
      <c r="BD164" s="577"/>
      <c r="BE164" s="577"/>
      <c r="BF164" s="577"/>
      <c r="BG164" s="577"/>
      <c r="BH164" s="569"/>
      <c r="BJ164" s="587"/>
      <c r="BK164" s="577"/>
      <c r="BL164" s="577"/>
      <c r="BM164" s="577"/>
      <c r="BN164" s="577"/>
      <c r="BO164" s="577"/>
      <c r="BP164" s="577"/>
      <c r="BQ164" s="577"/>
      <c r="BR164" s="577"/>
      <c r="BS164" s="577"/>
      <c r="BT164" s="577"/>
      <c r="BU164" s="577"/>
      <c r="BV164" s="577"/>
      <c r="BW164" s="577"/>
      <c r="BX164" s="577"/>
      <c r="BY164" s="23"/>
      <c r="BZ164" s="23"/>
    </row>
    <row r="165">
      <c r="R165" s="23"/>
      <c r="S165" s="23"/>
      <c r="T165" s="23"/>
      <c r="V165" s="587"/>
      <c r="W165" s="590"/>
      <c r="X165" s="550"/>
      <c r="Y165" s="550"/>
      <c r="Z165" s="550"/>
      <c r="AA165" s="550"/>
      <c r="AB165" s="550"/>
      <c r="AC165" s="550"/>
      <c r="AD165" s="569"/>
      <c r="AF165" s="587"/>
      <c r="AG165" s="590"/>
      <c r="AH165" s="590"/>
      <c r="AI165" s="590"/>
      <c r="AJ165" s="590"/>
      <c r="AK165" s="590"/>
      <c r="AL165" s="590"/>
      <c r="AM165" s="590"/>
      <c r="AN165" s="590"/>
      <c r="AO165" s="590"/>
      <c r="AP165" s="590"/>
      <c r="AQ165" s="569"/>
      <c r="AS165" s="593"/>
      <c r="AT165" s="577"/>
      <c r="AU165" s="577"/>
      <c r="AV165" s="577"/>
      <c r="AW165" s="577"/>
      <c r="AX165" s="577"/>
      <c r="AY165" s="577"/>
      <c r="AZ165" s="577"/>
      <c r="BA165" s="577"/>
      <c r="BB165" s="577"/>
      <c r="BC165" s="577"/>
      <c r="BD165" s="577"/>
      <c r="BE165" s="577"/>
      <c r="BF165" s="577"/>
      <c r="BG165" s="577"/>
      <c r="BH165" s="569"/>
      <c r="BJ165" s="587"/>
      <c r="BK165" s="577"/>
      <c r="BL165" s="577"/>
      <c r="BM165" s="577"/>
      <c r="BN165" s="577"/>
      <c r="BO165" s="577"/>
      <c r="BP165" s="577"/>
      <c r="BQ165" s="577"/>
      <c r="BR165" s="577"/>
      <c r="BS165" s="577"/>
      <c r="BT165" s="577"/>
      <c r="BU165" s="577"/>
      <c r="BV165" s="577"/>
      <c r="BW165" s="577"/>
      <c r="BX165" s="577"/>
      <c r="BY165" s="23"/>
      <c r="BZ165" s="23"/>
    </row>
    <row r="166">
      <c r="R166" s="23"/>
      <c r="S166" s="23"/>
      <c r="T166" s="23"/>
      <c r="V166" s="587"/>
      <c r="W166" s="590"/>
      <c r="X166" s="550"/>
      <c r="Y166" s="550"/>
      <c r="Z166" s="550"/>
      <c r="AA166" s="550"/>
      <c r="AB166" s="550"/>
      <c r="AC166" s="550"/>
      <c r="AD166" s="569"/>
      <c r="AF166" s="587"/>
      <c r="AG166" s="590"/>
      <c r="AH166" s="590"/>
      <c r="AI166" s="590"/>
      <c r="AJ166" s="590"/>
      <c r="AK166" s="590"/>
      <c r="AL166" s="590"/>
      <c r="AM166" s="590"/>
      <c r="AN166" s="590"/>
      <c r="AO166" s="590"/>
      <c r="AP166" s="590"/>
      <c r="AQ166" s="569"/>
      <c r="AS166" s="593"/>
      <c r="AT166" s="577"/>
      <c r="AU166" s="577"/>
      <c r="AV166" s="577"/>
      <c r="AW166" s="577"/>
      <c r="AX166" s="577"/>
      <c r="AY166" s="577"/>
      <c r="AZ166" s="577"/>
      <c r="BA166" s="577"/>
      <c r="BB166" s="577"/>
      <c r="BC166" s="577"/>
      <c r="BD166" s="577"/>
      <c r="BE166" s="577"/>
      <c r="BF166" s="577"/>
      <c r="BG166" s="577"/>
      <c r="BH166" s="569"/>
      <c r="BJ166" s="587"/>
      <c r="BK166" s="577"/>
      <c r="BL166" s="577"/>
      <c r="BM166" s="577"/>
      <c r="BN166" s="577"/>
      <c r="BO166" s="577"/>
      <c r="BP166" s="577"/>
      <c r="BQ166" s="577"/>
      <c r="BR166" s="577"/>
      <c r="BS166" s="577"/>
      <c r="BT166" s="577"/>
      <c r="BU166" s="577"/>
      <c r="BV166" s="577"/>
      <c r="BW166" s="577"/>
      <c r="BX166" s="577"/>
      <c r="BY166" s="23"/>
      <c r="BZ166" s="23"/>
    </row>
    <row r="167">
      <c r="R167" s="23"/>
      <c r="S167" s="23"/>
      <c r="T167" s="23"/>
      <c r="V167" s="587"/>
      <c r="W167" s="590"/>
      <c r="X167" s="550"/>
      <c r="Y167" s="550"/>
      <c r="Z167" s="550"/>
      <c r="AA167" s="550"/>
      <c r="AB167" s="550"/>
      <c r="AC167" s="550"/>
      <c r="AD167" s="569"/>
      <c r="AF167" s="587"/>
      <c r="AG167" s="590"/>
      <c r="AH167" s="590"/>
      <c r="AI167" s="590"/>
      <c r="AJ167" s="590"/>
      <c r="AK167" s="590"/>
      <c r="AL167" s="590"/>
      <c r="AM167" s="590"/>
      <c r="AN167" s="590"/>
      <c r="AO167" s="590"/>
      <c r="AP167" s="590"/>
      <c r="AQ167" s="569"/>
      <c r="AS167" s="593"/>
      <c r="AT167" s="577"/>
      <c r="AU167" s="577"/>
      <c r="AV167" s="577"/>
      <c r="AW167" s="577"/>
      <c r="AX167" s="577"/>
      <c r="AY167" s="577"/>
      <c r="AZ167" s="577"/>
      <c r="BA167" s="577"/>
      <c r="BB167" s="577"/>
      <c r="BC167" s="577"/>
      <c r="BD167" s="577"/>
      <c r="BE167" s="577"/>
      <c r="BF167" s="577"/>
      <c r="BG167" s="577"/>
      <c r="BH167" s="569"/>
      <c r="BJ167" s="587"/>
      <c r="BK167" s="577"/>
      <c r="BL167" s="577"/>
      <c r="BM167" s="577"/>
      <c r="BN167" s="577"/>
      <c r="BO167" s="577"/>
      <c r="BP167" s="577"/>
      <c r="BQ167" s="577"/>
      <c r="BR167" s="577"/>
      <c r="BS167" s="577"/>
      <c r="BT167" s="577"/>
      <c r="BU167" s="577"/>
      <c r="BV167" s="577"/>
      <c r="BW167" s="577"/>
      <c r="BX167" s="577"/>
      <c r="BY167" s="23"/>
      <c r="BZ167" s="23"/>
    </row>
    <row r="168">
      <c r="R168" s="23"/>
      <c r="S168" s="23"/>
      <c r="T168" s="23"/>
      <c r="V168" s="587"/>
      <c r="W168" s="590"/>
      <c r="X168" s="550"/>
      <c r="Y168" s="550"/>
      <c r="Z168" s="550"/>
      <c r="AA168" s="550"/>
      <c r="AB168" s="550"/>
      <c r="AC168" s="550"/>
      <c r="AD168" s="569"/>
      <c r="AF168" s="587"/>
      <c r="AG168" s="591"/>
      <c r="AH168" s="591"/>
      <c r="AI168" s="591"/>
      <c r="AJ168" s="591"/>
      <c r="AK168" s="591"/>
      <c r="AL168" s="591"/>
      <c r="AM168" s="591"/>
      <c r="AN168" s="591"/>
      <c r="AO168" s="591"/>
      <c r="AP168" s="591"/>
      <c r="AQ168" s="569"/>
      <c r="AS168" s="593"/>
      <c r="AT168" s="577"/>
      <c r="AU168" s="577"/>
      <c r="AV168" s="577"/>
      <c r="AW168" s="577"/>
      <c r="AX168" s="577"/>
      <c r="AY168" s="577"/>
      <c r="AZ168" s="577"/>
      <c r="BA168" s="577"/>
      <c r="BB168" s="577"/>
      <c r="BC168" s="577"/>
      <c r="BD168" s="577"/>
      <c r="BE168" s="577"/>
      <c r="BF168" s="577"/>
      <c r="BG168" s="577"/>
      <c r="BH168" s="569"/>
      <c r="BJ168" s="587"/>
      <c r="BK168" s="577"/>
      <c r="BL168" s="577"/>
      <c r="BM168" s="577"/>
      <c r="BN168" s="577"/>
      <c r="BO168" s="577"/>
      <c r="BP168" s="577"/>
      <c r="BQ168" s="577"/>
      <c r="BR168" s="577"/>
      <c r="BS168" s="577"/>
      <c r="BT168" s="577"/>
      <c r="BU168" s="577"/>
      <c r="BV168" s="577"/>
      <c r="BW168" s="577"/>
      <c r="BX168" s="577"/>
      <c r="BY168" s="23"/>
      <c r="BZ168" s="23"/>
    </row>
    <row r="169">
      <c r="R169" s="23"/>
      <c r="S169" s="23"/>
      <c r="T169" s="23"/>
      <c r="V169" s="587"/>
      <c r="W169" s="590"/>
      <c r="X169" s="550"/>
      <c r="Y169" s="550"/>
      <c r="Z169" s="550"/>
      <c r="AA169" s="550"/>
      <c r="AB169" s="550"/>
      <c r="AC169" s="550"/>
      <c r="AD169" s="569"/>
      <c r="AF169" s="587"/>
      <c r="AG169" s="590"/>
      <c r="AH169" s="590"/>
      <c r="AI169" s="590"/>
      <c r="AJ169" s="590"/>
      <c r="AK169" s="590"/>
      <c r="AL169" s="590"/>
      <c r="AM169" s="590"/>
      <c r="AN169" s="590"/>
      <c r="AO169" s="590"/>
      <c r="AP169" s="590"/>
      <c r="AQ169" s="569"/>
      <c r="AS169" s="593"/>
      <c r="AT169" s="577"/>
      <c r="AU169" s="577"/>
      <c r="AV169" s="577"/>
      <c r="AW169" s="577"/>
      <c r="AX169" s="577"/>
      <c r="AY169" s="577"/>
      <c r="AZ169" s="577"/>
      <c r="BA169" s="577"/>
      <c r="BB169" s="577"/>
      <c r="BC169" s="577"/>
      <c r="BD169" s="577"/>
      <c r="BE169" s="577"/>
      <c r="BF169" s="577"/>
      <c r="BG169" s="577"/>
      <c r="BH169" s="569"/>
      <c r="BJ169" s="587"/>
      <c r="BK169" s="577"/>
      <c r="BL169" s="577"/>
      <c r="BM169" s="577"/>
      <c r="BN169" s="577"/>
      <c r="BO169" s="577"/>
      <c r="BP169" s="577"/>
      <c r="BQ169" s="577"/>
      <c r="BR169" s="577"/>
      <c r="BS169" s="577"/>
      <c r="BT169" s="577"/>
      <c r="BU169" s="577"/>
      <c r="BV169" s="577"/>
      <c r="BW169" s="577"/>
      <c r="BX169" s="577"/>
      <c r="BY169" s="23"/>
      <c r="BZ169" s="23"/>
    </row>
    <row r="170">
      <c r="R170" s="23"/>
      <c r="S170" s="23"/>
      <c r="T170" s="23"/>
      <c r="V170" s="587"/>
      <c r="W170" s="590"/>
      <c r="X170" s="550"/>
      <c r="Y170" s="550"/>
      <c r="Z170" s="550"/>
      <c r="AA170" s="550"/>
      <c r="AB170" s="550"/>
      <c r="AC170" s="550"/>
      <c r="AD170" s="569"/>
      <c r="AF170" s="587"/>
      <c r="AG170" s="590"/>
      <c r="AH170" s="590"/>
      <c r="AI170" s="590"/>
      <c r="AJ170" s="590"/>
      <c r="AK170" s="590"/>
      <c r="AL170" s="590"/>
      <c r="AM170" s="590"/>
      <c r="AN170" s="590"/>
      <c r="AO170" s="590"/>
      <c r="AP170" s="590"/>
      <c r="AQ170" s="569"/>
      <c r="AS170" s="593"/>
      <c r="AT170" s="594"/>
      <c r="AU170" s="594"/>
      <c r="AV170" s="594"/>
      <c r="AW170" s="594"/>
      <c r="AX170" s="594"/>
      <c r="AY170" s="594"/>
      <c r="AZ170" s="594"/>
      <c r="BA170" s="594"/>
      <c r="BB170" s="594"/>
      <c r="BC170" s="594"/>
      <c r="BD170" s="594"/>
      <c r="BE170" s="594"/>
      <c r="BF170" s="594"/>
      <c r="BG170" s="594"/>
      <c r="BH170" s="569"/>
      <c r="BJ170" s="587"/>
      <c r="BK170" s="594"/>
      <c r="BL170" s="594"/>
      <c r="BM170" s="594"/>
      <c r="BN170" s="594"/>
      <c r="BO170" s="594"/>
      <c r="BP170" s="594"/>
      <c r="BQ170" s="594"/>
      <c r="BR170" s="594"/>
      <c r="BS170" s="594"/>
      <c r="BT170" s="594"/>
      <c r="BU170" s="594"/>
      <c r="BV170" s="594"/>
      <c r="BW170" s="594"/>
      <c r="BX170" s="594"/>
      <c r="BY170" s="23"/>
      <c r="BZ170" s="23"/>
    </row>
    <row r="171">
      <c r="R171" s="23"/>
      <c r="S171" s="23"/>
      <c r="T171" s="23"/>
      <c r="V171" s="587"/>
      <c r="W171" s="590"/>
      <c r="X171" s="550"/>
      <c r="Y171" s="550"/>
      <c r="Z171" s="550"/>
      <c r="AA171" s="550"/>
      <c r="AB171" s="550"/>
      <c r="AC171" s="550"/>
      <c r="AD171" s="569"/>
      <c r="AF171" s="587"/>
      <c r="AG171" s="590"/>
      <c r="AH171" s="590"/>
      <c r="AI171" s="590"/>
      <c r="AJ171" s="590"/>
      <c r="AK171" s="590"/>
      <c r="AL171" s="590"/>
      <c r="AM171" s="590"/>
      <c r="AN171" s="590"/>
      <c r="AO171" s="590"/>
      <c r="AP171" s="590"/>
      <c r="AQ171" s="569"/>
      <c r="AS171" s="593"/>
      <c r="AT171" s="577"/>
      <c r="AU171" s="577"/>
      <c r="AV171" s="577"/>
      <c r="AW171" s="577"/>
      <c r="AX171" s="577"/>
      <c r="AY171" s="577"/>
      <c r="AZ171" s="577"/>
      <c r="BA171" s="577"/>
      <c r="BB171" s="577"/>
      <c r="BC171" s="577"/>
      <c r="BD171" s="577"/>
      <c r="BE171" s="577"/>
      <c r="BF171" s="577"/>
      <c r="BG171" s="577"/>
      <c r="BH171" s="569"/>
      <c r="BJ171" s="587"/>
      <c r="BK171" s="577"/>
      <c r="BL171" s="577"/>
      <c r="BM171" s="577"/>
      <c r="BN171" s="577"/>
      <c r="BO171" s="577"/>
      <c r="BP171" s="577"/>
      <c r="BQ171" s="577"/>
      <c r="BR171" s="577"/>
      <c r="BS171" s="577"/>
      <c r="BT171" s="577"/>
      <c r="BU171" s="577"/>
      <c r="BV171" s="577"/>
      <c r="BW171" s="577"/>
      <c r="BX171" s="577"/>
      <c r="BY171" s="23"/>
      <c r="BZ171" s="23"/>
    </row>
    <row r="172">
      <c r="R172" s="23"/>
      <c r="S172" s="23"/>
      <c r="T172" s="23"/>
      <c r="V172" s="587"/>
      <c r="W172" s="590"/>
      <c r="X172" s="550"/>
      <c r="Y172" s="550"/>
      <c r="Z172" s="550"/>
      <c r="AA172" s="550"/>
      <c r="AB172" s="550"/>
      <c r="AC172" s="550"/>
      <c r="AD172" s="569"/>
      <c r="AF172" s="587"/>
      <c r="AG172" s="590"/>
      <c r="AH172" s="590"/>
      <c r="AI172" s="590"/>
      <c r="AJ172" s="590"/>
      <c r="AK172" s="590"/>
      <c r="AL172" s="590"/>
      <c r="AM172" s="590"/>
      <c r="AN172" s="590"/>
      <c r="AO172" s="590"/>
      <c r="AP172" s="590"/>
      <c r="AQ172" s="569"/>
      <c r="AR172" s="569"/>
      <c r="AS172" s="569"/>
      <c r="AT172" s="569"/>
      <c r="AU172" s="569"/>
      <c r="AV172" s="569"/>
      <c r="AW172" s="569"/>
      <c r="AX172" s="569"/>
      <c r="AY172" s="569"/>
      <c r="AZ172" s="569"/>
      <c r="BA172" s="569"/>
      <c r="BB172" s="569"/>
      <c r="BC172" s="569"/>
      <c r="BD172" s="569"/>
      <c r="BE172" s="569"/>
      <c r="BF172" s="569"/>
      <c r="BG172" s="569"/>
      <c r="BH172" s="569"/>
      <c r="BJ172" s="587"/>
      <c r="BK172" s="577"/>
      <c r="BL172" s="577"/>
      <c r="BM172" s="577"/>
      <c r="BN172" s="577"/>
      <c r="BO172" s="577"/>
      <c r="BP172" s="577"/>
      <c r="BQ172" s="577"/>
      <c r="BR172" s="577"/>
      <c r="BS172" s="577"/>
      <c r="BT172" s="577"/>
      <c r="BU172" s="577"/>
      <c r="BV172" s="577"/>
      <c r="BW172" s="577"/>
      <c r="BX172" s="577"/>
      <c r="BY172" s="23"/>
      <c r="BZ172" s="23"/>
    </row>
    <row r="173">
      <c r="R173" s="23"/>
      <c r="S173" s="23"/>
      <c r="T173" s="23"/>
      <c r="V173" s="587"/>
      <c r="W173" s="590"/>
      <c r="X173" s="550"/>
      <c r="Y173" s="550"/>
      <c r="Z173" s="550"/>
      <c r="AA173" s="550"/>
      <c r="AB173" s="550"/>
      <c r="AC173" s="550"/>
      <c r="AD173" s="569"/>
      <c r="AF173" s="587"/>
      <c r="AG173" s="590"/>
      <c r="AH173" s="590"/>
      <c r="AI173" s="590"/>
      <c r="AJ173" s="590"/>
      <c r="AK173" s="590"/>
      <c r="AL173" s="590"/>
      <c r="AM173" s="590"/>
      <c r="AN173" s="590"/>
      <c r="AO173" s="590"/>
      <c r="AP173" s="590"/>
      <c r="AQ173" s="569"/>
      <c r="AR173" s="569"/>
      <c r="AS173" s="569"/>
      <c r="AT173" s="569"/>
      <c r="AU173" s="569"/>
      <c r="AV173" s="569"/>
      <c r="AW173" s="569"/>
      <c r="AX173" s="569"/>
      <c r="AY173" s="569"/>
      <c r="AZ173" s="569"/>
      <c r="BA173" s="569"/>
      <c r="BB173" s="569"/>
      <c r="BC173" s="569"/>
      <c r="BD173" s="569"/>
      <c r="BE173" s="569"/>
      <c r="BF173" s="569"/>
      <c r="BG173" s="569"/>
      <c r="BH173" s="569"/>
      <c r="BJ173" s="587"/>
      <c r="BK173" s="577"/>
      <c r="BL173" s="577"/>
      <c r="BM173" s="577"/>
      <c r="BN173" s="577"/>
      <c r="BO173" s="577"/>
      <c r="BP173" s="577"/>
      <c r="BQ173" s="577"/>
      <c r="BR173" s="577"/>
      <c r="BS173" s="577"/>
      <c r="BT173" s="577"/>
      <c r="BU173" s="577"/>
      <c r="BV173" s="577"/>
      <c r="BW173" s="577"/>
      <c r="BX173" s="577"/>
      <c r="BY173" s="23"/>
      <c r="BZ173" s="23"/>
    </row>
    <row r="174">
      <c r="R174" s="23"/>
      <c r="S174" s="23"/>
      <c r="T174" s="23"/>
      <c r="V174" s="587"/>
      <c r="W174" s="590"/>
      <c r="X174" s="550"/>
      <c r="Y174" s="550"/>
      <c r="Z174" s="550"/>
      <c r="AA174" s="550"/>
      <c r="AB174" s="550"/>
      <c r="AC174" s="550"/>
      <c r="AD174" s="569"/>
      <c r="AF174" s="587"/>
      <c r="AG174" s="590"/>
      <c r="AH174" s="590"/>
      <c r="AI174" s="590"/>
      <c r="AJ174" s="590"/>
      <c r="AK174" s="590"/>
      <c r="AL174" s="590"/>
      <c r="AM174" s="590"/>
      <c r="AN174" s="590"/>
      <c r="AO174" s="590"/>
      <c r="AP174" s="590"/>
      <c r="AQ174" s="569"/>
      <c r="AR174" s="569"/>
      <c r="AS174" s="569"/>
      <c r="AT174" s="569"/>
      <c r="AU174" s="569"/>
      <c r="AV174" s="569"/>
      <c r="AW174" s="569"/>
      <c r="AX174" s="569"/>
      <c r="AY174" s="569"/>
      <c r="AZ174" s="569"/>
      <c r="BA174" s="569"/>
      <c r="BB174" s="569"/>
      <c r="BC174" s="569"/>
      <c r="BD174" s="569"/>
      <c r="BE174" s="569"/>
      <c r="BF174" s="569"/>
      <c r="BG174" s="569"/>
      <c r="BH174" s="569"/>
      <c r="BJ174" s="587"/>
      <c r="BK174" s="577"/>
      <c r="BL174" s="577"/>
      <c r="BM174" s="577"/>
      <c r="BN174" s="577"/>
      <c r="BO174" s="577"/>
      <c r="BP174" s="577"/>
      <c r="BQ174" s="577"/>
      <c r="BR174" s="577"/>
      <c r="BS174" s="577"/>
      <c r="BT174" s="577"/>
      <c r="BU174" s="577"/>
      <c r="BV174" s="577"/>
      <c r="BW174" s="577"/>
      <c r="BX174" s="577"/>
      <c r="BY174" s="23"/>
      <c r="BZ174" s="23"/>
    </row>
    <row r="175">
      <c r="R175" s="23"/>
      <c r="S175" s="23"/>
      <c r="T175" s="23"/>
      <c r="V175" s="587"/>
      <c r="W175" s="590"/>
      <c r="X175" s="550"/>
      <c r="Y175" s="550"/>
      <c r="Z175" s="550"/>
      <c r="AA175" s="550"/>
      <c r="AB175" s="550"/>
      <c r="AC175" s="550"/>
      <c r="AD175" s="569"/>
      <c r="AF175" s="587"/>
      <c r="AG175" s="590"/>
      <c r="AH175" s="590"/>
      <c r="AI175" s="590"/>
      <c r="AJ175" s="590"/>
      <c r="AK175" s="590"/>
      <c r="AL175" s="590"/>
      <c r="AM175" s="590"/>
      <c r="AN175" s="590"/>
      <c r="AO175" s="590"/>
      <c r="AP175" s="590"/>
      <c r="AQ175" s="569"/>
      <c r="AR175" s="569"/>
      <c r="AS175" s="569"/>
      <c r="AT175" s="569"/>
      <c r="AU175" s="569"/>
      <c r="AV175" s="569"/>
      <c r="AW175" s="569"/>
      <c r="AX175" s="569"/>
      <c r="AY175" s="569"/>
      <c r="AZ175" s="569"/>
      <c r="BA175" s="569"/>
      <c r="BB175" s="569"/>
      <c r="BC175" s="569"/>
      <c r="BD175" s="569"/>
      <c r="BE175" s="569"/>
      <c r="BF175" s="569"/>
      <c r="BG175" s="569"/>
      <c r="BH175" s="569"/>
      <c r="BJ175" s="587"/>
      <c r="BK175" s="577"/>
      <c r="BL175" s="577"/>
      <c r="BM175" s="577"/>
      <c r="BN175" s="577"/>
      <c r="BO175" s="577"/>
      <c r="BP175" s="577"/>
      <c r="BQ175" s="577"/>
      <c r="BR175" s="577"/>
      <c r="BS175" s="577"/>
      <c r="BT175" s="577"/>
      <c r="BU175" s="577"/>
      <c r="BV175" s="577"/>
      <c r="BW175" s="577"/>
      <c r="BX175" s="577"/>
      <c r="BY175" s="23"/>
      <c r="BZ175" s="23"/>
    </row>
    <row r="176">
      <c r="R176" s="23"/>
      <c r="S176" s="23"/>
      <c r="T176" s="23"/>
      <c r="V176" s="587"/>
      <c r="W176" s="590"/>
      <c r="X176" s="550"/>
      <c r="Y176" s="550"/>
      <c r="Z176" s="550"/>
      <c r="AA176" s="550"/>
      <c r="AB176" s="550"/>
      <c r="AC176" s="550"/>
      <c r="AD176" s="569"/>
      <c r="AF176" s="587"/>
      <c r="AG176" s="591"/>
      <c r="AH176" s="591"/>
      <c r="AI176" s="591"/>
      <c r="AJ176" s="591"/>
      <c r="AK176" s="591"/>
      <c r="AL176" s="591"/>
      <c r="AM176" s="591"/>
      <c r="AN176" s="591"/>
      <c r="AO176" s="591"/>
      <c r="AP176" s="591"/>
      <c r="AQ176" s="569"/>
      <c r="AR176" s="569"/>
      <c r="AS176" s="569"/>
      <c r="AT176" s="569"/>
      <c r="AU176" s="569"/>
      <c r="AV176" s="569"/>
      <c r="AW176" s="569"/>
      <c r="AX176" s="569"/>
      <c r="AY176" s="569"/>
      <c r="AZ176" s="569"/>
      <c r="BA176" s="569"/>
      <c r="BB176" s="569"/>
      <c r="BC176" s="569"/>
      <c r="BD176" s="569"/>
      <c r="BE176" s="569"/>
      <c r="BF176" s="569"/>
      <c r="BG176" s="569"/>
      <c r="BH176" s="569"/>
      <c r="BJ176" s="587"/>
      <c r="BK176" s="577"/>
      <c r="BL176" s="577"/>
      <c r="BM176" s="577"/>
      <c r="BN176" s="577"/>
      <c r="BO176" s="577"/>
      <c r="BP176" s="577"/>
      <c r="BQ176" s="577"/>
      <c r="BR176" s="577"/>
      <c r="BS176" s="577"/>
      <c r="BT176" s="577"/>
      <c r="BU176" s="577"/>
      <c r="BV176" s="577"/>
      <c r="BW176" s="577"/>
      <c r="BX176" s="577"/>
      <c r="BY176" s="23"/>
      <c r="BZ176" s="23"/>
    </row>
    <row r="177">
      <c r="R177" s="23"/>
      <c r="S177" s="23"/>
      <c r="T177" s="23"/>
      <c r="U177" s="569"/>
      <c r="V177" s="587"/>
      <c r="W177" s="590"/>
      <c r="X177" s="550"/>
      <c r="Y177" s="550"/>
      <c r="Z177" s="550"/>
      <c r="AA177" s="550"/>
      <c r="AB177" s="550"/>
      <c r="AC177" s="550"/>
      <c r="AD177" s="569"/>
      <c r="AE177" s="598"/>
      <c r="AF177" s="587"/>
      <c r="AG177" s="590"/>
      <c r="AH177" s="590"/>
      <c r="AI177" s="590"/>
      <c r="AJ177" s="590"/>
      <c r="AK177" s="590"/>
      <c r="AL177" s="590"/>
      <c r="AM177" s="590"/>
      <c r="AN177" s="590"/>
      <c r="AO177" s="590"/>
      <c r="AP177" s="590"/>
      <c r="AQ177" s="569"/>
      <c r="AR177" s="569"/>
      <c r="AS177" s="569"/>
      <c r="AT177" s="569"/>
      <c r="AU177" s="569"/>
      <c r="AV177" s="569"/>
      <c r="AW177" s="569"/>
      <c r="AX177" s="569"/>
      <c r="AY177" s="569"/>
      <c r="AZ177" s="569"/>
      <c r="BA177" s="569"/>
      <c r="BB177" s="569"/>
      <c r="BC177" s="569"/>
      <c r="BD177" s="569"/>
      <c r="BE177" s="569"/>
      <c r="BF177" s="569"/>
      <c r="BG177" s="569"/>
      <c r="BH177" s="569"/>
      <c r="BJ177" s="587"/>
      <c r="BK177" s="577"/>
      <c r="BL177" s="577"/>
      <c r="BM177" s="577"/>
      <c r="BN177" s="577"/>
      <c r="BO177" s="577"/>
      <c r="BP177" s="577"/>
      <c r="BQ177" s="577"/>
      <c r="BR177" s="577"/>
      <c r="BS177" s="577"/>
      <c r="BT177" s="577"/>
      <c r="BU177" s="577"/>
      <c r="BV177" s="577"/>
      <c r="BW177" s="577"/>
      <c r="BX177" s="577"/>
      <c r="BY177" s="23"/>
      <c r="BZ177" s="23"/>
    </row>
    <row r="178">
      <c r="R178" s="23"/>
      <c r="S178" s="23"/>
      <c r="T178" s="23"/>
      <c r="U178" s="569"/>
      <c r="V178" s="587"/>
      <c r="W178" s="591"/>
      <c r="X178" s="550"/>
      <c r="Y178" s="550"/>
      <c r="Z178" s="550"/>
      <c r="AA178" s="550"/>
      <c r="AB178" s="550"/>
      <c r="AC178" s="550"/>
      <c r="AD178" s="569"/>
      <c r="AE178" s="569"/>
      <c r="AF178" s="587"/>
      <c r="AG178" s="591"/>
      <c r="AH178" s="591"/>
      <c r="AI178" s="591"/>
      <c r="AJ178" s="591"/>
      <c r="AK178" s="591"/>
      <c r="AL178" s="591"/>
      <c r="AM178" s="591"/>
      <c r="AN178" s="591"/>
      <c r="AO178" s="591"/>
      <c r="AP178" s="591"/>
      <c r="AQ178" s="569"/>
      <c r="AR178" s="569"/>
      <c r="AS178" s="569"/>
      <c r="AT178" s="569"/>
      <c r="AU178" s="569"/>
      <c r="AV178" s="569"/>
      <c r="AW178" s="569"/>
      <c r="AX178" s="569"/>
      <c r="AY178" s="569"/>
      <c r="AZ178" s="569"/>
      <c r="BA178" s="569"/>
      <c r="BB178" s="569"/>
      <c r="BC178" s="569"/>
      <c r="BD178" s="569"/>
      <c r="BE178" s="569"/>
      <c r="BF178" s="569"/>
      <c r="BG178" s="569"/>
      <c r="BH178" s="569"/>
      <c r="BJ178" s="587"/>
      <c r="BK178" s="594"/>
      <c r="BL178" s="594"/>
      <c r="BM178" s="594"/>
      <c r="BN178" s="594"/>
      <c r="BO178" s="594"/>
      <c r="BP178" s="594"/>
      <c r="BQ178" s="594"/>
      <c r="BR178" s="594"/>
      <c r="BS178" s="594"/>
      <c r="BT178" s="594"/>
      <c r="BU178" s="594"/>
      <c r="BV178" s="594"/>
      <c r="BW178" s="594"/>
      <c r="BX178" s="594"/>
      <c r="BY178" s="23"/>
      <c r="BZ178" s="23"/>
    </row>
    <row r="179">
      <c r="R179" s="23"/>
      <c r="S179" s="23"/>
      <c r="T179" s="23"/>
      <c r="U179" s="569"/>
      <c r="V179" s="587"/>
      <c r="W179" s="591"/>
      <c r="X179" s="550"/>
      <c r="Y179" s="550"/>
      <c r="Z179" s="550"/>
      <c r="AA179" s="550"/>
      <c r="AB179" s="550"/>
      <c r="AC179" s="550"/>
      <c r="AD179" s="569"/>
      <c r="AE179" s="569"/>
      <c r="AF179" s="587"/>
      <c r="AG179" s="591"/>
      <c r="AH179" s="591"/>
      <c r="AI179" s="591"/>
      <c r="AJ179" s="591"/>
      <c r="AK179" s="591"/>
      <c r="AL179" s="591"/>
      <c r="AM179" s="591"/>
      <c r="AN179" s="591"/>
      <c r="AO179" s="591"/>
      <c r="AP179" s="591"/>
      <c r="AQ179" s="569"/>
      <c r="AR179" s="569"/>
      <c r="AS179" s="569"/>
      <c r="AT179" s="569"/>
      <c r="AU179" s="569"/>
      <c r="AV179" s="569"/>
      <c r="AW179" s="569"/>
      <c r="AX179" s="569"/>
      <c r="AY179" s="569"/>
      <c r="AZ179" s="569"/>
      <c r="BA179" s="569"/>
      <c r="BB179" s="569"/>
      <c r="BC179" s="569"/>
      <c r="BD179" s="569"/>
      <c r="BE179" s="569"/>
      <c r="BF179" s="569"/>
      <c r="BG179" s="569"/>
      <c r="BH179" s="569"/>
      <c r="BI179" s="589"/>
      <c r="BJ179" s="587"/>
      <c r="BK179" s="577"/>
      <c r="BL179" s="577"/>
      <c r="BM179" s="577"/>
      <c r="BN179" s="577"/>
      <c r="BO179" s="577"/>
      <c r="BP179" s="577"/>
      <c r="BQ179" s="577"/>
      <c r="BR179" s="577"/>
      <c r="BS179" s="577"/>
      <c r="BT179" s="577"/>
      <c r="BU179" s="577"/>
      <c r="BV179" s="577"/>
      <c r="BW179" s="577"/>
      <c r="BX179" s="577"/>
      <c r="BY179" s="23"/>
      <c r="BZ179" s="23"/>
    </row>
    <row r="180">
      <c r="R180" s="23"/>
      <c r="S180" s="23"/>
      <c r="T180" s="23"/>
      <c r="U180" s="569"/>
      <c r="V180" s="569"/>
      <c r="W180" s="569"/>
      <c r="X180" s="569"/>
      <c r="Y180" s="569"/>
      <c r="Z180" s="569"/>
      <c r="AA180" s="569"/>
      <c r="AB180" s="569"/>
      <c r="AC180" s="569"/>
      <c r="AD180" s="569"/>
      <c r="AE180" s="569"/>
      <c r="AF180" s="569"/>
      <c r="AG180" s="569"/>
      <c r="AH180" s="569"/>
      <c r="AI180" s="569"/>
      <c r="AJ180" s="569"/>
      <c r="AK180" s="569"/>
      <c r="AL180" s="569"/>
      <c r="AM180" s="569"/>
      <c r="AN180" s="569"/>
      <c r="AO180" s="569"/>
      <c r="AP180" s="569"/>
      <c r="AQ180" s="569"/>
      <c r="AR180" s="569"/>
      <c r="AS180" s="569"/>
      <c r="AT180" s="569"/>
      <c r="AU180" s="569"/>
      <c r="AV180" s="569"/>
      <c r="AW180" s="569"/>
      <c r="AX180" s="569"/>
      <c r="AY180" s="569"/>
      <c r="AZ180" s="569"/>
      <c r="BA180" s="569"/>
      <c r="BB180" s="569"/>
      <c r="BC180" s="569"/>
      <c r="BD180" s="569"/>
      <c r="BE180" s="569"/>
      <c r="BF180" s="569"/>
      <c r="BG180" s="569"/>
      <c r="BH180" s="569"/>
      <c r="BI180" s="589"/>
      <c r="BJ180" s="587"/>
      <c r="BK180" s="594"/>
      <c r="BL180" s="594"/>
      <c r="BM180" s="594"/>
      <c r="BN180" s="594"/>
      <c r="BO180" s="594"/>
      <c r="BP180" s="594"/>
      <c r="BQ180" s="594"/>
      <c r="BR180" s="594"/>
      <c r="BS180" s="594"/>
      <c r="BT180" s="594"/>
      <c r="BU180" s="594"/>
      <c r="BV180" s="594"/>
      <c r="BW180" s="594"/>
      <c r="BX180" s="594"/>
      <c r="BY180" s="23"/>
      <c r="BZ180" s="23"/>
    </row>
    <row r="181">
      <c r="R181" s="23"/>
      <c r="S181" s="23"/>
      <c r="T181" s="23"/>
      <c r="U181" s="569"/>
      <c r="V181" s="569"/>
      <c r="W181" s="569"/>
      <c r="X181" s="569"/>
      <c r="Y181" s="569"/>
      <c r="Z181" s="569"/>
      <c r="AA181" s="569"/>
      <c r="AB181" s="569"/>
      <c r="AC181" s="569"/>
      <c r="AD181" s="569"/>
      <c r="AE181" s="569"/>
      <c r="AF181" s="569"/>
      <c r="AG181" s="569"/>
      <c r="AH181" s="569"/>
      <c r="AI181" s="569"/>
      <c r="AJ181" s="569"/>
      <c r="AK181" s="569"/>
      <c r="AL181" s="569"/>
      <c r="AM181" s="569"/>
      <c r="AN181" s="569"/>
      <c r="AO181" s="569"/>
      <c r="AP181" s="569"/>
      <c r="AQ181" s="569"/>
      <c r="AR181" s="569"/>
      <c r="AS181" s="569"/>
      <c r="AT181" s="569"/>
      <c r="AU181" s="569"/>
      <c r="AV181" s="569"/>
      <c r="AW181" s="569"/>
      <c r="AX181" s="569"/>
      <c r="AY181" s="569"/>
      <c r="AZ181" s="569"/>
      <c r="BA181" s="569"/>
      <c r="BB181" s="569"/>
      <c r="BC181" s="569"/>
      <c r="BD181" s="569"/>
      <c r="BE181" s="569"/>
      <c r="BF181" s="569"/>
      <c r="BG181" s="569"/>
      <c r="BH181" s="569"/>
      <c r="BI181" s="569"/>
      <c r="BJ181" s="587"/>
      <c r="BK181" s="594"/>
      <c r="BL181" s="594"/>
      <c r="BM181" s="594"/>
      <c r="BN181" s="594"/>
      <c r="BO181" s="594"/>
      <c r="BP181" s="594"/>
      <c r="BQ181" s="594"/>
      <c r="BR181" s="594"/>
      <c r="BS181" s="594"/>
      <c r="BT181" s="594"/>
      <c r="BU181" s="594"/>
      <c r="BV181" s="594"/>
      <c r="BW181" s="594"/>
      <c r="BX181" s="594"/>
      <c r="BY181" s="23"/>
      <c r="BZ181" s="23"/>
    </row>
    <row r="182">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171"/>
      <c r="BO182" s="23"/>
      <c r="BP182" s="23"/>
      <c r="BQ182" s="23"/>
      <c r="BR182" s="23"/>
      <c r="BS182" s="23"/>
      <c r="BT182" s="23"/>
      <c r="BU182" s="23"/>
      <c r="BV182" s="23"/>
      <c r="BW182" s="23"/>
      <c r="BX182" s="23"/>
      <c r="BY182" s="23"/>
      <c r="BZ182" s="23"/>
    </row>
    <row r="18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171"/>
      <c r="BO183" s="23"/>
      <c r="BP183" s="23"/>
      <c r="BQ183" s="23"/>
      <c r="BR183" s="23"/>
      <c r="BS183" s="23"/>
      <c r="BT183" s="23"/>
      <c r="BU183" s="23"/>
      <c r="BV183" s="23"/>
      <c r="BW183" s="23"/>
      <c r="BX183" s="23"/>
      <c r="BY183" s="23"/>
      <c r="BZ183" s="23"/>
    </row>
    <row r="184">
      <c r="R184" s="524"/>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171"/>
      <c r="BO184" s="23"/>
      <c r="BP184" s="23"/>
      <c r="BQ184" s="23"/>
      <c r="BR184" s="23"/>
      <c r="BS184" s="23"/>
      <c r="BT184" s="23"/>
      <c r="BU184" s="23"/>
      <c r="BV184" s="23"/>
      <c r="BW184" s="23"/>
      <c r="BX184" s="23"/>
      <c r="BY184" s="23"/>
      <c r="BZ184" s="23"/>
    </row>
    <row r="185">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171"/>
      <c r="BO185" s="23"/>
      <c r="BP185" s="23"/>
      <c r="BQ185" s="23"/>
      <c r="BR185" s="23"/>
      <c r="BS185" s="23"/>
      <c r="BT185" s="23"/>
      <c r="BU185" s="23"/>
      <c r="BV185" s="23"/>
      <c r="BW185" s="23"/>
      <c r="BX185" s="23"/>
      <c r="BY185" s="23"/>
      <c r="BZ185" s="23"/>
    </row>
    <row r="186">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171"/>
      <c r="BI186" s="171"/>
      <c r="BJ186" s="171"/>
      <c r="BK186" s="171"/>
      <c r="BL186" s="171"/>
      <c r="BM186" s="23"/>
      <c r="BN186" s="171"/>
      <c r="BO186" s="23"/>
      <c r="BP186" s="23"/>
      <c r="BQ186" s="23"/>
      <c r="BR186" s="23"/>
      <c r="BS186" s="23"/>
      <c r="BT186" s="23"/>
      <c r="BU186" s="23"/>
      <c r="BV186" s="23"/>
      <c r="BW186" s="23"/>
      <c r="BX186" s="23"/>
      <c r="BY186" s="23"/>
      <c r="BZ186" s="23"/>
    </row>
    <row r="187">
      <c r="D187" s="213"/>
      <c r="G187" s="214"/>
      <c r="H187" s="214"/>
      <c r="I187" s="214"/>
      <c r="J187" s="214"/>
      <c r="K187" s="214"/>
      <c r="L187" s="214"/>
      <c r="M187" s="214"/>
      <c r="N187" s="214"/>
      <c r="O187" s="214"/>
      <c r="P187" s="214"/>
      <c r="Q187" s="214"/>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172"/>
      <c r="BI187" s="172"/>
      <c r="BJ187" s="172"/>
      <c r="BK187" s="172"/>
      <c r="BL187" s="172"/>
      <c r="BM187" s="23"/>
      <c r="BN187" s="171"/>
      <c r="BO187" s="23"/>
      <c r="BP187" s="23"/>
      <c r="BQ187" s="23"/>
      <c r="BR187" s="23"/>
      <c r="BS187" s="23"/>
      <c r="BT187" s="23"/>
      <c r="BU187" s="23"/>
      <c r="BV187" s="23"/>
      <c r="BW187" s="23"/>
      <c r="BX187" s="23"/>
      <c r="BY187" s="23"/>
      <c r="BZ187" s="23"/>
    </row>
    <row r="188">
      <c r="D188" s="173"/>
      <c r="E188" s="216"/>
      <c r="F188" s="214"/>
      <c r="G188" s="214"/>
      <c r="H188" s="214"/>
      <c r="I188" s="214"/>
      <c r="J188" s="214"/>
      <c r="K188" s="214"/>
      <c r="L188" s="214"/>
      <c r="M188" s="214"/>
      <c r="N188" s="214"/>
      <c r="O188" s="214"/>
      <c r="P188" s="214"/>
      <c r="Q188" s="214"/>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173"/>
      <c r="BI188" s="173"/>
      <c r="BJ188" s="173"/>
      <c r="BK188" s="173"/>
      <c r="BL188" s="173"/>
      <c r="BM188" s="23"/>
      <c r="BN188" s="171"/>
      <c r="BO188" s="23"/>
      <c r="BP188" s="23"/>
      <c r="BQ188" s="23"/>
      <c r="BR188" s="23"/>
      <c r="BS188" s="23"/>
      <c r="BT188" s="23"/>
      <c r="BU188" s="23"/>
      <c r="BV188" s="23"/>
      <c r="BW188" s="23"/>
      <c r="BX188" s="23"/>
      <c r="BY188" s="23"/>
      <c r="BZ188" s="23"/>
    </row>
    <row r="189">
      <c r="D189" s="173"/>
      <c r="E189" s="216"/>
      <c r="F189" s="214"/>
      <c r="G189" s="174"/>
      <c r="H189" s="174"/>
      <c r="I189" s="174"/>
      <c r="J189" s="174"/>
      <c r="K189" s="174"/>
      <c r="L189" s="174"/>
      <c r="M189" s="174"/>
      <c r="N189" s="174"/>
      <c r="O189" s="174"/>
      <c r="P189" s="174"/>
      <c r="Q189" s="174"/>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174"/>
      <c r="BI189" s="174"/>
      <c r="BJ189" s="174"/>
      <c r="BK189" s="174"/>
      <c r="BL189" s="174"/>
      <c r="BM189" s="23"/>
      <c r="BN189" s="171"/>
      <c r="BO189" s="23"/>
      <c r="BP189" s="23"/>
      <c r="BQ189" s="23"/>
      <c r="BR189" s="23"/>
      <c r="BS189" s="23"/>
      <c r="BT189" s="23"/>
      <c r="BU189" s="23"/>
      <c r="BV189" s="23"/>
      <c r="BW189" s="23"/>
      <c r="BX189" s="23"/>
      <c r="BY189" s="23"/>
      <c r="BZ189" s="23"/>
    </row>
    <row r="190">
      <c r="D190" s="218"/>
      <c r="E190" s="219"/>
      <c r="F190" s="174"/>
      <c r="G190" s="220"/>
      <c r="H190" s="220"/>
      <c r="I190" s="220"/>
      <c r="J190" s="220"/>
      <c r="K190" s="220"/>
      <c r="L190" s="220"/>
      <c r="M190" s="220"/>
      <c r="N190" s="220"/>
      <c r="O190" s="220"/>
      <c r="P190" s="220"/>
      <c r="Q190" s="220"/>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175"/>
      <c r="BI190" s="175"/>
      <c r="BJ190" s="175"/>
      <c r="BK190" s="175"/>
      <c r="BL190" s="175"/>
      <c r="BM190" s="23"/>
      <c r="BN190" s="171"/>
      <c r="BO190" s="23"/>
      <c r="BP190" s="23"/>
      <c r="BQ190" s="23"/>
      <c r="BR190" s="23"/>
      <c r="BS190" s="23"/>
      <c r="BT190" s="23"/>
      <c r="BU190" s="23"/>
      <c r="BV190" s="23"/>
      <c r="BW190" s="23"/>
      <c r="BX190" s="23"/>
      <c r="BY190" s="23"/>
      <c r="BZ190" s="23"/>
    </row>
    <row r="191">
      <c r="E191" s="174"/>
      <c r="F191" s="220"/>
      <c r="G191" s="175"/>
      <c r="H191" s="175"/>
      <c r="I191" s="175"/>
      <c r="J191" s="175"/>
      <c r="K191" s="175"/>
      <c r="L191" s="175"/>
      <c r="M191" s="175"/>
      <c r="N191" s="175"/>
      <c r="O191" s="175"/>
      <c r="P191" s="175"/>
      <c r="Q191" s="175"/>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175"/>
      <c r="BI191" s="175"/>
      <c r="BJ191" s="175"/>
      <c r="BK191" s="175"/>
      <c r="BL191" s="175"/>
      <c r="BM191" s="23"/>
      <c r="BN191" s="171"/>
      <c r="BO191" s="23"/>
      <c r="BP191" s="23"/>
      <c r="BQ191" s="23"/>
      <c r="BR191" s="23"/>
      <c r="BS191" s="23"/>
      <c r="BT191" s="23"/>
      <c r="BU191" s="23"/>
      <c r="BV191" s="23"/>
      <c r="BW191" s="23"/>
      <c r="BX191" s="23"/>
      <c r="BY191" s="23"/>
      <c r="BZ191" s="23"/>
    </row>
    <row r="192">
      <c r="E192" s="174"/>
      <c r="F192" s="175"/>
      <c r="G192" s="220"/>
      <c r="H192" s="220"/>
      <c r="I192" s="220"/>
      <c r="J192" s="220"/>
      <c r="K192" s="220"/>
      <c r="L192" s="220"/>
      <c r="M192" s="220"/>
      <c r="N192" s="220"/>
      <c r="O192" s="220"/>
      <c r="P192" s="220"/>
      <c r="Q192" s="220"/>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175"/>
      <c r="BI192" s="175"/>
      <c r="BJ192" s="175"/>
      <c r="BK192" s="175"/>
      <c r="BL192" s="175"/>
      <c r="BM192" s="23"/>
      <c r="BN192" s="171"/>
      <c r="BO192" s="23"/>
      <c r="BP192" s="23"/>
      <c r="BQ192" s="23"/>
      <c r="BR192" s="23"/>
      <c r="BS192" s="23"/>
      <c r="BT192" s="23"/>
      <c r="BU192" s="23"/>
      <c r="BV192" s="23"/>
      <c r="BW192" s="23"/>
      <c r="BX192" s="23"/>
      <c r="BY192" s="23"/>
      <c r="BZ192" s="23"/>
    </row>
    <row r="193">
      <c r="E193" s="174"/>
      <c r="F193" s="220"/>
      <c r="G193" s="220"/>
      <c r="H193" s="220"/>
      <c r="I193" s="220"/>
      <c r="J193" s="220"/>
      <c r="K193" s="220"/>
      <c r="L193" s="220"/>
      <c r="M193" s="220"/>
      <c r="N193" s="220"/>
      <c r="O193" s="220"/>
      <c r="P193" s="220"/>
      <c r="Q193" s="220"/>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175"/>
      <c r="BI193" s="175"/>
      <c r="BJ193" s="175"/>
      <c r="BK193" s="175"/>
      <c r="BL193" s="175"/>
      <c r="BM193" s="23"/>
      <c r="BN193" s="171"/>
      <c r="BO193" s="23"/>
      <c r="BP193" s="23"/>
      <c r="BQ193" s="23"/>
      <c r="BR193" s="23"/>
      <c r="BS193" s="23"/>
      <c r="BT193" s="23"/>
      <c r="BU193" s="23"/>
      <c r="BV193" s="23"/>
      <c r="BW193" s="23"/>
      <c r="BX193" s="23"/>
      <c r="BY193" s="23"/>
      <c r="BZ193" s="23"/>
    </row>
    <row r="194">
      <c r="E194" s="174"/>
      <c r="F194" s="220"/>
      <c r="G194" s="220"/>
      <c r="H194" s="220"/>
      <c r="I194" s="220"/>
      <c r="J194" s="220"/>
      <c r="K194" s="220"/>
      <c r="L194" s="220"/>
      <c r="M194" s="220"/>
      <c r="N194" s="220"/>
      <c r="O194" s="220"/>
      <c r="P194" s="220"/>
      <c r="Q194" s="220"/>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175"/>
      <c r="BI194" s="175"/>
      <c r="BJ194" s="175"/>
      <c r="BK194" s="175"/>
      <c r="BL194" s="175"/>
      <c r="BM194" s="23"/>
      <c r="BN194" s="171"/>
      <c r="BO194" s="23"/>
      <c r="BP194" s="23"/>
      <c r="BQ194" s="23"/>
      <c r="BR194" s="23"/>
      <c r="BS194" s="23"/>
      <c r="BT194" s="23"/>
      <c r="BU194" s="23"/>
      <c r="BV194" s="23"/>
      <c r="BW194" s="23"/>
      <c r="BX194" s="23"/>
      <c r="BY194" s="23"/>
      <c r="BZ194" s="23"/>
    </row>
    <row r="195">
      <c r="E195" s="174"/>
      <c r="F195" s="220"/>
      <c r="G195" s="220"/>
      <c r="H195" s="220"/>
      <c r="I195" s="220"/>
      <c r="J195" s="220"/>
      <c r="K195" s="220"/>
      <c r="L195" s="220"/>
      <c r="M195" s="220"/>
      <c r="N195" s="220"/>
      <c r="O195" s="220"/>
      <c r="P195" s="220"/>
      <c r="Q195" s="220"/>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175"/>
      <c r="BI195" s="175"/>
      <c r="BJ195" s="175"/>
      <c r="BK195" s="175"/>
      <c r="BL195" s="175"/>
      <c r="BM195" s="23"/>
      <c r="BN195" s="23"/>
      <c r="BO195" s="23"/>
      <c r="BP195" s="23"/>
      <c r="BQ195" s="23"/>
      <c r="BR195" s="23"/>
      <c r="BS195" s="23"/>
      <c r="BT195" s="23"/>
      <c r="BU195" s="23"/>
      <c r="BV195" s="23"/>
      <c r="BW195" s="23"/>
      <c r="BX195" s="23"/>
      <c r="BY195" s="23"/>
      <c r="BZ195" s="23"/>
    </row>
    <row r="196">
      <c r="E196" s="174"/>
      <c r="F196" s="220"/>
      <c r="G196" s="220"/>
      <c r="H196" s="220"/>
      <c r="I196" s="220"/>
      <c r="J196" s="220"/>
      <c r="K196" s="220"/>
      <c r="L196" s="220"/>
      <c r="M196" s="220"/>
      <c r="N196" s="220"/>
      <c r="O196" s="220"/>
      <c r="P196" s="220"/>
      <c r="Q196" s="220"/>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175"/>
      <c r="BI196" s="175"/>
      <c r="BJ196" s="175"/>
      <c r="BK196" s="175"/>
      <c r="BL196" s="175"/>
      <c r="BM196" s="23"/>
      <c r="BN196" s="23"/>
      <c r="BO196" s="23"/>
      <c r="BP196" s="23"/>
      <c r="BQ196" s="23"/>
      <c r="BR196" s="23"/>
      <c r="BS196" s="23"/>
      <c r="BT196" s="23"/>
      <c r="BU196" s="23"/>
      <c r="BV196" s="23"/>
      <c r="BW196" s="23"/>
      <c r="BX196" s="23"/>
      <c r="BY196" s="23"/>
      <c r="BZ196" s="23"/>
    </row>
    <row r="197">
      <c r="E197" s="174"/>
      <c r="F197" s="220"/>
      <c r="G197" s="220"/>
      <c r="H197" s="220"/>
      <c r="I197" s="220"/>
      <c r="J197" s="220"/>
      <c r="K197" s="220"/>
      <c r="L197" s="220"/>
      <c r="M197" s="220"/>
      <c r="N197" s="220"/>
      <c r="O197" s="220"/>
      <c r="P197" s="220"/>
      <c r="Q197" s="220"/>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175"/>
      <c r="BI197" s="175"/>
      <c r="BJ197" s="175"/>
      <c r="BK197" s="175"/>
      <c r="BL197" s="175"/>
      <c r="BM197" s="23"/>
      <c r="BN197" s="23"/>
      <c r="BO197" s="23"/>
      <c r="BP197" s="23"/>
      <c r="BQ197" s="23"/>
      <c r="BR197" s="23"/>
      <c r="BS197" s="23"/>
      <c r="BT197" s="23"/>
      <c r="BU197" s="23"/>
      <c r="BV197" s="23"/>
      <c r="BW197" s="23"/>
      <c r="BX197" s="23"/>
      <c r="BY197" s="23"/>
      <c r="BZ197" s="23"/>
    </row>
    <row r="198">
      <c r="E198" s="174"/>
      <c r="F198" s="220"/>
      <c r="G198" s="175"/>
      <c r="H198" s="175"/>
      <c r="I198" s="175"/>
      <c r="J198" s="175"/>
      <c r="K198" s="175"/>
      <c r="L198" s="175"/>
      <c r="M198" s="175"/>
      <c r="N198" s="175"/>
      <c r="O198" s="175"/>
      <c r="P198" s="175"/>
      <c r="Q198" s="175"/>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175"/>
      <c r="BI198" s="175"/>
      <c r="BJ198" s="175"/>
      <c r="BK198" s="175"/>
      <c r="BL198" s="175"/>
      <c r="BM198" s="23"/>
      <c r="BN198" s="23"/>
      <c r="BO198" s="23"/>
      <c r="BP198" s="23"/>
      <c r="BQ198" s="23"/>
      <c r="BR198" s="23"/>
      <c r="BS198" s="23"/>
      <c r="BT198" s="23"/>
      <c r="BU198" s="23"/>
      <c r="BV198" s="23"/>
      <c r="BW198" s="23"/>
      <c r="BX198" s="23"/>
      <c r="BY198" s="23"/>
      <c r="BZ198" s="23"/>
    </row>
    <row r="199">
      <c r="E199" s="174"/>
      <c r="F199" s="175"/>
      <c r="G199" s="220"/>
      <c r="H199" s="220"/>
      <c r="I199" s="220"/>
      <c r="J199" s="220"/>
      <c r="K199" s="220"/>
      <c r="L199" s="220"/>
      <c r="M199" s="220"/>
      <c r="N199" s="220"/>
      <c r="O199" s="220"/>
      <c r="P199" s="220"/>
      <c r="Q199" s="220"/>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175"/>
      <c r="BI199" s="175"/>
      <c r="BJ199" s="175"/>
      <c r="BK199" s="175"/>
      <c r="BL199" s="175"/>
      <c r="BM199" s="23"/>
      <c r="BN199" s="23"/>
      <c r="BO199" s="23"/>
      <c r="BP199" s="23"/>
      <c r="BQ199" s="23"/>
      <c r="BR199" s="23"/>
      <c r="BS199" s="23"/>
      <c r="BT199" s="23"/>
      <c r="BU199" s="23"/>
      <c r="BV199" s="23"/>
      <c r="BW199" s="23"/>
      <c r="BX199" s="23"/>
      <c r="BY199" s="23"/>
      <c r="BZ199" s="23"/>
    </row>
    <row r="200">
      <c r="E200" s="174"/>
      <c r="F200" s="220"/>
      <c r="G200" s="220"/>
      <c r="H200" s="220"/>
      <c r="I200" s="220"/>
      <c r="J200" s="220"/>
      <c r="K200" s="220"/>
      <c r="L200" s="220"/>
      <c r="M200" s="220"/>
      <c r="N200" s="220"/>
      <c r="O200" s="220"/>
      <c r="P200" s="220"/>
      <c r="Q200" s="220"/>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175"/>
      <c r="BI200" s="175"/>
      <c r="BJ200" s="175"/>
      <c r="BK200" s="175"/>
      <c r="BL200" s="175"/>
      <c r="BM200" s="23"/>
      <c r="BN200" s="23"/>
      <c r="BO200" s="23"/>
      <c r="BP200" s="23"/>
      <c r="BQ200" s="23"/>
      <c r="BR200" s="23"/>
      <c r="BS200" s="23"/>
      <c r="BT200" s="23"/>
      <c r="BU200" s="23"/>
      <c r="BV200" s="23"/>
      <c r="BW200" s="23"/>
      <c r="BX200" s="23"/>
      <c r="BY200" s="23"/>
      <c r="BZ200" s="23"/>
    </row>
    <row r="201">
      <c r="E201" s="174"/>
      <c r="F201" s="220"/>
      <c r="G201" s="220"/>
      <c r="H201" s="220"/>
      <c r="I201" s="220"/>
      <c r="J201" s="220"/>
      <c r="K201" s="220"/>
      <c r="L201" s="220"/>
      <c r="M201" s="220"/>
      <c r="N201" s="220"/>
      <c r="O201" s="220"/>
      <c r="P201" s="220"/>
      <c r="Q201" s="220"/>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175"/>
      <c r="BI201" s="175"/>
      <c r="BJ201" s="175"/>
      <c r="BK201" s="175"/>
      <c r="BL201" s="175"/>
      <c r="BM201" s="23"/>
      <c r="BN201" s="23"/>
      <c r="BO201" s="23"/>
      <c r="BP201" s="23"/>
      <c r="BQ201" s="23"/>
      <c r="BR201" s="23"/>
      <c r="BS201" s="23"/>
      <c r="BT201" s="23"/>
      <c r="BU201" s="23"/>
      <c r="BV201" s="23"/>
      <c r="BW201" s="23"/>
      <c r="BX201" s="23"/>
      <c r="BY201" s="23"/>
      <c r="BZ201" s="23"/>
    </row>
    <row r="202">
      <c r="E202" s="174"/>
      <c r="F202" s="220"/>
      <c r="G202" s="220"/>
      <c r="H202" s="220"/>
      <c r="I202" s="220"/>
      <c r="J202" s="220"/>
      <c r="K202" s="220"/>
      <c r="L202" s="220"/>
      <c r="M202" s="220"/>
      <c r="N202" s="220"/>
      <c r="O202" s="220"/>
      <c r="P202" s="220"/>
      <c r="Q202" s="220"/>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175"/>
      <c r="BI202" s="175"/>
      <c r="BJ202" s="175"/>
      <c r="BK202" s="175"/>
      <c r="BL202" s="175"/>
      <c r="BM202" s="23"/>
      <c r="BN202" s="23"/>
      <c r="BO202" s="23"/>
      <c r="BP202" s="23"/>
      <c r="BQ202" s="23"/>
      <c r="BR202" s="23"/>
      <c r="BS202" s="23"/>
      <c r="BT202" s="23"/>
      <c r="BU202" s="23"/>
      <c r="BV202" s="23"/>
      <c r="BW202" s="23"/>
      <c r="BX202" s="23"/>
      <c r="BY202" s="23"/>
      <c r="BZ202" s="23"/>
    </row>
    <row r="203">
      <c r="E203" s="174"/>
      <c r="F203" s="220"/>
      <c r="G203" s="220"/>
      <c r="H203" s="220"/>
      <c r="I203" s="220"/>
      <c r="J203" s="220"/>
      <c r="K203" s="220"/>
      <c r="L203" s="220"/>
      <c r="M203" s="220"/>
      <c r="N203" s="220"/>
      <c r="O203" s="220"/>
      <c r="P203" s="220"/>
      <c r="Q203" s="220"/>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175"/>
      <c r="BI203" s="175"/>
      <c r="BJ203" s="175"/>
      <c r="BK203" s="175"/>
      <c r="BL203" s="175"/>
      <c r="BM203" s="23"/>
      <c r="BN203" s="23"/>
      <c r="BO203" s="23"/>
      <c r="BP203" s="23"/>
      <c r="BQ203" s="23"/>
      <c r="BR203" s="23"/>
      <c r="BS203" s="23"/>
      <c r="BT203" s="23"/>
      <c r="BU203" s="23"/>
      <c r="BV203" s="23"/>
      <c r="BW203" s="23"/>
      <c r="BX203" s="23"/>
      <c r="BY203" s="23"/>
      <c r="BZ203" s="23"/>
    </row>
    <row r="204">
      <c r="E204" s="174"/>
      <c r="F204" s="220"/>
      <c r="G204" s="220"/>
      <c r="H204" s="220"/>
      <c r="I204" s="220"/>
      <c r="J204" s="220"/>
      <c r="K204" s="220"/>
      <c r="L204" s="220"/>
      <c r="M204" s="220"/>
      <c r="N204" s="220"/>
      <c r="O204" s="220"/>
      <c r="P204" s="220"/>
      <c r="Q204" s="220"/>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175"/>
      <c r="BI204" s="175"/>
      <c r="BJ204" s="175"/>
      <c r="BK204" s="175"/>
      <c r="BL204" s="175"/>
      <c r="BM204" s="23"/>
      <c r="BN204" s="23"/>
      <c r="BO204" s="23"/>
      <c r="BP204" s="23"/>
      <c r="BQ204" s="23"/>
      <c r="BR204" s="23"/>
      <c r="BS204" s="23"/>
      <c r="BT204" s="23"/>
      <c r="BU204" s="23"/>
      <c r="BV204" s="23"/>
      <c r="BW204" s="23"/>
      <c r="BX204" s="23"/>
      <c r="BY204" s="23"/>
      <c r="BZ204" s="23"/>
    </row>
    <row r="205">
      <c r="E205" s="174"/>
      <c r="F205" s="220"/>
      <c r="G205" s="220"/>
      <c r="H205" s="220"/>
      <c r="I205" s="220"/>
      <c r="J205" s="220"/>
      <c r="K205" s="220"/>
      <c r="L205" s="220"/>
      <c r="M205" s="220"/>
      <c r="N205" s="220"/>
      <c r="O205" s="220"/>
      <c r="P205" s="220"/>
      <c r="Q205" s="220"/>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175"/>
      <c r="BI205" s="175"/>
      <c r="BJ205" s="175"/>
      <c r="BK205" s="175"/>
      <c r="BL205" s="175"/>
      <c r="BM205" s="23"/>
      <c r="BN205" s="23"/>
      <c r="BO205" s="23"/>
      <c r="BP205" s="23"/>
      <c r="BQ205" s="23"/>
      <c r="BR205" s="23"/>
      <c r="BS205" s="23"/>
      <c r="BT205" s="23"/>
      <c r="BU205" s="23"/>
      <c r="BV205" s="23"/>
      <c r="BW205" s="23"/>
      <c r="BX205" s="23"/>
      <c r="BY205" s="23"/>
      <c r="BZ205" s="23"/>
    </row>
    <row r="206">
      <c r="E206" s="174"/>
      <c r="F206" s="220"/>
      <c r="G206" s="220"/>
      <c r="H206" s="220"/>
      <c r="I206" s="220"/>
      <c r="J206" s="220"/>
      <c r="K206" s="220"/>
      <c r="L206" s="220"/>
      <c r="M206" s="220"/>
      <c r="N206" s="220"/>
      <c r="O206" s="220"/>
      <c r="P206" s="220"/>
      <c r="Q206" s="220"/>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175"/>
      <c r="BI206" s="175"/>
      <c r="BJ206" s="175"/>
      <c r="BK206" s="175"/>
      <c r="BL206" s="175"/>
      <c r="BM206" s="23"/>
      <c r="BN206" s="23"/>
      <c r="BO206" s="23"/>
      <c r="BP206" s="23"/>
      <c r="BQ206" s="23"/>
      <c r="BR206" s="23"/>
      <c r="BS206" s="23"/>
      <c r="BT206" s="23"/>
      <c r="BU206" s="23"/>
      <c r="BV206" s="23"/>
      <c r="BW206" s="23"/>
      <c r="BX206" s="23"/>
      <c r="BY206" s="23"/>
      <c r="BZ206" s="23"/>
    </row>
    <row r="207">
      <c r="E207" s="174"/>
      <c r="F207" s="220"/>
      <c r="G207" s="220"/>
      <c r="H207" s="220"/>
      <c r="I207" s="220"/>
      <c r="J207" s="220"/>
      <c r="K207" s="220"/>
      <c r="L207" s="220"/>
      <c r="M207" s="220"/>
      <c r="N207" s="220"/>
      <c r="O207" s="220"/>
      <c r="P207" s="220"/>
      <c r="Q207" s="220"/>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23"/>
      <c r="BP207" s="23"/>
      <c r="BQ207" s="23"/>
      <c r="BR207" s="23"/>
      <c r="BS207" s="23"/>
      <c r="BT207" s="23"/>
      <c r="BU207" s="23"/>
      <c r="BV207" s="23"/>
      <c r="BW207" s="23"/>
      <c r="BX207" s="23"/>
      <c r="BY207" s="23"/>
      <c r="BZ207" s="23"/>
    </row>
    <row r="208">
      <c r="E208" s="174"/>
      <c r="F208" s="220"/>
      <c r="G208" s="220"/>
      <c r="H208" s="220"/>
      <c r="I208" s="220"/>
      <c r="J208" s="220"/>
      <c r="K208" s="220"/>
      <c r="L208" s="220"/>
      <c r="M208" s="220"/>
      <c r="N208" s="220"/>
      <c r="O208" s="220"/>
      <c r="P208" s="220"/>
      <c r="Q208" s="220"/>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row>
    <row r="209">
      <c r="E209" s="174"/>
      <c r="F209" s="220"/>
      <c r="G209" s="220"/>
      <c r="H209" s="220"/>
      <c r="I209" s="220"/>
      <c r="J209" s="220"/>
      <c r="K209" s="220"/>
      <c r="L209" s="220"/>
      <c r="M209" s="220"/>
      <c r="N209" s="220"/>
      <c r="O209" s="220"/>
      <c r="P209" s="220"/>
      <c r="Q209" s="220"/>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23"/>
      <c r="BP209" s="23"/>
      <c r="BQ209" s="23"/>
      <c r="BR209" s="23"/>
      <c r="BS209" s="23"/>
      <c r="BT209" s="23"/>
      <c r="BU209" s="23"/>
      <c r="BV209" s="23"/>
      <c r="BW209" s="23"/>
      <c r="BX209" s="23"/>
      <c r="BY209" s="23"/>
      <c r="BZ209" s="23"/>
    </row>
    <row r="210">
      <c r="E210" s="174"/>
      <c r="F210" s="220"/>
      <c r="G210" s="220"/>
      <c r="H210" s="220"/>
      <c r="I210" s="220"/>
      <c r="J210" s="220"/>
      <c r="K210" s="220"/>
      <c r="L210" s="220"/>
      <c r="M210" s="220"/>
      <c r="N210" s="220"/>
      <c r="O210" s="220"/>
      <c r="P210" s="220"/>
      <c r="Q210" s="220"/>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23"/>
      <c r="BP210" s="23"/>
      <c r="BQ210" s="23"/>
      <c r="BR210" s="23"/>
      <c r="BS210" s="23"/>
      <c r="BT210" s="23"/>
      <c r="BU210" s="23"/>
      <c r="BV210" s="23"/>
      <c r="BW210" s="23"/>
      <c r="BX210" s="23"/>
      <c r="BY210" s="23"/>
      <c r="BZ210" s="23"/>
    </row>
    <row r="211">
      <c r="E211" s="174"/>
      <c r="F211" s="220"/>
      <c r="G211" s="220"/>
      <c r="H211" s="220"/>
      <c r="I211" s="220"/>
      <c r="J211" s="220"/>
      <c r="K211" s="220"/>
      <c r="L211" s="220"/>
      <c r="M211" s="220"/>
      <c r="N211" s="220"/>
      <c r="O211" s="220"/>
      <c r="P211" s="220"/>
      <c r="Q211" s="220"/>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c r="BR211" s="23"/>
      <c r="BS211" s="23"/>
      <c r="BT211" s="23"/>
      <c r="BU211" s="23"/>
      <c r="BV211" s="23"/>
      <c r="BW211" s="23"/>
      <c r="BX211" s="23"/>
      <c r="BY211" s="23"/>
      <c r="BZ211" s="23"/>
    </row>
    <row r="212">
      <c r="E212" s="174"/>
      <c r="F212" s="220"/>
      <c r="G212" s="220"/>
      <c r="H212" s="220"/>
      <c r="I212" s="220"/>
      <c r="J212" s="220"/>
      <c r="K212" s="220"/>
      <c r="L212" s="220"/>
      <c r="M212" s="220"/>
      <c r="N212" s="220"/>
      <c r="O212" s="220"/>
      <c r="P212" s="220"/>
      <c r="Q212" s="220"/>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23"/>
      <c r="BP212" s="23"/>
      <c r="BQ212" s="23"/>
      <c r="BR212" s="23"/>
      <c r="BS212" s="23"/>
      <c r="BT212" s="23"/>
      <c r="BU212" s="23"/>
      <c r="BV212" s="23"/>
      <c r="BW212" s="23"/>
      <c r="BX212" s="23"/>
      <c r="BY212" s="23"/>
      <c r="BZ212" s="23"/>
    </row>
    <row r="213">
      <c r="E213" s="174"/>
      <c r="F213" s="220"/>
      <c r="G213" s="220"/>
      <c r="H213" s="220"/>
      <c r="I213" s="220"/>
      <c r="J213" s="220"/>
      <c r="K213" s="220"/>
      <c r="L213" s="220"/>
      <c r="M213" s="220"/>
      <c r="N213" s="220"/>
      <c r="O213" s="220"/>
      <c r="P213" s="220"/>
      <c r="Q213" s="220"/>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23"/>
      <c r="BP213" s="23"/>
      <c r="BQ213" s="23"/>
      <c r="BR213" s="23"/>
      <c r="BS213" s="23"/>
      <c r="BT213" s="23"/>
      <c r="BU213" s="23"/>
      <c r="BV213" s="23"/>
      <c r="BW213" s="23"/>
      <c r="BX213" s="23"/>
      <c r="BY213" s="23"/>
      <c r="BZ213" s="23"/>
    </row>
    <row r="214">
      <c r="E214" s="174"/>
      <c r="F214" s="220"/>
      <c r="G214" s="220"/>
      <c r="H214" s="220"/>
      <c r="I214" s="220"/>
      <c r="J214" s="220"/>
      <c r="K214" s="220"/>
      <c r="L214" s="220"/>
      <c r="M214" s="220"/>
      <c r="N214" s="220"/>
      <c r="O214" s="220"/>
      <c r="P214" s="220"/>
      <c r="Q214" s="220"/>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c r="BW214" s="23"/>
      <c r="BX214" s="23"/>
      <c r="BY214" s="23"/>
      <c r="BZ214" s="23"/>
    </row>
    <row r="215">
      <c r="E215" s="174"/>
      <c r="F215" s="220"/>
      <c r="G215" s="220"/>
      <c r="H215" s="220"/>
      <c r="I215" s="220"/>
      <c r="J215" s="220"/>
      <c r="K215" s="220"/>
      <c r="L215" s="220"/>
      <c r="M215" s="220"/>
      <c r="N215" s="220"/>
      <c r="O215" s="220"/>
      <c r="P215" s="220"/>
      <c r="Q215" s="220"/>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3"/>
      <c r="BV215" s="23"/>
      <c r="BW215" s="23"/>
      <c r="BX215" s="23"/>
      <c r="BY215" s="23"/>
      <c r="BZ215" s="23"/>
    </row>
    <row r="216">
      <c r="E216" s="174"/>
      <c r="F216" s="220"/>
      <c r="G216" s="220"/>
      <c r="H216" s="220"/>
      <c r="I216" s="220"/>
      <c r="J216" s="220"/>
      <c r="K216" s="220"/>
      <c r="L216" s="220"/>
      <c r="M216" s="220"/>
      <c r="N216" s="220"/>
      <c r="O216" s="220"/>
      <c r="P216" s="220"/>
      <c r="Q216" s="220"/>
      <c r="R216" s="23"/>
      <c r="S216" s="23"/>
      <c r="T216" s="23"/>
      <c r="U216" s="580"/>
      <c r="V216" s="569"/>
      <c r="W216" s="569"/>
      <c r="X216" s="569"/>
      <c r="Y216" s="569"/>
      <c r="Z216" s="569"/>
      <c r="AA216" s="569"/>
      <c r="AB216" s="569"/>
      <c r="AC216" s="569"/>
      <c r="AD216" s="569"/>
      <c r="AE216" s="580"/>
      <c r="AF216" s="569"/>
      <c r="AG216" s="569"/>
      <c r="AH216" s="569"/>
      <c r="AI216" s="569"/>
      <c r="AJ216" s="569"/>
      <c r="AK216" s="569"/>
      <c r="AL216" s="569"/>
      <c r="AM216" s="569"/>
      <c r="AN216" s="569"/>
      <c r="AO216" s="569"/>
      <c r="AP216" s="569"/>
      <c r="AQ216" s="569"/>
      <c r="AR216" s="580"/>
      <c r="AS216" s="569"/>
      <c r="AT216" s="569"/>
      <c r="AU216" s="569"/>
      <c r="AV216" s="569"/>
      <c r="AW216" s="569"/>
      <c r="AX216" s="569"/>
      <c r="AY216" s="569"/>
      <c r="AZ216" s="569"/>
      <c r="BA216" s="569"/>
      <c r="BB216" s="569"/>
      <c r="BC216" s="569"/>
      <c r="BD216" s="569"/>
      <c r="BE216" s="569"/>
      <c r="BF216" s="569"/>
      <c r="BG216" s="569"/>
      <c r="BH216" s="569"/>
      <c r="BI216" s="580"/>
      <c r="BJ216" s="569"/>
      <c r="BK216" s="569"/>
      <c r="BL216" s="569"/>
      <c r="BM216" s="569"/>
      <c r="BN216" s="569"/>
      <c r="BO216" s="569"/>
      <c r="BP216" s="569"/>
      <c r="BQ216" s="569"/>
      <c r="BR216" s="569"/>
      <c r="BS216" s="569"/>
      <c r="BT216" s="569"/>
      <c r="BU216" s="569"/>
      <c r="BV216" s="569"/>
      <c r="BW216" s="569"/>
      <c r="BX216" s="569"/>
      <c r="BY216" s="23"/>
      <c r="BZ216" s="23"/>
    </row>
    <row r="217">
      <c r="E217" s="174"/>
      <c r="F217" s="220"/>
      <c r="G217" s="220"/>
      <c r="H217" s="220"/>
      <c r="I217" s="220"/>
      <c r="J217" s="220"/>
      <c r="K217" s="220"/>
      <c r="L217" s="220"/>
      <c r="M217" s="220"/>
      <c r="N217" s="220"/>
      <c r="O217" s="220"/>
      <c r="P217" s="220"/>
      <c r="Q217" s="220"/>
      <c r="R217" s="23"/>
      <c r="S217" s="23"/>
      <c r="T217" s="23"/>
      <c r="U217" s="581"/>
      <c r="AD217" s="569"/>
      <c r="AE217" s="584"/>
      <c r="AF217" s="553"/>
      <c r="AG217" s="553"/>
      <c r="AH217" s="553"/>
      <c r="AI217" s="596"/>
      <c r="AJ217" s="596"/>
      <c r="AK217" s="596"/>
      <c r="AL217" s="596"/>
      <c r="AM217" s="596"/>
      <c r="AN217" s="596"/>
      <c r="AO217" s="596"/>
      <c r="AP217" s="596"/>
      <c r="AQ217" s="569"/>
      <c r="AR217" s="584"/>
      <c r="AS217" s="581"/>
      <c r="AT217" s="581"/>
      <c r="BH217" s="569"/>
      <c r="BI217" s="584"/>
      <c r="BJ217" s="581"/>
      <c r="BK217" s="581"/>
      <c r="BY217" s="23"/>
      <c r="BZ217" s="23"/>
    </row>
    <row r="218">
      <c r="E218" s="174"/>
      <c r="F218" s="220"/>
      <c r="G218" s="220"/>
      <c r="H218" s="220"/>
      <c r="I218" s="220"/>
      <c r="J218" s="220"/>
      <c r="K218" s="220"/>
      <c r="L218" s="220"/>
      <c r="M218" s="220"/>
      <c r="N218" s="220"/>
      <c r="O218" s="220"/>
      <c r="P218" s="220"/>
      <c r="Q218" s="220"/>
      <c r="R218" s="23"/>
      <c r="S218" s="23"/>
      <c r="T218" s="23"/>
      <c r="U218" s="553"/>
      <c r="V218" s="544"/>
      <c r="W218" s="543"/>
      <c r="X218" s="543"/>
      <c r="Y218" s="543"/>
      <c r="Z218" s="543"/>
      <c r="AA218" s="543"/>
      <c r="AB218" s="543"/>
      <c r="AC218" s="543"/>
      <c r="AD218" s="596"/>
      <c r="AE218" s="553"/>
      <c r="AF218" s="545"/>
      <c r="AG218" s="546"/>
      <c r="AH218" s="546"/>
      <c r="AI218" s="546"/>
      <c r="AJ218" s="546"/>
      <c r="AK218" s="546"/>
      <c r="AL218" s="546"/>
      <c r="AM218" s="546"/>
      <c r="AN218" s="546"/>
      <c r="AO218" s="546"/>
      <c r="AP218" s="546"/>
      <c r="AQ218" s="569"/>
      <c r="AR218" s="584"/>
      <c r="AS218" s="581"/>
      <c r="AT218" s="581"/>
      <c r="AU218" s="581"/>
      <c r="AV218" s="581"/>
      <c r="AW218" s="581"/>
      <c r="AX218" s="581"/>
      <c r="AY218" s="581"/>
      <c r="AZ218" s="581"/>
      <c r="BA218" s="581"/>
      <c r="BB218" s="581"/>
      <c r="BC218" s="581"/>
      <c r="BD218" s="581"/>
      <c r="BE218" s="581"/>
      <c r="BF218" s="581"/>
      <c r="BG218" s="581"/>
      <c r="BH218" s="569"/>
      <c r="BI218" s="584"/>
      <c r="BJ218" s="581"/>
      <c r="BK218" s="581"/>
      <c r="BL218" s="581"/>
      <c r="BM218" s="581"/>
      <c r="BN218" s="581"/>
      <c r="BO218" s="581"/>
      <c r="BP218" s="581"/>
      <c r="BQ218" s="581"/>
      <c r="BR218" s="581"/>
      <c r="BS218" s="581"/>
      <c r="BT218" s="581"/>
      <c r="BU218" s="581"/>
      <c r="BV218" s="581"/>
      <c r="BW218" s="581"/>
      <c r="BX218" s="581"/>
      <c r="BY218" s="23"/>
      <c r="BZ218" s="23"/>
    </row>
    <row r="219">
      <c r="E219" s="174"/>
      <c r="F219" s="220"/>
      <c r="G219" s="220"/>
      <c r="H219" s="220"/>
      <c r="I219" s="220"/>
      <c r="J219" s="220"/>
      <c r="K219" s="220"/>
      <c r="L219" s="220"/>
      <c r="M219" s="220"/>
      <c r="N219" s="220"/>
      <c r="O219" s="220"/>
      <c r="P219" s="220"/>
      <c r="Q219" s="220"/>
      <c r="R219" s="23"/>
      <c r="S219" s="23"/>
      <c r="T219" s="23"/>
      <c r="U219" s="588"/>
      <c r="V219" s="586"/>
      <c r="W219" s="590"/>
      <c r="X219" s="550"/>
      <c r="Y219" s="550"/>
      <c r="Z219" s="550"/>
      <c r="AA219" s="550"/>
      <c r="AB219" s="550"/>
      <c r="AC219" s="550"/>
      <c r="AD219" s="587"/>
      <c r="AE219" s="588"/>
      <c r="AF219" s="586"/>
      <c r="AG219" s="590"/>
      <c r="AH219" s="590"/>
      <c r="AI219" s="590"/>
      <c r="AJ219" s="590"/>
      <c r="AK219" s="590"/>
      <c r="AL219" s="590"/>
      <c r="AM219" s="590"/>
      <c r="AN219" s="590"/>
      <c r="AO219" s="590"/>
      <c r="AP219" s="590"/>
      <c r="AQ219" s="569"/>
      <c r="AR219" s="584"/>
      <c r="AS219" s="581"/>
      <c r="AT219" s="581"/>
      <c r="AU219" s="581"/>
      <c r="AV219" s="581"/>
      <c r="AW219" s="581"/>
      <c r="AX219" s="581"/>
      <c r="AY219" s="581"/>
      <c r="AZ219" s="581"/>
      <c r="BA219" s="581"/>
      <c r="BB219" s="581"/>
      <c r="BC219" s="581"/>
      <c r="BD219" s="581"/>
      <c r="BE219" s="581"/>
      <c r="BF219" s="581"/>
      <c r="BG219" s="581"/>
      <c r="BH219" s="569"/>
      <c r="BI219" s="584"/>
      <c r="BJ219" s="581"/>
      <c r="BK219" s="581"/>
      <c r="BL219" s="581"/>
      <c r="BM219" s="581"/>
      <c r="BN219" s="581"/>
      <c r="BO219" s="581"/>
      <c r="BP219" s="581"/>
      <c r="BQ219" s="581"/>
      <c r="BR219" s="581"/>
      <c r="BS219" s="581"/>
      <c r="BT219" s="581"/>
      <c r="BU219" s="581"/>
      <c r="BV219" s="581"/>
      <c r="BW219" s="581"/>
      <c r="BX219" s="581"/>
      <c r="BY219" s="23"/>
      <c r="BZ219" s="23"/>
    </row>
    <row r="220">
      <c r="E220" s="174"/>
      <c r="F220" s="220"/>
      <c r="G220" s="220"/>
      <c r="H220" s="220"/>
      <c r="I220" s="220"/>
      <c r="J220" s="220"/>
      <c r="K220" s="220"/>
      <c r="L220" s="220"/>
      <c r="M220" s="220"/>
      <c r="N220" s="220"/>
      <c r="O220" s="220"/>
      <c r="P220" s="220"/>
      <c r="Q220" s="220"/>
      <c r="R220" s="23"/>
      <c r="S220" s="23"/>
      <c r="T220" s="23"/>
      <c r="V220" s="586"/>
      <c r="W220" s="590"/>
      <c r="X220" s="550"/>
      <c r="Y220" s="550"/>
      <c r="Z220" s="550"/>
      <c r="AA220" s="550"/>
      <c r="AB220" s="550"/>
      <c r="AC220" s="550"/>
      <c r="AD220" s="577"/>
      <c r="AF220" s="586"/>
      <c r="AG220" s="591"/>
      <c r="AH220" s="591"/>
      <c r="AI220" s="591"/>
      <c r="AJ220" s="591"/>
      <c r="AK220" s="591"/>
      <c r="AL220" s="591"/>
      <c r="AM220" s="591"/>
      <c r="AN220" s="591"/>
      <c r="AO220" s="591"/>
      <c r="AP220" s="591"/>
      <c r="AQ220" s="569"/>
      <c r="AR220" s="553"/>
      <c r="AS220" s="597"/>
      <c r="AT220" s="586"/>
      <c r="AU220" s="587"/>
      <c r="AV220" s="587"/>
      <c r="AW220" s="587"/>
      <c r="AX220" s="587"/>
      <c r="AY220" s="586"/>
      <c r="AZ220" s="586"/>
      <c r="BA220" s="586"/>
      <c r="BB220" s="586"/>
      <c r="BC220" s="586"/>
      <c r="BD220" s="586"/>
      <c r="BE220" s="586"/>
      <c r="BF220" s="586"/>
      <c r="BG220" s="586"/>
      <c r="BH220" s="569"/>
      <c r="BI220" s="553"/>
      <c r="BJ220" s="597"/>
      <c r="BK220" s="586"/>
      <c r="BL220" s="587"/>
      <c r="BM220" s="587"/>
      <c r="BN220" s="587"/>
      <c r="BO220" s="587"/>
      <c r="BP220" s="586"/>
      <c r="BQ220" s="586"/>
      <c r="BR220" s="586"/>
      <c r="BS220" s="586"/>
      <c r="BT220" s="586"/>
      <c r="BU220" s="586"/>
      <c r="BV220" s="586"/>
      <c r="BW220" s="586"/>
      <c r="BX220" s="586"/>
      <c r="BY220" s="23"/>
      <c r="BZ220" s="23"/>
    </row>
    <row r="221">
      <c r="E221" s="174"/>
      <c r="F221" s="220"/>
      <c r="G221" s="220"/>
      <c r="H221" s="220"/>
      <c r="I221" s="220"/>
      <c r="J221" s="220"/>
      <c r="K221" s="220"/>
      <c r="L221" s="220"/>
      <c r="M221" s="220"/>
      <c r="N221" s="220"/>
      <c r="O221" s="220"/>
      <c r="P221" s="220"/>
      <c r="Q221" s="220"/>
      <c r="R221" s="23"/>
      <c r="S221" s="23"/>
      <c r="T221" s="23"/>
      <c r="V221" s="587"/>
      <c r="W221" s="590"/>
      <c r="X221" s="550"/>
      <c r="Y221" s="550"/>
      <c r="Z221" s="550"/>
      <c r="AA221" s="550"/>
      <c r="AB221" s="550"/>
      <c r="AC221" s="550"/>
      <c r="AD221" s="594"/>
      <c r="AF221" s="587"/>
      <c r="AG221" s="590"/>
      <c r="AH221" s="590"/>
      <c r="AI221" s="590"/>
      <c r="AJ221" s="590"/>
      <c r="AK221" s="590"/>
      <c r="AL221" s="590"/>
      <c r="AM221" s="590"/>
      <c r="AN221" s="590"/>
      <c r="AO221" s="590"/>
      <c r="AP221" s="590"/>
      <c r="AQ221" s="569"/>
      <c r="AR221" s="592"/>
      <c r="AS221" s="593"/>
      <c r="AT221" s="599"/>
      <c r="AU221" s="599"/>
      <c r="AV221" s="599"/>
      <c r="AW221" s="599"/>
      <c r="AX221" s="599"/>
      <c r="AY221" s="599"/>
      <c r="AZ221" s="599"/>
      <c r="BA221" s="599"/>
      <c r="BB221" s="599"/>
      <c r="BC221" s="599"/>
      <c r="BD221" s="599"/>
      <c r="BE221" s="599"/>
      <c r="BF221" s="599"/>
      <c r="BG221" s="599"/>
      <c r="BH221" s="569"/>
      <c r="BI221" s="588"/>
      <c r="BJ221" s="586"/>
      <c r="BK221" s="599"/>
      <c r="BL221" s="599"/>
      <c r="BM221" s="599"/>
      <c r="BN221" s="599"/>
      <c r="BO221" s="599"/>
      <c r="BP221" s="599"/>
      <c r="BQ221" s="599"/>
      <c r="BR221" s="599"/>
      <c r="BS221" s="599"/>
      <c r="BT221" s="599"/>
      <c r="BU221" s="599"/>
      <c r="BV221" s="599"/>
      <c r="BW221" s="599"/>
      <c r="BX221" s="599"/>
      <c r="BY221" s="23"/>
      <c r="BZ221" s="23"/>
    </row>
    <row r="222">
      <c r="E222" s="174"/>
      <c r="F222" s="220"/>
      <c r="G222" s="220"/>
      <c r="H222" s="220"/>
      <c r="I222" s="220"/>
      <c r="J222" s="220"/>
      <c r="K222" s="220"/>
      <c r="L222" s="220"/>
      <c r="M222" s="220"/>
      <c r="N222" s="220"/>
      <c r="O222" s="220"/>
      <c r="P222" s="220"/>
      <c r="Q222" s="220"/>
      <c r="R222" s="214"/>
      <c r="S222" s="214"/>
      <c r="T222" s="214"/>
      <c r="V222" s="587"/>
      <c r="W222" s="590"/>
      <c r="X222" s="550"/>
      <c r="Y222" s="550"/>
      <c r="Z222" s="550"/>
      <c r="AA222" s="550"/>
      <c r="AB222" s="550"/>
      <c r="AC222" s="550"/>
      <c r="AD222" s="577"/>
      <c r="AF222" s="587"/>
      <c r="AG222" s="590"/>
      <c r="AH222" s="590"/>
      <c r="AI222" s="590"/>
      <c r="AJ222" s="590"/>
      <c r="AK222" s="590"/>
      <c r="AL222" s="590"/>
      <c r="AM222" s="590"/>
      <c r="AN222" s="590"/>
      <c r="AO222" s="590"/>
      <c r="AP222" s="590"/>
      <c r="AQ222" s="569"/>
      <c r="AS222" s="593"/>
      <c r="AT222" s="600"/>
      <c r="AU222" s="600"/>
      <c r="AV222" s="600"/>
      <c r="AW222" s="600"/>
      <c r="AX222" s="600"/>
      <c r="AY222" s="600"/>
      <c r="AZ222" s="600"/>
      <c r="BA222" s="600"/>
      <c r="BB222" s="600"/>
      <c r="BC222" s="600"/>
      <c r="BD222" s="600"/>
      <c r="BE222" s="600"/>
      <c r="BF222" s="600"/>
      <c r="BG222" s="600"/>
      <c r="BH222" s="569"/>
      <c r="BJ222" s="586"/>
      <c r="BK222" s="600"/>
      <c r="BL222" s="600"/>
      <c r="BM222" s="600"/>
      <c r="BN222" s="600"/>
      <c r="BO222" s="600"/>
      <c r="BP222" s="600"/>
      <c r="BQ222" s="600"/>
      <c r="BR222" s="600"/>
      <c r="BS222" s="600"/>
      <c r="BT222" s="600"/>
      <c r="BU222" s="600"/>
      <c r="BV222" s="600"/>
      <c r="BW222" s="600"/>
      <c r="BX222" s="600"/>
      <c r="BY222" s="23"/>
      <c r="BZ222" s="23"/>
    </row>
    <row r="223">
      <c r="E223" s="174"/>
      <c r="F223" s="220"/>
      <c r="G223" s="220"/>
      <c r="H223" s="220"/>
      <c r="I223" s="220"/>
      <c r="J223" s="220"/>
      <c r="K223" s="220"/>
      <c r="L223" s="220"/>
      <c r="M223" s="220"/>
      <c r="N223" s="220"/>
      <c r="O223" s="220"/>
      <c r="P223" s="220"/>
      <c r="Q223" s="220"/>
      <c r="R223" s="214"/>
      <c r="S223" s="214"/>
      <c r="T223" s="214"/>
      <c r="V223" s="587"/>
      <c r="W223" s="590"/>
      <c r="X223" s="550"/>
      <c r="Y223" s="550"/>
      <c r="Z223" s="550"/>
      <c r="AA223" s="550"/>
      <c r="AB223" s="550"/>
      <c r="AC223" s="550"/>
      <c r="AD223" s="577"/>
      <c r="AF223" s="587"/>
      <c r="AG223" s="590"/>
      <c r="AH223" s="590"/>
      <c r="AI223" s="590"/>
      <c r="AJ223" s="590"/>
      <c r="AK223" s="590"/>
      <c r="AL223" s="590"/>
      <c r="AM223" s="590"/>
      <c r="AN223" s="590"/>
      <c r="AO223" s="590"/>
      <c r="AP223" s="590"/>
      <c r="AQ223" s="569"/>
      <c r="AS223" s="593"/>
      <c r="AT223" s="599"/>
      <c r="AU223" s="599"/>
      <c r="AV223" s="599"/>
      <c r="AW223" s="599"/>
      <c r="AX223" s="599"/>
      <c r="AY223" s="599"/>
      <c r="AZ223" s="599"/>
      <c r="BA223" s="599"/>
      <c r="BB223" s="599"/>
      <c r="BC223" s="599"/>
      <c r="BD223" s="599"/>
      <c r="BE223" s="599"/>
      <c r="BF223" s="599"/>
      <c r="BG223" s="599"/>
      <c r="BH223" s="569"/>
      <c r="BJ223" s="587"/>
      <c r="BK223" s="599"/>
      <c r="BL223" s="599"/>
      <c r="BM223" s="599"/>
      <c r="BN223" s="599"/>
      <c r="BO223" s="599"/>
      <c r="BP223" s="599"/>
      <c r="BQ223" s="599"/>
      <c r="BR223" s="599"/>
      <c r="BS223" s="599"/>
      <c r="BT223" s="599"/>
      <c r="BU223" s="599"/>
      <c r="BV223" s="599"/>
      <c r="BW223" s="599"/>
      <c r="BX223" s="599"/>
      <c r="BY223" s="23"/>
      <c r="BZ223" s="23"/>
    </row>
    <row r="224">
      <c r="E224" s="174"/>
      <c r="F224" s="220"/>
      <c r="G224" s="220"/>
      <c r="H224" s="220"/>
      <c r="I224" s="220"/>
      <c r="J224" s="220"/>
      <c r="K224" s="220"/>
      <c r="L224" s="220"/>
      <c r="M224" s="220"/>
      <c r="N224" s="220"/>
      <c r="O224" s="220"/>
      <c r="P224" s="220"/>
      <c r="Q224" s="220"/>
      <c r="R224" s="174"/>
      <c r="S224" s="174"/>
      <c r="T224" s="174"/>
      <c r="V224" s="587"/>
      <c r="W224" s="590"/>
      <c r="X224" s="550"/>
      <c r="Y224" s="550"/>
      <c r="Z224" s="550"/>
      <c r="AA224" s="550"/>
      <c r="AB224" s="550"/>
      <c r="AC224" s="550"/>
      <c r="AD224" s="577"/>
      <c r="AF224" s="587"/>
      <c r="AG224" s="590"/>
      <c r="AH224" s="590"/>
      <c r="AI224" s="590"/>
      <c r="AJ224" s="590"/>
      <c r="AK224" s="590"/>
      <c r="AL224" s="590"/>
      <c r="AM224" s="590"/>
      <c r="AN224" s="590"/>
      <c r="AO224" s="590"/>
      <c r="AP224" s="590"/>
      <c r="AQ224" s="569"/>
      <c r="AS224" s="593"/>
      <c r="AT224" s="599"/>
      <c r="AU224" s="599"/>
      <c r="AV224" s="599"/>
      <c r="AW224" s="599"/>
      <c r="AX224" s="599"/>
      <c r="AY224" s="599"/>
      <c r="AZ224" s="599"/>
      <c r="BA224" s="599"/>
      <c r="BB224" s="599"/>
      <c r="BC224" s="599"/>
      <c r="BD224" s="599"/>
      <c r="BE224" s="599"/>
      <c r="BF224" s="599"/>
      <c r="BG224" s="599"/>
      <c r="BH224" s="569"/>
      <c r="BJ224" s="587"/>
      <c r="BK224" s="599"/>
      <c r="BL224" s="599"/>
      <c r="BM224" s="599"/>
      <c r="BN224" s="599"/>
      <c r="BO224" s="599"/>
      <c r="BP224" s="599"/>
      <c r="BQ224" s="599"/>
      <c r="BR224" s="599"/>
      <c r="BS224" s="599"/>
      <c r="BT224" s="599"/>
      <c r="BU224" s="599"/>
      <c r="BV224" s="599"/>
      <c r="BW224" s="599"/>
      <c r="BX224" s="599"/>
      <c r="BY224" s="23"/>
      <c r="BZ224" s="23"/>
    </row>
    <row r="225">
      <c r="E225" s="174"/>
      <c r="F225" s="220"/>
      <c r="G225" s="220"/>
      <c r="H225" s="220"/>
      <c r="I225" s="220"/>
      <c r="J225" s="220"/>
      <c r="K225" s="220"/>
      <c r="L225" s="220"/>
      <c r="M225" s="220"/>
      <c r="N225" s="220"/>
      <c r="O225" s="220"/>
      <c r="P225" s="220"/>
      <c r="Q225" s="220"/>
      <c r="R225" s="220"/>
      <c r="S225" s="220"/>
      <c r="T225" s="220"/>
      <c r="V225" s="587"/>
      <c r="W225" s="590"/>
      <c r="X225" s="550"/>
      <c r="Y225" s="550"/>
      <c r="Z225" s="550"/>
      <c r="AA225" s="550"/>
      <c r="AB225" s="550"/>
      <c r="AC225" s="550"/>
      <c r="AD225" s="577"/>
      <c r="AF225" s="587"/>
      <c r="AG225" s="590"/>
      <c r="AH225" s="590"/>
      <c r="AI225" s="590"/>
      <c r="AJ225" s="590"/>
      <c r="AK225" s="590"/>
      <c r="AL225" s="590"/>
      <c r="AM225" s="590"/>
      <c r="AN225" s="590"/>
      <c r="AO225" s="590"/>
      <c r="AP225" s="590"/>
      <c r="AQ225" s="569"/>
      <c r="AS225" s="593"/>
      <c r="AT225" s="599"/>
      <c r="AU225" s="599"/>
      <c r="AV225" s="599"/>
      <c r="AW225" s="599"/>
      <c r="AX225" s="599"/>
      <c r="AY225" s="599"/>
      <c r="AZ225" s="599"/>
      <c r="BA225" s="599"/>
      <c r="BB225" s="599"/>
      <c r="BC225" s="599"/>
      <c r="BD225" s="599"/>
      <c r="BE225" s="599"/>
      <c r="BF225" s="599"/>
      <c r="BG225" s="599"/>
      <c r="BH225" s="569"/>
      <c r="BJ225" s="587"/>
      <c r="BK225" s="599"/>
      <c r="BL225" s="599"/>
      <c r="BM225" s="599"/>
      <c r="BN225" s="599"/>
      <c r="BO225" s="599"/>
      <c r="BP225" s="599"/>
      <c r="BQ225" s="599"/>
      <c r="BR225" s="599"/>
      <c r="BS225" s="599"/>
      <c r="BT225" s="599"/>
      <c r="BU225" s="599"/>
      <c r="BV225" s="599"/>
      <c r="BW225" s="599"/>
      <c r="BX225" s="599"/>
      <c r="BY225" s="23"/>
      <c r="BZ225" s="23"/>
    </row>
    <row r="226">
      <c r="E226" s="174"/>
      <c r="F226" s="220"/>
      <c r="G226" s="220"/>
      <c r="H226" s="220"/>
      <c r="I226" s="220"/>
      <c r="J226" s="220"/>
      <c r="K226" s="220"/>
      <c r="L226" s="220"/>
      <c r="M226" s="220"/>
      <c r="N226" s="220"/>
      <c r="O226" s="220"/>
      <c r="P226" s="220"/>
      <c r="Q226" s="220"/>
      <c r="R226" s="175"/>
      <c r="S226" s="175"/>
      <c r="T226" s="175"/>
      <c r="V226" s="587"/>
      <c r="W226" s="590"/>
      <c r="X226" s="550"/>
      <c r="Y226" s="550"/>
      <c r="Z226" s="550"/>
      <c r="AA226" s="550"/>
      <c r="AB226" s="550"/>
      <c r="AC226" s="550"/>
      <c r="AD226" s="577"/>
      <c r="AF226" s="587"/>
      <c r="AG226" s="590"/>
      <c r="AH226" s="590"/>
      <c r="AI226" s="590"/>
      <c r="AJ226" s="590"/>
      <c r="AK226" s="590"/>
      <c r="AL226" s="590"/>
      <c r="AM226" s="590"/>
      <c r="AN226" s="590"/>
      <c r="AO226" s="590"/>
      <c r="AP226" s="590"/>
      <c r="AQ226" s="569"/>
      <c r="AS226" s="593"/>
      <c r="AT226" s="599"/>
      <c r="AU226" s="599"/>
      <c r="AV226" s="599"/>
      <c r="AW226" s="599"/>
      <c r="AX226" s="599"/>
      <c r="AY226" s="599"/>
      <c r="AZ226" s="599"/>
      <c r="BA226" s="599"/>
      <c r="BB226" s="599"/>
      <c r="BC226" s="599"/>
      <c r="BD226" s="599"/>
      <c r="BE226" s="599"/>
      <c r="BF226" s="599"/>
      <c r="BG226" s="599"/>
      <c r="BH226" s="569"/>
      <c r="BJ226" s="587"/>
      <c r="BK226" s="599"/>
      <c r="BL226" s="599"/>
      <c r="BM226" s="599"/>
      <c r="BN226" s="599"/>
      <c r="BO226" s="599"/>
      <c r="BP226" s="599"/>
      <c r="BQ226" s="599"/>
      <c r="BR226" s="599"/>
      <c r="BS226" s="599"/>
      <c r="BT226" s="599"/>
      <c r="BU226" s="599"/>
      <c r="BV226" s="599"/>
      <c r="BW226" s="599"/>
      <c r="BX226" s="599"/>
      <c r="BY226" s="23"/>
      <c r="BZ226" s="23"/>
    </row>
    <row r="227">
      <c r="E227" s="174"/>
      <c r="F227" s="220"/>
      <c r="G227" s="220"/>
      <c r="H227" s="220"/>
      <c r="I227" s="220"/>
      <c r="J227" s="220"/>
      <c r="K227" s="220"/>
      <c r="L227" s="220"/>
      <c r="M227" s="220"/>
      <c r="N227" s="220"/>
      <c r="O227" s="220"/>
      <c r="P227" s="220"/>
      <c r="Q227" s="220"/>
      <c r="R227" s="220"/>
      <c r="S227" s="220"/>
      <c r="T227" s="220"/>
      <c r="V227" s="587"/>
      <c r="W227" s="590"/>
      <c r="X227" s="550"/>
      <c r="Y227" s="550"/>
      <c r="Z227" s="550"/>
      <c r="AA227" s="550"/>
      <c r="AB227" s="550"/>
      <c r="AC227" s="550"/>
      <c r="AD227" s="577"/>
      <c r="AF227" s="587"/>
      <c r="AG227" s="591"/>
      <c r="AH227" s="591"/>
      <c r="AI227" s="591"/>
      <c r="AJ227" s="591"/>
      <c r="AK227" s="591"/>
      <c r="AL227" s="591"/>
      <c r="AM227" s="591"/>
      <c r="AN227" s="591"/>
      <c r="AO227" s="591"/>
      <c r="AP227" s="591"/>
      <c r="AQ227" s="569"/>
      <c r="AS227" s="593"/>
      <c r="AT227" s="599"/>
      <c r="AU227" s="599"/>
      <c r="AV227" s="599"/>
      <c r="AW227" s="599"/>
      <c r="AX227" s="599"/>
      <c r="AY227" s="599"/>
      <c r="AZ227" s="599"/>
      <c r="BA227" s="599"/>
      <c r="BB227" s="599"/>
      <c r="BC227" s="599"/>
      <c r="BD227" s="599"/>
      <c r="BE227" s="599"/>
      <c r="BF227" s="599"/>
      <c r="BG227" s="599"/>
      <c r="BH227" s="569"/>
      <c r="BJ227" s="587"/>
      <c r="BK227" s="599"/>
      <c r="BL227" s="599"/>
      <c r="BM227" s="599"/>
      <c r="BN227" s="599"/>
      <c r="BO227" s="599"/>
      <c r="BP227" s="599"/>
      <c r="BQ227" s="599"/>
      <c r="BR227" s="599"/>
      <c r="BS227" s="599"/>
      <c r="BT227" s="599"/>
      <c r="BU227" s="599"/>
      <c r="BV227" s="599"/>
      <c r="BW227" s="599"/>
      <c r="BX227" s="599"/>
      <c r="BY227" s="23"/>
      <c r="BZ227" s="23"/>
    </row>
    <row r="228">
      <c r="E228" s="174"/>
      <c r="F228" s="220"/>
      <c r="G228" s="175"/>
      <c r="H228" s="175"/>
      <c r="I228" s="175"/>
      <c r="J228" s="175"/>
      <c r="K228" s="175"/>
      <c r="L228" s="175"/>
      <c r="M228" s="175"/>
      <c r="N228" s="175"/>
      <c r="O228" s="175"/>
      <c r="P228" s="175"/>
      <c r="Q228" s="175"/>
      <c r="R228" s="220"/>
      <c r="S228" s="220"/>
      <c r="T228" s="220"/>
      <c r="V228" s="587"/>
      <c r="W228" s="590"/>
      <c r="X228" s="550"/>
      <c r="Y228" s="550"/>
      <c r="Z228" s="550"/>
      <c r="AA228" s="550"/>
      <c r="AB228" s="550"/>
      <c r="AC228" s="550"/>
      <c r="AD228" s="594"/>
      <c r="AF228" s="587"/>
      <c r="AG228" s="590"/>
      <c r="AH228" s="590"/>
      <c r="AI228" s="590"/>
      <c r="AJ228" s="590"/>
      <c r="AK228" s="590"/>
      <c r="AL228" s="590"/>
      <c r="AM228" s="590"/>
      <c r="AN228" s="590"/>
      <c r="AO228" s="590"/>
      <c r="AP228" s="590"/>
      <c r="AQ228" s="569"/>
      <c r="AS228" s="593"/>
      <c r="AT228" s="599"/>
      <c r="AU228" s="599"/>
      <c r="AV228" s="599"/>
      <c r="AW228" s="599"/>
      <c r="AX228" s="599"/>
      <c r="AY228" s="599"/>
      <c r="AZ228" s="599"/>
      <c r="BA228" s="599"/>
      <c r="BB228" s="599"/>
      <c r="BC228" s="599"/>
      <c r="BD228" s="599"/>
      <c r="BE228" s="599"/>
      <c r="BF228" s="599"/>
      <c r="BG228" s="599"/>
      <c r="BH228" s="569"/>
      <c r="BJ228" s="587"/>
      <c r="BK228" s="599"/>
      <c r="BL228" s="599"/>
      <c r="BM228" s="599"/>
      <c r="BN228" s="599"/>
      <c r="BO228" s="599"/>
      <c r="BP228" s="599"/>
      <c r="BQ228" s="599"/>
      <c r="BR228" s="599"/>
      <c r="BS228" s="599"/>
      <c r="BT228" s="599"/>
      <c r="BU228" s="599"/>
      <c r="BV228" s="599"/>
      <c r="BW228" s="599"/>
      <c r="BX228" s="599"/>
      <c r="BY228" s="23"/>
      <c r="BZ228" s="23"/>
    </row>
    <row r="229">
      <c r="E229" s="174"/>
      <c r="F229" s="175"/>
      <c r="R229" s="220"/>
      <c r="S229" s="220"/>
      <c r="T229" s="220"/>
      <c r="V229" s="587"/>
      <c r="W229" s="590"/>
      <c r="X229" s="550"/>
      <c r="Y229" s="550"/>
      <c r="Z229" s="550"/>
      <c r="AA229" s="550"/>
      <c r="AB229" s="550"/>
      <c r="AC229" s="550"/>
      <c r="AD229" s="577"/>
      <c r="AF229" s="587"/>
      <c r="AG229" s="590"/>
      <c r="AH229" s="590"/>
      <c r="AI229" s="590"/>
      <c r="AJ229" s="590"/>
      <c r="AK229" s="590"/>
      <c r="AL229" s="590"/>
      <c r="AM229" s="590"/>
      <c r="AN229" s="590"/>
      <c r="AO229" s="590"/>
      <c r="AP229" s="590"/>
      <c r="AQ229" s="569"/>
      <c r="AS229" s="593"/>
      <c r="AT229" s="600"/>
      <c r="AU229" s="600"/>
      <c r="AV229" s="600"/>
      <c r="AW229" s="600"/>
      <c r="AX229" s="600"/>
      <c r="AY229" s="600"/>
      <c r="AZ229" s="600"/>
      <c r="BA229" s="600"/>
      <c r="BB229" s="600"/>
      <c r="BC229" s="600"/>
      <c r="BD229" s="600"/>
      <c r="BE229" s="600"/>
      <c r="BF229" s="600"/>
      <c r="BG229" s="600"/>
      <c r="BH229" s="569"/>
      <c r="BJ229" s="587"/>
      <c r="BK229" s="600"/>
      <c r="BL229" s="600"/>
      <c r="BM229" s="600"/>
      <c r="BN229" s="600"/>
      <c r="BO229" s="600"/>
      <c r="BP229" s="600"/>
      <c r="BQ229" s="600"/>
      <c r="BR229" s="600"/>
      <c r="BS229" s="600"/>
      <c r="BT229" s="600"/>
      <c r="BU229" s="600"/>
      <c r="BV229" s="600"/>
      <c r="BW229" s="600"/>
      <c r="BX229" s="600"/>
      <c r="BY229" s="23"/>
      <c r="BZ229" s="23"/>
    </row>
    <row r="230">
      <c r="R230" s="220"/>
      <c r="S230" s="220"/>
      <c r="T230" s="220"/>
      <c r="V230" s="587"/>
      <c r="W230" s="590"/>
      <c r="X230" s="550"/>
      <c r="Y230" s="550"/>
      <c r="Z230" s="550"/>
      <c r="AA230" s="550"/>
      <c r="AB230" s="550"/>
      <c r="AC230" s="550"/>
      <c r="AD230" s="577"/>
      <c r="AF230" s="587"/>
      <c r="AG230" s="590"/>
      <c r="AH230" s="590"/>
      <c r="AI230" s="590"/>
      <c r="AJ230" s="590"/>
      <c r="AK230" s="590"/>
      <c r="AL230" s="590"/>
      <c r="AM230" s="590"/>
      <c r="AN230" s="590"/>
      <c r="AO230" s="590"/>
      <c r="AP230" s="590"/>
      <c r="AQ230" s="569"/>
      <c r="AS230" s="593"/>
      <c r="AT230" s="599"/>
      <c r="AU230" s="599"/>
      <c r="AV230" s="599"/>
      <c r="AW230" s="599"/>
      <c r="AX230" s="599"/>
      <c r="AY230" s="599"/>
      <c r="AZ230" s="599"/>
      <c r="BA230" s="599"/>
      <c r="BB230" s="599"/>
      <c r="BC230" s="599"/>
      <c r="BD230" s="599"/>
      <c r="BE230" s="599"/>
      <c r="BF230" s="599"/>
      <c r="BG230" s="599"/>
      <c r="BH230" s="569"/>
      <c r="BJ230" s="587"/>
      <c r="BK230" s="599"/>
      <c r="BL230" s="599"/>
      <c r="BM230" s="599"/>
      <c r="BN230" s="599"/>
      <c r="BO230" s="599"/>
      <c r="BP230" s="599"/>
      <c r="BQ230" s="599"/>
      <c r="BR230" s="599"/>
      <c r="BS230" s="599"/>
      <c r="BT230" s="599"/>
      <c r="BU230" s="599"/>
      <c r="BV230" s="599"/>
      <c r="BW230" s="599"/>
      <c r="BX230" s="599"/>
      <c r="BY230" s="23"/>
      <c r="BZ230" s="23"/>
    </row>
    <row r="231">
      <c r="R231" s="220"/>
      <c r="S231" s="220"/>
      <c r="T231" s="220"/>
      <c r="V231" s="587"/>
      <c r="W231" s="590"/>
      <c r="X231" s="550"/>
      <c r="Y231" s="550"/>
      <c r="Z231" s="550"/>
      <c r="AA231" s="550"/>
      <c r="AB231" s="550"/>
      <c r="AC231" s="550"/>
      <c r="AD231" s="577"/>
      <c r="AF231" s="587"/>
      <c r="AG231" s="590"/>
      <c r="AH231" s="590"/>
      <c r="AI231" s="590"/>
      <c r="AJ231" s="590"/>
      <c r="AK231" s="590"/>
      <c r="AL231" s="590"/>
      <c r="AM231" s="590"/>
      <c r="AN231" s="590"/>
      <c r="AO231" s="590"/>
      <c r="AP231" s="590"/>
      <c r="AQ231" s="569"/>
      <c r="AR231" s="569"/>
      <c r="AS231" s="569"/>
      <c r="AT231" s="569"/>
      <c r="AU231" s="569"/>
      <c r="AV231" s="569"/>
      <c r="AW231" s="569"/>
      <c r="AX231" s="569"/>
      <c r="AY231" s="569"/>
      <c r="AZ231" s="569"/>
      <c r="BA231" s="569"/>
      <c r="BB231" s="569"/>
      <c r="BC231" s="569"/>
      <c r="BD231" s="569"/>
      <c r="BE231" s="569"/>
      <c r="BF231" s="569"/>
      <c r="BG231" s="569"/>
      <c r="BH231" s="569"/>
      <c r="BJ231" s="587"/>
      <c r="BK231" s="599"/>
      <c r="BL231" s="599"/>
      <c r="BM231" s="599"/>
      <c r="BN231" s="599"/>
      <c r="BO231" s="599"/>
      <c r="BP231" s="599"/>
      <c r="BQ231" s="599"/>
      <c r="BR231" s="599"/>
      <c r="BS231" s="599"/>
      <c r="BT231" s="599"/>
      <c r="BU231" s="599"/>
      <c r="BV231" s="599"/>
      <c r="BW231" s="599"/>
      <c r="BX231" s="599"/>
      <c r="BY231" s="23"/>
      <c r="BZ231" s="23"/>
    </row>
    <row r="232">
      <c r="R232" s="220"/>
      <c r="S232" s="220"/>
      <c r="T232" s="220"/>
      <c r="V232" s="587"/>
      <c r="W232" s="590"/>
      <c r="X232" s="550"/>
      <c r="Y232" s="550"/>
      <c r="Z232" s="550"/>
      <c r="AA232" s="550"/>
      <c r="AB232" s="550"/>
      <c r="AC232" s="550"/>
      <c r="AD232" s="577"/>
      <c r="AF232" s="587"/>
      <c r="AG232" s="590"/>
      <c r="AH232" s="590"/>
      <c r="AI232" s="590"/>
      <c r="AJ232" s="590"/>
      <c r="AK232" s="590"/>
      <c r="AL232" s="590"/>
      <c r="AM232" s="590"/>
      <c r="AN232" s="590"/>
      <c r="AO232" s="590"/>
      <c r="AP232" s="590"/>
      <c r="AQ232" s="569"/>
      <c r="AR232" s="569"/>
      <c r="AS232" s="569"/>
      <c r="AT232" s="569"/>
      <c r="AU232" s="569"/>
      <c r="AV232" s="569"/>
      <c r="AW232" s="569"/>
      <c r="AX232" s="569"/>
      <c r="AY232" s="569"/>
      <c r="AZ232" s="569"/>
      <c r="BA232" s="569"/>
      <c r="BB232" s="569"/>
      <c r="BC232" s="569"/>
      <c r="BD232" s="569"/>
      <c r="BE232" s="569"/>
      <c r="BF232" s="569"/>
      <c r="BG232" s="569"/>
      <c r="BH232" s="569"/>
      <c r="BJ232" s="587"/>
      <c r="BK232" s="599"/>
      <c r="BL232" s="599"/>
      <c r="BM232" s="599"/>
      <c r="BN232" s="599"/>
      <c r="BO232" s="599"/>
      <c r="BP232" s="599"/>
      <c r="BQ232" s="599"/>
      <c r="BR232" s="599"/>
      <c r="BS232" s="599"/>
      <c r="BT232" s="599"/>
      <c r="BU232" s="599"/>
      <c r="BV232" s="599"/>
      <c r="BW232" s="599"/>
      <c r="BX232" s="599"/>
      <c r="BY232" s="23"/>
      <c r="BZ232" s="23"/>
    </row>
    <row r="233">
      <c r="R233" s="175"/>
      <c r="S233" s="175"/>
      <c r="T233" s="175"/>
      <c r="V233" s="587"/>
      <c r="W233" s="590"/>
      <c r="X233" s="550"/>
      <c r="Y233" s="550"/>
      <c r="Z233" s="550"/>
      <c r="AA233" s="550"/>
      <c r="AB233" s="550"/>
      <c r="AC233" s="550"/>
      <c r="AD233" s="577"/>
      <c r="AF233" s="587"/>
      <c r="AG233" s="590"/>
      <c r="AH233" s="590"/>
      <c r="AI233" s="590"/>
      <c r="AJ233" s="590"/>
      <c r="AK233" s="590"/>
      <c r="AL233" s="590"/>
      <c r="AM233" s="590"/>
      <c r="AN233" s="590"/>
      <c r="AO233" s="590"/>
      <c r="AP233" s="590"/>
      <c r="AQ233" s="569"/>
      <c r="AR233" s="569"/>
      <c r="AS233" s="569"/>
      <c r="AT233" s="569"/>
      <c r="AU233" s="569"/>
      <c r="AV233" s="569"/>
      <c r="AW233" s="569"/>
      <c r="AX233" s="569"/>
      <c r="AY233" s="569"/>
      <c r="AZ233" s="569"/>
      <c r="BA233" s="569"/>
      <c r="BB233" s="569"/>
      <c r="BC233" s="569"/>
      <c r="BD233" s="569"/>
      <c r="BE233" s="569"/>
      <c r="BF233" s="569"/>
      <c r="BG233" s="569"/>
      <c r="BH233" s="569"/>
      <c r="BJ233" s="587"/>
      <c r="BK233" s="599"/>
      <c r="BL233" s="599"/>
      <c r="BM233" s="599"/>
      <c r="BN233" s="599"/>
      <c r="BO233" s="599"/>
      <c r="BP233" s="599"/>
      <c r="BQ233" s="599"/>
      <c r="BR233" s="599"/>
      <c r="BS233" s="599"/>
      <c r="BT233" s="599"/>
      <c r="BU233" s="599"/>
      <c r="BV233" s="599"/>
      <c r="BW233" s="599"/>
      <c r="BX233" s="599"/>
      <c r="BY233" s="23"/>
      <c r="BZ233" s="23"/>
    </row>
    <row r="234">
      <c r="R234" s="220"/>
      <c r="S234" s="220"/>
      <c r="T234" s="220"/>
      <c r="V234" s="587"/>
      <c r="W234" s="590"/>
      <c r="X234" s="550"/>
      <c r="Y234" s="550"/>
      <c r="Z234" s="550"/>
      <c r="AA234" s="550"/>
      <c r="AB234" s="550"/>
      <c r="AC234" s="550"/>
      <c r="AD234" s="577"/>
      <c r="AF234" s="587"/>
      <c r="AG234" s="590"/>
      <c r="AH234" s="590"/>
      <c r="AI234" s="590"/>
      <c r="AJ234" s="590"/>
      <c r="AK234" s="590"/>
      <c r="AL234" s="590"/>
      <c r="AM234" s="590"/>
      <c r="AN234" s="590"/>
      <c r="AO234" s="590"/>
      <c r="AP234" s="590"/>
      <c r="AQ234" s="569"/>
      <c r="AR234" s="569"/>
      <c r="AS234" s="569"/>
      <c r="AT234" s="569"/>
      <c r="AU234" s="569"/>
      <c r="AV234" s="569"/>
      <c r="AW234" s="569"/>
      <c r="AX234" s="569"/>
      <c r="AY234" s="569"/>
      <c r="AZ234" s="569"/>
      <c r="BA234" s="569"/>
      <c r="BB234" s="569"/>
      <c r="BC234" s="569"/>
      <c r="BD234" s="569"/>
      <c r="BE234" s="569"/>
      <c r="BF234" s="569"/>
      <c r="BG234" s="569"/>
      <c r="BH234" s="569"/>
      <c r="BJ234" s="587"/>
      <c r="BK234" s="599"/>
      <c r="BL234" s="599"/>
      <c r="BM234" s="599"/>
      <c r="BN234" s="599"/>
      <c r="BO234" s="599"/>
      <c r="BP234" s="599"/>
      <c r="BQ234" s="599"/>
      <c r="BR234" s="599"/>
      <c r="BS234" s="599"/>
      <c r="BT234" s="599"/>
      <c r="BU234" s="599"/>
      <c r="BV234" s="599"/>
      <c r="BW234" s="599"/>
      <c r="BX234" s="599"/>
      <c r="BY234" s="23"/>
      <c r="BZ234" s="23"/>
    </row>
    <row r="235">
      <c r="R235" s="220"/>
      <c r="S235" s="220"/>
      <c r="T235" s="220"/>
      <c r="V235" s="587"/>
      <c r="W235" s="590"/>
      <c r="X235" s="550"/>
      <c r="Y235" s="550"/>
      <c r="Z235" s="550"/>
      <c r="AA235" s="550"/>
      <c r="AB235" s="550"/>
      <c r="AC235" s="550"/>
      <c r="AD235" s="577"/>
      <c r="AF235" s="587"/>
      <c r="AG235" s="591"/>
      <c r="AH235" s="591"/>
      <c r="AI235" s="591"/>
      <c r="AJ235" s="591"/>
      <c r="AK235" s="591"/>
      <c r="AL235" s="591"/>
      <c r="AM235" s="591"/>
      <c r="AN235" s="591"/>
      <c r="AO235" s="591"/>
      <c r="AP235" s="591"/>
      <c r="AQ235" s="569"/>
      <c r="AR235" s="569"/>
      <c r="AS235" s="569"/>
      <c r="AT235" s="569"/>
      <c r="AU235" s="569"/>
      <c r="AV235" s="569"/>
      <c r="AW235" s="569"/>
      <c r="AX235" s="569"/>
      <c r="AY235" s="569"/>
      <c r="AZ235" s="569"/>
      <c r="BA235" s="569"/>
      <c r="BB235" s="569"/>
      <c r="BC235" s="569"/>
      <c r="BD235" s="569"/>
      <c r="BE235" s="569"/>
      <c r="BF235" s="569"/>
      <c r="BG235" s="569"/>
      <c r="BH235" s="569"/>
      <c r="BJ235" s="587"/>
      <c r="BK235" s="599"/>
      <c r="BL235" s="599"/>
      <c r="BM235" s="599"/>
      <c r="BN235" s="599"/>
      <c r="BO235" s="599"/>
      <c r="BP235" s="599"/>
      <c r="BQ235" s="599"/>
      <c r="BR235" s="599"/>
      <c r="BS235" s="599"/>
      <c r="BT235" s="599"/>
      <c r="BU235" s="599"/>
      <c r="BV235" s="599"/>
      <c r="BW235" s="599"/>
      <c r="BX235" s="599"/>
      <c r="BY235" s="23"/>
      <c r="BZ235" s="23"/>
    </row>
    <row r="236">
      <c r="R236" s="220"/>
      <c r="S236" s="220"/>
      <c r="T236" s="220"/>
      <c r="U236" s="569"/>
      <c r="V236" s="587"/>
      <c r="W236" s="590"/>
      <c r="X236" s="550"/>
      <c r="Y236" s="550"/>
      <c r="Z236" s="550"/>
      <c r="AA236" s="550"/>
      <c r="AB236" s="550"/>
      <c r="AC236" s="550"/>
      <c r="AD236" s="594"/>
      <c r="AE236" s="598"/>
      <c r="AF236" s="587"/>
      <c r="AG236" s="590"/>
      <c r="AH236" s="590"/>
      <c r="AI236" s="590"/>
      <c r="AJ236" s="590"/>
      <c r="AK236" s="590"/>
      <c r="AL236" s="590"/>
      <c r="AM236" s="590"/>
      <c r="AN236" s="590"/>
      <c r="AO236" s="590"/>
      <c r="AP236" s="590"/>
      <c r="AQ236" s="569"/>
      <c r="AR236" s="569"/>
      <c r="AS236" s="569"/>
      <c r="AT236" s="569"/>
      <c r="AU236" s="569"/>
      <c r="AV236" s="569"/>
      <c r="AW236" s="569"/>
      <c r="AX236" s="569"/>
      <c r="AY236" s="569"/>
      <c r="AZ236" s="569"/>
      <c r="BA236" s="569"/>
      <c r="BB236" s="569"/>
      <c r="BC236" s="569"/>
      <c r="BD236" s="569"/>
      <c r="BE236" s="569"/>
      <c r="BF236" s="569"/>
      <c r="BG236" s="569"/>
      <c r="BH236" s="569"/>
      <c r="BJ236" s="587"/>
      <c r="BK236" s="599"/>
      <c r="BL236" s="599"/>
      <c r="BM236" s="599"/>
      <c r="BN236" s="599"/>
      <c r="BO236" s="599"/>
      <c r="BP236" s="599"/>
      <c r="BQ236" s="599"/>
      <c r="BR236" s="599"/>
      <c r="BS236" s="599"/>
      <c r="BT236" s="599"/>
      <c r="BU236" s="599"/>
      <c r="BV236" s="599"/>
      <c r="BW236" s="599"/>
      <c r="BX236" s="599"/>
      <c r="BY236" s="23"/>
      <c r="BZ236" s="23"/>
    </row>
    <row r="237">
      <c r="R237" s="220"/>
      <c r="S237" s="220"/>
      <c r="T237" s="220"/>
      <c r="U237" s="569"/>
      <c r="V237" s="587"/>
      <c r="W237" s="590"/>
      <c r="X237" s="550"/>
      <c r="Y237" s="550"/>
      <c r="Z237" s="550"/>
      <c r="AA237" s="550"/>
      <c r="AB237" s="550"/>
      <c r="AC237" s="550"/>
      <c r="AD237" s="577"/>
      <c r="AE237" s="569"/>
      <c r="AF237" s="587"/>
      <c r="AG237" s="591"/>
      <c r="AH237" s="591"/>
      <c r="AI237" s="591"/>
      <c r="AJ237" s="591"/>
      <c r="AK237" s="591"/>
      <c r="AL237" s="591"/>
      <c r="AM237" s="591"/>
      <c r="AN237" s="591"/>
      <c r="AO237" s="591"/>
      <c r="AP237" s="591"/>
      <c r="AQ237" s="569"/>
      <c r="AR237" s="569"/>
      <c r="AS237" s="569"/>
      <c r="AT237" s="569"/>
      <c r="AU237" s="569"/>
      <c r="AV237" s="569"/>
      <c r="AW237" s="569"/>
      <c r="AX237" s="569"/>
      <c r="AY237" s="569"/>
      <c r="AZ237" s="569"/>
      <c r="BA237" s="569"/>
      <c r="BB237" s="569"/>
      <c r="BC237" s="569"/>
      <c r="BD237" s="569"/>
      <c r="BE237" s="569"/>
      <c r="BF237" s="569"/>
      <c r="BG237" s="569"/>
      <c r="BH237" s="569"/>
      <c r="BJ237" s="587"/>
      <c r="BK237" s="600"/>
      <c r="BL237" s="600"/>
      <c r="BM237" s="600"/>
      <c r="BN237" s="600"/>
      <c r="BO237" s="600"/>
      <c r="BP237" s="600"/>
      <c r="BQ237" s="600"/>
      <c r="BR237" s="600"/>
      <c r="BS237" s="600"/>
      <c r="BT237" s="600"/>
      <c r="BU237" s="600"/>
      <c r="BV237" s="600"/>
      <c r="BW237" s="600"/>
      <c r="BX237" s="600"/>
      <c r="BY237" s="23"/>
      <c r="BZ237" s="23"/>
    </row>
    <row r="238">
      <c r="R238" s="220"/>
      <c r="S238" s="220"/>
      <c r="T238" s="220"/>
      <c r="U238" s="569"/>
      <c r="V238" s="587"/>
      <c r="W238" s="590"/>
      <c r="X238" s="550"/>
      <c r="Y238" s="550"/>
      <c r="Z238" s="550"/>
      <c r="AA238" s="550"/>
      <c r="AB238" s="550"/>
      <c r="AC238" s="550"/>
      <c r="AD238" s="569"/>
      <c r="AE238" s="569"/>
      <c r="AF238" s="587"/>
      <c r="AG238" s="591"/>
      <c r="AH238" s="591"/>
      <c r="AI238" s="591"/>
      <c r="AJ238" s="591"/>
      <c r="AK238" s="591"/>
      <c r="AL238" s="591"/>
      <c r="AM238" s="591"/>
      <c r="AN238" s="591"/>
      <c r="AO238" s="591"/>
      <c r="AP238" s="591"/>
      <c r="AQ238" s="569"/>
      <c r="AR238" s="569"/>
      <c r="AS238" s="569"/>
      <c r="AT238" s="569"/>
      <c r="AU238" s="569"/>
      <c r="AV238" s="569"/>
      <c r="AW238" s="569"/>
      <c r="AX238" s="569"/>
      <c r="AY238" s="569"/>
      <c r="AZ238" s="569"/>
      <c r="BA238" s="569"/>
      <c r="BB238" s="569"/>
      <c r="BC238" s="569"/>
      <c r="BD238" s="569"/>
      <c r="BE238" s="569"/>
      <c r="BF238" s="569"/>
      <c r="BG238" s="569"/>
      <c r="BH238" s="569"/>
      <c r="BI238" s="589"/>
      <c r="BJ238" s="587"/>
      <c r="BK238" s="599"/>
      <c r="BL238" s="599"/>
      <c r="BM238" s="599"/>
      <c r="BN238" s="599"/>
      <c r="BO238" s="599"/>
      <c r="BP238" s="599"/>
      <c r="BQ238" s="599"/>
      <c r="BR238" s="599"/>
      <c r="BS238" s="599"/>
      <c r="BT238" s="599"/>
      <c r="BU238" s="599"/>
      <c r="BV238" s="599"/>
      <c r="BW238" s="599"/>
      <c r="BX238" s="599"/>
      <c r="BY238" s="23"/>
      <c r="BZ238" s="23"/>
    </row>
    <row r="239">
      <c r="R239" s="220"/>
      <c r="S239" s="220"/>
      <c r="T239" s="220"/>
      <c r="U239" s="569"/>
      <c r="V239" s="569"/>
      <c r="W239" s="569"/>
      <c r="X239" s="569"/>
      <c r="Y239" s="569"/>
      <c r="Z239" s="569"/>
      <c r="AA239" s="569"/>
      <c r="AB239" s="569"/>
      <c r="AC239" s="569"/>
      <c r="AD239" s="569"/>
      <c r="AE239" s="569"/>
      <c r="AF239" s="569"/>
      <c r="AG239" s="569"/>
      <c r="AH239" s="569"/>
      <c r="AI239" s="569"/>
      <c r="AJ239" s="569"/>
      <c r="AK239" s="569"/>
      <c r="AL239" s="569"/>
      <c r="AM239" s="569"/>
      <c r="AN239" s="569"/>
      <c r="AO239" s="569"/>
      <c r="AP239" s="569"/>
      <c r="AQ239" s="569"/>
      <c r="AR239" s="569"/>
      <c r="AS239" s="569"/>
      <c r="AT239" s="569"/>
      <c r="AU239" s="569"/>
      <c r="AV239" s="569"/>
      <c r="AW239" s="569"/>
      <c r="AX239" s="569"/>
      <c r="AY239" s="569"/>
      <c r="AZ239" s="569"/>
      <c r="BA239" s="569"/>
      <c r="BB239" s="569"/>
      <c r="BC239" s="569"/>
      <c r="BD239" s="569"/>
      <c r="BE239" s="569"/>
      <c r="BF239" s="569"/>
      <c r="BG239" s="569"/>
      <c r="BH239" s="569"/>
      <c r="BI239" s="589"/>
      <c r="BJ239" s="587"/>
      <c r="BK239" s="600"/>
      <c r="BL239" s="600"/>
      <c r="BM239" s="600"/>
      <c r="BN239" s="600"/>
      <c r="BO239" s="600"/>
      <c r="BP239" s="600"/>
      <c r="BQ239" s="600"/>
      <c r="BR239" s="600"/>
      <c r="BS239" s="600"/>
      <c r="BT239" s="600"/>
      <c r="BU239" s="600"/>
      <c r="BV239" s="600"/>
      <c r="BW239" s="600"/>
      <c r="BX239" s="600"/>
      <c r="BY239" s="23"/>
      <c r="BZ239" s="23"/>
    </row>
    <row r="240">
      <c r="R240" s="220"/>
      <c r="S240" s="220"/>
      <c r="T240" s="220"/>
      <c r="U240" s="569"/>
      <c r="V240" s="569"/>
      <c r="W240" s="569"/>
      <c r="X240" s="569"/>
      <c r="Y240" s="569"/>
      <c r="Z240" s="569"/>
      <c r="AA240" s="569"/>
      <c r="AB240" s="569"/>
      <c r="AC240" s="569"/>
      <c r="AD240" s="569"/>
      <c r="AE240" s="569"/>
      <c r="AF240" s="569"/>
      <c r="AG240" s="569"/>
      <c r="AH240" s="569"/>
      <c r="AI240" s="569"/>
      <c r="AJ240" s="569"/>
      <c r="AK240" s="569"/>
      <c r="AL240" s="569"/>
      <c r="AM240" s="569"/>
      <c r="AN240" s="569"/>
      <c r="AO240" s="569"/>
      <c r="AP240" s="569"/>
      <c r="AQ240" s="569"/>
      <c r="AR240" s="569"/>
      <c r="AS240" s="569"/>
      <c r="AT240" s="569"/>
      <c r="AU240" s="569"/>
      <c r="AV240" s="569"/>
      <c r="AW240" s="569"/>
      <c r="AX240" s="569"/>
      <c r="AY240" s="569"/>
      <c r="AZ240" s="569"/>
      <c r="BA240" s="569"/>
      <c r="BB240" s="569"/>
      <c r="BC240" s="569"/>
      <c r="BD240" s="569"/>
      <c r="BE240" s="569"/>
      <c r="BF240" s="569"/>
      <c r="BG240" s="569"/>
      <c r="BH240" s="569"/>
      <c r="BI240" s="569"/>
      <c r="BJ240" s="587"/>
      <c r="BK240" s="601"/>
      <c r="BL240" s="601"/>
      <c r="BM240" s="601"/>
      <c r="BN240" s="601"/>
      <c r="BO240" s="601"/>
      <c r="BP240" s="601"/>
      <c r="BQ240" s="601"/>
      <c r="BR240" s="601"/>
      <c r="BS240" s="601"/>
      <c r="BT240" s="601"/>
      <c r="BU240" s="601"/>
      <c r="BV240" s="601"/>
      <c r="BW240" s="601"/>
      <c r="BX240" s="601"/>
      <c r="BY240" s="23"/>
      <c r="BZ240" s="23"/>
    </row>
    <row r="241">
      <c r="R241" s="220"/>
      <c r="S241" s="220"/>
      <c r="T241" s="220"/>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c r="BR241" s="23"/>
      <c r="BS241" s="23"/>
      <c r="BT241" s="23"/>
      <c r="BU241" s="23"/>
      <c r="BV241" s="23"/>
      <c r="BW241" s="23"/>
      <c r="BX241" s="23"/>
      <c r="BY241" s="23"/>
      <c r="BZ241" s="23"/>
    </row>
    <row r="242">
      <c r="R242" s="23"/>
      <c r="S242" s="23"/>
      <c r="T242" s="23"/>
      <c r="U242" s="23"/>
      <c r="V242" s="23"/>
      <c r="W242" s="23"/>
      <c r="X242" s="23"/>
      <c r="Y242" s="23"/>
      <c r="Z242" s="23"/>
      <c r="AA242" s="23"/>
      <c r="AB242" s="23"/>
      <c r="AC242" s="23"/>
      <c r="AD242" s="23"/>
      <c r="AE242" s="23"/>
      <c r="AF242" s="23"/>
      <c r="AG242" s="23"/>
      <c r="AH242" s="23"/>
      <c r="AI242" s="23"/>
      <c r="AJ242" s="23"/>
      <c r="AK242" s="51"/>
      <c r="AL242" s="51"/>
      <c r="AM242" s="23"/>
      <c r="AN242" s="23"/>
      <c r="AO242" s="176"/>
      <c r="AP242" s="177"/>
      <c r="AQ242" s="178"/>
      <c r="AR242" s="178"/>
      <c r="AS242" s="178"/>
      <c r="AT242" s="178"/>
      <c r="AU242" s="178"/>
      <c r="AV242" s="178"/>
      <c r="AW242" s="178"/>
      <c r="AX242" s="178"/>
      <c r="AY242" s="178"/>
      <c r="AZ242" s="178"/>
      <c r="BA242" s="178"/>
      <c r="BB242" s="178"/>
      <c r="BC242" s="178"/>
      <c r="BD242" s="176"/>
      <c r="BE242" s="177"/>
      <c r="BF242" s="267"/>
      <c r="BG242" s="267"/>
      <c r="BH242" s="267"/>
      <c r="BI242" s="267"/>
      <c r="BJ242" s="267"/>
      <c r="BK242" s="267"/>
      <c r="BL242" s="267"/>
      <c r="BM242" s="267"/>
      <c r="BN242" s="267"/>
      <c r="BO242" s="267"/>
      <c r="BP242" s="23"/>
      <c r="BQ242" s="23"/>
      <c r="BR242" s="23"/>
      <c r="BS242" s="23"/>
      <c r="BT242" s="23"/>
      <c r="BU242" s="23"/>
      <c r="BV242" s="23"/>
      <c r="BW242" s="23"/>
      <c r="BX242" s="23"/>
      <c r="BY242" s="23"/>
      <c r="BZ242" s="23"/>
    </row>
    <row r="243">
      <c r="R243" s="23"/>
      <c r="S243" s="23"/>
      <c r="T243" s="23"/>
      <c r="U243" s="23"/>
      <c r="V243" s="23"/>
      <c r="W243" s="23"/>
      <c r="X243" s="23"/>
      <c r="Y243" s="23"/>
      <c r="Z243" s="23"/>
      <c r="AA243" s="23"/>
      <c r="AB243" s="23"/>
      <c r="AC243" s="23"/>
      <c r="AD243" s="23"/>
      <c r="AE243" s="23"/>
      <c r="AF243" s="23"/>
      <c r="AG243" s="23"/>
      <c r="AH243" s="23"/>
      <c r="AI243" s="23"/>
      <c r="AJ243" s="23"/>
      <c r="AK243" s="51"/>
      <c r="AL243" s="51"/>
      <c r="AM243" s="23"/>
      <c r="AN243" s="23"/>
      <c r="AO243" s="176"/>
      <c r="AP243" s="177"/>
      <c r="AQ243" s="178"/>
      <c r="AR243" s="178"/>
      <c r="AS243" s="178"/>
      <c r="AT243" s="178"/>
      <c r="AU243" s="178"/>
      <c r="AV243" s="178"/>
      <c r="AW243" s="178"/>
      <c r="AX243" s="178"/>
      <c r="AY243" s="178"/>
      <c r="AZ243" s="178"/>
      <c r="BA243" s="178"/>
      <c r="BB243" s="178"/>
      <c r="BC243" s="178"/>
      <c r="BD243" s="176"/>
      <c r="BE243" s="177"/>
      <c r="BF243" s="267"/>
      <c r="BG243" s="267"/>
      <c r="BH243" s="267"/>
      <c r="BI243" s="267"/>
      <c r="BJ243" s="267"/>
      <c r="BK243" s="267"/>
      <c r="BL243" s="267"/>
      <c r="BM243" s="267"/>
      <c r="BN243" s="267"/>
      <c r="BO243" s="267"/>
      <c r="BP243" s="23"/>
      <c r="BQ243" s="23"/>
      <c r="BR243" s="23"/>
      <c r="BS243" s="23"/>
      <c r="BT243" s="23"/>
      <c r="BU243" s="23"/>
      <c r="BV243" s="23"/>
      <c r="BW243" s="23"/>
      <c r="BX243" s="23"/>
      <c r="BY243" s="23"/>
      <c r="BZ243" s="23"/>
    </row>
    <row r="244">
      <c r="R244" s="23"/>
      <c r="S244" s="23"/>
      <c r="T244" s="23"/>
      <c r="U244" s="23"/>
      <c r="V244" s="23"/>
      <c r="W244" s="23"/>
      <c r="X244" s="23"/>
      <c r="Y244" s="23"/>
      <c r="Z244" s="23"/>
      <c r="AA244" s="23"/>
      <c r="AB244" s="23"/>
      <c r="AC244" s="23"/>
      <c r="AD244" s="23"/>
      <c r="AE244" s="23"/>
      <c r="AF244" s="23"/>
      <c r="AG244" s="23"/>
      <c r="AH244" s="23"/>
      <c r="AI244" s="23"/>
      <c r="AJ244" s="23"/>
      <c r="AK244" s="51"/>
      <c r="AL244" s="51"/>
      <c r="AM244" s="23"/>
      <c r="AN244" s="23"/>
      <c r="AO244" s="176"/>
      <c r="AP244" s="177"/>
      <c r="AQ244" s="178"/>
      <c r="AR244" s="178"/>
      <c r="AS244" s="178"/>
      <c r="AT244" s="178"/>
      <c r="AU244" s="178"/>
      <c r="AV244" s="178"/>
      <c r="AW244" s="178"/>
      <c r="AX244" s="251"/>
      <c r="AY244" s="251"/>
      <c r="AZ244" s="251"/>
      <c r="BA244" s="251"/>
      <c r="BB244" s="251"/>
      <c r="BC244" s="178"/>
      <c r="BD244" s="176"/>
      <c r="BE244" s="177"/>
      <c r="BF244" s="267"/>
      <c r="BG244" s="267"/>
      <c r="BH244" s="267"/>
      <c r="BI244" s="267"/>
      <c r="BJ244" s="267"/>
      <c r="BK244" s="267"/>
      <c r="BL244" s="267"/>
      <c r="BM244" s="267"/>
      <c r="BN244" s="267"/>
      <c r="BO244" s="267"/>
      <c r="BP244" s="23"/>
      <c r="BQ244" s="23"/>
      <c r="BR244" s="23"/>
      <c r="BS244" s="23"/>
      <c r="BT244" s="23"/>
      <c r="BU244" s="23"/>
      <c r="BV244" s="23"/>
      <c r="BW244" s="23"/>
      <c r="BX244" s="23"/>
      <c r="BY244" s="23"/>
      <c r="BZ244" s="23"/>
    </row>
    <row r="245">
      <c r="AK245" s="51"/>
      <c r="AL245" s="51"/>
      <c r="AO245" s="176"/>
      <c r="AP245" s="115"/>
      <c r="AQ245" s="251"/>
      <c r="AR245" s="251"/>
      <c r="AS245" s="251"/>
      <c r="AT245" s="251"/>
      <c r="AU245" s="251"/>
      <c r="AV245" s="251"/>
      <c r="AW245" s="251"/>
      <c r="AX245" s="23"/>
      <c r="AY245" s="23"/>
      <c r="AZ245" s="23"/>
      <c r="BA245" s="23"/>
      <c r="BB245" s="23"/>
      <c r="BC245" s="178"/>
      <c r="BD245" s="176"/>
      <c r="BE245" s="115"/>
      <c r="BF245" s="264"/>
      <c r="BG245" s="264"/>
      <c r="BH245" s="264"/>
      <c r="BI245" s="264"/>
      <c r="BJ245" s="264"/>
      <c r="BK245" s="264"/>
      <c r="BL245" s="264"/>
      <c r="BM245" s="264"/>
      <c r="BN245" s="264"/>
      <c r="BO245" s="264"/>
      <c r="BP245" s="23"/>
      <c r="BQ245" s="23"/>
      <c r="BR245" s="23"/>
    </row>
    <row r="246">
      <c r="AK246" s="144"/>
      <c r="AL246" s="144"/>
      <c r="BC246" s="178"/>
    </row>
    <row r="247">
      <c r="AK247" s="178"/>
      <c r="AL247" s="178"/>
      <c r="BC247" s="178"/>
    </row>
    <row r="248">
      <c r="AK248" s="178"/>
      <c r="AL248" s="178"/>
      <c r="BC248" s="178"/>
    </row>
    <row r="250">
      <c r="AK250" s="51"/>
      <c r="AL250" s="51"/>
      <c r="AM250" s="51"/>
      <c r="AN250" s="51"/>
      <c r="AO250" s="51"/>
      <c r="AP250" s="51"/>
    </row>
    <row r="251">
      <c r="AK251" s="51"/>
      <c r="AL251" s="51"/>
      <c r="AM251" s="51"/>
      <c r="AN251" s="51"/>
      <c r="AO251" s="51"/>
      <c r="AP251" s="51"/>
    </row>
    <row r="252">
      <c r="AK252" s="144"/>
      <c r="AL252" s="144"/>
      <c r="AM252" s="144"/>
      <c r="AN252" s="144"/>
      <c r="AO252" s="144"/>
      <c r="AP252" s="144"/>
    </row>
    <row r="253">
      <c r="AK253" s="51"/>
      <c r="AL253" s="51"/>
      <c r="AM253" s="51"/>
      <c r="AN253" s="51"/>
      <c r="AO253" s="51"/>
      <c r="AP253" s="51"/>
    </row>
    <row r="254">
      <c r="AK254" s="51"/>
      <c r="AL254" s="51"/>
      <c r="AM254" s="51"/>
      <c r="AN254" s="51"/>
      <c r="AO254" s="51"/>
      <c r="AP254" s="51"/>
    </row>
    <row r="255">
      <c r="AK255" s="51"/>
      <c r="AL255" s="51"/>
      <c r="AM255" s="51"/>
      <c r="AN255" s="51"/>
      <c r="AO255" s="51"/>
      <c r="AP255" s="51"/>
    </row>
    <row r="256">
      <c r="AK256" s="51"/>
      <c r="AL256" s="51"/>
      <c r="AM256" s="51"/>
      <c r="AN256" s="51"/>
      <c r="AO256" s="51"/>
      <c r="AP256" s="51"/>
    </row>
    <row r="257">
      <c r="AK257" s="51"/>
      <c r="AL257" s="51"/>
      <c r="AM257" s="51"/>
      <c r="AN257" s="51"/>
      <c r="AO257" s="51"/>
      <c r="AP257" s="51"/>
    </row>
    <row r="258">
      <c r="AK258" s="51"/>
      <c r="AL258" s="51"/>
      <c r="AM258" s="51"/>
      <c r="AN258" s="51"/>
      <c r="AO258" s="51"/>
      <c r="AP258" s="51"/>
    </row>
    <row r="259">
      <c r="AK259" s="51"/>
      <c r="AL259" s="51"/>
      <c r="AM259" s="51"/>
      <c r="AN259" s="51"/>
      <c r="AO259" s="51"/>
      <c r="AP259" s="51"/>
    </row>
    <row r="260">
      <c r="AK260" s="144"/>
      <c r="AL260" s="144"/>
      <c r="AM260" s="144"/>
      <c r="AN260" s="144"/>
      <c r="AO260" s="144"/>
      <c r="AP260" s="144"/>
    </row>
    <row r="263">
      <c r="AK263" s="23"/>
      <c r="AL263" s="23"/>
      <c r="AM263" s="23"/>
      <c r="AN263" s="23"/>
      <c r="AO263" s="23"/>
      <c r="AP263" s="23"/>
    </row>
    <row r="264">
      <c r="AK264" s="87"/>
      <c r="AL264" s="87"/>
      <c r="AM264" s="87"/>
      <c r="AN264" s="87"/>
      <c r="AO264" s="87"/>
      <c r="AP264" s="87"/>
    </row>
    <row r="265">
      <c r="AK265" s="51"/>
      <c r="AL265" s="51"/>
      <c r="AM265" s="51"/>
      <c r="AN265" s="51"/>
      <c r="AO265" s="51"/>
      <c r="AP265" s="51"/>
    </row>
    <row r="266">
      <c r="AK266" s="51"/>
      <c r="AL266" s="51"/>
      <c r="AM266" s="51"/>
      <c r="AN266" s="51"/>
      <c r="AO266" s="51"/>
      <c r="AP266" s="51"/>
    </row>
    <row r="267">
      <c r="AK267" s="51"/>
      <c r="AL267" s="51"/>
      <c r="AM267" s="51"/>
      <c r="AN267" s="51"/>
      <c r="AO267" s="51"/>
      <c r="AP267" s="51"/>
    </row>
    <row r="268">
      <c r="AK268" s="51"/>
      <c r="AL268" s="51"/>
      <c r="AM268" s="51"/>
      <c r="AN268" s="51"/>
      <c r="AO268" s="51"/>
      <c r="AP268" s="51"/>
    </row>
    <row r="269">
      <c r="AK269" s="51"/>
      <c r="AL269" s="51"/>
      <c r="AM269" s="51"/>
      <c r="AN269" s="51"/>
      <c r="AO269" s="51"/>
      <c r="AP269" s="51"/>
    </row>
    <row r="270">
      <c r="AK270" s="51"/>
      <c r="AL270" s="51"/>
      <c r="AM270" s="51"/>
      <c r="AN270" s="51"/>
      <c r="AO270" s="51"/>
      <c r="AP270" s="51"/>
    </row>
  </sheetData>
  <mergeCells count="55">
    <mergeCell ref="B65:F67"/>
    <mergeCell ref="B68:F70"/>
    <mergeCell ref="B71:F74"/>
    <mergeCell ref="AT98:BG98"/>
    <mergeCell ref="BK98:BX98"/>
    <mergeCell ref="K78:O84"/>
    <mergeCell ref="AE100:AE116"/>
    <mergeCell ref="AR102:AR111"/>
    <mergeCell ref="U158:AC158"/>
    <mergeCell ref="AT158:BG158"/>
    <mergeCell ref="BK158:BX158"/>
    <mergeCell ref="AR162:AR171"/>
    <mergeCell ref="B23:F26"/>
    <mergeCell ref="B36:F38"/>
    <mergeCell ref="B39:F42"/>
    <mergeCell ref="B6:F14"/>
    <mergeCell ref="K6:O9"/>
    <mergeCell ref="K11:O22"/>
    <mergeCell ref="B17:F18"/>
    <mergeCell ref="B19:F22"/>
    <mergeCell ref="K24:O31"/>
    <mergeCell ref="K33:O39"/>
    <mergeCell ref="K41:O47"/>
    <mergeCell ref="B27:F29"/>
    <mergeCell ref="B30:F32"/>
    <mergeCell ref="B33:F35"/>
    <mergeCell ref="AE40:AM40"/>
    <mergeCell ref="AE42:AE58"/>
    <mergeCell ref="AO42:AO58"/>
    <mergeCell ref="B43:F45"/>
    <mergeCell ref="B62:F64"/>
    <mergeCell ref="B75:F77"/>
    <mergeCell ref="B78:F80"/>
    <mergeCell ref="B104:F108"/>
    <mergeCell ref="F127:F149"/>
    <mergeCell ref="D190:D228"/>
    <mergeCell ref="B46:F49"/>
    <mergeCell ref="K49:O58"/>
    <mergeCell ref="B53:F54"/>
    <mergeCell ref="B55:F58"/>
    <mergeCell ref="B59:F61"/>
    <mergeCell ref="K60:O69"/>
    <mergeCell ref="K71:O76"/>
    <mergeCell ref="U100:U116"/>
    <mergeCell ref="U160:U176"/>
    <mergeCell ref="AE160:AE176"/>
    <mergeCell ref="U217:AC217"/>
    <mergeCell ref="U219:U235"/>
    <mergeCell ref="AE219:AE235"/>
    <mergeCell ref="BI102:BI118"/>
    <mergeCell ref="BI162:BI178"/>
    <mergeCell ref="AT217:BG217"/>
    <mergeCell ref="BK217:BX217"/>
    <mergeCell ref="AR221:AR230"/>
    <mergeCell ref="BI221:BI237"/>
  </mergeCells>
  <conditionalFormatting sqref="CE67:DH85 AT102:BG111 BK102:BX121 AY139:BL147 AG160:AP179 AT162:BG171 BK162:BX181 W178:W179 AG219:AP238 AT221:BG230 BK221:BX239">
    <cfRule type="colorScale" priority="1">
      <colorScale>
        <cfvo type="min"/>
        <cfvo type="formula" val="0"/>
        <cfvo type="max"/>
        <color rgb="FFE67C73"/>
        <color rgb="FFFFFFFF"/>
        <color rgb="FF57BB8A"/>
      </colorScale>
    </cfRule>
  </conditionalFormatting>
  <conditionalFormatting sqref="CE62:DH62 Z97:AC97 AR97:BG97 BI97:BX97 X157:AC157 AR157:BG157 BI157:BX157 X216:AC216 AR216:BG216 BI216:BX216">
    <cfRule type="colorScale" priority="2">
      <colorScale>
        <cfvo type="min"/>
        <cfvo type="percentile" val="50"/>
        <cfvo type="max"/>
        <color rgb="FFE67C73"/>
        <color rgb="FFFFFFFF"/>
        <color rgb="FF57BB8A"/>
      </colorScale>
    </cfRule>
  </conditionalFormatting>
  <conditionalFormatting sqref="AT97 AV97 BK97 BM97 W157 AG157 AT157 AV157 BK157 BM157 BK177 W216 AG216 AT216 AV216 BK216 BM216 BK236">
    <cfRule type="colorScale" priority="3">
      <colorScale>
        <cfvo type="min"/>
        <cfvo type="percentile" val="50"/>
        <cfvo type="max"/>
        <color rgb="FF57BB8A"/>
        <color rgb="FFFFFFFF"/>
        <color rgb="FFE67C73"/>
      </colorScale>
    </cfRule>
  </conditionalFormatting>
  <conditionalFormatting sqref="P58:P59">
    <cfRule type="cellIs" dxfId="0" priority="4" operator="greaterThan">
      <formula>0</formula>
    </cfRule>
  </conditionalFormatting>
  <conditionalFormatting sqref="P58:P59">
    <cfRule type="cellIs" dxfId="1" priority="5" operator="lessThan">
      <formula>0</formula>
    </cfRule>
  </conditionalFormatting>
  <conditionalFormatting sqref="W160:AC178 W219:AC238">
    <cfRule type="colorScale" priority="6">
      <colorScale>
        <cfvo type="min"/>
        <cfvo type="max"/>
        <color rgb="FFFFFFFF"/>
        <color rgb="FF57BB8A"/>
      </colorScale>
    </cfRule>
  </conditionalFormatting>
  <conditionalFormatting sqref="AG160:AP179 W178:W179 AG219:AP238">
    <cfRule type="colorScale" priority="7">
      <colorScale>
        <cfvo type="min"/>
        <cfvo type="percentile" val="5"/>
        <cfvo type="max"/>
        <color rgb="FFE67C73"/>
        <color rgb="FFFFFFFF"/>
        <color rgb="FF57BB8A"/>
      </colorScale>
    </cfRule>
  </conditionalFormatting>
  <conditionalFormatting sqref="W160:AC176 W219:AC235">
    <cfRule type="colorScale" priority="8">
      <colorScale>
        <cfvo type="min"/>
        <cfvo type="max"/>
        <color rgb="FFFFFFFF"/>
        <color rgb="FF57BB8A"/>
      </colorScale>
    </cfRule>
  </conditionalFormatting>
  <conditionalFormatting sqref="AG100:AP119 AG160:AP179 W178:W179 AG219:AP238">
    <cfRule type="colorScale" priority="9">
      <colorScale>
        <cfvo type="min"/>
        <cfvo type="max"/>
        <color rgb="FFFFFFFF"/>
        <color rgb="FF57BB8A"/>
      </colorScale>
    </cfRule>
  </conditionalFormatting>
  <conditionalFormatting sqref="W100:AC119 W160:AC178 W219:AC238">
    <cfRule type="colorScale" priority="10">
      <colorScale>
        <cfvo type="min"/>
        <cfvo type="max"/>
        <color rgb="FFFFFFFF"/>
        <color rgb="FF57BB8A"/>
      </colorScale>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77" t="str">
        <f>IFERROR(__xludf.DUMMYFUNCTION("IMPORTHTML(""https://coinmarketcap.com/"",""table"")"),"")</f>
        <v/>
      </c>
      <c r="B1" s="377" t="str">
        <f>IFERROR(__xludf.DUMMYFUNCTION("""COMPUTED_VALUE"""),"#")</f>
        <v>#</v>
      </c>
      <c r="C1" s="377" t="str">
        <f>IFERROR(__xludf.DUMMYFUNCTION("""COMPUTED_VALUE"""),"Name")</f>
        <v>Name</v>
      </c>
      <c r="D1" s="377" t="str">
        <f>IFERROR(__xludf.DUMMYFUNCTION("""COMPUTED_VALUE"""),"Price")</f>
        <v>Price</v>
      </c>
      <c r="E1" s="377" t="str">
        <f>IFERROR(__xludf.DUMMYFUNCTION("""COMPUTED_VALUE"""),"1h %")</f>
        <v>1h %</v>
      </c>
      <c r="F1" s="377" t="str">
        <f>IFERROR(__xludf.DUMMYFUNCTION("""COMPUTED_VALUE"""),"24h %")</f>
        <v>24h %</v>
      </c>
      <c r="G1" s="377" t="str">
        <f>IFERROR(__xludf.DUMMYFUNCTION("""COMPUTED_VALUE"""),"7d %")</f>
        <v>7d %</v>
      </c>
      <c r="H1" s="377" t="str">
        <f>IFERROR(__xludf.DUMMYFUNCTION("""COMPUTED_VALUE"""),"Market Cap")</f>
        <v>Market Cap</v>
      </c>
      <c r="I1" s="377" t="str">
        <f>IFERROR(__xludf.DUMMYFUNCTION("""COMPUTED_VALUE"""),"Volume(24h)")</f>
        <v>Volume(24h)</v>
      </c>
      <c r="J1" s="377" t="str">
        <f>IFERROR(__xludf.DUMMYFUNCTION("""COMPUTED_VALUE"""),"Circulating Supply")</f>
        <v>Circulating Supply</v>
      </c>
      <c r="K1" s="377" t="str">
        <f>IFERROR(__xludf.DUMMYFUNCTION("""COMPUTED_VALUE"""),"Last 7 Days")</f>
        <v>Last 7 Days</v>
      </c>
    </row>
    <row r="2">
      <c r="A2" s="377"/>
      <c r="B2" s="377">
        <f>IFERROR(__xludf.DUMMYFUNCTION("""COMPUTED_VALUE"""),1.0)</f>
        <v>1</v>
      </c>
      <c r="C2" s="377" t="str">
        <f>IFERROR(__xludf.DUMMYFUNCTION("""COMPUTED_VALUE"""),"Bitcoin
BTC")</f>
        <v>Bitcoin
BTC</v>
      </c>
      <c r="D2" s="1468">
        <f>IFERROR(__xludf.DUMMYFUNCTION("""COMPUTED_VALUE"""),66393.56)</f>
        <v>66393.56</v>
      </c>
      <c r="E2" s="379">
        <f>IFERROR(__xludf.DUMMYFUNCTION("""COMPUTED_VALUE"""),0.0029)</f>
        <v>0.0029</v>
      </c>
      <c r="F2" s="379">
        <f>IFERROR(__xludf.DUMMYFUNCTION("""COMPUTED_VALUE"""),0.0034)</f>
        <v>0.0034</v>
      </c>
      <c r="G2" s="379">
        <f>IFERROR(__xludf.DUMMYFUNCTION("""COMPUTED_VALUE"""),0.0458)</f>
        <v>0.0458</v>
      </c>
      <c r="H2" s="377" t="str">
        <f>IFERROR(__xludf.DUMMYFUNCTION("""COMPUTED_VALUE"""),"$1.31T$1,307,433,965,788")</f>
        <v>$1.31T$1,307,433,965,788</v>
      </c>
      <c r="I2" s="377" t="str">
        <f>IFERROR(__xludf.DUMMYFUNCTION("""COMPUTED_VALUE"""),"$23,846,467,463
359,118 BTC")</f>
        <v>$23,846,467,463
359,118 BTC</v>
      </c>
      <c r="J2" s="377" t="str">
        <f>IFERROR(__xludf.DUMMYFUNCTION("""COMPUTED_VALUE"""),"19,689,434 BTC")</f>
        <v>19,689,434 BTC</v>
      </c>
      <c r="K2" s="377"/>
    </row>
    <row r="3">
      <c r="A3" s="377"/>
      <c r="B3" s="377">
        <f>IFERROR(__xludf.DUMMYFUNCTION("""COMPUTED_VALUE"""),2.0)</f>
        <v>2</v>
      </c>
      <c r="C3" s="377" t="str">
        <f>IFERROR(__xludf.DUMMYFUNCTION("""COMPUTED_VALUE"""),"Ethereum
ETH")</f>
        <v>Ethereum
ETH</v>
      </c>
      <c r="D3" s="1468">
        <f>IFERROR(__xludf.DUMMYFUNCTION("""COMPUTED_VALUE"""),3251.17)</f>
        <v>3251.17</v>
      </c>
      <c r="E3" s="379">
        <f>IFERROR(__xludf.DUMMYFUNCTION("""COMPUTED_VALUE"""),1.0E-4)</f>
        <v>0.0001</v>
      </c>
      <c r="F3" s="379">
        <f>IFERROR(__xludf.DUMMYFUNCTION("""COMPUTED_VALUE"""),0.0266)</f>
        <v>0.0266</v>
      </c>
      <c r="G3" s="379">
        <f>IFERROR(__xludf.DUMMYFUNCTION("""COMPUTED_VALUE"""),0.0533)</f>
        <v>0.0533</v>
      </c>
      <c r="H3" s="377" t="str">
        <f>IFERROR(__xludf.DUMMYFUNCTION("""COMPUTED_VALUE"""),"$396.32B$396,315,266,330")</f>
        <v>$396.32B$396,315,266,330</v>
      </c>
      <c r="I3" s="377" t="str">
        <f>IFERROR(__xludf.DUMMYFUNCTION("""COMPUTED_VALUE"""),"$11,156,667,239
3,435,748 ETH")</f>
        <v>$11,156,667,239
3,435,748 ETH</v>
      </c>
      <c r="J3" s="377" t="str">
        <f>IFERROR(__xludf.DUMMYFUNCTION("""COMPUTED_VALUE"""),"122,047,160 ETH")</f>
        <v>122,047,160 ETH</v>
      </c>
      <c r="K3" s="377"/>
    </row>
    <row r="4">
      <c r="A4" s="377"/>
      <c r="B4" s="377">
        <f>IFERROR(__xludf.DUMMYFUNCTION("""COMPUTED_VALUE"""),3.0)</f>
        <v>3</v>
      </c>
      <c r="C4" s="377" t="str">
        <f>IFERROR(__xludf.DUMMYFUNCTION("""COMPUTED_VALUE"""),"Tether
USDT")</f>
        <v>Tether
USDT</v>
      </c>
      <c r="D4" s="1468">
        <f>IFERROR(__xludf.DUMMYFUNCTION("""COMPUTED_VALUE"""),0.9999)</f>
        <v>0.9999</v>
      </c>
      <c r="E4" s="379">
        <f>IFERROR(__xludf.DUMMYFUNCTION("""COMPUTED_VALUE"""),6.0E-4)</f>
        <v>0.0006</v>
      </c>
      <c r="F4" s="379">
        <f>IFERROR(__xludf.DUMMYFUNCTION("""COMPUTED_VALUE"""),5.0E-4)</f>
        <v>0.0005</v>
      </c>
      <c r="G4" s="379">
        <f>IFERROR(__xludf.DUMMYFUNCTION("""COMPUTED_VALUE"""),0.0011)</f>
        <v>0.0011</v>
      </c>
      <c r="H4" s="377" t="str">
        <f>IFERROR(__xludf.DUMMYFUNCTION("""COMPUTED_VALUE"""),"$110.46B$110,458,622,806")</f>
        <v>$110.46B$110,458,622,806</v>
      </c>
      <c r="I4" s="377" t="str">
        <f>IFERROR(__xludf.DUMMYFUNCTION("""COMPUTED_VALUE"""),"$51,739,124,742
51,741,416,549 USDT")</f>
        <v>$51,739,124,742
51,741,416,549 USDT</v>
      </c>
      <c r="J4" s="377" t="str">
        <f>IFERROR(__xludf.DUMMYFUNCTION("""COMPUTED_VALUE"""),"110,463,515,619 USDT")</f>
        <v>110,463,515,619 USDT</v>
      </c>
      <c r="K4" s="377"/>
    </row>
    <row r="5">
      <c r="A5" s="377"/>
      <c r="B5" s="377">
        <f>IFERROR(__xludf.DUMMYFUNCTION("""COMPUTED_VALUE"""),4.0)</f>
        <v>4</v>
      </c>
      <c r="C5" s="377" t="str">
        <f>IFERROR(__xludf.DUMMYFUNCTION("""COMPUTED_VALUE"""),"BNB
BNB")</f>
        <v>BNB
BNB</v>
      </c>
      <c r="D5" s="1468">
        <f>IFERROR(__xludf.DUMMYFUNCTION("""COMPUTED_VALUE"""),610.28)</f>
        <v>610.28</v>
      </c>
      <c r="E5" s="379">
        <f>IFERROR(__xludf.DUMMYFUNCTION("""COMPUTED_VALUE"""),0.0032)</f>
        <v>0.0032</v>
      </c>
      <c r="F5" s="379">
        <f>IFERROR(__xludf.DUMMYFUNCTION("""COMPUTED_VALUE"""),0.0065)</f>
        <v>0.0065</v>
      </c>
      <c r="G5" s="379">
        <f>IFERROR(__xludf.DUMMYFUNCTION("""COMPUTED_VALUE"""),0.1145)</f>
        <v>0.1145</v>
      </c>
      <c r="H5" s="377" t="str">
        <f>IFERROR(__xludf.DUMMYFUNCTION("""COMPUTED_VALUE"""),"$90.04B$90,041,379,935")</f>
        <v>$90.04B$90,041,379,935</v>
      </c>
      <c r="I5" s="377" t="str">
        <f>IFERROR(__xludf.DUMMYFUNCTION("""COMPUTED_VALUE"""),"$1,433,757,460
2,350,097 BNB")</f>
        <v>$1,433,757,460
2,350,097 BNB</v>
      </c>
      <c r="J5" s="377" t="str">
        <f>IFERROR(__xludf.DUMMYFUNCTION("""COMPUTED_VALUE"""),"147,588,390 BNB")</f>
        <v>147,588,390 BNB</v>
      </c>
      <c r="K5" s="377"/>
    </row>
    <row r="6">
      <c r="A6" s="377"/>
      <c r="B6" s="377">
        <f>IFERROR(__xludf.DUMMYFUNCTION("""COMPUTED_VALUE"""),5.0)</f>
        <v>5</v>
      </c>
      <c r="C6" s="377" t="str">
        <f>IFERROR(__xludf.DUMMYFUNCTION("""COMPUTED_VALUE"""),"Solana
SOL")</f>
        <v>Solana
SOL</v>
      </c>
      <c r="D6" s="1468">
        <f>IFERROR(__xludf.DUMMYFUNCTION("""COMPUTED_VALUE"""),156.77)</f>
        <v>156.77</v>
      </c>
      <c r="E6" s="379">
        <f>IFERROR(__xludf.DUMMYFUNCTION("""COMPUTED_VALUE"""),0.0067)</f>
        <v>0.0067</v>
      </c>
      <c r="F6" s="379">
        <f>IFERROR(__xludf.DUMMYFUNCTION("""COMPUTED_VALUE"""),0.0184)</f>
        <v>0.0184</v>
      </c>
      <c r="G6" s="379">
        <f>IFERROR(__xludf.DUMMYFUNCTION("""COMPUTED_VALUE"""),0.1236)</f>
        <v>0.1236</v>
      </c>
      <c r="H6" s="377" t="str">
        <f>IFERROR(__xludf.DUMMYFUNCTION("""COMPUTED_VALUE"""),"$70.09B$70,085,643,633")</f>
        <v>$70.09B$70,085,643,633</v>
      </c>
      <c r="I6" s="377" t="str">
        <f>IFERROR(__xludf.DUMMYFUNCTION("""COMPUTED_VALUE"""),"$3,121,652,222
19,911,680 SOL")</f>
        <v>$3,121,652,222
19,911,680 SOL</v>
      </c>
      <c r="J6" s="377" t="str">
        <f>IFERROR(__xludf.DUMMYFUNCTION("""COMPUTED_VALUE"""),"447,046,252 SOL")</f>
        <v>447,046,252 SOL</v>
      </c>
      <c r="K6" s="377"/>
    </row>
    <row r="7">
      <c r="A7" s="377"/>
      <c r="B7" s="377">
        <f>IFERROR(__xludf.DUMMYFUNCTION("""COMPUTED_VALUE"""),6.0)</f>
        <v>6</v>
      </c>
      <c r="C7" s="377" t="str">
        <f>IFERROR(__xludf.DUMMYFUNCTION("""COMPUTED_VALUE"""),"USDC
USDC")</f>
        <v>USDC
USDC</v>
      </c>
      <c r="D7" s="1468">
        <f>IFERROR(__xludf.DUMMYFUNCTION("""COMPUTED_VALUE"""),0.9999)</f>
        <v>0.9999</v>
      </c>
      <c r="E7" s="379">
        <f>IFERROR(__xludf.DUMMYFUNCTION("""COMPUTED_VALUE"""),5.0E-4)</f>
        <v>0.0005</v>
      </c>
      <c r="F7" s="379">
        <f>IFERROR(__xludf.DUMMYFUNCTION("""COMPUTED_VALUE"""),2.0E-4)</f>
        <v>0.0002</v>
      </c>
      <c r="G7" s="379">
        <f>IFERROR(__xludf.DUMMYFUNCTION("""COMPUTED_VALUE"""),6.0E-4)</f>
        <v>0.0006</v>
      </c>
      <c r="H7" s="377" t="str">
        <f>IFERROR(__xludf.DUMMYFUNCTION("""COMPUTED_VALUE"""),"$33.7B$33,695,088,097")</f>
        <v>$33.7B$33,695,088,097</v>
      </c>
      <c r="I7" s="377" t="str">
        <f>IFERROR(__xludf.DUMMYFUNCTION("""COMPUTED_VALUE"""),"$5,840,009,480
5,840,275,230 USDC")</f>
        <v>$5,840,009,480
5,840,275,230 USDC</v>
      </c>
      <c r="J7" s="377" t="str">
        <f>IFERROR(__xludf.DUMMYFUNCTION("""COMPUTED_VALUE"""),"33,696,621,395 USDC")</f>
        <v>33,696,621,395 USDC</v>
      </c>
      <c r="K7" s="377"/>
    </row>
    <row r="8">
      <c r="A8" s="377"/>
      <c r="B8" s="377">
        <f>IFERROR(__xludf.DUMMYFUNCTION("""COMPUTED_VALUE"""),7.0)</f>
        <v>7</v>
      </c>
      <c r="C8" s="377" t="str">
        <f>IFERROR(__xludf.DUMMYFUNCTION("""COMPUTED_VALUE"""),"XRP
XRP")</f>
        <v>XRP
XRP</v>
      </c>
      <c r="D8" s="1468">
        <f>IFERROR(__xludf.DUMMYFUNCTION("""COMPUTED_VALUE"""),0.5442)</f>
        <v>0.5442</v>
      </c>
      <c r="E8" s="379">
        <f>IFERROR(__xludf.DUMMYFUNCTION("""COMPUTED_VALUE"""),0.0123)</f>
        <v>0.0123</v>
      </c>
      <c r="F8" s="379">
        <f>IFERROR(__xludf.DUMMYFUNCTION("""COMPUTED_VALUE"""),0.0033)</f>
        <v>0.0033</v>
      </c>
      <c r="G8" s="379">
        <f>IFERROR(__xludf.DUMMYFUNCTION("""COMPUTED_VALUE"""),0.0921)</f>
        <v>0.0921</v>
      </c>
      <c r="H8" s="377" t="str">
        <f>IFERROR(__xludf.DUMMYFUNCTION("""COMPUTED_VALUE"""),"$30B$30,002,603,615")</f>
        <v>$30B$30,002,603,615</v>
      </c>
      <c r="I8" s="377" t="str">
        <f>IFERROR(__xludf.DUMMYFUNCTION("""COMPUTED_VALUE"""),"$1,368,901,055
2,515,326,483 XRP")</f>
        <v>$1,368,901,055
2,515,326,483 XRP</v>
      </c>
      <c r="J8" s="377" t="str">
        <f>IFERROR(__xludf.DUMMYFUNCTION("""COMPUTED_VALUE"""),"55,129,144,019 XRP")</f>
        <v>55,129,144,019 XRP</v>
      </c>
      <c r="K8" s="377"/>
    </row>
    <row r="9">
      <c r="A9" s="377"/>
      <c r="B9" s="377">
        <f>IFERROR(__xludf.DUMMYFUNCTION("""COMPUTED_VALUE"""),8.0)</f>
        <v>8</v>
      </c>
      <c r="C9" s="377" t="str">
        <f>IFERROR(__xludf.DUMMYFUNCTION("""COMPUTED_VALUE"""),"Dogecoin
DOGE")</f>
        <v>Dogecoin
DOGE</v>
      </c>
      <c r="D9" s="1468">
        <f>IFERROR(__xludf.DUMMYFUNCTION("""COMPUTED_VALUE"""),0.161)</f>
        <v>0.161</v>
      </c>
      <c r="E9" s="379">
        <f>IFERROR(__xludf.DUMMYFUNCTION("""COMPUTED_VALUE"""),0.0086)</f>
        <v>0.0086</v>
      </c>
      <c r="F9" s="379">
        <f>IFERROR(__xludf.DUMMYFUNCTION("""COMPUTED_VALUE"""),0.019)</f>
        <v>0.019</v>
      </c>
      <c r="G9" s="379">
        <f>IFERROR(__xludf.DUMMYFUNCTION("""COMPUTED_VALUE"""),0.018)</f>
        <v>0.018</v>
      </c>
      <c r="H9" s="377" t="str">
        <f>IFERROR(__xludf.DUMMYFUNCTION("""COMPUTED_VALUE"""),"$23.19B$23,187,941,400")</f>
        <v>$23.19B$23,187,941,400</v>
      </c>
      <c r="I9" s="377" t="str">
        <f>IFERROR(__xludf.DUMMYFUNCTION("""COMPUTED_VALUE"""),"$1,168,573,029
7,257,707,349 DOGE")</f>
        <v>$1,168,573,029
7,257,707,349 DOGE</v>
      </c>
      <c r="J9" s="377" t="str">
        <f>IFERROR(__xludf.DUMMYFUNCTION("""COMPUTED_VALUE"""),"144,014,356,384 DOGE")</f>
        <v>144,014,356,384 DOGE</v>
      </c>
      <c r="K9" s="377"/>
    </row>
    <row r="10">
      <c r="A10" s="377"/>
      <c r="B10" s="377">
        <f>IFERROR(__xludf.DUMMYFUNCTION("""COMPUTED_VALUE"""),9.0)</f>
        <v>9</v>
      </c>
      <c r="C10" s="377" t="str">
        <f>IFERROR(__xludf.DUMMYFUNCTION("""COMPUTED_VALUE"""),"Toncoin
TON")</f>
        <v>Toncoin
TON</v>
      </c>
      <c r="D10" s="1468">
        <f>IFERROR(__xludf.DUMMYFUNCTION("""COMPUTED_VALUE"""),5.78)</f>
        <v>5.78</v>
      </c>
      <c r="E10" s="379">
        <f>IFERROR(__xludf.DUMMYFUNCTION("""COMPUTED_VALUE"""),0.0143)</f>
        <v>0.0143</v>
      </c>
      <c r="F10" s="379">
        <f>IFERROR(__xludf.DUMMYFUNCTION("""COMPUTED_VALUE"""),0.0346)</f>
        <v>0.0346</v>
      </c>
      <c r="G10" s="379">
        <f>IFERROR(__xludf.DUMMYFUNCTION("""COMPUTED_VALUE"""),0.0994)</f>
        <v>0.0994</v>
      </c>
      <c r="H10" s="377" t="str">
        <f>IFERROR(__xludf.DUMMYFUNCTION("""COMPUTED_VALUE"""),"$20.07B$20,069,680,813")</f>
        <v>$20.07B$20,069,680,813</v>
      </c>
      <c r="I10" s="377" t="str">
        <f>IFERROR(__xludf.DUMMYFUNCTION("""COMPUTED_VALUE"""),"$261,429,222
45,217,859 TON")</f>
        <v>$261,429,222
45,217,859 TON</v>
      </c>
      <c r="J10" s="377" t="str">
        <f>IFERROR(__xludf.DUMMYFUNCTION("""COMPUTED_VALUE"""),"3,471,333,424 TON")</f>
        <v>3,471,333,424 TON</v>
      </c>
      <c r="K10" s="377"/>
    </row>
    <row r="11">
      <c r="A11" s="377"/>
      <c r="B11" s="377">
        <f>IFERROR(__xludf.DUMMYFUNCTION("""COMPUTED_VALUE"""),10.0)</f>
        <v>10</v>
      </c>
      <c r="C11" s="377" t="str">
        <f>IFERROR(__xludf.DUMMYFUNCTION("""COMPUTED_VALUE"""),"Cardano
ADA")</f>
        <v>Cardano
ADA</v>
      </c>
      <c r="D11" s="1468">
        <f>IFERROR(__xludf.DUMMYFUNCTION("""COMPUTED_VALUE"""),0.4971)</f>
        <v>0.4971</v>
      </c>
      <c r="E11" s="379">
        <f>IFERROR(__xludf.DUMMYFUNCTION("""COMPUTED_VALUE"""),0.0097)</f>
        <v>0.0097</v>
      </c>
      <c r="F11" s="379">
        <f>IFERROR(__xludf.DUMMYFUNCTION("""COMPUTED_VALUE"""),0.039)</f>
        <v>0.039</v>
      </c>
      <c r="G11" s="379">
        <f>IFERROR(__xludf.DUMMYFUNCTION("""COMPUTED_VALUE"""),0.0842)</f>
        <v>0.0842</v>
      </c>
      <c r="H11" s="377" t="str">
        <f>IFERROR(__xludf.DUMMYFUNCTION("""COMPUTED_VALUE"""),"$17.71B$17,714,023,927")</f>
        <v>$17.71B$17,714,023,927</v>
      </c>
      <c r="I11" s="377" t="str">
        <f>IFERROR(__xludf.DUMMYFUNCTION("""COMPUTED_VALUE"""),"$396,416,332
797,440,545 ADA")</f>
        <v>$396,416,332
797,440,545 ADA</v>
      </c>
      <c r="J11" s="377" t="str">
        <f>IFERROR(__xludf.DUMMYFUNCTION("""COMPUTED_VALUE"""),"35,633,952,874 ADA")</f>
        <v>35,633,952,874 ADA</v>
      </c>
      <c r="K11" s="377"/>
    </row>
    <row r="12">
      <c r="A12" s="377"/>
      <c r="B12" s="377"/>
      <c r="C12" s="377" t="str">
        <f>IFERROR(__xludf.DUMMYFUNCTION("""COMPUTED_VALUE"""),"Shiba InuSHIB")</f>
        <v>Shiba InuSHIB</v>
      </c>
      <c r="D12" s="1468">
        <f>IFERROR(__xludf.DUMMYFUNCTION("""COMPUTED_VALUE"""),0.0)</f>
        <v>0</v>
      </c>
      <c r="E12" s="377"/>
      <c r="F12" s="377"/>
      <c r="G12" s="377"/>
      <c r="H12" s="377"/>
      <c r="I12" s="377"/>
      <c r="J12" s="377"/>
      <c r="K12" s="377"/>
    </row>
    <row r="13">
      <c r="A13" s="377"/>
      <c r="B13" s="377"/>
      <c r="C13" s="377" t="str">
        <f>IFERROR(__xludf.DUMMYFUNCTION("""COMPUTED_VALUE"""),"AvalancheAVAX")</f>
        <v>AvalancheAVAX</v>
      </c>
      <c r="D13" s="1468">
        <f>IFERROR(__xludf.DUMMYFUNCTION("""COMPUTED_VALUE"""),38.93)</f>
        <v>38.93</v>
      </c>
      <c r="E13" s="377"/>
      <c r="F13" s="377"/>
      <c r="G13" s="377"/>
      <c r="H13" s="377"/>
      <c r="I13" s="377"/>
      <c r="J13" s="377"/>
      <c r="K13" s="377"/>
    </row>
    <row r="14">
      <c r="A14" s="377"/>
      <c r="B14" s="377"/>
      <c r="C14" s="377" t="str">
        <f>IFERROR(__xludf.DUMMYFUNCTION("""COMPUTED_VALUE"""),"PolkadotDOT")</f>
        <v>PolkadotDOT</v>
      </c>
      <c r="D14" s="1468">
        <f>IFERROR(__xludf.DUMMYFUNCTION("""COMPUTED_VALUE"""),7.44)</f>
        <v>7.44</v>
      </c>
      <c r="E14" s="377"/>
      <c r="F14" s="377"/>
      <c r="G14" s="377"/>
      <c r="H14" s="377"/>
      <c r="I14" s="377"/>
      <c r="J14" s="377"/>
      <c r="K14" s="377"/>
    </row>
    <row r="15">
      <c r="A15" s="377"/>
      <c r="B15" s="377"/>
      <c r="C15" s="377" t="str">
        <f>IFERROR(__xludf.DUMMYFUNCTION("""COMPUTED_VALUE"""),"TRONTRX")</f>
        <v>TRONTRX</v>
      </c>
      <c r="D15" s="1468">
        <f>IFERROR(__xludf.DUMMYFUNCTION("""COMPUTED_VALUE"""),0.11)</f>
        <v>0.11</v>
      </c>
      <c r="E15" s="377"/>
      <c r="F15" s="377"/>
      <c r="G15" s="377"/>
      <c r="H15" s="377"/>
      <c r="I15" s="377"/>
      <c r="J15" s="377"/>
      <c r="K15" s="377"/>
    </row>
    <row r="16">
      <c r="A16" s="377"/>
      <c r="B16" s="377"/>
      <c r="C16" s="377" t="str">
        <f>IFERROR(__xludf.DUMMYFUNCTION("""COMPUTED_VALUE"""),"Bitcoin CashBCH")</f>
        <v>Bitcoin CashBCH</v>
      </c>
      <c r="D16" s="1468">
        <f>IFERROR(__xludf.DUMMYFUNCTION("""COMPUTED_VALUE"""),503.63)</f>
        <v>503.63</v>
      </c>
      <c r="E16" s="377"/>
      <c r="F16" s="377"/>
      <c r="G16" s="377"/>
      <c r="H16" s="377"/>
      <c r="I16" s="377"/>
      <c r="J16" s="377"/>
      <c r="K16" s="377"/>
    </row>
    <row r="17">
      <c r="A17" s="377"/>
      <c r="B17" s="377"/>
      <c r="C17" s="377" t="str">
        <f>IFERROR(__xludf.DUMMYFUNCTION("""COMPUTED_VALUE"""),"ChainlinkLINK")</f>
        <v>ChainlinkLINK</v>
      </c>
      <c r="D17" s="1468">
        <f>IFERROR(__xludf.DUMMYFUNCTION("""COMPUTED_VALUE"""),15.42)</f>
        <v>15.42</v>
      </c>
      <c r="E17" s="377"/>
      <c r="F17" s="377"/>
      <c r="G17" s="377"/>
      <c r="H17" s="377"/>
      <c r="I17" s="377"/>
      <c r="J17" s="377"/>
      <c r="K17" s="377"/>
    </row>
    <row r="18">
      <c r="A18" s="377"/>
      <c r="B18" s="377"/>
      <c r="C18" s="377" t="str">
        <f>IFERROR(__xludf.DUMMYFUNCTION("""COMPUTED_VALUE"""),"PolygonMATIC")</f>
        <v>PolygonMATIC</v>
      </c>
      <c r="D18" s="1468">
        <f>IFERROR(__xludf.DUMMYFUNCTION("""COMPUTED_VALUE"""),0.75)</f>
        <v>0.75</v>
      </c>
      <c r="E18" s="377"/>
      <c r="F18" s="377"/>
      <c r="G18" s="377"/>
      <c r="H18" s="377"/>
      <c r="I18" s="377"/>
      <c r="J18" s="377"/>
      <c r="K18" s="377"/>
    </row>
    <row r="19">
      <c r="A19" s="377"/>
      <c r="B19" s="377"/>
      <c r="C19" s="377" t="str">
        <f>IFERROR(__xludf.DUMMYFUNCTION("""COMPUTED_VALUE"""),"NEAR ProtocolNEAR")</f>
        <v>NEAR ProtocolNEAR</v>
      </c>
      <c r="D19" s="1468">
        <f>IFERROR(__xludf.DUMMYFUNCTION("""COMPUTED_VALUE"""),6.95)</f>
        <v>6.95</v>
      </c>
      <c r="E19" s="377"/>
      <c r="F19" s="377"/>
      <c r="G19" s="377"/>
      <c r="H19" s="377"/>
      <c r="I19" s="377"/>
      <c r="J19" s="377"/>
      <c r="K19" s="377"/>
    </row>
    <row r="20">
      <c r="A20" s="377"/>
      <c r="B20" s="377"/>
      <c r="C20" s="377" t="str">
        <f>IFERROR(__xludf.DUMMYFUNCTION("""COMPUTED_VALUE"""),"Internet ComputerICP")</f>
        <v>Internet ComputerICP</v>
      </c>
      <c r="D20" s="1468">
        <f>IFERROR(__xludf.DUMMYFUNCTION("""COMPUTED_VALUE"""),14.66)</f>
        <v>14.66</v>
      </c>
      <c r="E20" s="377"/>
      <c r="F20" s="377"/>
      <c r="G20" s="377"/>
      <c r="H20" s="377"/>
      <c r="I20" s="377"/>
      <c r="J20" s="377"/>
      <c r="K20" s="377"/>
    </row>
    <row r="21">
      <c r="A21" s="377"/>
      <c r="B21" s="377"/>
      <c r="C21" s="377" t="str">
        <f>IFERROR(__xludf.DUMMYFUNCTION("""COMPUTED_VALUE"""),"LitecoinLTC")</f>
        <v>LitecoinLTC</v>
      </c>
      <c r="D21" s="1468">
        <f>IFERROR(__xludf.DUMMYFUNCTION("""COMPUTED_VALUE"""),87.06)</f>
        <v>87.06</v>
      </c>
      <c r="E21" s="377"/>
      <c r="F21" s="377"/>
      <c r="G21" s="377"/>
      <c r="H21" s="377"/>
      <c r="I21" s="377"/>
      <c r="J21" s="377"/>
      <c r="K21" s="377"/>
    </row>
    <row r="22">
      <c r="A22" s="377"/>
      <c r="B22" s="377"/>
      <c r="C22" s="377" t="str">
        <f>IFERROR(__xludf.DUMMYFUNCTION("""COMPUTED_VALUE"""),"DaiDAI")</f>
        <v>DaiDAI</v>
      </c>
      <c r="D22" s="1468">
        <f>IFERROR(__xludf.DUMMYFUNCTION("""COMPUTED_VALUE"""),1.0)</f>
        <v>1</v>
      </c>
      <c r="E22" s="377"/>
      <c r="F22" s="377"/>
      <c r="G22" s="377"/>
      <c r="H22" s="377"/>
      <c r="I22" s="377"/>
      <c r="J22" s="377"/>
      <c r="K22" s="377"/>
    </row>
    <row r="23">
      <c r="A23" s="377"/>
      <c r="B23" s="377"/>
      <c r="C23" s="377" t="str">
        <f>IFERROR(__xludf.DUMMYFUNCTION("""COMPUTED_VALUE"""),"UNUS SED LEOLEO")</f>
        <v>UNUS SED LEOLEO</v>
      </c>
      <c r="D23" s="1468">
        <f>IFERROR(__xludf.DUMMYFUNCTION("""COMPUTED_VALUE"""),5.74)</f>
        <v>5.74</v>
      </c>
      <c r="E23" s="377"/>
      <c r="F23" s="377"/>
      <c r="G23" s="377"/>
      <c r="H23" s="377"/>
      <c r="I23" s="377"/>
      <c r="J23" s="377"/>
      <c r="K23" s="377"/>
    </row>
    <row r="24">
      <c r="A24" s="377"/>
      <c r="B24" s="377"/>
      <c r="C24" s="377" t="str">
        <f>IFERROR(__xludf.DUMMYFUNCTION("""COMPUTED_VALUE"""),"UniswapUNI")</f>
        <v>UniswapUNI</v>
      </c>
      <c r="D24" s="1468">
        <f>IFERROR(__xludf.DUMMYFUNCTION("""COMPUTED_VALUE"""),8.08)</f>
        <v>8.08</v>
      </c>
      <c r="E24" s="377"/>
      <c r="F24" s="377"/>
      <c r="G24" s="377"/>
      <c r="H24" s="377"/>
      <c r="I24" s="377"/>
      <c r="J24" s="377"/>
      <c r="K24" s="377"/>
    </row>
    <row r="25">
      <c r="A25" s="377"/>
      <c r="B25" s="377"/>
      <c r="C25" s="377" t="str">
        <f>IFERROR(__xludf.DUMMYFUNCTION("""COMPUTED_VALUE"""),"HederaHBAR")</f>
        <v>HederaHBAR</v>
      </c>
      <c r="D25" s="1468">
        <f>IFERROR(__xludf.DUMMYFUNCTION("""COMPUTED_VALUE"""),0.13)</f>
        <v>0.13</v>
      </c>
      <c r="E25" s="377"/>
      <c r="F25" s="377"/>
      <c r="G25" s="377"/>
      <c r="H25" s="377"/>
      <c r="I25" s="377"/>
      <c r="J25" s="377"/>
      <c r="K25" s="377"/>
    </row>
    <row r="26">
      <c r="A26" s="377"/>
      <c r="B26" s="377"/>
      <c r="C26" s="377" t="str">
        <f>IFERROR(__xludf.DUMMYFUNCTION("""COMPUTED_VALUE"""),"First Digital USDFDUSD")</f>
        <v>First Digital USDFDUSD</v>
      </c>
      <c r="D26" s="1468">
        <f>IFERROR(__xludf.DUMMYFUNCTION("""COMPUTED_VALUE"""),1.0)</f>
        <v>1</v>
      </c>
      <c r="E26" s="377"/>
      <c r="F26" s="377"/>
      <c r="G26" s="377"/>
      <c r="H26" s="377"/>
      <c r="I26" s="377"/>
      <c r="J26" s="377"/>
      <c r="K26" s="377"/>
    </row>
    <row r="27">
      <c r="A27" s="377"/>
      <c r="B27" s="377"/>
      <c r="C27" s="377" t="str">
        <f>IFERROR(__xludf.DUMMYFUNCTION("""COMPUTED_VALUE"""),"StacksSTX")</f>
        <v>StacksSTX</v>
      </c>
      <c r="D27" s="1468">
        <f>IFERROR(__xludf.DUMMYFUNCTION("""COMPUTED_VALUE"""),2.87)</f>
        <v>2.87</v>
      </c>
      <c r="E27" s="377"/>
      <c r="F27" s="377"/>
      <c r="G27" s="377"/>
      <c r="H27" s="377"/>
      <c r="I27" s="377"/>
      <c r="J27" s="377"/>
      <c r="K27" s="377"/>
    </row>
    <row r="28">
      <c r="A28" s="377"/>
      <c r="B28" s="377"/>
      <c r="C28" s="377" t="str">
        <f>IFERROR(__xludf.DUMMYFUNCTION("""COMPUTED_VALUE"""),"AptosAPT")</f>
        <v>AptosAPT</v>
      </c>
      <c r="D28" s="1468">
        <f>IFERROR(__xludf.DUMMYFUNCTION("""COMPUTED_VALUE"""),9.8)</f>
        <v>9.8</v>
      </c>
      <c r="E28" s="377"/>
      <c r="F28" s="377"/>
      <c r="G28" s="377"/>
      <c r="H28" s="377"/>
      <c r="I28" s="377"/>
      <c r="J28" s="377"/>
      <c r="K28" s="377"/>
    </row>
    <row r="29">
      <c r="A29" s="377"/>
      <c r="B29" s="377"/>
      <c r="C29" s="377" t="str">
        <f>IFERROR(__xludf.DUMMYFUNCTION("""COMPUTED_VALUE"""),"Ethereum ClassicETC")</f>
        <v>Ethereum ClassicETC</v>
      </c>
      <c r="D29" s="1468">
        <f>IFERROR(__xludf.DUMMYFUNCTION("""COMPUTED_VALUE"""),27.86)</f>
        <v>27.86</v>
      </c>
      <c r="E29" s="377"/>
      <c r="F29" s="377"/>
      <c r="G29" s="377"/>
      <c r="H29" s="377"/>
      <c r="I29" s="377"/>
      <c r="J29" s="377"/>
      <c r="K29" s="377"/>
    </row>
    <row r="30">
      <c r="A30" s="377"/>
      <c r="B30" s="377"/>
      <c r="C30" s="377" t="str">
        <f>IFERROR(__xludf.DUMMYFUNCTION("""COMPUTED_VALUE"""),"MantleMNT")</f>
        <v>MantleMNT</v>
      </c>
      <c r="D30" s="1468">
        <f>IFERROR(__xludf.DUMMYFUNCTION("""COMPUTED_VALUE"""),1.15)</f>
        <v>1.15</v>
      </c>
      <c r="E30" s="377"/>
      <c r="F30" s="377"/>
      <c r="G30" s="377"/>
      <c r="H30" s="377"/>
      <c r="I30" s="377"/>
      <c r="J30" s="377"/>
      <c r="K30" s="377"/>
    </row>
    <row r="31">
      <c r="A31" s="377"/>
      <c r="B31" s="377"/>
      <c r="C31" s="377" t="str">
        <f>IFERROR(__xludf.DUMMYFUNCTION("""COMPUTED_VALUE"""),"RenderRNDR")</f>
        <v>RenderRNDR</v>
      </c>
      <c r="D31" s="1468">
        <f>IFERROR(__xludf.DUMMYFUNCTION("""COMPUTED_VALUE"""),9.17)</f>
        <v>9.17</v>
      </c>
      <c r="E31" s="377"/>
      <c r="F31" s="377"/>
      <c r="G31" s="377"/>
      <c r="H31" s="377"/>
      <c r="I31" s="377"/>
      <c r="J31" s="377"/>
      <c r="K31" s="377"/>
    </row>
    <row r="32">
      <c r="A32" s="377"/>
      <c r="B32" s="377"/>
      <c r="C32" s="377" t="str">
        <f>IFERROR(__xludf.DUMMYFUNCTION("""COMPUTED_VALUE"""),"CronosCRO")</f>
        <v>CronosCRO</v>
      </c>
      <c r="D32" s="1468">
        <f>IFERROR(__xludf.DUMMYFUNCTION("""COMPUTED_VALUE"""),0.13)</f>
        <v>0.13</v>
      </c>
      <c r="E32" s="377"/>
      <c r="F32" s="377"/>
      <c r="G32" s="377"/>
      <c r="H32" s="377"/>
      <c r="I32" s="377"/>
      <c r="J32" s="377"/>
      <c r="K32" s="377"/>
    </row>
    <row r="33">
      <c r="A33" s="377"/>
      <c r="B33" s="377"/>
      <c r="C33" s="377" t="str">
        <f>IFERROR(__xludf.DUMMYFUNCTION("""COMPUTED_VALUE"""),"FilecoinFIL")</f>
        <v>FilecoinFIL</v>
      </c>
      <c r="D33" s="1468">
        <f>IFERROR(__xludf.DUMMYFUNCTION("""COMPUTED_VALUE"""),6.44)</f>
        <v>6.44</v>
      </c>
      <c r="E33" s="377"/>
      <c r="F33" s="377"/>
      <c r="G33" s="377"/>
      <c r="H33" s="377"/>
      <c r="I33" s="377"/>
      <c r="J33" s="377"/>
      <c r="K33" s="377"/>
    </row>
    <row r="34">
      <c r="A34" s="377"/>
      <c r="B34" s="377"/>
      <c r="C34" s="377" t="str">
        <f>IFERROR(__xludf.DUMMYFUNCTION("""COMPUTED_VALUE"""),"ImmutableIMX")</f>
        <v>ImmutableIMX</v>
      </c>
      <c r="D34" s="1468">
        <f>IFERROR(__xludf.DUMMYFUNCTION("""COMPUTED_VALUE"""),2.38)</f>
        <v>2.38</v>
      </c>
      <c r="E34" s="377"/>
      <c r="F34" s="377"/>
      <c r="G34" s="377"/>
      <c r="H34" s="377"/>
      <c r="I34" s="377"/>
      <c r="J34" s="377"/>
      <c r="K34" s="377"/>
    </row>
    <row r="35">
      <c r="A35" s="377"/>
      <c r="B35" s="377"/>
      <c r="C35" s="377" t="str">
        <f>IFERROR(__xludf.DUMMYFUNCTION("""COMPUTED_VALUE"""),"CosmosATOM")</f>
        <v>CosmosATOM</v>
      </c>
      <c r="D35" s="1468">
        <f>IFERROR(__xludf.DUMMYFUNCTION("""COMPUTED_VALUE"""),8.82)</f>
        <v>8.82</v>
      </c>
      <c r="E35" s="377"/>
      <c r="F35" s="377"/>
      <c r="G35" s="377"/>
      <c r="H35" s="377"/>
      <c r="I35" s="377"/>
      <c r="J35" s="377"/>
      <c r="K35" s="377"/>
    </row>
    <row r="36">
      <c r="A36" s="377"/>
      <c r="B36" s="377"/>
      <c r="C36" s="377" t="str">
        <f>IFERROR(__xludf.DUMMYFUNCTION("""COMPUTED_VALUE"""),"StellarXLM")</f>
        <v>StellarXLM</v>
      </c>
      <c r="D36" s="1468">
        <f>IFERROR(__xludf.DUMMYFUNCTION("""COMPUTED_VALUE"""),0.12)</f>
        <v>0.12</v>
      </c>
      <c r="E36" s="377"/>
      <c r="F36" s="377"/>
      <c r="G36" s="377"/>
      <c r="H36" s="377"/>
      <c r="I36" s="377"/>
      <c r="J36" s="377"/>
      <c r="K36" s="377"/>
    </row>
    <row r="37">
      <c r="A37" s="377"/>
      <c r="B37" s="377"/>
      <c r="C37" s="377" t="str">
        <f>IFERROR(__xludf.DUMMYFUNCTION("""COMPUTED_VALUE"""),"OKBOKB")</f>
        <v>OKBOKB</v>
      </c>
      <c r="D37" s="1468">
        <f>IFERROR(__xludf.DUMMYFUNCTION("""COMPUTED_VALUE"""),55.48)</f>
        <v>55.48</v>
      </c>
      <c r="E37" s="377"/>
      <c r="F37" s="377"/>
      <c r="G37" s="377"/>
      <c r="H37" s="377"/>
      <c r="I37" s="377"/>
      <c r="J37" s="377"/>
      <c r="K37" s="377"/>
    </row>
    <row r="38">
      <c r="A38" s="377"/>
      <c r="B38" s="377"/>
      <c r="C38" s="377" t="str">
        <f>IFERROR(__xludf.DUMMYFUNCTION("""COMPUTED_VALUE"""),"dogwifhatWIF")</f>
        <v>dogwifhatWIF</v>
      </c>
      <c r="D38" s="1468">
        <f>IFERROR(__xludf.DUMMYFUNCTION("""COMPUTED_VALUE"""),3.31)</f>
        <v>3.31</v>
      </c>
      <c r="E38" s="377"/>
      <c r="F38" s="377"/>
      <c r="G38" s="377"/>
      <c r="H38" s="377"/>
      <c r="I38" s="377"/>
      <c r="J38" s="377"/>
      <c r="K38" s="377"/>
    </row>
    <row r="39">
      <c r="A39" s="377"/>
      <c r="B39" s="377"/>
      <c r="C39" s="377" t="str">
        <f>IFERROR(__xludf.DUMMYFUNCTION("""COMPUTED_VALUE"""),"BittensorTAO")</f>
        <v>BittensorTAO</v>
      </c>
      <c r="D39" s="1468">
        <f>IFERROR(__xludf.DUMMYFUNCTION("""COMPUTED_VALUE"""),494.52)</f>
        <v>494.52</v>
      </c>
      <c r="E39" s="377"/>
      <c r="F39" s="377"/>
      <c r="G39" s="377"/>
      <c r="H39" s="377"/>
      <c r="I39" s="377"/>
      <c r="J39" s="377"/>
      <c r="K39" s="377"/>
    </row>
    <row r="40">
      <c r="A40" s="377"/>
      <c r="B40" s="377"/>
      <c r="C40" s="377" t="str">
        <f>IFERROR(__xludf.DUMMYFUNCTION("""COMPUTED_VALUE"""),"PepePEPE")</f>
        <v>PepePEPE</v>
      </c>
      <c r="D40" s="1468">
        <f>IFERROR(__xludf.DUMMYFUNCTION("""COMPUTED_VALUE"""),0.0)</f>
        <v>0</v>
      </c>
      <c r="E40" s="377"/>
      <c r="F40" s="377"/>
      <c r="G40" s="377"/>
      <c r="H40" s="377"/>
      <c r="I40" s="377"/>
      <c r="J40" s="377"/>
      <c r="K40" s="377"/>
    </row>
    <row r="41">
      <c r="A41" s="377"/>
      <c r="B41" s="377"/>
      <c r="C41" s="377" t="str">
        <f>IFERROR(__xludf.DUMMYFUNCTION("""COMPUTED_VALUE"""),"ArbitrumARB")</f>
        <v>ArbitrumARB</v>
      </c>
      <c r="D41" s="1468">
        <f>IFERROR(__xludf.DUMMYFUNCTION("""COMPUTED_VALUE"""),1.18)</f>
        <v>1.18</v>
      </c>
      <c r="E41" s="377"/>
      <c r="F41" s="377"/>
      <c r="G41" s="377"/>
      <c r="H41" s="377"/>
      <c r="I41" s="377"/>
      <c r="J41" s="377"/>
      <c r="K41" s="377"/>
    </row>
    <row r="42">
      <c r="A42" s="377"/>
      <c r="B42" s="377"/>
      <c r="C42" s="377" t="str">
        <f>IFERROR(__xludf.DUMMYFUNCTION("""COMPUTED_VALUE"""),"VeChainVET")</f>
        <v>VeChainVET</v>
      </c>
      <c r="D42" s="1468">
        <f>IFERROR(__xludf.DUMMYFUNCTION("""COMPUTED_VALUE"""),0.04)</f>
        <v>0.04</v>
      </c>
      <c r="E42" s="377"/>
      <c r="F42" s="377"/>
      <c r="G42" s="377"/>
      <c r="H42" s="377"/>
      <c r="I42" s="377"/>
      <c r="J42" s="377"/>
      <c r="K42" s="377"/>
    </row>
    <row r="43">
      <c r="A43" s="377"/>
      <c r="B43" s="377"/>
      <c r="C43" s="377" t="str">
        <f>IFERROR(__xludf.DUMMYFUNCTION("""COMPUTED_VALUE"""),"KaspaKAS")</f>
        <v>KaspaKAS</v>
      </c>
      <c r="D43" s="1468">
        <f>IFERROR(__xludf.DUMMYFUNCTION("""COMPUTED_VALUE"""),0.13)</f>
        <v>0.13</v>
      </c>
      <c r="E43" s="377"/>
      <c r="F43" s="377"/>
      <c r="G43" s="377"/>
      <c r="H43" s="377"/>
      <c r="I43" s="377"/>
      <c r="J43" s="377"/>
      <c r="K43" s="377"/>
    </row>
    <row r="44">
      <c r="A44" s="377"/>
      <c r="B44" s="377"/>
      <c r="C44" s="377" t="str">
        <f>IFERROR(__xludf.DUMMYFUNCTION("""COMPUTED_VALUE"""),"The GraphGRT")</f>
        <v>The GraphGRT</v>
      </c>
      <c r="D44" s="1468">
        <f>IFERROR(__xludf.DUMMYFUNCTION("""COMPUTED_VALUE"""),0.29)</f>
        <v>0.29</v>
      </c>
      <c r="E44" s="377"/>
      <c r="F44" s="377"/>
      <c r="G44" s="377"/>
      <c r="H44" s="377"/>
      <c r="I44" s="377"/>
      <c r="J44" s="377"/>
      <c r="K44" s="377"/>
    </row>
    <row r="45">
      <c r="A45" s="377"/>
      <c r="B45" s="377"/>
      <c r="C45" s="377" t="str">
        <f>IFERROR(__xludf.DUMMYFUNCTION("""COMPUTED_VALUE"""),"MakerMKR")</f>
        <v>MakerMKR</v>
      </c>
      <c r="D45" s="1468">
        <f>IFERROR(__xludf.DUMMYFUNCTION("""COMPUTED_VALUE"""),2978.8)</f>
        <v>2978.8</v>
      </c>
      <c r="E45" s="377"/>
      <c r="F45" s="377"/>
      <c r="G45" s="377"/>
      <c r="H45" s="377"/>
      <c r="I45" s="377"/>
      <c r="J45" s="377"/>
      <c r="K45" s="377"/>
    </row>
    <row r="46">
      <c r="A46" s="377"/>
      <c r="B46" s="377"/>
      <c r="C46" s="377" t="str">
        <f>IFERROR(__xludf.DUMMYFUNCTION("""COMPUTED_VALUE"""),"InjectiveINJ")</f>
        <v>InjectiveINJ</v>
      </c>
      <c r="D46" s="1468">
        <f>IFERROR(__xludf.DUMMYFUNCTION("""COMPUTED_VALUE"""),28.8)</f>
        <v>28.8</v>
      </c>
      <c r="E46" s="377"/>
      <c r="F46" s="377"/>
      <c r="G46" s="377"/>
      <c r="H46" s="377"/>
      <c r="I46" s="377"/>
      <c r="J46" s="377"/>
      <c r="K46" s="377"/>
    </row>
    <row r="47">
      <c r="A47" s="377"/>
      <c r="B47" s="377"/>
      <c r="C47" s="377" t="str">
        <f>IFERROR(__xludf.DUMMYFUNCTION("""COMPUTED_VALUE"""),"OptimismOP")</f>
        <v>OptimismOP</v>
      </c>
      <c r="D47" s="1468">
        <f>IFERROR(__xludf.DUMMYFUNCTION("""COMPUTED_VALUE"""),2.55)</f>
        <v>2.55</v>
      </c>
      <c r="E47" s="377"/>
      <c r="F47" s="377"/>
      <c r="G47" s="377"/>
      <c r="H47" s="377"/>
      <c r="I47" s="377"/>
      <c r="J47" s="377"/>
      <c r="K47" s="377"/>
    </row>
    <row r="48">
      <c r="A48" s="377"/>
      <c r="B48" s="377"/>
      <c r="C48" s="377" t="str">
        <f>IFERROR(__xludf.DUMMYFUNCTION("""COMPUTED_VALUE"""),"Theta NetworkTHETA")</f>
        <v>Theta NetworkTHETA</v>
      </c>
      <c r="D48" s="1468">
        <f>IFERROR(__xludf.DUMMYFUNCTION("""COMPUTED_VALUE"""),2.5)</f>
        <v>2.5</v>
      </c>
      <c r="E48" s="377"/>
      <c r="F48" s="377"/>
      <c r="G48" s="377"/>
      <c r="H48" s="377"/>
      <c r="I48" s="377"/>
      <c r="J48" s="377"/>
      <c r="K48" s="377"/>
    </row>
    <row r="49">
      <c r="A49" s="377"/>
      <c r="B49" s="377"/>
      <c r="C49" s="377" t="str">
        <f>IFERROR(__xludf.DUMMYFUNCTION("""COMPUTED_VALUE"""),"CoreCORE")</f>
        <v>CoreCORE</v>
      </c>
      <c r="D49" s="1468">
        <f>IFERROR(__xludf.DUMMYFUNCTION("""COMPUTED_VALUE"""),2.52)</f>
        <v>2.52</v>
      </c>
      <c r="E49" s="377"/>
      <c r="F49" s="377"/>
      <c r="G49" s="377"/>
      <c r="H49" s="377"/>
      <c r="I49" s="377"/>
      <c r="J49" s="377"/>
      <c r="K49" s="377"/>
    </row>
    <row r="50">
      <c r="A50" s="377"/>
      <c r="B50" s="377"/>
      <c r="C50" s="377" t="str">
        <f>IFERROR(__xludf.DUMMYFUNCTION("""COMPUTED_VALUE"""),"MoneroXMR")</f>
        <v>MoneroXMR</v>
      </c>
      <c r="D50" s="1468">
        <f>IFERROR(__xludf.DUMMYFUNCTION("""COMPUTED_VALUE"""),120.79)</f>
        <v>120.79</v>
      </c>
      <c r="E50" s="377"/>
      <c r="F50" s="377"/>
      <c r="G50" s="377"/>
      <c r="H50" s="377"/>
      <c r="I50" s="377"/>
      <c r="J50" s="377"/>
      <c r="K50" s="377"/>
    </row>
    <row r="51">
      <c r="A51" s="377"/>
      <c r="B51" s="377"/>
      <c r="C51" s="377" t="str">
        <f>IFERROR(__xludf.DUMMYFUNCTION("""COMPUTED_VALUE"""),"ArweaveAR")</f>
        <v>ArweaveAR</v>
      </c>
      <c r="D51" s="1468">
        <f>IFERROR(__xludf.DUMMYFUNCTION("""COMPUTED_VALUE"""),33.73)</f>
        <v>33.73</v>
      </c>
      <c r="E51" s="377"/>
      <c r="F51" s="377"/>
      <c r="G51" s="377"/>
      <c r="H51" s="377"/>
      <c r="I51" s="377"/>
      <c r="J51" s="377"/>
      <c r="K51" s="377"/>
    </row>
    <row r="52">
      <c r="A52" s="377"/>
      <c r="B52" s="377"/>
      <c r="C52" s="377" t="str">
        <f>IFERROR(__xludf.DUMMYFUNCTION("""COMPUTED_VALUE"""),"Fetch.aiFET")</f>
        <v>Fetch.aiFET</v>
      </c>
      <c r="D52" s="1468">
        <f>IFERROR(__xludf.DUMMYFUNCTION("""COMPUTED_VALUE"""),2.51)</f>
        <v>2.51</v>
      </c>
      <c r="E52" s="377"/>
      <c r="F52" s="377"/>
      <c r="G52" s="377"/>
      <c r="H52" s="377"/>
      <c r="I52" s="377"/>
      <c r="J52" s="377"/>
      <c r="K52" s="377"/>
    </row>
    <row r="53">
      <c r="A53" s="377"/>
      <c r="B53" s="377"/>
      <c r="C53" s="377" t="str">
        <f>IFERROR(__xludf.DUMMYFUNCTION("""COMPUTED_VALUE"""),"CelestiaTIA")</f>
        <v>CelestiaTIA</v>
      </c>
      <c r="D53" s="1468">
        <f>IFERROR(__xludf.DUMMYFUNCTION("""COMPUTED_VALUE"""),11.72)</f>
        <v>11.72</v>
      </c>
      <c r="E53" s="377"/>
      <c r="F53" s="377"/>
      <c r="G53" s="377"/>
      <c r="H53" s="377"/>
      <c r="I53" s="377"/>
      <c r="J53" s="377"/>
      <c r="K53" s="377"/>
    </row>
    <row r="54">
      <c r="A54" s="377"/>
      <c r="B54" s="377"/>
      <c r="C54" s="377" t="str">
        <f>IFERROR(__xludf.DUMMYFUNCTION("""COMPUTED_VALUE"""),"FantomFTM")</f>
        <v>FantomFTM</v>
      </c>
      <c r="D54" s="1468">
        <f>IFERROR(__xludf.DUMMYFUNCTION("""COMPUTED_VALUE"""),0.75)</f>
        <v>0.75</v>
      </c>
      <c r="E54" s="377"/>
      <c r="F54" s="377"/>
      <c r="G54" s="377"/>
      <c r="H54" s="377"/>
      <c r="I54" s="377"/>
      <c r="J54" s="377"/>
      <c r="K54" s="377"/>
    </row>
    <row r="55">
      <c r="A55" s="377"/>
      <c r="B55" s="377"/>
      <c r="C55" s="377" t="str">
        <f>IFERROR(__xludf.DUMMYFUNCTION("""COMPUTED_VALUE"""),"THORChainRUNE")</f>
        <v>THORChainRUNE</v>
      </c>
      <c r="D55" s="1468">
        <f>IFERROR(__xludf.DUMMYFUNCTION("""COMPUTED_VALUE"""),5.76)</f>
        <v>5.76</v>
      </c>
      <c r="E55" s="377"/>
      <c r="F55" s="377"/>
      <c r="G55" s="377"/>
      <c r="H55" s="377"/>
      <c r="I55" s="377"/>
      <c r="J55" s="377"/>
      <c r="K55" s="377"/>
    </row>
    <row r="56">
      <c r="A56" s="377"/>
      <c r="B56" s="377"/>
      <c r="C56" s="377" t="str">
        <f>IFERROR(__xludf.DUMMYFUNCTION("""COMPUTED_VALUE"""),"Lido DAOLDO")</f>
        <v>Lido DAOLDO</v>
      </c>
      <c r="D56" s="1468">
        <f>IFERROR(__xludf.DUMMYFUNCTION("""COMPUTED_VALUE"""),2.13)</f>
        <v>2.13</v>
      </c>
      <c r="E56" s="377"/>
      <c r="F56" s="377"/>
      <c r="G56" s="377"/>
      <c r="H56" s="377"/>
      <c r="I56" s="377"/>
      <c r="J56" s="377"/>
      <c r="K56" s="377"/>
    </row>
    <row r="57">
      <c r="A57" s="377"/>
      <c r="B57" s="377"/>
      <c r="C57" s="377" t="str">
        <f>IFERROR(__xludf.DUMMYFUNCTION("""COMPUTED_VALUE"""),"FLOKIFLOKI")</f>
        <v>FLOKIFLOKI</v>
      </c>
      <c r="D57" s="1468">
        <f>IFERROR(__xludf.DUMMYFUNCTION("""COMPUTED_VALUE"""),0.0)</f>
        <v>0</v>
      </c>
      <c r="E57" s="377"/>
      <c r="F57" s="377"/>
      <c r="G57" s="377"/>
      <c r="H57" s="377"/>
      <c r="I57" s="377"/>
      <c r="J57" s="377"/>
      <c r="K57" s="377"/>
    </row>
    <row r="58">
      <c r="A58" s="377"/>
      <c r="B58" s="377"/>
      <c r="C58" s="377" t="str">
        <f>IFERROR(__xludf.DUMMYFUNCTION("""COMPUTED_VALUE"""),"AlgorandALGO")</f>
        <v>AlgorandALGO</v>
      </c>
      <c r="D58" s="1468">
        <f>IFERROR(__xludf.DUMMYFUNCTION("""COMPUTED_VALUE"""),0.22)</f>
        <v>0.22</v>
      </c>
      <c r="E58" s="377"/>
      <c r="F58" s="377"/>
      <c r="G58" s="377"/>
      <c r="H58" s="377"/>
      <c r="I58" s="377"/>
      <c r="J58" s="377"/>
      <c r="K58" s="377"/>
    </row>
    <row r="59">
      <c r="A59" s="377"/>
      <c r="B59" s="377"/>
      <c r="C59" s="377" t="str">
        <f>IFERROR(__xludf.DUMMYFUNCTION("""COMPUTED_VALUE"""),"SeiSEI")</f>
        <v>SeiSEI</v>
      </c>
      <c r="D59" s="1468">
        <f>IFERROR(__xludf.DUMMYFUNCTION("""COMPUTED_VALUE"""),0.64)</f>
        <v>0.64</v>
      </c>
      <c r="E59" s="377"/>
      <c r="F59" s="377"/>
      <c r="G59" s="377"/>
      <c r="H59" s="377"/>
      <c r="I59" s="377"/>
      <c r="J59" s="377"/>
      <c r="K59" s="377"/>
    </row>
    <row r="60">
      <c r="A60" s="377"/>
      <c r="B60" s="377"/>
      <c r="C60" s="377" t="str">
        <f>IFERROR(__xludf.DUMMYFUNCTION("""COMPUTED_VALUE"""),"BonkBONK")</f>
        <v>BonkBONK</v>
      </c>
      <c r="D60" s="1468">
        <f>IFERROR(__xludf.DUMMYFUNCTION("""COMPUTED_VALUE"""),0.0)</f>
        <v>0</v>
      </c>
      <c r="E60" s="377"/>
      <c r="F60" s="377"/>
      <c r="G60" s="377"/>
      <c r="H60" s="377"/>
      <c r="I60" s="377"/>
      <c r="J60" s="377"/>
      <c r="K60" s="377"/>
    </row>
    <row r="61">
      <c r="A61" s="377"/>
      <c r="B61" s="377"/>
      <c r="C61" s="377" t="str">
        <f>IFERROR(__xludf.DUMMYFUNCTION("""COMPUTED_VALUE"""),"Bitget TokenBGB")</f>
        <v>Bitget TokenBGB</v>
      </c>
      <c r="D61" s="1468">
        <f>IFERROR(__xludf.DUMMYFUNCTION("""COMPUTED_VALUE"""),1.24)</f>
        <v>1.24</v>
      </c>
      <c r="E61" s="377"/>
      <c r="F61" s="377"/>
      <c r="G61" s="377"/>
      <c r="H61" s="377"/>
      <c r="I61" s="377"/>
      <c r="J61" s="377"/>
      <c r="K61" s="377"/>
    </row>
    <row r="62">
      <c r="A62" s="377"/>
      <c r="B62" s="377"/>
      <c r="C62" s="377" t="str">
        <f>IFERROR(__xludf.DUMMYFUNCTION("""COMPUTED_VALUE"""),"SuiSUI")</f>
        <v>SuiSUI</v>
      </c>
      <c r="D62" s="1468">
        <f>IFERROR(__xludf.DUMMYFUNCTION("""COMPUTED_VALUE"""),1.31)</f>
        <v>1.31</v>
      </c>
      <c r="E62" s="377"/>
      <c r="F62" s="377"/>
      <c r="G62" s="377"/>
      <c r="H62" s="377"/>
      <c r="I62" s="377"/>
      <c r="J62" s="377"/>
      <c r="K62" s="377"/>
    </row>
    <row r="63">
      <c r="A63" s="377"/>
      <c r="B63" s="377"/>
      <c r="C63" s="377" t="str">
        <f>IFERROR(__xludf.DUMMYFUNCTION("""COMPUTED_VALUE"""),"JupiterJUP")</f>
        <v>JupiterJUP</v>
      </c>
      <c r="D63" s="1468">
        <f>IFERROR(__xludf.DUMMYFUNCTION("""COMPUTED_VALUE"""),1.18)</f>
        <v>1.18</v>
      </c>
      <c r="E63" s="377"/>
      <c r="F63" s="377"/>
      <c r="G63" s="377"/>
      <c r="H63" s="377"/>
      <c r="I63" s="377"/>
      <c r="J63" s="377"/>
      <c r="K63" s="377"/>
    </row>
    <row r="64">
      <c r="A64" s="377"/>
      <c r="B64" s="377"/>
      <c r="C64" s="377" t="str">
        <f>IFERROR(__xludf.DUMMYFUNCTION("""COMPUTED_VALUE"""),"BeamBEAM")</f>
        <v>BeamBEAM</v>
      </c>
      <c r="D64" s="1468">
        <f>IFERROR(__xludf.DUMMYFUNCTION("""COMPUTED_VALUE"""),0.03)</f>
        <v>0.03</v>
      </c>
      <c r="E64" s="377"/>
      <c r="F64" s="377"/>
      <c r="G64" s="377"/>
      <c r="H64" s="377"/>
      <c r="I64" s="377"/>
      <c r="J64" s="377"/>
      <c r="K64" s="377"/>
    </row>
    <row r="65">
      <c r="A65" s="377"/>
      <c r="B65" s="377"/>
      <c r="C65" s="377" t="str">
        <f>IFERROR(__xludf.DUMMYFUNCTION("""COMPUTED_VALUE"""),"GalaGALA")</f>
        <v>GalaGALA</v>
      </c>
      <c r="D65" s="1468">
        <f>IFERROR(__xludf.DUMMYFUNCTION("""COMPUTED_VALUE"""),0.05)</f>
        <v>0.05</v>
      </c>
      <c r="E65" s="377"/>
      <c r="F65" s="377"/>
      <c r="G65" s="377"/>
      <c r="H65" s="377"/>
      <c r="I65" s="377"/>
      <c r="J65" s="377"/>
      <c r="K65" s="377"/>
    </row>
    <row r="66">
      <c r="A66" s="377"/>
      <c r="B66" s="377"/>
      <c r="C66" s="377" t="str">
        <f>IFERROR(__xludf.DUMMYFUNCTION("""COMPUTED_VALUE"""),"FlowFLOW")</f>
        <v>FlowFLOW</v>
      </c>
      <c r="D66" s="1468">
        <f>IFERROR(__xludf.DUMMYFUNCTION("""COMPUTED_VALUE"""),1.0)</f>
        <v>1</v>
      </c>
      <c r="E66" s="377"/>
      <c r="F66" s="377"/>
      <c r="G66" s="377"/>
      <c r="H66" s="377"/>
      <c r="I66" s="377"/>
      <c r="J66" s="377"/>
      <c r="K66" s="377"/>
    </row>
    <row r="67">
      <c r="A67" s="377"/>
      <c r="B67" s="377"/>
      <c r="C67" s="377" t="str">
        <f>IFERROR(__xludf.DUMMYFUNCTION("""COMPUTED_VALUE"""),"PendlePENDLE")</f>
        <v>PendlePENDLE</v>
      </c>
      <c r="D67" s="1468">
        <f>IFERROR(__xludf.DUMMYFUNCTION("""COMPUTED_VALUE"""),6.24)</f>
        <v>6.24</v>
      </c>
      <c r="E67" s="377"/>
      <c r="F67" s="377"/>
      <c r="G67" s="377"/>
      <c r="H67" s="377"/>
      <c r="I67" s="377"/>
      <c r="J67" s="377"/>
      <c r="K67" s="377"/>
    </row>
    <row r="68">
      <c r="A68" s="377"/>
      <c r="B68" s="377"/>
      <c r="C68" s="377" t="str">
        <f>IFERROR(__xludf.DUMMYFUNCTION("""COMPUTED_VALUE"""),"AaveAAVE")</f>
        <v>AaveAAVE</v>
      </c>
      <c r="D68" s="1468">
        <f>IFERROR(__xludf.DUMMYFUNCTION("""COMPUTED_VALUE"""),95.62)</f>
        <v>95.62</v>
      </c>
      <c r="E68" s="377"/>
      <c r="F68" s="377"/>
      <c r="G68" s="377"/>
      <c r="H68" s="377"/>
      <c r="I68" s="377"/>
      <c r="J68" s="377"/>
      <c r="K68" s="377"/>
    </row>
    <row r="69">
      <c r="A69" s="377"/>
      <c r="B69" s="377"/>
      <c r="C69" s="377" t="str">
        <f>IFERROR(__xludf.DUMMYFUNCTION("""COMPUTED_VALUE"""),"Bitcoin SVBSV")</f>
        <v>Bitcoin SVBSV</v>
      </c>
      <c r="D69" s="1468">
        <f>IFERROR(__xludf.DUMMYFUNCTION("""COMPUTED_VALUE"""),71.51)</f>
        <v>71.51</v>
      </c>
      <c r="E69" s="377"/>
      <c r="F69" s="377"/>
      <c r="G69" s="377"/>
      <c r="H69" s="377"/>
      <c r="I69" s="377"/>
      <c r="J69" s="377"/>
      <c r="K69" s="377"/>
    </row>
    <row r="70">
      <c r="A70" s="377"/>
      <c r="B70" s="377"/>
      <c r="C70" s="377" t="str">
        <f>IFERROR(__xludf.DUMMYFUNCTION("""COMPUTED_VALUE"""),"QuantQNT")</f>
        <v>QuantQNT</v>
      </c>
      <c r="D70" s="1468">
        <f>IFERROR(__xludf.DUMMYFUNCTION("""COMPUTED_VALUE"""),112.74)</f>
        <v>112.74</v>
      </c>
      <c r="E70" s="377"/>
      <c r="F70" s="377"/>
      <c r="G70" s="377"/>
      <c r="H70" s="377"/>
      <c r="I70" s="377"/>
      <c r="J70" s="377"/>
      <c r="K70" s="377"/>
    </row>
    <row r="71">
      <c r="A71" s="377"/>
      <c r="B71" s="377"/>
      <c r="C71" s="377" t="str">
        <f>IFERROR(__xludf.DUMMYFUNCTION("""COMPUTED_VALUE"""),"EthenaENA")</f>
        <v>EthenaENA</v>
      </c>
      <c r="D71" s="1468">
        <f>IFERROR(__xludf.DUMMYFUNCTION("""COMPUTED_VALUE"""),0.94)</f>
        <v>0.94</v>
      </c>
      <c r="E71" s="377"/>
      <c r="F71" s="377"/>
      <c r="G71" s="377"/>
      <c r="H71" s="377"/>
      <c r="I71" s="377"/>
      <c r="J71" s="377"/>
      <c r="K71" s="377"/>
    </row>
    <row r="72">
      <c r="A72" s="377"/>
      <c r="B72" s="377"/>
      <c r="C72" s="377" t="str">
        <f>IFERROR(__xludf.DUMMYFUNCTION("""COMPUTED_VALUE"""),"SingularityNETAGIX")</f>
        <v>SingularityNETAGIX</v>
      </c>
      <c r="D72" s="1468">
        <f>IFERROR(__xludf.DUMMYFUNCTION("""COMPUTED_VALUE"""),1.03)</f>
        <v>1.03</v>
      </c>
      <c r="E72" s="377"/>
      <c r="F72" s="377"/>
      <c r="G72" s="377"/>
      <c r="H72" s="377"/>
      <c r="I72" s="377"/>
      <c r="J72" s="377"/>
      <c r="K72" s="377"/>
    </row>
    <row r="73">
      <c r="A73" s="377"/>
      <c r="B73" s="377"/>
      <c r="C73" s="377" t="str">
        <f>IFERROR(__xludf.DUMMYFUNCTION("""COMPUTED_VALUE"""),"NeoNEO")</f>
        <v>NeoNEO</v>
      </c>
      <c r="D73" s="1468">
        <f>IFERROR(__xludf.DUMMYFUNCTION("""COMPUTED_VALUE"""),18.49)</f>
        <v>18.49</v>
      </c>
      <c r="E73" s="377"/>
      <c r="F73" s="377"/>
      <c r="G73" s="377"/>
      <c r="H73" s="377"/>
      <c r="I73" s="377"/>
      <c r="J73" s="377"/>
      <c r="K73" s="377"/>
    </row>
    <row r="74">
      <c r="A74" s="377"/>
      <c r="B74" s="377"/>
      <c r="C74" s="377" t="str">
        <f>IFERROR(__xludf.DUMMYFUNCTION("""COMPUTED_VALUE"""),"BitTorrent (New)BTT")</f>
        <v>BitTorrent (New)BTT</v>
      </c>
      <c r="D74" s="1468">
        <f>IFERROR(__xludf.DUMMYFUNCTION("""COMPUTED_VALUE"""),0.0)</f>
        <v>0</v>
      </c>
      <c r="E74" s="377"/>
      <c r="F74" s="377"/>
      <c r="G74" s="377"/>
      <c r="H74" s="377"/>
      <c r="I74" s="377"/>
      <c r="J74" s="377"/>
      <c r="K74" s="377"/>
    </row>
    <row r="75">
      <c r="A75" s="377"/>
      <c r="B75" s="377"/>
      <c r="C75" s="377" t="str">
        <f>IFERROR(__xludf.DUMMYFUNCTION("""COMPUTED_VALUE"""),"FlareFLR")</f>
        <v>FlareFLR</v>
      </c>
      <c r="D75" s="1468">
        <f>IFERROR(__xludf.DUMMYFUNCTION("""COMPUTED_VALUE"""),0.03)</f>
        <v>0.03</v>
      </c>
      <c r="E75" s="377"/>
      <c r="F75" s="377"/>
      <c r="G75" s="377"/>
      <c r="H75" s="377"/>
      <c r="I75" s="377"/>
      <c r="J75" s="377"/>
      <c r="K75" s="377"/>
    </row>
    <row r="76">
      <c r="A76" s="377"/>
      <c r="B76" s="377"/>
      <c r="C76" s="377" t="str">
        <f>IFERROR(__xludf.DUMMYFUNCTION("""COMPUTED_VALUE"""),"Akash NetworkAKT")</f>
        <v>Akash NetworkAKT</v>
      </c>
      <c r="D76" s="1468">
        <f>IFERROR(__xludf.DUMMYFUNCTION("""COMPUTED_VALUE"""),5.12)</f>
        <v>5.12</v>
      </c>
      <c r="E76" s="377"/>
      <c r="F76" s="377"/>
      <c r="G76" s="377"/>
      <c r="H76" s="377"/>
      <c r="I76" s="377"/>
      <c r="J76" s="377"/>
      <c r="K76" s="377"/>
    </row>
    <row r="77">
      <c r="A77" s="377"/>
      <c r="B77" s="377"/>
      <c r="C77" s="377" t="str">
        <f>IFERROR(__xludf.DUMMYFUNCTION("""COMPUTED_VALUE"""),"MultiversXEGLD")</f>
        <v>MultiversXEGLD</v>
      </c>
      <c r="D77" s="1468">
        <f>IFERROR(__xludf.DUMMYFUNCTION("""COMPUTED_VALUE"""),44.65)</f>
        <v>44.65</v>
      </c>
      <c r="E77" s="377"/>
      <c r="F77" s="377"/>
      <c r="G77" s="377"/>
      <c r="H77" s="377"/>
      <c r="I77" s="377"/>
      <c r="J77" s="377"/>
      <c r="K77" s="377"/>
    </row>
    <row r="78">
      <c r="A78" s="377"/>
      <c r="B78" s="377"/>
      <c r="C78" s="377" t="str">
        <f>IFERROR(__xludf.DUMMYFUNCTION("""COMPUTED_VALUE"""),"OndoONDO")</f>
        <v>OndoONDO</v>
      </c>
      <c r="D78" s="1468">
        <f>IFERROR(__xludf.DUMMYFUNCTION("""COMPUTED_VALUE"""),0.86)</f>
        <v>0.86</v>
      </c>
      <c r="E78" s="377"/>
      <c r="F78" s="377"/>
      <c r="G78" s="377"/>
      <c r="H78" s="377"/>
      <c r="I78" s="377"/>
      <c r="J78" s="377"/>
      <c r="K78" s="377"/>
    </row>
    <row r="79">
      <c r="A79" s="377"/>
      <c r="B79" s="377"/>
      <c r="C79" s="377" t="str">
        <f>IFERROR(__xludf.DUMMYFUNCTION("""COMPUTED_VALUE"""),"Axie InfinityAXS")</f>
        <v>Axie InfinityAXS</v>
      </c>
      <c r="D79" s="1468">
        <f>IFERROR(__xludf.DUMMYFUNCTION("""COMPUTED_VALUE"""),7.95)</f>
        <v>7.95</v>
      </c>
      <c r="E79" s="377"/>
      <c r="F79" s="377"/>
      <c r="G79" s="377"/>
      <c r="H79" s="377"/>
      <c r="I79" s="377"/>
      <c r="J79" s="377"/>
      <c r="K79" s="377"/>
    </row>
    <row r="80">
      <c r="A80" s="377"/>
      <c r="B80" s="377"/>
      <c r="C80" s="377" t="str">
        <f>IFERROR(__xludf.DUMMYFUNCTION("""COMPUTED_VALUE"""),"dYdX (Native)DYDX")</f>
        <v>dYdX (Native)DYDX</v>
      </c>
      <c r="D80" s="1468">
        <f>IFERROR(__xludf.DUMMYFUNCTION("""COMPUTED_VALUE"""),2.4)</f>
        <v>2.4</v>
      </c>
      <c r="E80" s="377"/>
      <c r="F80" s="377"/>
      <c r="G80" s="377"/>
      <c r="H80" s="377"/>
      <c r="I80" s="377"/>
      <c r="J80" s="377"/>
      <c r="K80" s="377"/>
    </row>
    <row r="81">
      <c r="A81" s="377"/>
      <c r="B81" s="377"/>
      <c r="C81" s="377" t="str">
        <f>IFERROR(__xludf.DUMMYFUNCTION("""COMPUTED_VALUE"""),"The SandboxSAND")</f>
        <v>The SandboxSAND</v>
      </c>
      <c r="D81" s="1468">
        <f>IFERROR(__xludf.DUMMYFUNCTION("""COMPUTED_VALUE"""),0.49)</f>
        <v>0.49</v>
      </c>
      <c r="E81" s="377"/>
      <c r="F81" s="377"/>
      <c r="G81" s="377"/>
      <c r="H81" s="377"/>
      <c r="I81" s="377"/>
      <c r="J81" s="377"/>
      <c r="K81" s="377"/>
    </row>
    <row r="82">
      <c r="A82" s="377"/>
      <c r="B82" s="377"/>
      <c r="C82" s="377" t="str">
        <f>IFERROR(__xludf.DUMMYFUNCTION("""COMPUTED_VALUE"""),"ChilizCHZ")</f>
        <v>ChilizCHZ</v>
      </c>
      <c r="D82" s="1468">
        <f>IFERROR(__xludf.DUMMYFUNCTION("""COMPUTED_VALUE"""),0.12)</f>
        <v>0.12</v>
      </c>
      <c r="E82" s="377"/>
      <c r="F82" s="377"/>
      <c r="G82" s="377"/>
      <c r="H82" s="377"/>
      <c r="I82" s="377"/>
      <c r="J82" s="377"/>
      <c r="K82" s="377"/>
    </row>
    <row r="83">
      <c r="A83" s="377"/>
      <c r="B83" s="377"/>
      <c r="C83" s="377" t="str">
        <f>IFERROR(__xludf.DUMMYFUNCTION("""COMPUTED_VALUE"""),"eCashXEC")</f>
        <v>eCashXEC</v>
      </c>
      <c r="D83" s="1468">
        <f>IFERROR(__xludf.DUMMYFUNCTION("""COMPUTED_VALUE"""),0.0)</f>
        <v>0</v>
      </c>
      <c r="E83" s="377"/>
      <c r="F83" s="377"/>
      <c r="G83" s="377"/>
      <c r="H83" s="377"/>
      <c r="I83" s="377"/>
      <c r="J83" s="377"/>
      <c r="K83" s="377"/>
    </row>
    <row r="84">
      <c r="A84" s="377"/>
      <c r="B84" s="377"/>
      <c r="C84" s="377" t="str">
        <f>IFERROR(__xludf.DUMMYFUNCTION("""COMPUTED_VALUE"""),"RoninRON")</f>
        <v>RoninRON</v>
      </c>
      <c r="D84" s="1468">
        <f>IFERROR(__xludf.DUMMYFUNCTION("""COMPUTED_VALUE"""),3.4)</f>
        <v>3.4</v>
      </c>
      <c r="E84" s="377"/>
      <c r="F84" s="377"/>
      <c r="G84" s="377"/>
      <c r="H84" s="377"/>
      <c r="I84" s="377"/>
      <c r="J84" s="377"/>
      <c r="K84" s="377"/>
    </row>
    <row r="85">
      <c r="A85" s="377"/>
      <c r="B85" s="377"/>
      <c r="C85" s="377" t="str">
        <f>IFERROR(__xludf.DUMMYFUNCTION("""COMPUTED_VALUE"""),"WormholeW")</f>
        <v>WormholeW</v>
      </c>
      <c r="D85" s="1468">
        <f>IFERROR(__xludf.DUMMYFUNCTION("""COMPUTED_VALUE"""),0.59)</f>
        <v>0.59</v>
      </c>
      <c r="E85" s="377"/>
      <c r="F85" s="377"/>
      <c r="G85" s="377"/>
      <c r="H85" s="377"/>
      <c r="I85" s="377"/>
      <c r="J85" s="377"/>
      <c r="K85" s="377"/>
    </row>
    <row r="86">
      <c r="A86" s="377"/>
      <c r="B86" s="377"/>
      <c r="C86" s="377" t="str">
        <f>IFERROR(__xludf.DUMMYFUNCTION("""COMPUTED_VALUE"""),"WorldcoinWLD")</f>
        <v>WorldcoinWLD</v>
      </c>
      <c r="D86" s="1468">
        <f>IFERROR(__xludf.DUMMYFUNCTION("""COMPUTED_VALUE"""),5.41)</f>
        <v>5.41</v>
      </c>
      <c r="E86" s="377"/>
      <c r="F86" s="377"/>
      <c r="G86" s="377"/>
      <c r="H86" s="377"/>
      <c r="I86" s="377"/>
      <c r="J86" s="377"/>
      <c r="K86" s="377"/>
    </row>
    <row r="87">
      <c r="A87" s="377"/>
      <c r="B87" s="377"/>
      <c r="C87" s="377" t="str">
        <f>IFERROR(__xludf.DUMMYFUNCTION("""COMPUTED_VALUE"""),"TezosXTZ")</f>
        <v>TezosXTZ</v>
      </c>
      <c r="D87" s="1468">
        <f>IFERROR(__xludf.DUMMYFUNCTION("""COMPUTED_VALUE"""),1.06)</f>
        <v>1.06</v>
      </c>
      <c r="E87" s="377"/>
      <c r="F87" s="377"/>
      <c r="G87" s="377"/>
      <c r="H87" s="377"/>
      <c r="I87" s="377"/>
      <c r="J87" s="377"/>
      <c r="K87" s="377"/>
    </row>
    <row r="88">
      <c r="A88" s="377"/>
      <c r="B88" s="377"/>
      <c r="C88" s="377" t="str">
        <f>IFERROR(__xludf.DUMMYFUNCTION("""COMPUTED_VALUE"""),"ConfluxCFX")</f>
        <v>ConfluxCFX</v>
      </c>
      <c r="D88" s="1468">
        <f>IFERROR(__xludf.DUMMYFUNCTION("""COMPUTED_VALUE"""),0.26)</f>
        <v>0.26</v>
      </c>
      <c r="E88" s="377"/>
      <c r="F88" s="377"/>
      <c r="G88" s="377"/>
      <c r="H88" s="377"/>
      <c r="I88" s="377"/>
      <c r="J88" s="377"/>
      <c r="K88" s="377"/>
    </row>
    <row r="89">
      <c r="A89" s="377"/>
      <c r="B89" s="377"/>
      <c r="C89" s="377" t="str">
        <f>IFERROR(__xludf.DUMMYFUNCTION("""COMPUTED_VALUE"""),"MinaMINA")</f>
        <v>MinaMINA</v>
      </c>
      <c r="D89" s="1468">
        <f>IFERROR(__xludf.DUMMYFUNCTION("""COMPUTED_VALUE"""),0.93)</f>
        <v>0.93</v>
      </c>
      <c r="E89" s="377"/>
      <c r="F89" s="377"/>
      <c r="G89" s="377"/>
      <c r="H89" s="377"/>
      <c r="I89" s="377"/>
      <c r="J89" s="377"/>
      <c r="K89" s="377"/>
    </row>
    <row r="90">
      <c r="A90" s="377"/>
      <c r="B90" s="377"/>
      <c r="C90" s="377" t="str">
        <f>IFERROR(__xludf.DUMMYFUNCTION("""COMPUTED_VALUE"""),"JasmyCoinJASMY")</f>
        <v>JasmyCoinJASMY</v>
      </c>
      <c r="D90" s="1468">
        <f>IFERROR(__xludf.DUMMYFUNCTION("""COMPUTED_VALUE"""),0.02)</f>
        <v>0.02</v>
      </c>
      <c r="E90" s="377"/>
      <c r="F90" s="377"/>
      <c r="G90" s="377"/>
      <c r="H90" s="377"/>
      <c r="I90" s="377"/>
      <c r="J90" s="377"/>
      <c r="K90" s="377"/>
    </row>
    <row r="91">
      <c r="A91" s="377"/>
      <c r="B91" s="377"/>
      <c r="C91" s="377" t="str">
        <f>IFERROR(__xludf.DUMMYFUNCTION("""COMPUTED_VALUE"""),"SynthetixSNX")</f>
        <v>SynthetixSNX</v>
      </c>
      <c r="D91" s="1468">
        <f>IFERROR(__xludf.DUMMYFUNCTION("""COMPUTED_VALUE"""),3.06)</f>
        <v>3.06</v>
      </c>
      <c r="E91" s="377"/>
      <c r="F91" s="377"/>
      <c r="G91" s="377"/>
      <c r="H91" s="377"/>
      <c r="I91" s="377"/>
      <c r="J91" s="377"/>
      <c r="K91" s="377"/>
    </row>
    <row r="92">
      <c r="A92" s="377"/>
      <c r="B92" s="377"/>
      <c r="C92" s="377" t="str">
        <f>IFERROR(__xludf.DUMMYFUNCTION("""COMPUTED_VALUE"""),"Pyth NetworkPYTH")</f>
        <v>Pyth NetworkPYTH</v>
      </c>
      <c r="D92" s="1468">
        <f>IFERROR(__xludf.DUMMYFUNCTION("""COMPUTED_VALUE"""),0.67)</f>
        <v>0.67</v>
      </c>
      <c r="E92" s="377"/>
      <c r="F92" s="377"/>
      <c r="G92" s="377"/>
      <c r="H92" s="377"/>
      <c r="I92" s="377"/>
      <c r="J92" s="377"/>
      <c r="K92" s="377"/>
    </row>
    <row r="93">
      <c r="A93" s="377"/>
      <c r="B93" s="377"/>
      <c r="C93" s="377" t="str">
        <f>IFERROR(__xludf.DUMMYFUNCTION("""COMPUTED_VALUE"""),"ORDIORDI")</f>
        <v>ORDIORDI</v>
      </c>
      <c r="D93" s="1468">
        <f>IFERROR(__xludf.DUMMYFUNCTION("""COMPUTED_VALUE"""),47.62)</f>
        <v>47.62</v>
      </c>
      <c r="E93" s="377"/>
      <c r="F93" s="377"/>
      <c r="G93" s="377"/>
      <c r="H93" s="377"/>
      <c r="I93" s="377"/>
      <c r="J93" s="377"/>
      <c r="K93" s="377"/>
    </row>
    <row r="94">
      <c r="A94" s="377"/>
      <c r="B94" s="377"/>
      <c r="C94" s="377" t="str">
        <f>IFERROR(__xludf.DUMMYFUNCTION("""COMPUTED_VALUE"""),"KuCoin TokenKCS")</f>
        <v>KuCoin TokenKCS</v>
      </c>
      <c r="D94" s="1468">
        <f>IFERROR(__xludf.DUMMYFUNCTION("""COMPUTED_VALUE"""),10.26)</f>
        <v>10.26</v>
      </c>
      <c r="E94" s="377"/>
      <c r="F94" s="377"/>
      <c r="G94" s="377"/>
      <c r="H94" s="377"/>
      <c r="I94" s="377"/>
      <c r="J94" s="377"/>
      <c r="K94" s="377"/>
    </row>
    <row r="95">
      <c r="A95" s="377"/>
      <c r="B95" s="377"/>
      <c r="C95" s="377" t="str">
        <f>IFERROR(__xludf.DUMMYFUNCTION("""COMPUTED_VALUE"""),"StarknetSTRK")</f>
        <v>StarknetSTRK</v>
      </c>
      <c r="D95" s="1468">
        <f>IFERROR(__xludf.DUMMYFUNCTION("""COMPUTED_VALUE"""),1.33)</f>
        <v>1.33</v>
      </c>
      <c r="E95" s="377"/>
      <c r="F95" s="377"/>
      <c r="G95" s="377"/>
      <c r="H95" s="377"/>
      <c r="I95" s="377"/>
      <c r="J95" s="377"/>
      <c r="K95" s="377"/>
    </row>
    <row r="96">
      <c r="A96" s="377"/>
      <c r="B96" s="377"/>
      <c r="C96" s="377" t="str">
        <f>IFERROR(__xludf.DUMMYFUNCTION("""COMPUTED_VALUE"""),"EOSEOS")</f>
        <v>EOSEOS</v>
      </c>
      <c r="D96" s="1468">
        <f>IFERROR(__xludf.DUMMYFUNCTION("""COMPUTED_VALUE"""),0.86)</f>
        <v>0.86</v>
      </c>
      <c r="E96" s="377"/>
      <c r="F96" s="377"/>
      <c r="G96" s="377"/>
      <c r="H96" s="377"/>
      <c r="I96" s="377"/>
      <c r="J96" s="377"/>
      <c r="K96" s="377"/>
    </row>
    <row r="97">
      <c r="A97" s="377"/>
      <c r="B97" s="377"/>
      <c r="C97" s="377" t="str">
        <f>IFERROR(__xludf.DUMMYFUNCTION("""COMPUTED_VALUE"""),"GnosisGNO")</f>
        <v>GnosisGNO</v>
      </c>
      <c r="D97" s="1468">
        <f>IFERROR(__xludf.DUMMYFUNCTION("""COMPUTED_VALUE"""),367.23)</f>
        <v>367.23</v>
      </c>
      <c r="E97" s="377"/>
      <c r="F97" s="377"/>
      <c r="G97" s="377"/>
      <c r="H97" s="377"/>
      <c r="I97" s="377"/>
      <c r="J97" s="377"/>
      <c r="K97" s="377"/>
    </row>
    <row r="98">
      <c r="A98" s="377"/>
      <c r="B98" s="377"/>
      <c r="C98" s="377" t="str">
        <f>IFERROR(__xludf.DUMMYFUNCTION("""COMPUTED_VALUE"""),"DecentralandMANA")</f>
        <v>DecentralandMANA</v>
      </c>
      <c r="D98" s="1468">
        <f>IFERROR(__xludf.DUMMYFUNCTION("""COMPUTED_VALUE"""),0.49)</f>
        <v>0.49</v>
      </c>
      <c r="E98" s="377"/>
      <c r="F98" s="377"/>
      <c r="G98" s="377"/>
      <c r="H98" s="377"/>
      <c r="I98" s="377"/>
      <c r="J98" s="377"/>
      <c r="K98" s="377"/>
    </row>
    <row r="99">
      <c r="A99" s="377"/>
      <c r="B99" s="377"/>
      <c r="C99" s="377" t="str">
        <f>IFERROR(__xludf.DUMMYFUNCTION("""COMPUTED_VALUE"""),"KavaKAVA")</f>
        <v>KavaKAVA</v>
      </c>
      <c r="D99" s="1468">
        <f>IFERROR(__xludf.DUMMYFUNCTION("""COMPUTED_VALUE"""),0.77)</f>
        <v>0.77</v>
      </c>
      <c r="E99" s="377"/>
      <c r="F99" s="377"/>
      <c r="G99" s="377"/>
      <c r="H99" s="377"/>
      <c r="I99" s="377"/>
      <c r="J99" s="377"/>
      <c r="K99" s="377"/>
    </row>
    <row r="100">
      <c r="A100" s="377"/>
      <c r="B100" s="377"/>
      <c r="C100" s="377" t="str">
        <f>IFERROR(__xludf.DUMMYFUNCTION("""COMPUTED_VALUE"""),"IOTAIOTA")</f>
        <v>IOTAIOTA</v>
      </c>
      <c r="D100" s="1468">
        <f>IFERROR(__xludf.DUMMYFUNCTION("""COMPUTED_VALUE"""),0.26)</f>
        <v>0.26</v>
      </c>
      <c r="E100" s="377"/>
      <c r="F100" s="377"/>
      <c r="G100" s="377"/>
      <c r="H100" s="377"/>
      <c r="I100" s="377"/>
      <c r="J100" s="377"/>
      <c r="K100" s="377"/>
    </row>
    <row r="101">
      <c r="A101" s="377"/>
      <c r="B101" s="377"/>
      <c r="C101" s="377" t="str">
        <f>IFERROR(__xludf.DUMMYFUNCTION("""COMPUTED_VALUE"""),"Nervos NetworkCKB")</f>
        <v>Nervos NetworkCKB</v>
      </c>
      <c r="D101" s="1468">
        <f>IFERROR(__xludf.DUMMYFUNCTION("""COMPUTED_VALUE"""),0.02)</f>
        <v>0.02</v>
      </c>
      <c r="E101" s="377"/>
      <c r="F101" s="377"/>
      <c r="G101" s="377"/>
      <c r="H101" s="377"/>
      <c r="I101" s="377"/>
      <c r="J101" s="377"/>
      <c r="K101" s="377"/>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77" t="str">
        <f>IFERROR(__xludf.DUMMYFUNCTION("IMPORTHTML(""https://www.bloomberg.com/markets/commodities"",""table"",2)"),"#N/A")</f>
        <v>#N/A</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7.38"/>
    <col customWidth="1" min="2" max="2" width="22.63"/>
    <col customWidth="1" min="3" max="5" width="37.38"/>
  </cols>
  <sheetData>
    <row r="1">
      <c r="A1" s="1469" t="s">
        <v>179</v>
      </c>
      <c r="B1" s="1469" t="s">
        <v>180</v>
      </c>
      <c r="C1" s="1469" t="s">
        <v>181</v>
      </c>
      <c r="D1" s="1469" t="s">
        <v>182</v>
      </c>
      <c r="E1" s="1469" t="s">
        <v>183</v>
      </c>
      <c r="F1" s="1470"/>
      <c r="G1" s="1470"/>
      <c r="H1" s="1470"/>
      <c r="I1" s="1470"/>
      <c r="J1" s="1470"/>
      <c r="K1" s="1470"/>
      <c r="L1" s="1470"/>
      <c r="M1" s="1470"/>
      <c r="N1" s="1470"/>
      <c r="O1" s="1470"/>
      <c r="P1" s="1470"/>
      <c r="Q1" s="1470"/>
      <c r="R1" s="1470"/>
      <c r="S1" s="1470"/>
      <c r="T1" s="1470"/>
      <c r="U1" s="1470"/>
      <c r="V1" s="1470"/>
      <c r="W1" s="1470"/>
      <c r="X1" s="1470"/>
      <c r="Y1" s="1470"/>
      <c r="Z1" s="1470"/>
    </row>
    <row r="2">
      <c r="A2" s="1471"/>
      <c r="B2" s="1472"/>
      <c r="C2" s="1473"/>
      <c r="D2" s="1473"/>
      <c r="E2" s="1473"/>
      <c r="F2" s="1470"/>
      <c r="G2" s="1470"/>
      <c r="H2" s="1470"/>
      <c r="I2" s="1470"/>
      <c r="J2" s="1470"/>
      <c r="K2" s="1470"/>
      <c r="L2" s="1470"/>
      <c r="M2" s="1470"/>
      <c r="N2" s="1470"/>
      <c r="O2" s="1470"/>
      <c r="P2" s="1470"/>
      <c r="Q2" s="1470"/>
      <c r="R2" s="1470"/>
      <c r="S2" s="1470"/>
      <c r="T2" s="1470"/>
      <c r="U2" s="1470"/>
      <c r="V2" s="1470"/>
      <c r="W2" s="1470"/>
      <c r="X2" s="1470"/>
      <c r="Y2" s="1470"/>
      <c r="Z2" s="1470"/>
    </row>
    <row r="3">
      <c r="A3" s="1471"/>
      <c r="B3" s="1472"/>
      <c r="C3" s="1473"/>
      <c r="D3" s="1473"/>
      <c r="E3" s="1473"/>
      <c r="F3" s="1470"/>
      <c r="G3" s="1470"/>
      <c r="H3" s="1470"/>
      <c r="I3" s="1470"/>
      <c r="J3" s="1470"/>
      <c r="K3" s="1470"/>
      <c r="L3" s="1470"/>
      <c r="M3" s="1470"/>
      <c r="N3" s="1470"/>
      <c r="O3" s="1470"/>
      <c r="P3" s="1470"/>
      <c r="Q3" s="1470"/>
      <c r="R3" s="1470"/>
      <c r="S3" s="1470"/>
      <c r="T3" s="1470"/>
      <c r="U3" s="1470"/>
      <c r="V3" s="1470"/>
      <c r="W3" s="1470"/>
      <c r="X3" s="1470"/>
      <c r="Y3" s="1470"/>
      <c r="Z3" s="1470"/>
    </row>
    <row r="4">
      <c r="A4" s="1471"/>
      <c r="B4" s="1472"/>
      <c r="C4" s="1473"/>
      <c r="D4" s="1473"/>
      <c r="E4" s="1473"/>
      <c r="F4" s="1470"/>
      <c r="G4" s="1470"/>
      <c r="H4" s="1470"/>
      <c r="I4" s="1470"/>
      <c r="J4" s="1470"/>
      <c r="K4" s="1470"/>
      <c r="L4" s="1470"/>
      <c r="M4" s="1470"/>
      <c r="N4" s="1470"/>
      <c r="O4" s="1470"/>
      <c r="P4" s="1470"/>
      <c r="Q4" s="1470"/>
      <c r="R4" s="1470"/>
      <c r="S4" s="1470"/>
      <c r="T4" s="1470"/>
      <c r="U4" s="1470"/>
      <c r="V4" s="1470"/>
      <c r="W4" s="1470"/>
      <c r="X4" s="1470"/>
      <c r="Y4" s="1470"/>
      <c r="Z4" s="1470"/>
    </row>
    <row r="5">
      <c r="A5" s="1471"/>
      <c r="B5" s="1472"/>
      <c r="C5" s="1473"/>
      <c r="D5" s="1473"/>
      <c r="E5" s="1473"/>
      <c r="F5" s="1470"/>
      <c r="G5" s="1470"/>
      <c r="H5" s="1470"/>
      <c r="I5" s="1470"/>
      <c r="J5" s="1470"/>
      <c r="K5" s="1470"/>
      <c r="L5" s="1470"/>
      <c r="M5" s="1470"/>
      <c r="N5" s="1470"/>
      <c r="O5" s="1470"/>
      <c r="P5" s="1470"/>
      <c r="Q5" s="1470"/>
      <c r="R5" s="1470"/>
      <c r="S5" s="1470"/>
      <c r="T5" s="1470"/>
      <c r="U5" s="1470"/>
      <c r="V5" s="1470"/>
      <c r="W5" s="1470"/>
      <c r="X5" s="1470"/>
      <c r="Y5" s="1470"/>
      <c r="Z5" s="1470"/>
    </row>
    <row r="6">
      <c r="A6" s="1471"/>
      <c r="B6" s="1472"/>
      <c r="C6" s="1473"/>
      <c r="D6" s="1473"/>
      <c r="E6" s="1473"/>
      <c r="F6" s="1470"/>
      <c r="G6" s="1470"/>
      <c r="H6" s="1470"/>
      <c r="I6" s="1470"/>
      <c r="J6" s="1470"/>
      <c r="K6" s="1470"/>
      <c r="L6" s="1470"/>
      <c r="M6" s="1470"/>
      <c r="N6" s="1470"/>
      <c r="O6" s="1470"/>
      <c r="P6" s="1470"/>
      <c r="Q6" s="1470"/>
      <c r="R6" s="1470"/>
      <c r="S6" s="1470"/>
      <c r="T6" s="1470"/>
      <c r="U6" s="1470"/>
      <c r="V6" s="1470"/>
      <c r="W6" s="1470"/>
      <c r="X6" s="1470"/>
      <c r="Y6" s="1470"/>
      <c r="Z6" s="1470"/>
    </row>
    <row r="7">
      <c r="A7" s="1471"/>
      <c r="B7" s="1472"/>
      <c r="C7" s="1473"/>
      <c r="D7" s="1473"/>
      <c r="E7" s="1473"/>
      <c r="F7" s="1470"/>
      <c r="G7" s="1470"/>
      <c r="H7" s="1470"/>
      <c r="I7" s="1470"/>
      <c r="J7" s="1470"/>
      <c r="K7" s="1470"/>
      <c r="L7" s="1470"/>
      <c r="M7" s="1470"/>
      <c r="N7" s="1470"/>
      <c r="O7" s="1470"/>
      <c r="P7" s="1470"/>
      <c r="Q7" s="1470"/>
      <c r="R7" s="1470"/>
      <c r="S7" s="1470"/>
      <c r="T7" s="1470"/>
      <c r="U7" s="1470"/>
      <c r="V7" s="1470"/>
      <c r="W7" s="1470"/>
      <c r="X7" s="1470"/>
      <c r="Y7" s="1470"/>
      <c r="Z7" s="1470"/>
    </row>
    <row r="8">
      <c r="A8" s="1471"/>
      <c r="B8" s="1472"/>
      <c r="C8" s="1473"/>
      <c r="D8" s="1473"/>
      <c r="E8" s="1473"/>
      <c r="F8" s="1470"/>
      <c r="G8" s="1470"/>
      <c r="H8" s="1470"/>
      <c r="I8" s="1470"/>
      <c r="J8" s="1470"/>
      <c r="K8" s="1470"/>
      <c r="L8" s="1470"/>
      <c r="M8" s="1470"/>
      <c r="N8" s="1470"/>
      <c r="O8" s="1470"/>
      <c r="P8" s="1470"/>
      <c r="Q8" s="1470"/>
      <c r="R8" s="1470"/>
      <c r="S8" s="1470"/>
      <c r="T8" s="1470"/>
      <c r="U8" s="1470"/>
      <c r="V8" s="1470"/>
      <c r="W8" s="1470"/>
      <c r="X8" s="1470"/>
      <c r="Y8" s="1470"/>
      <c r="Z8" s="1470"/>
    </row>
    <row r="9">
      <c r="A9" s="1471"/>
      <c r="B9" s="1472"/>
      <c r="C9" s="1473"/>
      <c r="D9" s="1473"/>
      <c r="E9" s="1473"/>
      <c r="F9" s="1470"/>
      <c r="G9" s="1470"/>
      <c r="H9" s="1470"/>
      <c r="I9" s="1470"/>
      <c r="J9" s="1470"/>
      <c r="K9" s="1470"/>
      <c r="L9" s="1470"/>
      <c r="M9" s="1470"/>
      <c r="N9" s="1470"/>
      <c r="O9" s="1470"/>
      <c r="P9" s="1470"/>
      <c r="Q9" s="1470"/>
      <c r="R9" s="1470"/>
      <c r="S9" s="1470"/>
      <c r="T9" s="1470"/>
      <c r="U9" s="1470"/>
      <c r="V9" s="1470"/>
      <c r="W9" s="1470"/>
      <c r="X9" s="1470"/>
      <c r="Y9" s="1470"/>
      <c r="Z9" s="1470"/>
    </row>
    <row r="10">
      <c r="A10" s="1471"/>
      <c r="B10" s="1472"/>
      <c r="C10" s="1473"/>
      <c r="D10" s="1473"/>
      <c r="E10" s="1473"/>
      <c r="F10" s="1470"/>
      <c r="G10" s="1470"/>
      <c r="H10" s="1470"/>
      <c r="I10" s="1470"/>
      <c r="J10" s="1470"/>
      <c r="K10" s="1470"/>
      <c r="L10" s="1470"/>
      <c r="M10" s="1470"/>
      <c r="N10" s="1470"/>
      <c r="O10" s="1470"/>
      <c r="P10" s="1470"/>
      <c r="Q10" s="1470"/>
      <c r="R10" s="1470"/>
      <c r="S10" s="1470"/>
      <c r="T10" s="1470"/>
      <c r="U10" s="1470"/>
      <c r="V10" s="1470"/>
      <c r="W10" s="1470"/>
      <c r="X10" s="1470"/>
      <c r="Y10" s="1470"/>
      <c r="Z10" s="1470"/>
    </row>
    <row r="11">
      <c r="A11" s="1471"/>
      <c r="B11" s="1472"/>
      <c r="C11" s="1473"/>
      <c r="D11" s="1473"/>
      <c r="E11" s="1473"/>
      <c r="F11" s="1470"/>
      <c r="G11" s="1470"/>
      <c r="H11" s="1470"/>
      <c r="I11" s="1470"/>
      <c r="J11" s="1470"/>
      <c r="K11" s="1470"/>
      <c r="L11" s="1470"/>
      <c r="M11" s="1470"/>
      <c r="N11" s="1470"/>
      <c r="O11" s="1470"/>
      <c r="P11" s="1470"/>
      <c r="Q11" s="1470"/>
      <c r="R11" s="1470"/>
      <c r="S11" s="1470"/>
      <c r="T11" s="1470"/>
      <c r="U11" s="1470"/>
      <c r="V11" s="1470"/>
      <c r="W11" s="1470"/>
      <c r="X11" s="1470"/>
      <c r="Y11" s="1470"/>
      <c r="Z11" s="1470"/>
    </row>
    <row r="12">
      <c r="A12" s="1471"/>
      <c r="B12" s="1472"/>
      <c r="C12" s="1473"/>
      <c r="D12" s="1473"/>
      <c r="E12" s="1473"/>
      <c r="F12" s="1470"/>
      <c r="G12" s="1470"/>
      <c r="H12" s="1470"/>
      <c r="I12" s="1470"/>
      <c r="J12" s="1470"/>
      <c r="K12" s="1470"/>
      <c r="L12" s="1470"/>
      <c r="M12" s="1470"/>
      <c r="N12" s="1470"/>
      <c r="O12" s="1470"/>
      <c r="P12" s="1470"/>
      <c r="Q12" s="1470"/>
      <c r="R12" s="1470"/>
      <c r="S12" s="1470"/>
      <c r="T12" s="1470"/>
      <c r="U12" s="1470"/>
      <c r="V12" s="1470"/>
      <c r="W12" s="1470"/>
      <c r="X12" s="1470"/>
      <c r="Y12" s="1470"/>
      <c r="Z12" s="1470"/>
    </row>
    <row r="13">
      <c r="A13" s="1471"/>
      <c r="B13" s="1472"/>
      <c r="C13" s="1473"/>
      <c r="D13" s="1473"/>
      <c r="E13" s="1473"/>
      <c r="F13" s="1470"/>
      <c r="G13" s="1470"/>
      <c r="H13" s="1470"/>
      <c r="I13" s="1470"/>
      <c r="J13" s="1470"/>
      <c r="K13" s="1470"/>
      <c r="L13" s="1470"/>
      <c r="M13" s="1470"/>
      <c r="N13" s="1470"/>
      <c r="O13" s="1470"/>
      <c r="P13" s="1470"/>
      <c r="Q13" s="1470"/>
      <c r="R13" s="1470"/>
      <c r="S13" s="1470"/>
      <c r="T13" s="1470"/>
      <c r="U13" s="1470"/>
      <c r="V13" s="1470"/>
      <c r="W13" s="1470"/>
      <c r="X13" s="1470"/>
      <c r="Y13" s="1470"/>
      <c r="Z13" s="1470"/>
    </row>
    <row r="14">
      <c r="A14" s="1471"/>
      <c r="B14" s="1472"/>
      <c r="C14" s="1473"/>
      <c r="D14" s="1473"/>
      <c r="E14" s="1473"/>
      <c r="F14" s="1470"/>
      <c r="G14" s="1470"/>
      <c r="H14" s="1470"/>
      <c r="I14" s="1470"/>
      <c r="J14" s="1470"/>
      <c r="K14" s="1470"/>
      <c r="L14" s="1470"/>
      <c r="M14" s="1470"/>
      <c r="N14" s="1470"/>
      <c r="O14" s="1470"/>
      <c r="P14" s="1470"/>
      <c r="Q14" s="1470"/>
      <c r="R14" s="1470"/>
      <c r="S14" s="1470"/>
      <c r="T14" s="1470"/>
      <c r="U14" s="1470"/>
      <c r="V14" s="1470"/>
      <c r="W14" s="1470"/>
      <c r="X14" s="1470"/>
      <c r="Y14" s="1470"/>
      <c r="Z14" s="1470"/>
    </row>
    <row r="15">
      <c r="A15" s="1471"/>
      <c r="B15" s="1472"/>
      <c r="C15" s="1473"/>
      <c r="D15" s="1473"/>
      <c r="E15" s="1473"/>
      <c r="F15" s="1470"/>
      <c r="G15" s="1470"/>
      <c r="H15" s="1470"/>
      <c r="I15" s="1470"/>
      <c r="J15" s="1470"/>
      <c r="K15" s="1470"/>
      <c r="L15" s="1470"/>
      <c r="M15" s="1470"/>
      <c r="N15" s="1470"/>
      <c r="O15" s="1470"/>
      <c r="P15" s="1470"/>
      <c r="Q15" s="1470"/>
      <c r="R15" s="1470"/>
      <c r="S15" s="1470"/>
      <c r="T15" s="1470"/>
      <c r="U15" s="1470"/>
      <c r="V15" s="1470"/>
      <c r="W15" s="1470"/>
      <c r="X15" s="1470"/>
      <c r="Y15" s="1470"/>
      <c r="Z15" s="1470"/>
    </row>
    <row r="16">
      <c r="A16" s="1471"/>
      <c r="B16" s="1472"/>
      <c r="C16" s="1473"/>
      <c r="D16" s="1473"/>
      <c r="E16" s="1473"/>
      <c r="F16" s="1470"/>
      <c r="G16" s="1470"/>
      <c r="H16" s="1470"/>
      <c r="I16" s="1470"/>
      <c r="J16" s="1470"/>
      <c r="K16" s="1470"/>
      <c r="L16" s="1470"/>
      <c r="M16" s="1470"/>
      <c r="N16" s="1470"/>
      <c r="O16" s="1470"/>
      <c r="P16" s="1470"/>
      <c r="Q16" s="1470"/>
      <c r="R16" s="1470"/>
      <c r="S16" s="1470"/>
      <c r="T16" s="1470"/>
      <c r="U16" s="1470"/>
      <c r="V16" s="1470"/>
      <c r="W16" s="1470"/>
      <c r="X16" s="1470"/>
      <c r="Y16" s="1470"/>
      <c r="Z16" s="1470"/>
    </row>
    <row r="17">
      <c r="A17" s="1471"/>
      <c r="B17" s="1472"/>
      <c r="C17" s="1473"/>
      <c r="D17" s="1473"/>
      <c r="E17" s="1473"/>
      <c r="F17" s="1470"/>
      <c r="G17" s="1470"/>
      <c r="H17" s="1470"/>
      <c r="I17" s="1470"/>
      <c r="J17" s="1470"/>
      <c r="K17" s="1470"/>
      <c r="L17" s="1470"/>
      <c r="M17" s="1470"/>
      <c r="N17" s="1470"/>
      <c r="O17" s="1470"/>
      <c r="P17" s="1470"/>
      <c r="Q17" s="1470"/>
      <c r="R17" s="1470"/>
      <c r="S17" s="1470"/>
      <c r="T17" s="1470"/>
      <c r="U17" s="1470"/>
      <c r="V17" s="1470"/>
      <c r="W17" s="1470"/>
      <c r="X17" s="1470"/>
      <c r="Y17" s="1470"/>
      <c r="Z17" s="1470"/>
    </row>
    <row r="18">
      <c r="A18" s="1471"/>
      <c r="B18" s="1472"/>
      <c r="C18" s="1473"/>
      <c r="D18" s="1473"/>
      <c r="E18" s="1473"/>
      <c r="F18" s="1470"/>
      <c r="G18" s="1470"/>
      <c r="H18" s="1470"/>
      <c r="I18" s="1470"/>
      <c r="J18" s="1470"/>
      <c r="K18" s="1470"/>
      <c r="L18" s="1470"/>
      <c r="M18" s="1470"/>
      <c r="N18" s="1470"/>
      <c r="O18" s="1470"/>
      <c r="P18" s="1470"/>
      <c r="Q18" s="1470"/>
      <c r="R18" s="1470"/>
      <c r="S18" s="1470"/>
      <c r="T18" s="1470"/>
      <c r="U18" s="1470"/>
      <c r="V18" s="1470"/>
      <c r="W18" s="1470"/>
      <c r="X18" s="1470"/>
      <c r="Y18" s="1470"/>
      <c r="Z18" s="1470"/>
    </row>
    <row r="19">
      <c r="A19" s="1471"/>
      <c r="B19" s="1472"/>
      <c r="C19" s="1473"/>
      <c r="D19" s="1473"/>
      <c r="E19" s="1473"/>
      <c r="F19" s="1470"/>
      <c r="G19" s="1470"/>
      <c r="H19" s="1470"/>
      <c r="I19" s="1470"/>
      <c r="J19" s="1470"/>
      <c r="K19" s="1470"/>
      <c r="L19" s="1470"/>
      <c r="M19" s="1470"/>
      <c r="N19" s="1470"/>
      <c r="O19" s="1470"/>
      <c r="P19" s="1470"/>
      <c r="Q19" s="1470"/>
      <c r="R19" s="1470"/>
      <c r="S19" s="1470"/>
      <c r="T19" s="1470"/>
      <c r="U19" s="1470"/>
      <c r="V19" s="1470"/>
      <c r="W19" s="1470"/>
      <c r="X19" s="1470"/>
      <c r="Y19" s="1470"/>
      <c r="Z19" s="1470"/>
    </row>
    <row r="20">
      <c r="A20" s="1471"/>
      <c r="B20" s="1472"/>
      <c r="C20" s="1473"/>
      <c r="D20" s="1473"/>
      <c r="E20" s="1473"/>
      <c r="F20" s="1470"/>
      <c r="G20" s="1470"/>
      <c r="H20" s="1470"/>
      <c r="I20" s="1470"/>
      <c r="J20" s="1470"/>
      <c r="K20" s="1470"/>
      <c r="L20" s="1470"/>
      <c r="M20" s="1470"/>
      <c r="N20" s="1470"/>
      <c r="O20" s="1470"/>
      <c r="P20" s="1470"/>
      <c r="Q20" s="1470"/>
      <c r="R20" s="1470"/>
      <c r="S20" s="1470"/>
      <c r="T20" s="1470"/>
      <c r="U20" s="1470"/>
      <c r="V20" s="1470"/>
      <c r="W20" s="1470"/>
      <c r="X20" s="1470"/>
      <c r="Y20" s="1470"/>
      <c r="Z20" s="1470"/>
    </row>
    <row r="21">
      <c r="A21" s="1471"/>
      <c r="B21" s="1472"/>
      <c r="C21" s="1473"/>
      <c r="D21" s="1473"/>
      <c r="E21" s="1473"/>
      <c r="F21" s="1470"/>
      <c r="G21" s="1470"/>
      <c r="H21" s="1470"/>
      <c r="I21" s="1470"/>
      <c r="J21" s="1470"/>
      <c r="K21" s="1470"/>
      <c r="L21" s="1470"/>
      <c r="M21" s="1470"/>
      <c r="N21" s="1470"/>
      <c r="O21" s="1470"/>
      <c r="P21" s="1470"/>
      <c r="Q21" s="1470"/>
      <c r="R21" s="1470"/>
      <c r="S21" s="1470"/>
      <c r="T21" s="1470"/>
      <c r="U21" s="1470"/>
      <c r="V21" s="1470"/>
      <c r="W21" s="1470"/>
      <c r="X21" s="1470"/>
      <c r="Y21" s="1470"/>
      <c r="Z21" s="1470"/>
    </row>
    <row r="22">
      <c r="A22" s="1471"/>
      <c r="B22" s="1472"/>
      <c r="C22" s="1473"/>
      <c r="D22" s="1473"/>
      <c r="E22" s="1473"/>
      <c r="F22" s="1470"/>
      <c r="G22" s="1470"/>
      <c r="H22" s="1470"/>
      <c r="I22" s="1470"/>
      <c r="J22" s="1470"/>
      <c r="K22" s="1470"/>
      <c r="L22" s="1470"/>
      <c r="M22" s="1470"/>
      <c r="N22" s="1470"/>
      <c r="O22" s="1470"/>
      <c r="P22" s="1470"/>
      <c r="Q22" s="1470"/>
      <c r="R22" s="1470"/>
      <c r="S22" s="1470"/>
      <c r="T22" s="1470"/>
      <c r="U22" s="1470"/>
      <c r="V22" s="1470"/>
      <c r="W22" s="1470"/>
      <c r="X22" s="1470"/>
      <c r="Y22" s="1470"/>
      <c r="Z22" s="1470"/>
    </row>
    <row r="23">
      <c r="A23" s="1471"/>
      <c r="B23" s="1472"/>
      <c r="C23" s="1473"/>
      <c r="D23" s="1473"/>
      <c r="E23" s="1473"/>
      <c r="F23" s="1470"/>
      <c r="G23" s="1470"/>
      <c r="H23" s="1470"/>
      <c r="I23" s="1470"/>
      <c r="J23" s="1470"/>
      <c r="K23" s="1470"/>
      <c r="L23" s="1470"/>
      <c r="M23" s="1470"/>
      <c r="N23" s="1470"/>
      <c r="O23" s="1470"/>
      <c r="P23" s="1470"/>
      <c r="Q23" s="1470"/>
      <c r="R23" s="1470"/>
      <c r="S23" s="1470"/>
      <c r="T23" s="1470"/>
      <c r="U23" s="1470"/>
      <c r="V23" s="1470"/>
      <c r="W23" s="1470"/>
      <c r="X23" s="1470"/>
      <c r="Y23" s="1470"/>
      <c r="Z23" s="1470"/>
    </row>
    <row r="24">
      <c r="A24" s="1471"/>
      <c r="B24" s="1472"/>
      <c r="C24" s="1473"/>
      <c r="D24" s="1473"/>
      <c r="E24" s="1473"/>
      <c r="F24" s="1470"/>
      <c r="G24" s="1470"/>
      <c r="H24" s="1470"/>
      <c r="I24" s="1470"/>
      <c r="J24" s="1470"/>
      <c r="K24" s="1470"/>
      <c r="L24" s="1470"/>
      <c r="M24" s="1470"/>
      <c r="N24" s="1470"/>
      <c r="O24" s="1470"/>
      <c r="P24" s="1470"/>
      <c r="Q24" s="1470"/>
      <c r="R24" s="1470"/>
      <c r="S24" s="1470"/>
      <c r="T24" s="1470"/>
      <c r="U24" s="1470"/>
      <c r="V24" s="1470"/>
      <c r="W24" s="1470"/>
      <c r="X24" s="1470"/>
      <c r="Y24" s="1470"/>
      <c r="Z24" s="1470"/>
    </row>
    <row r="25">
      <c r="A25" s="1471"/>
      <c r="B25" s="1472"/>
      <c r="C25" s="1473"/>
      <c r="D25" s="1473"/>
      <c r="E25" s="1473"/>
      <c r="F25" s="1470"/>
      <c r="G25" s="1470"/>
      <c r="H25" s="1470"/>
      <c r="I25" s="1470"/>
      <c r="J25" s="1470"/>
      <c r="K25" s="1470"/>
      <c r="L25" s="1470"/>
      <c r="M25" s="1470"/>
      <c r="N25" s="1470"/>
      <c r="O25" s="1470"/>
      <c r="P25" s="1470"/>
      <c r="Q25" s="1470"/>
      <c r="R25" s="1470"/>
      <c r="S25" s="1470"/>
      <c r="T25" s="1470"/>
      <c r="U25" s="1470"/>
      <c r="V25" s="1470"/>
      <c r="W25" s="1470"/>
      <c r="X25" s="1470"/>
      <c r="Y25" s="1470"/>
      <c r="Z25" s="1470"/>
    </row>
    <row r="26">
      <c r="A26" s="1471"/>
      <c r="B26" s="1472"/>
      <c r="C26" s="1473"/>
      <c r="D26" s="1473"/>
      <c r="E26" s="1473"/>
      <c r="F26" s="1470"/>
      <c r="G26" s="1470"/>
      <c r="H26" s="1470"/>
      <c r="I26" s="1470"/>
      <c r="J26" s="1470"/>
      <c r="K26" s="1470"/>
      <c r="L26" s="1470"/>
      <c r="M26" s="1470"/>
      <c r="N26" s="1470"/>
      <c r="O26" s="1470"/>
      <c r="P26" s="1470"/>
      <c r="Q26" s="1470"/>
      <c r="R26" s="1470"/>
      <c r="S26" s="1470"/>
      <c r="T26" s="1470"/>
      <c r="U26" s="1470"/>
      <c r="V26" s="1470"/>
      <c r="W26" s="1470"/>
      <c r="X26" s="1470"/>
      <c r="Y26" s="1470"/>
      <c r="Z26" s="1470"/>
    </row>
    <row r="27">
      <c r="A27" s="1471"/>
      <c r="B27" s="1472"/>
      <c r="C27" s="1473"/>
      <c r="D27" s="1473"/>
      <c r="E27" s="1473"/>
      <c r="F27" s="1470"/>
      <c r="G27" s="1470"/>
      <c r="H27" s="1470"/>
      <c r="I27" s="1470"/>
      <c r="J27" s="1470"/>
      <c r="K27" s="1470"/>
      <c r="L27" s="1470"/>
      <c r="M27" s="1470"/>
      <c r="N27" s="1470"/>
      <c r="O27" s="1470"/>
      <c r="P27" s="1470"/>
      <c r="Q27" s="1470"/>
      <c r="R27" s="1470"/>
      <c r="S27" s="1470"/>
      <c r="T27" s="1470"/>
      <c r="U27" s="1470"/>
      <c r="V27" s="1470"/>
      <c r="W27" s="1470"/>
      <c r="X27" s="1470"/>
      <c r="Y27" s="1470"/>
      <c r="Z27" s="1470"/>
    </row>
    <row r="28">
      <c r="A28" s="1471"/>
      <c r="B28" s="1472"/>
      <c r="C28" s="1473"/>
      <c r="D28" s="1473"/>
      <c r="E28" s="1473"/>
      <c r="F28" s="1470"/>
      <c r="G28" s="1470"/>
      <c r="H28" s="1470"/>
      <c r="I28" s="1470"/>
      <c r="J28" s="1470"/>
      <c r="K28" s="1470"/>
      <c r="L28" s="1470"/>
      <c r="M28" s="1470"/>
      <c r="N28" s="1470"/>
      <c r="O28" s="1470"/>
      <c r="P28" s="1470"/>
      <c r="Q28" s="1470"/>
      <c r="R28" s="1470"/>
      <c r="S28" s="1470"/>
      <c r="T28" s="1470"/>
      <c r="U28" s="1470"/>
      <c r="V28" s="1470"/>
      <c r="W28" s="1470"/>
      <c r="X28" s="1470"/>
      <c r="Y28" s="1470"/>
      <c r="Z28" s="1470"/>
    </row>
    <row r="29">
      <c r="A29" s="1471"/>
      <c r="B29" s="1472"/>
      <c r="C29" s="1473"/>
      <c r="D29" s="1473"/>
      <c r="E29" s="1473"/>
      <c r="F29" s="1470"/>
      <c r="G29" s="1470"/>
      <c r="H29" s="1470"/>
      <c r="I29" s="1470"/>
      <c r="J29" s="1470"/>
      <c r="K29" s="1470"/>
      <c r="L29" s="1470"/>
      <c r="M29" s="1470"/>
      <c r="N29" s="1470"/>
      <c r="O29" s="1470"/>
      <c r="P29" s="1470"/>
      <c r="Q29" s="1470"/>
      <c r="R29" s="1470"/>
      <c r="S29" s="1470"/>
      <c r="T29" s="1470"/>
      <c r="U29" s="1470"/>
      <c r="V29" s="1470"/>
      <c r="W29" s="1470"/>
      <c r="X29" s="1470"/>
      <c r="Y29" s="1470"/>
      <c r="Z29" s="1470"/>
    </row>
    <row r="30">
      <c r="A30" s="1471"/>
      <c r="B30" s="1472"/>
      <c r="C30" s="1473"/>
      <c r="D30" s="1473"/>
      <c r="E30" s="1473"/>
      <c r="F30" s="1470"/>
      <c r="G30" s="1470"/>
      <c r="H30" s="1470"/>
      <c r="I30" s="1470"/>
      <c r="J30" s="1470"/>
      <c r="K30" s="1470"/>
      <c r="L30" s="1470"/>
      <c r="M30" s="1470"/>
      <c r="N30" s="1470"/>
      <c r="O30" s="1470"/>
      <c r="P30" s="1470"/>
      <c r="Q30" s="1470"/>
      <c r="R30" s="1470"/>
      <c r="S30" s="1470"/>
      <c r="T30" s="1470"/>
      <c r="U30" s="1470"/>
      <c r="V30" s="1470"/>
      <c r="W30" s="1470"/>
      <c r="X30" s="1470"/>
      <c r="Y30" s="1470"/>
      <c r="Z30" s="1470"/>
    </row>
    <row r="31">
      <c r="A31" s="1471"/>
      <c r="B31" s="1472"/>
      <c r="C31" s="1473"/>
      <c r="D31" s="1473"/>
      <c r="E31" s="1473"/>
      <c r="F31" s="1470"/>
      <c r="G31" s="1470"/>
      <c r="H31" s="1470"/>
      <c r="I31" s="1470"/>
      <c r="J31" s="1470"/>
      <c r="K31" s="1470"/>
      <c r="L31" s="1470"/>
      <c r="M31" s="1470"/>
      <c r="N31" s="1470"/>
      <c r="O31" s="1470"/>
      <c r="P31" s="1470"/>
      <c r="Q31" s="1470"/>
      <c r="R31" s="1470"/>
      <c r="S31" s="1470"/>
      <c r="T31" s="1470"/>
      <c r="U31" s="1470"/>
      <c r="V31" s="1470"/>
      <c r="W31" s="1470"/>
      <c r="X31" s="1470"/>
      <c r="Y31" s="1470"/>
      <c r="Z31" s="1470"/>
    </row>
    <row r="32">
      <c r="A32" s="1471"/>
      <c r="B32" s="1472"/>
      <c r="C32" s="1473"/>
      <c r="D32" s="1473"/>
      <c r="E32" s="1473"/>
      <c r="F32" s="1470"/>
      <c r="G32" s="1470"/>
      <c r="H32" s="1470"/>
      <c r="I32" s="1470"/>
      <c r="J32" s="1470"/>
      <c r="K32" s="1470"/>
      <c r="L32" s="1470"/>
      <c r="M32" s="1470"/>
      <c r="N32" s="1470"/>
      <c r="O32" s="1470"/>
      <c r="P32" s="1470"/>
      <c r="Q32" s="1470"/>
      <c r="R32" s="1470"/>
      <c r="S32" s="1470"/>
      <c r="T32" s="1470"/>
      <c r="U32" s="1470"/>
      <c r="V32" s="1470"/>
      <c r="W32" s="1470"/>
      <c r="X32" s="1470"/>
      <c r="Y32" s="1470"/>
      <c r="Z32" s="1470"/>
    </row>
    <row r="33">
      <c r="A33" s="1471"/>
      <c r="B33" s="1472"/>
      <c r="C33" s="1473"/>
      <c r="D33" s="1473"/>
      <c r="E33" s="1473"/>
      <c r="F33" s="1470"/>
      <c r="G33" s="1470"/>
      <c r="H33" s="1470"/>
      <c r="I33" s="1470"/>
      <c r="J33" s="1470"/>
      <c r="K33" s="1470"/>
      <c r="L33" s="1470"/>
      <c r="M33" s="1470"/>
      <c r="N33" s="1470"/>
      <c r="O33" s="1470"/>
      <c r="P33" s="1470"/>
      <c r="Q33" s="1470"/>
      <c r="R33" s="1470"/>
      <c r="S33" s="1470"/>
      <c r="T33" s="1470"/>
      <c r="U33" s="1470"/>
      <c r="V33" s="1470"/>
      <c r="W33" s="1470"/>
      <c r="X33" s="1470"/>
      <c r="Y33" s="1470"/>
      <c r="Z33" s="1470"/>
    </row>
    <row r="34">
      <c r="A34" s="1471"/>
      <c r="B34" s="1472"/>
      <c r="C34" s="1473"/>
      <c r="D34" s="1473"/>
      <c r="E34" s="1473"/>
      <c r="F34" s="1470"/>
      <c r="G34" s="1470"/>
      <c r="H34" s="1470"/>
      <c r="I34" s="1470"/>
      <c r="J34" s="1470"/>
      <c r="K34" s="1470"/>
      <c r="L34" s="1470"/>
      <c r="M34" s="1470"/>
      <c r="N34" s="1470"/>
      <c r="O34" s="1470"/>
      <c r="P34" s="1470"/>
      <c r="Q34" s="1470"/>
      <c r="R34" s="1470"/>
      <c r="S34" s="1470"/>
      <c r="T34" s="1470"/>
      <c r="U34" s="1470"/>
      <c r="V34" s="1470"/>
      <c r="W34" s="1470"/>
      <c r="X34" s="1470"/>
      <c r="Y34" s="1470"/>
      <c r="Z34" s="1470"/>
    </row>
    <row r="35">
      <c r="A35" s="1471"/>
      <c r="B35" s="1472"/>
      <c r="C35" s="1473"/>
      <c r="D35" s="1473"/>
      <c r="E35" s="1473"/>
      <c r="F35" s="1470"/>
      <c r="G35" s="1470"/>
      <c r="H35" s="1470"/>
      <c r="I35" s="1470"/>
      <c r="J35" s="1470"/>
      <c r="K35" s="1470"/>
      <c r="L35" s="1470"/>
      <c r="M35" s="1470"/>
      <c r="N35" s="1470"/>
      <c r="O35" s="1470"/>
      <c r="P35" s="1470"/>
      <c r="Q35" s="1470"/>
      <c r="R35" s="1470"/>
      <c r="S35" s="1470"/>
      <c r="T35" s="1470"/>
      <c r="U35" s="1470"/>
      <c r="V35" s="1470"/>
      <c r="W35" s="1470"/>
      <c r="X35" s="1470"/>
      <c r="Y35" s="1470"/>
      <c r="Z35" s="1470"/>
    </row>
    <row r="36">
      <c r="A36" s="1471"/>
      <c r="B36" s="1472"/>
      <c r="C36" s="1473"/>
      <c r="D36" s="1473"/>
      <c r="E36" s="1473"/>
      <c r="F36" s="1470"/>
      <c r="G36" s="1470"/>
      <c r="H36" s="1470"/>
      <c r="I36" s="1470"/>
      <c r="J36" s="1470"/>
      <c r="K36" s="1470"/>
      <c r="L36" s="1470"/>
      <c r="M36" s="1470"/>
      <c r="N36" s="1470"/>
      <c r="O36" s="1470"/>
      <c r="P36" s="1470"/>
      <c r="Q36" s="1470"/>
      <c r="R36" s="1470"/>
      <c r="S36" s="1470"/>
      <c r="T36" s="1470"/>
      <c r="U36" s="1470"/>
      <c r="V36" s="1470"/>
      <c r="W36" s="1470"/>
      <c r="X36" s="1470"/>
      <c r="Y36" s="1470"/>
      <c r="Z36" s="1470"/>
    </row>
    <row r="37">
      <c r="A37" s="1471"/>
      <c r="B37" s="1472"/>
      <c r="C37" s="1473"/>
      <c r="D37" s="1473"/>
      <c r="E37" s="1473"/>
      <c r="F37" s="1470"/>
      <c r="G37" s="1470"/>
      <c r="H37" s="1470"/>
      <c r="I37" s="1470"/>
      <c r="J37" s="1470"/>
      <c r="K37" s="1470"/>
      <c r="L37" s="1470"/>
      <c r="M37" s="1470"/>
      <c r="N37" s="1470"/>
      <c r="O37" s="1470"/>
      <c r="P37" s="1470"/>
      <c r="Q37" s="1470"/>
      <c r="R37" s="1470"/>
      <c r="S37" s="1470"/>
      <c r="T37" s="1470"/>
      <c r="U37" s="1470"/>
      <c r="V37" s="1470"/>
      <c r="W37" s="1470"/>
      <c r="X37" s="1470"/>
      <c r="Y37" s="1470"/>
      <c r="Z37" s="1470"/>
    </row>
    <row r="38">
      <c r="A38" s="1471"/>
      <c r="B38" s="1472"/>
      <c r="C38" s="1473"/>
      <c r="D38" s="1473"/>
      <c r="E38" s="1473"/>
      <c r="F38" s="1470"/>
      <c r="G38" s="1470"/>
      <c r="H38" s="1470"/>
      <c r="I38" s="1470"/>
      <c r="J38" s="1470"/>
      <c r="K38" s="1470"/>
      <c r="L38" s="1470"/>
      <c r="M38" s="1470"/>
      <c r="N38" s="1470"/>
      <c r="O38" s="1470"/>
      <c r="P38" s="1470"/>
      <c r="Q38" s="1470"/>
      <c r="R38" s="1470"/>
      <c r="S38" s="1470"/>
      <c r="T38" s="1470"/>
      <c r="U38" s="1470"/>
      <c r="V38" s="1470"/>
      <c r="W38" s="1470"/>
      <c r="X38" s="1470"/>
      <c r="Y38" s="1470"/>
      <c r="Z38" s="1470"/>
    </row>
    <row r="39">
      <c r="A39" s="1471"/>
      <c r="B39" s="1472"/>
      <c r="C39" s="1473"/>
      <c r="D39" s="1473"/>
      <c r="E39" s="1473"/>
      <c r="F39" s="1470"/>
      <c r="G39" s="1470"/>
      <c r="H39" s="1470"/>
      <c r="I39" s="1470"/>
      <c r="J39" s="1470"/>
      <c r="K39" s="1470"/>
      <c r="L39" s="1470"/>
      <c r="M39" s="1470"/>
      <c r="N39" s="1470"/>
      <c r="O39" s="1470"/>
      <c r="P39" s="1470"/>
      <c r="Q39" s="1470"/>
      <c r="R39" s="1470"/>
      <c r="S39" s="1470"/>
      <c r="T39" s="1470"/>
      <c r="U39" s="1470"/>
      <c r="V39" s="1470"/>
      <c r="W39" s="1470"/>
      <c r="X39" s="1470"/>
      <c r="Y39" s="1470"/>
      <c r="Z39" s="1470"/>
    </row>
    <row r="40">
      <c r="A40" s="1471"/>
      <c r="B40" s="1472"/>
      <c r="C40" s="1473"/>
      <c r="D40" s="1473"/>
      <c r="E40" s="1473"/>
      <c r="F40" s="1470"/>
      <c r="G40" s="1470"/>
      <c r="H40" s="1470"/>
      <c r="I40" s="1470"/>
      <c r="J40" s="1470"/>
      <c r="K40" s="1470"/>
      <c r="L40" s="1470"/>
      <c r="M40" s="1470"/>
      <c r="N40" s="1470"/>
      <c r="O40" s="1470"/>
      <c r="P40" s="1470"/>
      <c r="Q40" s="1470"/>
      <c r="R40" s="1470"/>
      <c r="S40" s="1470"/>
      <c r="T40" s="1470"/>
      <c r="U40" s="1470"/>
      <c r="V40" s="1470"/>
      <c r="W40" s="1470"/>
      <c r="X40" s="1470"/>
      <c r="Y40" s="1470"/>
      <c r="Z40" s="1470"/>
    </row>
    <row r="41">
      <c r="A41" s="1471"/>
      <c r="B41" s="1472"/>
      <c r="C41" s="1473"/>
      <c r="D41" s="1473"/>
      <c r="E41" s="1473"/>
      <c r="F41" s="1470"/>
      <c r="G41" s="1470"/>
      <c r="H41" s="1470"/>
      <c r="I41" s="1470"/>
      <c r="J41" s="1470"/>
      <c r="K41" s="1470"/>
      <c r="L41" s="1470"/>
      <c r="M41" s="1470"/>
      <c r="N41" s="1470"/>
      <c r="O41" s="1470"/>
      <c r="P41" s="1470"/>
      <c r="Q41" s="1470"/>
      <c r="R41" s="1470"/>
      <c r="S41" s="1470"/>
      <c r="T41" s="1470"/>
      <c r="U41" s="1470"/>
      <c r="V41" s="1470"/>
      <c r="W41" s="1470"/>
      <c r="X41" s="1470"/>
      <c r="Y41" s="1470"/>
      <c r="Z41" s="1470"/>
    </row>
    <row r="42">
      <c r="A42" s="1471"/>
      <c r="B42" s="1472"/>
      <c r="C42" s="1473"/>
      <c r="D42" s="1473"/>
      <c r="E42" s="1473"/>
      <c r="F42" s="1470"/>
      <c r="G42" s="1470"/>
      <c r="H42" s="1470"/>
      <c r="I42" s="1470"/>
      <c r="J42" s="1470"/>
      <c r="K42" s="1470"/>
      <c r="L42" s="1470"/>
      <c r="M42" s="1470"/>
      <c r="N42" s="1470"/>
      <c r="O42" s="1470"/>
      <c r="P42" s="1470"/>
      <c r="Q42" s="1470"/>
      <c r="R42" s="1470"/>
      <c r="S42" s="1470"/>
      <c r="T42" s="1470"/>
      <c r="U42" s="1470"/>
      <c r="V42" s="1470"/>
      <c r="W42" s="1470"/>
      <c r="X42" s="1470"/>
      <c r="Y42" s="1470"/>
      <c r="Z42" s="1470"/>
    </row>
    <row r="43">
      <c r="A43" s="1471"/>
      <c r="B43" s="1472"/>
      <c r="C43" s="1473"/>
      <c r="D43" s="1473"/>
      <c r="E43" s="1473"/>
      <c r="F43" s="1470"/>
      <c r="G43" s="1470"/>
      <c r="H43" s="1470"/>
      <c r="I43" s="1470"/>
      <c r="J43" s="1470"/>
      <c r="K43" s="1470"/>
      <c r="L43" s="1470"/>
      <c r="M43" s="1470"/>
      <c r="N43" s="1470"/>
      <c r="O43" s="1470"/>
      <c r="P43" s="1470"/>
      <c r="Q43" s="1470"/>
      <c r="R43" s="1470"/>
      <c r="S43" s="1470"/>
      <c r="T43" s="1470"/>
      <c r="U43" s="1470"/>
      <c r="V43" s="1470"/>
      <c r="W43" s="1470"/>
      <c r="X43" s="1470"/>
      <c r="Y43" s="1470"/>
      <c r="Z43" s="1470"/>
    </row>
    <row r="44">
      <c r="A44" s="1471"/>
      <c r="B44" s="1472"/>
      <c r="C44" s="1473"/>
      <c r="D44" s="1473"/>
      <c r="E44" s="1473"/>
      <c r="F44" s="1470"/>
      <c r="G44" s="1470"/>
      <c r="H44" s="1470"/>
      <c r="I44" s="1470"/>
      <c r="J44" s="1470"/>
      <c r="K44" s="1470"/>
      <c r="L44" s="1470"/>
      <c r="M44" s="1470"/>
      <c r="N44" s="1470"/>
      <c r="O44" s="1470"/>
      <c r="P44" s="1470"/>
      <c r="Q44" s="1470"/>
      <c r="R44" s="1470"/>
      <c r="S44" s="1470"/>
      <c r="T44" s="1470"/>
      <c r="U44" s="1470"/>
      <c r="V44" s="1470"/>
      <c r="W44" s="1470"/>
      <c r="X44" s="1470"/>
      <c r="Y44" s="1470"/>
      <c r="Z44" s="1470"/>
    </row>
    <row r="45">
      <c r="A45" s="1471"/>
      <c r="B45" s="1472"/>
      <c r="C45" s="1473"/>
      <c r="D45" s="1473"/>
      <c r="E45" s="1473"/>
      <c r="F45" s="1470"/>
      <c r="G45" s="1470"/>
      <c r="H45" s="1470"/>
      <c r="I45" s="1470"/>
      <c r="J45" s="1470"/>
      <c r="K45" s="1470"/>
      <c r="L45" s="1470"/>
      <c r="M45" s="1470"/>
      <c r="N45" s="1470"/>
      <c r="O45" s="1470"/>
      <c r="P45" s="1470"/>
      <c r="Q45" s="1470"/>
      <c r="R45" s="1470"/>
      <c r="S45" s="1470"/>
      <c r="T45" s="1470"/>
      <c r="U45" s="1470"/>
      <c r="V45" s="1470"/>
      <c r="W45" s="1470"/>
      <c r="X45" s="1470"/>
      <c r="Y45" s="1470"/>
      <c r="Z45" s="1470"/>
    </row>
    <row r="46">
      <c r="A46" s="1471"/>
      <c r="B46" s="1472"/>
      <c r="C46" s="1473"/>
      <c r="D46" s="1473"/>
      <c r="E46" s="1473"/>
      <c r="F46" s="1470"/>
      <c r="G46" s="1470"/>
      <c r="H46" s="1470"/>
      <c r="I46" s="1470"/>
      <c r="J46" s="1470"/>
      <c r="K46" s="1470"/>
      <c r="L46" s="1470"/>
      <c r="M46" s="1470"/>
      <c r="N46" s="1470"/>
      <c r="O46" s="1470"/>
      <c r="P46" s="1470"/>
      <c r="Q46" s="1470"/>
      <c r="R46" s="1470"/>
      <c r="S46" s="1470"/>
      <c r="T46" s="1470"/>
      <c r="U46" s="1470"/>
      <c r="V46" s="1470"/>
      <c r="W46" s="1470"/>
      <c r="X46" s="1470"/>
      <c r="Y46" s="1470"/>
      <c r="Z46" s="1470"/>
    </row>
    <row r="47">
      <c r="A47" s="1471"/>
      <c r="B47" s="1472"/>
      <c r="C47" s="1473"/>
      <c r="D47" s="1473"/>
      <c r="E47" s="1473"/>
      <c r="F47" s="1470"/>
      <c r="G47" s="1470"/>
      <c r="H47" s="1470"/>
      <c r="I47" s="1470"/>
      <c r="J47" s="1470"/>
      <c r="K47" s="1470"/>
      <c r="L47" s="1470"/>
      <c r="M47" s="1470"/>
      <c r="N47" s="1470"/>
      <c r="O47" s="1470"/>
      <c r="P47" s="1470"/>
      <c r="Q47" s="1470"/>
      <c r="R47" s="1470"/>
      <c r="S47" s="1470"/>
      <c r="T47" s="1470"/>
      <c r="U47" s="1470"/>
      <c r="V47" s="1470"/>
      <c r="W47" s="1470"/>
      <c r="X47" s="1470"/>
      <c r="Y47" s="1470"/>
      <c r="Z47" s="1470"/>
    </row>
    <row r="48">
      <c r="A48" s="1471"/>
      <c r="B48" s="1472"/>
      <c r="C48" s="1473"/>
      <c r="D48" s="1473"/>
      <c r="E48" s="1473"/>
      <c r="F48" s="1470"/>
      <c r="G48" s="1470"/>
      <c r="H48" s="1470"/>
      <c r="I48" s="1470"/>
      <c r="J48" s="1470"/>
      <c r="K48" s="1470"/>
      <c r="L48" s="1470"/>
      <c r="M48" s="1470"/>
      <c r="N48" s="1470"/>
      <c r="O48" s="1470"/>
      <c r="P48" s="1470"/>
      <c r="Q48" s="1470"/>
      <c r="R48" s="1470"/>
      <c r="S48" s="1470"/>
      <c r="T48" s="1470"/>
      <c r="U48" s="1470"/>
      <c r="V48" s="1470"/>
      <c r="W48" s="1470"/>
      <c r="X48" s="1470"/>
      <c r="Y48" s="1470"/>
      <c r="Z48" s="1470"/>
    </row>
    <row r="49">
      <c r="A49" s="1471"/>
      <c r="B49" s="1472"/>
      <c r="C49" s="1473"/>
      <c r="D49" s="1473"/>
      <c r="E49" s="1473"/>
      <c r="F49" s="1470"/>
      <c r="G49" s="1470"/>
      <c r="H49" s="1470"/>
      <c r="I49" s="1470"/>
      <c r="J49" s="1470"/>
      <c r="K49" s="1470"/>
      <c r="L49" s="1470"/>
      <c r="M49" s="1470"/>
      <c r="N49" s="1470"/>
      <c r="O49" s="1470"/>
      <c r="P49" s="1470"/>
      <c r="Q49" s="1470"/>
      <c r="R49" s="1470"/>
      <c r="S49" s="1470"/>
      <c r="T49" s="1470"/>
      <c r="U49" s="1470"/>
      <c r="V49" s="1470"/>
      <c r="W49" s="1470"/>
      <c r="X49" s="1470"/>
      <c r="Y49" s="1470"/>
      <c r="Z49" s="1470"/>
    </row>
    <row r="50">
      <c r="A50" s="1471"/>
      <c r="B50" s="1472"/>
      <c r="C50" s="1473"/>
      <c r="D50" s="1473"/>
      <c r="E50" s="1473"/>
      <c r="F50" s="1470"/>
      <c r="G50" s="1470"/>
      <c r="H50" s="1470"/>
      <c r="I50" s="1470"/>
      <c r="J50" s="1470"/>
      <c r="K50" s="1470"/>
      <c r="L50" s="1470"/>
      <c r="M50" s="1470"/>
      <c r="N50" s="1470"/>
      <c r="O50" s="1470"/>
      <c r="P50" s="1470"/>
      <c r="Q50" s="1470"/>
      <c r="R50" s="1470"/>
      <c r="S50" s="1470"/>
      <c r="T50" s="1470"/>
      <c r="U50" s="1470"/>
      <c r="V50" s="1470"/>
      <c r="W50" s="1470"/>
      <c r="X50" s="1470"/>
      <c r="Y50" s="1470"/>
      <c r="Z50" s="1470"/>
    </row>
    <row r="51">
      <c r="A51" s="1471"/>
      <c r="B51" s="1472"/>
      <c r="C51" s="1473"/>
      <c r="D51" s="1473"/>
      <c r="E51" s="1473"/>
      <c r="F51" s="1470"/>
      <c r="G51" s="1470"/>
      <c r="H51" s="1470"/>
      <c r="I51" s="1470"/>
      <c r="J51" s="1470"/>
      <c r="K51" s="1470"/>
      <c r="L51" s="1470"/>
      <c r="M51" s="1470"/>
      <c r="N51" s="1470"/>
      <c r="O51" s="1470"/>
      <c r="P51" s="1470"/>
      <c r="Q51" s="1470"/>
      <c r="R51" s="1470"/>
      <c r="S51" s="1470"/>
      <c r="T51" s="1470"/>
      <c r="U51" s="1470"/>
      <c r="V51" s="1470"/>
      <c r="W51" s="1470"/>
      <c r="X51" s="1470"/>
      <c r="Y51" s="1470"/>
      <c r="Z51" s="1470"/>
    </row>
    <row r="52">
      <c r="A52" s="1471"/>
      <c r="B52" s="1472"/>
      <c r="C52" s="1473"/>
      <c r="D52" s="1473"/>
      <c r="E52" s="1473"/>
      <c r="F52" s="1470"/>
      <c r="G52" s="1470"/>
      <c r="H52" s="1470"/>
      <c r="I52" s="1470"/>
      <c r="J52" s="1470"/>
      <c r="K52" s="1470"/>
      <c r="L52" s="1470"/>
      <c r="M52" s="1470"/>
      <c r="N52" s="1470"/>
      <c r="O52" s="1470"/>
      <c r="P52" s="1470"/>
      <c r="Q52" s="1470"/>
      <c r="R52" s="1470"/>
      <c r="S52" s="1470"/>
      <c r="T52" s="1470"/>
      <c r="U52" s="1470"/>
      <c r="V52" s="1470"/>
      <c r="W52" s="1470"/>
      <c r="X52" s="1470"/>
      <c r="Y52" s="1470"/>
      <c r="Z52" s="1470"/>
    </row>
    <row r="53">
      <c r="A53" s="1471"/>
      <c r="B53" s="1472"/>
      <c r="C53" s="1473"/>
      <c r="D53" s="1473"/>
      <c r="E53" s="1473"/>
      <c r="F53" s="1470"/>
      <c r="G53" s="1470"/>
      <c r="H53" s="1470"/>
      <c r="I53" s="1470"/>
      <c r="J53" s="1470"/>
      <c r="K53" s="1470"/>
      <c r="L53" s="1470"/>
      <c r="M53" s="1470"/>
      <c r="N53" s="1470"/>
      <c r="O53" s="1470"/>
      <c r="P53" s="1470"/>
      <c r="Q53" s="1470"/>
      <c r="R53" s="1470"/>
      <c r="S53" s="1470"/>
      <c r="T53" s="1470"/>
      <c r="U53" s="1470"/>
      <c r="V53" s="1470"/>
      <c r="W53" s="1470"/>
      <c r="X53" s="1470"/>
      <c r="Y53" s="1470"/>
      <c r="Z53" s="1470"/>
    </row>
    <row r="54">
      <c r="A54" s="1471"/>
      <c r="B54" s="1472"/>
      <c r="C54" s="1473"/>
      <c r="D54" s="1473"/>
      <c r="E54" s="1473"/>
      <c r="F54" s="1470"/>
      <c r="G54" s="1470"/>
      <c r="H54" s="1470"/>
      <c r="I54" s="1470"/>
      <c r="J54" s="1470"/>
      <c r="K54" s="1470"/>
      <c r="L54" s="1470"/>
      <c r="M54" s="1470"/>
      <c r="N54" s="1470"/>
      <c r="O54" s="1470"/>
      <c r="P54" s="1470"/>
      <c r="Q54" s="1470"/>
      <c r="R54" s="1470"/>
      <c r="S54" s="1470"/>
      <c r="T54" s="1470"/>
      <c r="U54" s="1470"/>
      <c r="V54" s="1470"/>
      <c r="W54" s="1470"/>
      <c r="X54" s="1470"/>
      <c r="Y54" s="1470"/>
      <c r="Z54" s="1470"/>
    </row>
    <row r="55">
      <c r="A55" s="1471"/>
      <c r="B55" s="1472"/>
      <c r="C55" s="1473"/>
      <c r="D55" s="1473"/>
      <c r="E55" s="1473"/>
      <c r="F55" s="1470"/>
      <c r="G55" s="1470"/>
      <c r="H55" s="1470"/>
      <c r="I55" s="1470"/>
      <c r="J55" s="1470"/>
      <c r="K55" s="1470"/>
      <c r="L55" s="1470"/>
      <c r="M55" s="1470"/>
      <c r="N55" s="1470"/>
      <c r="O55" s="1470"/>
      <c r="P55" s="1470"/>
      <c r="Q55" s="1470"/>
      <c r="R55" s="1470"/>
      <c r="S55" s="1470"/>
      <c r="T55" s="1470"/>
      <c r="U55" s="1470"/>
      <c r="V55" s="1470"/>
      <c r="W55" s="1470"/>
      <c r="X55" s="1470"/>
      <c r="Y55" s="1470"/>
      <c r="Z55" s="1470"/>
    </row>
    <row r="56">
      <c r="A56" s="1471"/>
      <c r="B56" s="1472"/>
      <c r="C56" s="1473"/>
      <c r="D56" s="1473"/>
      <c r="E56" s="1473"/>
      <c r="F56" s="1470"/>
      <c r="G56" s="1470"/>
      <c r="H56" s="1470"/>
      <c r="I56" s="1470"/>
      <c r="J56" s="1470"/>
      <c r="K56" s="1470"/>
      <c r="L56" s="1470"/>
      <c r="M56" s="1470"/>
      <c r="N56" s="1470"/>
      <c r="O56" s="1470"/>
      <c r="P56" s="1470"/>
      <c r="Q56" s="1470"/>
      <c r="R56" s="1470"/>
      <c r="S56" s="1470"/>
      <c r="T56" s="1470"/>
      <c r="U56" s="1470"/>
      <c r="V56" s="1470"/>
      <c r="W56" s="1470"/>
      <c r="X56" s="1470"/>
      <c r="Y56" s="1470"/>
      <c r="Z56" s="1470"/>
    </row>
    <row r="57">
      <c r="A57" s="1471"/>
      <c r="B57" s="1472"/>
      <c r="C57" s="1473"/>
      <c r="D57" s="1473"/>
      <c r="E57" s="1473"/>
      <c r="F57" s="1470"/>
      <c r="G57" s="1470"/>
      <c r="H57" s="1470"/>
      <c r="I57" s="1470"/>
      <c r="J57" s="1470"/>
      <c r="K57" s="1470"/>
      <c r="L57" s="1470"/>
      <c r="M57" s="1470"/>
      <c r="N57" s="1470"/>
      <c r="O57" s="1470"/>
      <c r="P57" s="1470"/>
      <c r="Q57" s="1470"/>
      <c r="R57" s="1470"/>
      <c r="S57" s="1470"/>
      <c r="T57" s="1470"/>
      <c r="U57" s="1470"/>
      <c r="V57" s="1470"/>
      <c r="W57" s="1470"/>
      <c r="X57" s="1470"/>
      <c r="Y57" s="1470"/>
      <c r="Z57" s="1470"/>
    </row>
    <row r="58">
      <c r="A58" s="1471"/>
      <c r="B58" s="1472"/>
      <c r="C58" s="1473"/>
      <c r="D58" s="1473"/>
      <c r="E58" s="1473"/>
      <c r="F58" s="1470"/>
      <c r="G58" s="1470"/>
      <c r="H58" s="1470"/>
      <c r="I58" s="1470"/>
      <c r="J58" s="1470"/>
      <c r="K58" s="1470"/>
      <c r="L58" s="1470"/>
      <c r="M58" s="1470"/>
      <c r="N58" s="1470"/>
      <c r="O58" s="1470"/>
      <c r="P58" s="1470"/>
      <c r="Q58" s="1470"/>
      <c r="R58" s="1470"/>
      <c r="S58" s="1470"/>
      <c r="T58" s="1470"/>
      <c r="U58" s="1470"/>
      <c r="V58" s="1470"/>
      <c r="W58" s="1470"/>
      <c r="X58" s="1470"/>
      <c r="Y58" s="1470"/>
      <c r="Z58" s="1470"/>
    </row>
    <row r="59">
      <c r="A59" s="1471"/>
      <c r="B59" s="1472"/>
      <c r="C59" s="1473"/>
      <c r="D59" s="1473"/>
      <c r="E59" s="1473"/>
      <c r="F59" s="1470"/>
      <c r="G59" s="1470"/>
      <c r="H59" s="1470"/>
      <c r="I59" s="1470"/>
      <c r="J59" s="1470"/>
      <c r="K59" s="1470"/>
      <c r="L59" s="1470"/>
      <c r="M59" s="1470"/>
      <c r="N59" s="1470"/>
      <c r="O59" s="1470"/>
      <c r="P59" s="1470"/>
      <c r="Q59" s="1470"/>
      <c r="R59" s="1470"/>
      <c r="S59" s="1470"/>
      <c r="T59" s="1470"/>
      <c r="U59" s="1470"/>
      <c r="V59" s="1470"/>
      <c r="W59" s="1470"/>
      <c r="X59" s="1470"/>
      <c r="Y59" s="1470"/>
      <c r="Z59" s="1470"/>
    </row>
    <row r="60">
      <c r="A60" s="1471"/>
      <c r="B60" s="1472"/>
      <c r="C60" s="1473"/>
      <c r="D60" s="1473"/>
      <c r="E60" s="1473"/>
      <c r="F60" s="1470"/>
      <c r="G60" s="1470"/>
      <c r="H60" s="1470"/>
      <c r="I60" s="1470"/>
      <c r="J60" s="1470"/>
      <c r="K60" s="1470"/>
      <c r="L60" s="1470"/>
      <c r="M60" s="1470"/>
      <c r="N60" s="1470"/>
      <c r="O60" s="1470"/>
      <c r="P60" s="1470"/>
      <c r="Q60" s="1470"/>
      <c r="R60" s="1470"/>
      <c r="S60" s="1470"/>
      <c r="T60" s="1470"/>
      <c r="U60" s="1470"/>
      <c r="V60" s="1470"/>
      <c r="W60" s="1470"/>
      <c r="X60" s="1470"/>
      <c r="Y60" s="1470"/>
      <c r="Z60" s="1470"/>
    </row>
    <row r="61">
      <c r="A61" s="1471"/>
      <c r="B61" s="1472"/>
      <c r="C61" s="1473"/>
      <c r="D61" s="1473"/>
      <c r="E61" s="1473"/>
      <c r="F61" s="1470"/>
      <c r="G61" s="1470"/>
      <c r="H61" s="1470"/>
      <c r="I61" s="1470"/>
      <c r="J61" s="1470"/>
      <c r="K61" s="1470"/>
      <c r="L61" s="1470"/>
      <c r="M61" s="1470"/>
      <c r="N61" s="1470"/>
      <c r="O61" s="1470"/>
      <c r="P61" s="1470"/>
      <c r="Q61" s="1470"/>
      <c r="R61" s="1470"/>
      <c r="S61" s="1470"/>
      <c r="T61" s="1470"/>
      <c r="U61" s="1470"/>
      <c r="V61" s="1470"/>
      <c r="W61" s="1470"/>
      <c r="X61" s="1470"/>
      <c r="Y61" s="1470"/>
      <c r="Z61" s="1470"/>
    </row>
    <row r="62">
      <c r="A62" s="1471"/>
      <c r="B62" s="1472"/>
      <c r="C62" s="1473"/>
      <c r="D62" s="1473"/>
      <c r="E62" s="1473"/>
      <c r="F62" s="1470"/>
      <c r="G62" s="1470"/>
      <c r="H62" s="1470"/>
      <c r="I62" s="1470"/>
      <c r="J62" s="1470"/>
      <c r="K62" s="1470"/>
      <c r="L62" s="1470"/>
      <c r="M62" s="1470"/>
      <c r="N62" s="1470"/>
      <c r="O62" s="1470"/>
      <c r="P62" s="1470"/>
      <c r="Q62" s="1470"/>
      <c r="R62" s="1470"/>
      <c r="S62" s="1470"/>
      <c r="T62" s="1470"/>
      <c r="U62" s="1470"/>
      <c r="V62" s="1470"/>
      <c r="W62" s="1470"/>
      <c r="X62" s="1470"/>
      <c r="Y62" s="1470"/>
      <c r="Z62" s="1470"/>
    </row>
    <row r="63">
      <c r="A63" s="1471"/>
      <c r="B63" s="1472"/>
      <c r="C63" s="1473"/>
      <c r="D63" s="1473"/>
      <c r="E63" s="1473"/>
      <c r="F63" s="1470"/>
      <c r="G63" s="1470"/>
      <c r="H63" s="1470"/>
      <c r="I63" s="1470"/>
      <c r="J63" s="1470"/>
      <c r="K63" s="1470"/>
      <c r="L63" s="1470"/>
      <c r="M63" s="1470"/>
      <c r="N63" s="1470"/>
      <c r="O63" s="1470"/>
      <c r="P63" s="1470"/>
      <c r="Q63" s="1470"/>
      <c r="R63" s="1470"/>
      <c r="S63" s="1470"/>
      <c r="T63" s="1470"/>
      <c r="U63" s="1470"/>
      <c r="V63" s="1470"/>
      <c r="W63" s="1470"/>
      <c r="X63" s="1470"/>
      <c r="Y63" s="1470"/>
      <c r="Z63" s="1470"/>
    </row>
    <row r="64">
      <c r="A64" s="1471"/>
      <c r="B64" s="1472"/>
      <c r="C64" s="1473"/>
      <c r="D64" s="1473"/>
      <c r="E64" s="1473"/>
      <c r="F64" s="1470"/>
      <c r="G64" s="1470"/>
      <c r="H64" s="1470"/>
      <c r="I64" s="1470"/>
      <c r="J64" s="1470"/>
      <c r="K64" s="1470"/>
      <c r="L64" s="1470"/>
      <c r="M64" s="1470"/>
      <c r="N64" s="1470"/>
      <c r="O64" s="1470"/>
      <c r="P64" s="1470"/>
      <c r="Q64" s="1470"/>
      <c r="R64" s="1470"/>
      <c r="S64" s="1470"/>
      <c r="T64" s="1470"/>
      <c r="U64" s="1470"/>
      <c r="V64" s="1470"/>
      <c r="W64" s="1470"/>
      <c r="X64" s="1470"/>
      <c r="Y64" s="1470"/>
      <c r="Z64" s="1470"/>
    </row>
    <row r="65">
      <c r="A65" s="1471"/>
      <c r="B65" s="1472"/>
      <c r="C65" s="1473"/>
      <c r="D65" s="1473"/>
      <c r="E65" s="1473"/>
      <c r="F65" s="1470"/>
      <c r="G65" s="1470"/>
      <c r="H65" s="1470"/>
      <c r="I65" s="1470"/>
      <c r="J65" s="1470"/>
      <c r="K65" s="1470"/>
      <c r="L65" s="1470"/>
      <c r="M65" s="1470"/>
      <c r="N65" s="1470"/>
      <c r="O65" s="1470"/>
      <c r="P65" s="1470"/>
      <c r="Q65" s="1470"/>
      <c r="R65" s="1470"/>
      <c r="S65" s="1470"/>
      <c r="T65" s="1470"/>
      <c r="U65" s="1470"/>
      <c r="V65" s="1470"/>
      <c r="W65" s="1470"/>
      <c r="X65" s="1470"/>
      <c r="Y65" s="1470"/>
      <c r="Z65" s="1470"/>
    </row>
    <row r="66">
      <c r="A66" s="1471"/>
      <c r="B66" s="1472"/>
      <c r="C66" s="1473"/>
      <c r="D66" s="1473"/>
      <c r="E66" s="1473"/>
      <c r="F66" s="1470"/>
      <c r="G66" s="1470"/>
      <c r="H66" s="1470"/>
      <c r="I66" s="1470"/>
      <c r="J66" s="1470"/>
      <c r="K66" s="1470"/>
      <c r="L66" s="1470"/>
      <c r="M66" s="1470"/>
      <c r="N66" s="1470"/>
      <c r="O66" s="1470"/>
      <c r="P66" s="1470"/>
      <c r="Q66" s="1470"/>
      <c r="R66" s="1470"/>
      <c r="S66" s="1470"/>
      <c r="T66" s="1470"/>
      <c r="U66" s="1470"/>
      <c r="V66" s="1470"/>
      <c r="W66" s="1470"/>
      <c r="X66" s="1470"/>
      <c r="Y66" s="1470"/>
      <c r="Z66" s="1470"/>
    </row>
    <row r="67">
      <c r="A67" s="1471"/>
      <c r="B67" s="1472"/>
      <c r="C67" s="1473"/>
      <c r="D67" s="1473"/>
      <c r="E67" s="1473"/>
      <c r="F67" s="1470"/>
      <c r="G67" s="1470"/>
      <c r="H67" s="1470"/>
      <c r="I67" s="1470"/>
      <c r="J67" s="1470"/>
      <c r="K67" s="1470"/>
      <c r="L67" s="1470"/>
      <c r="M67" s="1470"/>
      <c r="N67" s="1470"/>
      <c r="O67" s="1470"/>
      <c r="P67" s="1470"/>
      <c r="Q67" s="1470"/>
      <c r="R67" s="1470"/>
      <c r="S67" s="1470"/>
      <c r="T67" s="1470"/>
      <c r="U67" s="1470"/>
      <c r="V67" s="1470"/>
      <c r="W67" s="1470"/>
      <c r="X67" s="1470"/>
      <c r="Y67" s="1470"/>
      <c r="Z67" s="1470"/>
    </row>
    <row r="68">
      <c r="A68" s="1471"/>
      <c r="B68" s="1472"/>
      <c r="C68" s="1473"/>
      <c r="D68" s="1473"/>
      <c r="E68" s="1473"/>
      <c r="F68" s="1470"/>
      <c r="G68" s="1470"/>
      <c r="H68" s="1470"/>
      <c r="I68" s="1470"/>
      <c r="J68" s="1470"/>
      <c r="K68" s="1470"/>
      <c r="L68" s="1470"/>
      <c r="M68" s="1470"/>
      <c r="N68" s="1470"/>
      <c r="O68" s="1470"/>
      <c r="P68" s="1470"/>
      <c r="Q68" s="1470"/>
      <c r="R68" s="1470"/>
      <c r="S68" s="1470"/>
      <c r="T68" s="1470"/>
      <c r="U68" s="1470"/>
      <c r="V68" s="1470"/>
      <c r="W68" s="1470"/>
      <c r="X68" s="1470"/>
      <c r="Y68" s="1470"/>
      <c r="Z68" s="1470"/>
    </row>
    <row r="69">
      <c r="A69" s="1471"/>
      <c r="B69" s="1472"/>
      <c r="C69" s="1473"/>
      <c r="D69" s="1473"/>
      <c r="E69" s="1473"/>
      <c r="F69" s="1470"/>
      <c r="G69" s="1470"/>
      <c r="H69" s="1470"/>
      <c r="I69" s="1470"/>
      <c r="J69" s="1470"/>
      <c r="K69" s="1470"/>
      <c r="L69" s="1470"/>
      <c r="M69" s="1470"/>
      <c r="N69" s="1470"/>
      <c r="O69" s="1470"/>
      <c r="P69" s="1470"/>
      <c r="Q69" s="1470"/>
      <c r="R69" s="1470"/>
      <c r="S69" s="1470"/>
      <c r="T69" s="1470"/>
      <c r="U69" s="1470"/>
      <c r="V69" s="1470"/>
      <c r="W69" s="1470"/>
      <c r="X69" s="1470"/>
      <c r="Y69" s="1470"/>
      <c r="Z69" s="1470"/>
    </row>
    <row r="70">
      <c r="A70" s="1471"/>
      <c r="B70" s="1472"/>
      <c r="C70" s="1473"/>
      <c r="D70" s="1473"/>
      <c r="E70" s="1473"/>
      <c r="F70" s="1470"/>
      <c r="G70" s="1470"/>
      <c r="H70" s="1470"/>
      <c r="I70" s="1470"/>
      <c r="J70" s="1470"/>
      <c r="K70" s="1470"/>
      <c r="L70" s="1470"/>
      <c r="M70" s="1470"/>
      <c r="N70" s="1470"/>
      <c r="O70" s="1470"/>
      <c r="P70" s="1470"/>
      <c r="Q70" s="1470"/>
      <c r="R70" s="1470"/>
      <c r="S70" s="1470"/>
      <c r="T70" s="1470"/>
      <c r="U70" s="1470"/>
      <c r="V70" s="1470"/>
      <c r="W70" s="1470"/>
      <c r="X70" s="1470"/>
      <c r="Y70" s="1470"/>
      <c r="Z70" s="1470"/>
    </row>
    <row r="71">
      <c r="A71" s="1471"/>
      <c r="B71" s="1472"/>
      <c r="C71" s="1473"/>
      <c r="D71" s="1473"/>
      <c r="E71" s="1473"/>
      <c r="F71" s="1470"/>
      <c r="G71" s="1470"/>
      <c r="H71" s="1470"/>
      <c r="I71" s="1470"/>
      <c r="J71" s="1470"/>
      <c r="K71" s="1470"/>
      <c r="L71" s="1470"/>
      <c r="M71" s="1470"/>
      <c r="N71" s="1470"/>
      <c r="O71" s="1470"/>
      <c r="P71" s="1470"/>
      <c r="Q71" s="1470"/>
      <c r="R71" s="1470"/>
      <c r="S71" s="1470"/>
      <c r="T71" s="1470"/>
      <c r="U71" s="1470"/>
      <c r="V71" s="1470"/>
      <c r="W71" s="1470"/>
      <c r="X71" s="1470"/>
      <c r="Y71" s="1470"/>
      <c r="Z71" s="1470"/>
    </row>
    <row r="72">
      <c r="A72" s="1471"/>
      <c r="B72" s="1472"/>
      <c r="C72" s="1473"/>
      <c r="D72" s="1473"/>
      <c r="E72" s="1473"/>
      <c r="F72" s="1470"/>
      <c r="G72" s="1470"/>
      <c r="H72" s="1470"/>
      <c r="I72" s="1470"/>
      <c r="J72" s="1470"/>
      <c r="K72" s="1470"/>
      <c r="L72" s="1470"/>
      <c r="M72" s="1470"/>
      <c r="N72" s="1470"/>
      <c r="O72" s="1470"/>
      <c r="P72" s="1470"/>
      <c r="Q72" s="1470"/>
      <c r="R72" s="1470"/>
      <c r="S72" s="1470"/>
      <c r="T72" s="1470"/>
      <c r="U72" s="1470"/>
      <c r="V72" s="1470"/>
      <c r="W72" s="1470"/>
      <c r="X72" s="1470"/>
      <c r="Y72" s="1470"/>
      <c r="Z72" s="1470"/>
    </row>
    <row r="73">
      <c r="A73" s="1471"/>
      <c r="B73" s="1472"/>
      <c r="C73" s="1473"/>
      <c r="D73" s="1473"/>
      <c r="E73" s="1473"/>
      <c r="F73" s="1470"/>
      <c r="G73" s="1470"/>
      <c r="H73" s="1470"/>
      <c r="I73" s="1470"/>
      <c r="J73" s="1470"/>
      <c r="K73" s="1470"/>
      <c r="L73" s="1470"/>
      <c r="M73" s="1470"/>
      <c r="N73" s="1470"/>
      <c r="O73" s="1470"/>
      <c r="P73" s="1470"/>
      <c r="Q73" s="1470"/>
      <c r="R73" s="1470"/>
      <c r="S73" s="1470"/>
      <c r="T73" s="1470"/>
      <c r="U73" s="1470"/>
      <c r="V73" s="1470"/>
      <c r="W73" s="1470"/>
      <c r="X73" s="1470"/>
      <c r="Y73" s="1470"/>
      <c r="Z73" s="1470"/>
    </row>
    <row r="74">
      <c r="A74" s="1471"/>
      <c r="B74" s="1472"/>
      <c r="C74" s="1473"/>
      <c r="D74" s="1473"/>
      <c r="E74" s="1473"/>
      <c r="F74" s="1470"/>
      <c r="G74" s="1470"/>
      <c r="H74" s="1470"/>
      <c r="I74" s="1470"/>
      <c r="J74" s="1470"/>
      <c r="K74" s="1470"/>
      <c r="L74" s="1470"/>
      <c r="M74" s="1470"/>
      <c r="N74" s="1470"/>
      <c r="O74" s="1470"/>
      <c r="P74" s="1470"/>
      <c r="Q74" s="1470"/>
      <c r="R74" s="1470"/>
      <c r="S74" s="1470"/>
      <c r="T74" s="1470"/>
      <c r="U74" s="1470"/>
      <c r="V74" s="1470"/>
      <c r="W74" s="1470"/>
      <c r="X74" s="1470"/>
      <c r="Y74" s="1470"/>
      <c r="Z74" s="1470"/>
    </row>
    <row r="75">
      <c r="A75" s="1471"/>
      <c r="B75" s="1472"/>
      <c r="C75" s="1473"/>
      <c r="D75" s="1473"/>
      <c r="E75" s="1473"/>
      <c r="F75" s="1470"/>
      <c r="G75" s="1470"/>
      <c r="H75" s="1470"/>
      <c r="I75" s="1470"/>
      <c r="J75" s="1470"/>
      <c r="K75" s="1470"/>
      <c r="L75" s="1470"/>
      <c r="M75" s="1470"/>
      <c r="N75" s="1470"/>
      <c r="O75" s="1470"/>
      <c r="P75" s="1470"/>
      <c r="Q75" s="1470"/>
      <c r="R75" s="1470"/>
      <c r="S75" s="1470"/>
      <c r="T75" s="1470"/>
      <c r="U75" s="1470"/>
      <c r="V75" s="1470"/>
      <c r="W75" s="1470"/>
      <c r="X75" s="1470"/>
      <c r="Y75" s="1470"/>
      <c r="Z75" s="1470"/>
    </row>
    <row r="76">
      <c r="A76" s="1471"/>
      <c r="B76" s="1472"/>
      <c r="C76" s="1473"/>
      <c r="D76" s="1473"/>
      <c r="E76" s="1473"/>
      <c r="F76" s="1470"/>
      <c r="G76" s="1470"/>
      <c r="H76" s="1470"/>
      <c r="I76" s="1470"/>
      <c r="J76" s="1470"/>
      <c r="K76" s="1470"/>
      <c r="L76" s="1470"/>
      <c r="M76" s="1470"/>
      <c r="N76" s="1470"/>
      <c r="O76" s="1470"/>
      <c r="P76" s="1470"/>
      <c r="Q76" s="1470"/>
      <c r="R76" s="1470"/>
      <c r="S76" s="1470"/>
      <c r="T76" s="1470"/>
      <c r="U76" s="1470"/>
      <c r="V76" s="1470"/>
      <c r="W76" s="1470"/>
      <c r="X76" s="1470"/>
      <c r="Y76" s="1470"/>
      <c r="Z76" s="1470"/>
    </row>
    <row r="77">
      <c r="A77" s="1471"/>
      <c r="B77" s="1472"/>
      <c r="C77" s="1473"/>
      <c r="D77" s="1473"/>
      <c r="E77" s="1473"/>
      <c r="F77" s="1470"/>
      <c r="G77" s="1470"/>
      <c r="H77" s="1470"/>
      <c r="I77" s="1470"/>
      <c r="J77" s="1470"/>
      <c r="K77" s="1470"/>
      <c r="L77" s="1470"/>
      <c r="M77" s="1470"/>
      <c r="N77" s="1470"/>
      <c r="O77" s="1470"/>
      <c r="P77" s="1470"/>
      <c r="Q77" s="1470"/>
      <c r="R77" s="1470"/>
      <c r="S77" s="1470"/>
      <c r="T77" s="1470"/>
      <c r="U77" s="1470"/>
      <c r="V77" s="1470"/>
      <c r="W77" s="1470"/>
      <c r="X77" s="1470"/>
      <c r="Y77" s="1470"/>
      <c r="Z77" s="1470"/>
    </row>
    <row r="78">
      <c r="A78" s="1471"/>
      <c r="B78" s="1472"/>
      <c r="C78" s="1473"/>
      <c r="D78" s="1473"/>
      <c r="E78" s="1473"/>
      <c r="F78" s="1470"/>
      <c r="G78" s="1470"/>
      <c r="H78" s="1470"/>
      <c r="I78" s="1470"/>
      <c r="J78" s="1470"/>
      <c r="K78" s="1470"/>
      <c r="L78" s="1470"/>
      <c r="M78" s="1470"/>
      <c r="N78" s="1470"/>
      <c r="O78" s="1470"/>
      <c r="P78" s="1470"/>
      <c r="Q78" s="1470"/>
      <c r="R78" s="1470"/>
      <c r="S78" s="1470"/>
      <c r="T78" s="1470"/>
      <c r="U78" s="1470"/>
      <c r="V78" s="1470"/>
      <c r="W78" s="1470"/>
      <c r="X78" s="1470"/>
      <c r="Y78" s="1470"/>
      <c r="Z78" s="1470"/>
    </row>
    <row r="79">
      <c r="A79" s="1471"/>
      <c r="B79" s="1472"/>
      <c r="C79" s="1473"/>
      <c r="D79" s="1473"/>
      <c r="E79" s="1473"/>
      <c r="F79" s="1470"/>
      <c r="G79" s="1470"/>
      <c r="H79" s="1470"/>
      <c r="I79" s="1470"/>
      <c r="J79" s="1470"/>
      <c r="K79" s="1470"/>
      <c r="L79" s="1470"/>
      <c r="M79" s="1470"/>
      <c r="N79" s="1470"/>
      <c r="O79" s="1470"/>
      <c r="P79" s="1470"/>
      <c r="Q79" s="1470"/>
      <c r="R79" s="1470"/>
      <c r="S79" s="1470"/>
      <c r="T79" s="1470"/>
      <c r="U79" s="1470"/>
      <c r="V79" s="1470"/>
      <c r="W79" s="1470"/>
      <c r="X79" s="1470"/>
      <c r="Y79" s="1470"/>
      <c r="Z79" s="1470"/>
    </row>
    <row r="80">
      <c r="A80" s="1471"/>
      <c r="B80" s="1472"/>
      <c r="C80" s="1473"/>
      <c r="D80" s="1473"/>
      <c r="E80" s="1473"/>
      <c r="F80" s="1470"/>
      <c r="G80" s="1470"/>
      <c r="H80" s="1470"/>
      <c r="I80" s="1470"/>
      <c r="J80" s="1470"/>
      <c r="K80" s="1470"/>
      <c r="L80" s="1470"/>
      <c r="M80" s="1470"/>
      <c r="N80" s="1470"/>
      <c r="O80" s="1470"/>
      <c r="P80" s="1470"/>
      <c r="Q80" s="1470"/>
      <c r="R80" s="1470"/>
      <c r="S80" s="1470"/>
      <c r="T80" s="1470"/>
      <c r="U80" s="1470"/>
      <c r="V80" s="1470"/>
      <c r="W80" s="1470"/>
      <c r="X80" s="1470"/>
      <c r="Y80" s="1470"/>
      <c r="Z80" s="1470"/>
    </row>
    <row r="81">
      <c r="A81" s="1471"/>
      <c r="B81" s="1472"/>
      <c r="C81" s="1473"/>
      <c r="D81" s="1473"/>
      <c r="E81" s="1473"/>
      <c r="F81" s="1470"/>
      <c r="G81" s="1470"/>
      <c r="H81" s="1470"/>
      <c r="I81" s="1470"/>
      <c r="J81" s="1470"/>
      <c r="K81" s="1470"/>
      <c r="L81" s="1470"/>
      <c r="M81" s="1470"/>
      <c r="N81" s="1470"/>
      <c r="O81" s="1470"/>
      <c r="P81" s="1470"/>
      <c r="Q81" s="1470"/>
      <c r="R81" s="1470"/>
      <c r="S81" s="1470"/>
      <c r="T81" s="1470"/>
      <c r="U81" s="1470"/>
      <c r="V81" s="1470"/>
      <c r="W81" s="1470"/>
      <c r="X81" s="1470"/>
      <c r="Y81" s="1470"/>
      <c r="Z81" s="1470"/>
    </row>
    <row r="82">
      <c r="A82" s="1471"/>
      <c r="B82" s="1472"/>
      <c r="C82" s="1473"/>
      <c r="D82" s="1473"/>
      <c r="E82" s="1473"/>
      <c r="F82" s="1470"/>
      <c r="G82" s="1470"/>
      <c r="H82" s="1470"/>
      <c r="I82" s="1470"/>
      <c r="J82" s="1470"/>
      <c r="K82" s="1470"/>
      <c r="L82" s="1470"/>
      <c r="M82" s="1470"/>
      <c r="N82" s="1470"/>
      <c r="O82" s="1470"/>
      <c r="P82" s="1470"/>
      <c r="Q82" s="1470"/>
      <c r="R82" s="1470"/>
      <c r="S82" s="1470"/>
      <c r="T82" s="1470"/>
      <c r="U82" s="1470"/>
      <c r="V82" s="1470"/>
      <c r="W82" s="1470"/>
      <c r="X82" s="1470"/>
      <c r="Y82" s="1470"/>
      <c r="Z82" s="1470"/>
    </row>
    <row r="83">
      <c r="A83" s="1471"/>
      <c r="B83" s="1472"/>
      <c r="C83" s="1473"/>
      <c r="D83" s="1473"/>
      <c r="E83" s="1473"/>
      <c r="F83" s="1470"/>
      <c r="G83" s="1470"/>
      <c r="H83" s="1470"/>
      <c r="I83" s="1470"/>
      <c r="J83" s="1470"/>
      <c r="K83" s="1470"/>
      <c r="L83" s="1470"/>
      <c r="M83" s="1470"/>
      <c r="N83" s="1470"/>
      <c r="O83" s="1470"/>
      <c r="P83" s="1470"/>
      <c r="Q83" s="1470"/>
      <c r="R83" s="1470"/>
      <c r="S83" s="1470"/>
      <c r="T83" s="1470"/>
      <c r="U83" s="1470"/>
      <c r="V83" s="1470"/>
      <c r="W83" s="1470"/>
      <c r="X83" s="1470"/>
      <c r="Y83" s="1470"/>
      <c r="Z83" s="1470"/>
    </row>
    <row r="84">
      <c r="A84" s="1471"/>
      <c r="B84" s="1472"/>
      <c r="C84" s="1473"/>
      <c r="D84" s="1473"/>
      <c r="E84" s="1473"/>
      <c r="F84" s="1470"/>
      <c r="G84" s="1470"/>
      <c r="H84" s="1470"/>
      <c r="I84" s="1470"/>
      <c r="J84" s="1470"/>
      <c r="K84" s="1470"/>
      <c r="L84" s="1470"/>
      <c r="M84" s="1470"/>
      <c r="N84" s="1470"/>
      <c r="O84" s="1470"/>
      <c r="P84" s="1470"/>
      <c r="Q84" s="1470"/>
      <c r="R84" s="1470"/>
      <c r="S84" s="1470"/>
      <c r="T84" s="1470"/>
      <c r="U84" s="1470"/>
      <c r="V84" s="1470"/>
      <c r="W84" s="1470"/>
      <c r="X84" s="1470"/>
      <c r="Y84" s="1470"/>
      <c r="Z84" s="1470"/>
    </row>
    <row r="85">
      <c r="A85" s="1471"/>
      <c r="B85" s="1472"/>
      <c r="C85" s="1473"/>
      <c r="D85" s="1473"/>
      <c r="E85" s="1473"/>
      <c r="F85" s="1470"/>
      <c r="G85" s="1470"/>
      <c r="H85" s="1470"/>
      <c r="I85" s="1470"/>
      <c r="J85" s="1470"/>
      <c r="K85" s="1470"/>
      <c r="L85" s="1470"/>
      <c r="M85" s="1470"/>
      <c r="N85" s="1470"/>
      <c r="O85" s="1470"/>
      <c r="P85" s="1470"/>
      <c r="Q85" s="1470"/>
      <c r="R85" s="1470"/>
      <c r="S85" s="1470"/>
      <c r="T85" s="1470"/>
      <c r="U85" s="1470"/>
      <c r="V85" s="1470"/>
      <c r="W85" s="1470"/>
      <c r="X85" s="1470"/>
      <c r="Y85" s="1470"/>
      <c r="Z85" s="1470"/>
    </row>
    <row r="86">
      <c r="A86" s="1471"/>
      <c r="B86" s="1472"/>
      <c r="C86" s="1473"/>
      <c r="D86" s="1473"/>
      <c r="E86" s="1473"/>
      <c r="F86" s="1470"/>
      <c r="G86" s="1470"/>
      <c r="H86" s="1470"/>
      <c r="I86" s="1470"/>
      <c r="J86" s="1470"/>
      <c r="K86" s="1470"/>
      <c r="L86" s="1470"/>
      <c r="M86" s="1470"/>
      <c r="N86" s="1470"/>
      <c r="O86" s="1470"/>
      <c r="P86" s="1470"/>
      <c r="Q86" s="1470"/>
      <c r="R86" s="1470"/>
      <c r="S86" s="1470"/>
      <c r="T86" s="1470"/>
      <c r="U86" s="1470"/>
      <c r="V86" s="1470"/>
      <c r="W86" s="1470"/>
      <c r="X86" s="1470"/>
      <c r="Y86" s="1470"/>
      <c r="Z86" s="1470"/>
    </row>
    <row r="87">
      <c r="A87" s="1471"/>
      <c r="B87" s="1472"/>
      <c r="C87" s="1473"/>
      <c r="D87" s="1473"/>
      <c r="E87" s="1473"/>
      <c r="F87" s="1470"/>
      <c r="G87" s="1470"/>
      <c r="H87" s="1470"/>
      <c r="I87" s="1470"/>
      <c r="J87" s="1470"/>
      <c r="K87" s="1470"/>
      <c r="L87" s="1470"/>
      <c r="M87" s="1470"/>
      <c r="N87" s="1470"/>
      <c r="O87" s="1470"/>
      <c r="P87" s="1470"/>
      <c r="Q87" s="1470"/>
      <c r="R87" s="1470"/>
      <c r="S87" s="1470"/>
      <c r="T87" s="1470"/>
      <c r="U87" s="1470"/>
      <c r="V87" s="1470"/>
      <c r="W87" s="1470"/>
      <c r="X87" s="1470"/>
      <c r="Y87" s="1470"/>
      <c r="Z87" s="1470"/>
    </row>
    <row r="88">
      <c r="A88" s="1471"/>
      <c r="B88" s="1472"/>
      <c r="C88" s="1473"/>
      <c r="D88" s="1473"/>
      <c r="E88" s="1473"/>
      <c r="F88" s="1470"/>
      <c r="G88" s="1470"/>
      <c r="H88" s="1470"/>
      <c r="I88" s="1470"/>
      <c r="J88" s="1470"/>
      <c r="K88" s="1470"/>
      <c r="L88" s="1470"/>
      <c r="M88" s="1470"/>
      <c r="N88" s="1470"/>
      <c r="O88" s="1470"/>
      <c r="P88" s="1470"/>
      <c r="Q88" s="1470"/>
      <c r="R88" s="1470"/>
      <c r="S88" s="1470"/>
      <c r="T88" s="1470"/>
      <c r="U88" s="1470"/>
      <c r="V88" s="1470"/>
      <c r="W88" s="1470"/>
      <c r="X88" s="1470"/>
      <c r="Y88" s="1470"/>
      <c r="Z88" s="1470"/>
    </row>
    <row r="89">
      <c r="A89" s="1471"/>
      <c r="B89" s="1472"/>
      <c r="C89" s="1473"/>
      <c r="D89" s="1473"/>
      <c r="E89" s="1473"/>
      <c r="F89" s="1470"/>
      <c r="G89" s="1470"/>
      <c r="H89" s="1470"/>
      <c r="I89" s="1470"/>
      <c r="J89" s="1470"/>
      <c r="K89" s="1470"/>
      <c r="L89" s="1470"/>
      <c r="M89" s="1470"/>
      <c r="N89" s="1470"/>
      <c r="O89" s="1470"/>
      <c r="P89" s="1470"/>
      <c r="Q89" s="1470"/>
      <c r="R89" s="1470"/>
      <c r="S89" s="1470"/>
      <c r="T89" s="1470"/>
      <c r="U89" s="1470"/>
      <c r="V89" s="1470"/>
      <c r="W89" s="1470"/>
      <c r="X89" s="1470"/>
      <c r="Y89" s="1470"/>
      <c r="Z89" s="1470"/>
    </row>
    <row r="90">
      <c r="A90" s="1471"/>
      <c r="B90" s="1472"/>
      <c r="C90" s="1473"/>
      <c r="D90" s="1473"/>
      <c r="E90" s="1473"/>
      <c r="F90" s="1470"/>
      <c r="G90" s="1470"/>
      <c r="H90" s="1470"/>
      <c r="I90" s="1470"/>
      <c r="J90" s="1470"/>
      <c r="K90" s="1470"/>
      <c r="L90" s="1470"/>
      <c r="M90" s="1470"/>
      <c r="N90" s="1470"/>
      <c r="O90" s="1470"/>
      <c r="P90" s="1470"/>
      <c r="Q90" s="1470"/>
      <c r="R90" s="1470"/>
      <c r="S90" s="1470"/>
      <c r="T90" s="1470"/>
      <c r="U90" s="1470"/>
      <c r="V90" s="1470"/>
      <c r="W90" s="1470"/>
      <c r="X90" s="1470"/>
      <c r="Y90" s="1470"/>
      <c r="Z90" s="1470"/>
    </row>
    <row r="91">
      <c r="A91" s="1471"/>
      <c r="B91" s="1472"/>
      <c r="C91" s="1473"/>
      <c r="D91" s="1473"/>
      <c r="E91" s="1473"/>
      <c r="F91" s="1470"/>
      <c r="G91" s="1470"/>
      <c r="H91" s="1470"/>
      <c r="I91" s="1470"/>
      <c r="J91" s="1470"/>
      <c r="K91" s="1470"/>
      <c r="L91" s="1470"/>
      <c r="M91" s="1470"/>
      <c r="N91" s="1470"/>
      <c r="O91" s="1470"/>
      <c r="P91" s="1470"/>
      <c r="Q91" s="1470"/>
      <c r="R91" s="1470"/>
      <c r="S91" s="1470"/>
      <c r="T91" s="1470"/>
      <c r="U91" s="1470"/>
      <c r="V91" s="1470"/>
      <c r="W91" s="1470"/>
      <c r="X91" s="1470"/>
      <c r="Y91" s="1470"/>
      <c r="Z91" s="1470"/>
    </row>
    <row r="92">
      <c r="A92" s="1471"/>
      <c r="B92" s="1472"/>
      <c r="C92" s="1473"/>
      <c r="D92" s="1473"/>
      <c r="E92" s="1473"/>
      <c r="F92" s="1470"/>
      <c r="G92" s="1470"/>
      <c r="H92" s="1470"/>
      <c r="I92" s="1470"/>
      <c r="J92" s="1470"/>
      <c r="K92" s="1470"/>
      <c r="L92" s="1470"/>
      <c r="M92" s="1470"/>
      <c r="N92" s="1470"/>
      <c r="O92" s="1470"/>
      <c r="P92" s="1470"/>
      <c r="Q92" s="1470"/>
      <c r="R92" s="1470"/>
      <c r="S92" s="1470"/>
      <c r="T92" s="1470"/>
      <c r="U92" s="1470"/>
      <c r="V92" s="1470"/>
      <c r="W92" s="1470"/>
      <c r="X92" s="1470"/>
      <c r="Y92" s="1470"/>
      <c r="Z92" s="1470"/>
    </row>
    <row r="93">
      <c r="A93" s="1471"/>
      <c r="B93" s="1472"/>
      <c r="C93" s="1473"/>
      <c r="D93" s="1473"/>
      <c r="E93" s="1473"/>
      <c r="F93" s="1470"/>
      <c r="G93" s="1470"/>
      <c r="H93" s="1470"/>
      <c r="I93" s="1470"/>
      <c r="J93" s="1470"/>
      <c r="K93" s="1470"/>
      <c r="L93" s="1470"/>
      <c r="M93" s="1470"/>
      <c r="N93" s="1470"/>
      <c r="O93" s="1470"/>
      <c r="P93" s="1470"/>
      <c r="Q93" s="1470"/>
      <c r="R93" s="1470"/>
      <c r="S93" s="1470"/>
      <c r="T93" s="1470"/>
      <c r="U93" s="1470"/>
      <c r="V93" s="1470"/>
      <c r="W93" s="1470"/>
      <c r="X93" s="1470"/>
      <c r="Y93" s="1470"/>
      <c r="Z93" s="1470"/>
    </row>
    <row r="94">
      <c r="A94" s="1471"/>
      <c r="B94" s="1472"/>
      <c r="C94" s="1473"/>
      <c r="D94" s="1473"/>
      <c r="E94" s="1473"/>
      <c r="F94" s="1470"/>
      <c r="G94" s="1470"/>
      <c r="H94" s="1470"/>
      <c r="I94" s="1470"/>
      <c r="J94" s="1470"/>
      <c r="K94" s="1470"/>
      <c r="L94" s="1470"/>
      <c r="M94" s="1470"/>
      <c r="N94" s="1470"/>
      <c r="O94" s="1470"/>
      <c r="P94" s="1470"/>
      <c r="Q94" s="1470"/>
      <c r="R94" s="1470"/>
      <c r="S94" s="1470"/>
      <c r="T94" s="1470"/>
      <c r="U94" s="1470"/>
      <c r="V94" s="1470"/>
      <c r="W94" s="1470"/>
      <c r="X94" s="1470"/>
      <c r="Y94" s="1470"/>
      <c r="Z94" s="1470"/>
    </row>
    <row r="95">
      <c r="A95" s="1471"/>
      <c r="B95" s="1472"/>
      <c r="C95" s="1473"/>
      <c r="D95" s="1473"/>
      <c r="E95" s="1473"/>
      <c r="F95" s="1470"/>
      <c r="G95" s="1470"/>
      <c r="H95" s="1470"/>
      <c r="I95" s="1470"/>
      <c r="J95" s="1470"/>
      <c r="K95" s="1470"/>
      <c r="L95" s="1470"/>
      <c r="M95" s="1470"/>
      <c r="N95" s="1470"/>
      <c r="O95" s="1470"/>
      <c r="P95" s="1470"/>
      <c r="Q95" s="1470"/>
      <c r="R95" s="1470"/>
      <c r="S95" s="1470"/>
      <c r="T95" s="1470"/>
      <c r="U95" s="1470"/>
      <c r="V95" s="1470"/>
      <c r="W95" s="1470"/>
      <c r="X95" s="1470"/>
      <c r="Y95" s="1470"/>
      <c r="Z95" s="1470"/>
    </row>
    <row r="96">
      <c r="A96" s="1471"/>
      <c r="B96" s="1472"/>
      <c r="C96" s="1473"/>
      <c r="D96" s="1473"/>
      <c r="E96" s="1473"/>
      <c r="F96" s="1470"/>
      <c r="G96" s="1470"/>
      <c r="H96" s="1470"/>
      <c r="I96" s="1470"/>
      <c r="J96" s="1470"/>
      <c r="K96" s="1470"/>
      <c r="L96" s="1470"/>
      <c r="M96" s="1470"/>
      <c r="N96" s="1470"/>
      <c r="O96" s="1470"/>
      <c r="P96" s="1470"/>
      <c r="Q96" s="1470"/>
      <c r="R96" s="1470"/>
      <c r="S96" s="1470"/>
      <c r="T96" s="1470"/>
      <c r="U96" s="1470"/>
      <c r="V96" s="1470"/>
      <c r="W96" s="1470"/>
      <c r="X96" s="1470"/>
      <c r="Y96" s="1470"/>
      <c r="Z96" s="1470"/>
    </row>
    <row r="97">
      <c r="A97" s="1471"/>
      <c r="B97" s="1472"/>
      <c r="C97" s="1473"/>
      <c r="D97" s="1473"/>
      <c r="E97" s="1473"/>
      <c r="F97" s="1470"/>
      <c r="G97" s="1470"/>
      <c r="H97" s="1470"/>
      <c r="I97" s="1470"/>
      <c r="J97" s="1470"/>
      <c r="K97" s="1470"/>
      <c r="L97" s="1470"/>
      <c r="M97" s="1470"/>
      <c r="N97" s="1470"/>
      <c r="O97" s="1470"/>
      <c r="P97" s="1470"/>
      <c r="Q97" s="1470"/>
      <c r="R97" s="1470"/>
      <c r="S97" s="1470"/>
      <c r="T97" s="1470"/>
      <c r="U97" s="1470"/>
      <c r="V97" s="1470"/>
      <c r="W97" s="1470"/>
      <c r="X97" s="1470"/>
      <c r="Y97" s="1470"/>
      <c r="Z97" s="1470"/>
    </row>
    <row r="98">
      <c r="A98" s="1471"/>
      <c r="B98" s="1472"/>
      <c r="C98" s="1473"/>
      <c r="D98" s="1473"/>
      <c r="E98" s="1473"/>
      <c r="F98" s="1470"/>
      <c r="G98" s="1470"/>
      <c r="H98" s="1470"/>
      <c r="I98" s="1470"/>
      <c r="J98" s="1470"/>
      <c r="K98" s="1470"/>
      <c r="L98" s="1470"/>
      <c r="M98" s="1470"/>
      <c r="N98" s="1470"/>
      <c r="O98" s="1470"/>
      <c r="P98" s="1470"/>
      <c r="Q98" s="1470"/>
      <c r="R98" s="1470"/>
      <c r="S98" s="1470"/>
      <c r="T98" s="1470"/>
      <c r="U98" s="1470"/>
      <c r="V98" s="1470"/>
      <c r="W98" s="1470"/>
      <c r="X98" s="1470"/>
      <c r="Y98" s="1470"/>
      <c r="Z98" s="1470"/>
    </row>
    <row r="99">
      <c r="A99" s="1471"/>
      <c r="B99" s="1472"/>
      <c r="C99" s="1473"/>
      <c r="D99" s="1473"/>
      <c r="E99" s="1473"/>
      <c r="F99" s="1470"/>
      <c r="G99" s="1470"/>
      <c r="H99" s="1470"/>
      <c r="I99" s="1470"/>
      <c r="J99" s="1470"/>
      <c r="K99" s="1470"/>
      <c r="L99" s="1470"/>
      <c r="M99" s="1470"/>
      <c r="N99" s="1470"/>
      <c r="O99" s="1470"/>
      <c r="P99" s="1470"/>
      <c r="Q99" s="1470"/>
      <c r="R99" s="1470"/>
      <c r="S99" s="1470"/>
      <c r="T99" s="1470"/>
      <c r="U99" s="1470"/>
      <c r="V99" s="1470"/>
      <c r="W99" s="1470"/>
      <c r="X99" s="1470"/>
      <c r="Y99" s="1470"/>
      <c r="Z99" s="1470"/>
    </row>
    <row r="100">
      <c r="A100" s="1471"/>
      <c r="B100" s="1472"/>
      <c r="C100" s="1473"/>
      <c r="D100" s="1473"/>
      <c r="E100" s="1473"/>
      <c r="F100" s="1470"/>
      <c r="G100" s="1470"/>
      <c r="H100" s="1470"/>
      <c r="I100" s="1470"/>
      <c r="J100" s="1470"/>
      <c r="K100" s="1470"/>
      <c r="L100" s="1470"/>
      <c r="M100" s="1470"/>
      <c r="N100" s="1470"/>
      <c r="O100" s="1470"/>
      <c r="P100" s="1470"/>
      <c r="Q100" s="1470"/>
      <c r="R100" s="1470"/>
      <c r="S100" s="1470"/>
      <c r="T100" s="1470"/>
      <c r="U100" s="1470"/>
      <c r="V100" s="1470"/>
      <c r="W100" s="1470"/>
      <c r="X100" s="1470"/>
      <c r="Y100" s="1470"/>
      <c r="Z100" s="1470"/>
    </row>
    <row r="101">
      <c r="A101" s="1470"/>
      <c r="B101" s="1470"/>
      <c r="C101" s="1473"/>
      <c r="D101" s="1473"/>
      <c r="E101" s="1473"/>
      <c r="F101" s="1470"/>
      <c r="G101" s="1470"/>
      <c r="H101" s="1470"/>
      <c r="I101" s="1470"/>
      <c r="J101" s="1470"/>
      <c r="K101" s="1470"/>
      <c r="L101" s="1470"/>
      <c r="M101" s="1470"/>
      <c r="N101" s="1470"/>
      <c r="O101" s="1470"/>
      <c r="P101" s="1470"/>
      <c r="Q101" s="1470"/>
      <c r="R101" s="1470"/>
      <c r="S101" s="1470"/>
      <c r="T101" s="1470"/>
      <c r="U101" s="1470"/>
      <c r="V101" s="1470"/>
      <c r="W101" s="1470"/>
      <c r="X101" s="1470"/>
      <c r="Y101" s="1470"/>
      <c r="Z101" s="1470"/>
    </row>
    <row r="102">
      <c r="A102" s="1470"/>
      <c r="B102" s="1470"/>
      <c r="C102" s="1473"/>
      <c r="D102" s="1473"/>
      <c r="E102" s="1473"/>
      <c r="F102" s="1470"/>
      <c r="G102" s="1470"/>
      <c r="H102" s="1470"/>
      <c r="I102" s="1470"/>
      <c r="J102" s="1470"/>
      <c r="K102" s="1470"/>
      <c r="L102" s="1470"/>
      <c r="M102" s="1470"/>
      <c r="N102" s="1470"/>
      <c r="O102" s="1470"/>
      <c r="P102" s="1470"/>
      <c r="Q102" s="1470"/>
      <c r="R102" s="1470"/>
      <c r="S102" s="1470"/>
      <c r="T102" s="1470"/>
      <c r="U102" s="1470"/>
      <c r="V102" s="1470"/>
      <c r="W102" s="1470"/>
      <c r="X102" s="1470"/>
      <c r="Y102" s="1470"/>
      <c r="Z102" s="1470"/>
    </row>
    <row r="103">
      <c r="A103" s="1470"/>
      <c r="B103" s="1470"/>
      <c r="C103" s="1473"/>
      <c r="D103" s="1473"/>
      <c r="E103" s="1473"/>
      <c r="F103" s="1470"/>
      <c r="G103" s="1470"/>
      <c r="H103" s="1470"/>
      <c r="I103" s="1470"/>
      <c r="J103" s="1470"/>
      <c r="K103" s="1470"/>
      <c r="L103" s="1470"/>
      <c r="M103" s="1470"/>
      <c r="N103" s="1470"/>
      <c r="O103" s="1470"/>
      <c r="P103" s="1470"/>
      <c r="Q103" s="1470"/>
      <c r="R103" s="1470"/>
      <c r="S103" s="1470"/>
      <c r="T103" s="1470"/>
      <c r="U103" s="1470"/>
      <c r="V103" s="1470"/>
      <c r="W103" s="1470"/>
      <c r="X103" s="1470"/>
      <c r="Y103" s="1470"/>
      <c r="Z103" s="1470"/>
    </row>
    <row r="104">
      <c r="A104" s="1470"/>
      <c r="B104" s="1470"/>
      <c r="C104" s="1473"/>
      <c r="D104" s="1473"/>
      <c r="E104" s="1473"/>
      <c r="F104" s="1470"/>
      <c r="G104" s="1470"/>
      <c r="H104" s="1470"/>
      <c r="I104" s="1470"/>
      <c r="J104" s="1470"/>
      <c r="K104" s="1470"/>
      <c r="L104" s="1470"/>
      <c r="M104" s="1470"/>
      <c r="N104" s="1470"/>
      <c r="O104" s="1470"/>
      <c r="P104" s="1470"/>
      <c r="Q104" s="1470"/>
      <c r="R104" s="1470"/>
      <c r="S104" s="1470"/>
      <c r="T104" s="1470"/>
      <c r="U104" s="1470"/>
      <c r="V104" s="1470"/>
      <c r="W104" s="1470"/>
      <c r="X104" s="1470"/>
      <c r="Y104" s="1470"/>
      <c r="Z104" s="1470"/>
    </row>
    <row r="105">
      <c r="A105" s="1470"/>
      <c r="B105" s="1470"/>
      <c r="C105" s="1473"/>
      <c r="D105" s="1473"/>
      <c r="E105" s="1473"/>
      <c r="F105" s="1470"/>
      <c r="G105" s="1470"/>
      <c r="H105" s="1470"/>
      <c r="I105" s="1470"/>
      <c r="J105" s="1470"/>
      <c r="K105" s="1470"/>
      <c r="L105" s="1470"/>
      <c r="M105" s="1470"/>
      <c r="N105" s="1470"/>
      <c r="O105" s="1470"/>
      <c r="P105" s="1470"/>
      <c r="Q105" s="1470"/>
      <c r="R105" s="1470"/>
      <c r="S105" s="1470"/>
      <c r="T105" s="1470"/>
      <c r="U105" s="1470"/>
      <c r="V105" s="1470"/>
      <c r="W105" s="1470"/>
      <c r="X105" s="1470"/>
      <c r="Y105" s="1470"/>
      <c r="Z105" s="1470"/>
    </row>
    <row r="106">
      <c r="A106" s="1470"/>
      <c r="B106" s="1470"/>
      <c r="C106" s="1473"/>
      <c r="D106" s="1473"/>
      <c r="E106" s="1473"/>
      <c r="F106" s="1470"/>
      <c r="G106" s="1470"/>
      <c r="H106" s="1470"/>
      <c r="I106" s="1470"/>
      <c r="J106" s="1470"/>
      <c r="K106" s="1470"/>
      <c r="L106" s="1470"/>
      <c r="M106" s="1470"/>
      <c r="N106" s="1470"/>
      <c r="O106" s="1470"/>
      <c r="P106" s="1470"/>
      <c r="Q106" s="1470"/>
      <c r="R106" s="1470"/>
      <c r="S106" s="1470"/>
      <c r="T106" s="1470"/>
      <c r="U106" s="1470"/>
      <c r="V106" s="1470"/>
      <c r="W106" s="1470"/>
      <c r="X106" s="1470"/>
      <c r="Y106" s="1470"/>
      <c r="Z106" s="1470"/>
    </row>
    <row r="107">
      <c r="A107" s="1470"/>
      <c r="B107" s="1470"/>
      <c r="C107" s="1473"/>
      <c r="D107" s="1473"/>
      <c r="E107" s="1473"/>
      <c r="F107" s="1470"/>
      <c r="G107" s="1470"/>
      <c r="H107" s="1470"/>
      <c r="I107" s="1470"/>
      <c r="J107" s="1470"/>
      <c r="K107" s="1470"/>
      <c r="L107" s="1470"/>
      <c r="M107" s="1470"/>
      <c r="N107" s="1470"/>
      <c r="O107" s="1470"/>
      <c r="P107" s="1470"/>
      <c r="Q107" s="1470"/>
      <c r="R107" s="1470"/>
      <c r="S107" s="1470"/>
      <c r="T107" s="1470"/>
      <c r="U107" s="1470"/>
      <c r="V107" s="1470"/>
      <c r="W107" s="1470"/>
      <c r="X107" s="1470"/>
      <c r="Y107" s="1470"/>
      <c r="Z107" s="1470"/>
    </row>
    <row r="108">
      <c r="A108" s="1470"/>
      <c r="B108" s="1470"/>
      <c r="C108" s="1473"/>
      <c r="D108" s="1473"/>
      <c r="E108" s="1473"/>
      <c r="F108" s="1470"/>
      <c r="G108" s="1470"/>
      <c r="H108" s="1470"/>
      <c r="I108" s="1470"/>
      <c r="J108" s="1470"/>
      <c r="K108" s="1470"/>
      <c r="L108" s="1470"/>
      <c r="M108" s="1470"/>
      <c r="N108" s="1470"/>
      <c r="O108" s="1470"/>
      <c r="P108" s="1470"/>
      <c r="Q108" s="1470"/>
      <c r="R108" s="1470"/>
      <c r="S108" s="1470"/>
      <c r="T108" s="1470"/>
      <c r="U108" s="1470"/>
      <c r="V108" s="1470"/>
      <c r="W108" s="1470"/>
      <c r="X108" s="1470"/>
      <c r="Y108" s="1470"/>
      <c r="Z108" s="1470"/>
    </row>
    <row r="109">
      <c r="A109" s="1470"/>
      <c r="B109" s="1470"/>
      <c r="C109" s="1473"/>
      <c r="D109" s="1473"/>
      <c r="E109" s="1473"/>
      <c r="F109" s="1470"/>
      <c r="G109" s="1470"/>
      <c r="H109" s="1470"/>
      <c r="I109" s="1470"/>
      <c r="J109" s="1470"/>
      <c r="K109" s="1470"/>
      <c r="L109" s="1470"/>
      <c r="M109" s="1470"/>
      <c r="N109" s="1470"/>
      <c r="O109" s="1470"/>
      <c r="P109" s="1470"/>
      <c r="Q109" s="1470"/>
      <c r="R109" s="1470"/>
      <c r="S109" s="1470"/>
      <c r="T109" s="1470"/>
      <c r="U109" s="1470"/>
      <c r="V109" s="1470"/>
      <c r="W109" s="1470"/>
      <c r="X109" s="1470"/>
      <c r="Y109" s="1470"/>
      <c r="Z109" s="1470"/>
    </row>
    <row r="110">
      <c r="A110" s="1470"/>
      <c r="B110" s="1470"/>
      <c r="C110" s="1473"/>
      <c r="D110" s="1473"/>
      <c r="E110" s="1473"/>
      <c r="F110" s="1470"/>
      <c r="G110" s="1470"/>
      <c r="H110" s="1470"/>
      <c r="I110" s="1470"/>
      <c r="J110" s="1470"/>
      <c r="K110" s="1470"/>
      <c r="L110" s="1470"/>
      <c r="M110" s="1470"/>
      <c r="N110" s="1470"/>
      <c r="O110" s="1470"/>
      <c r="P110" s="1470"/>
      <c r="Q110" s="1470"/>
      <c r="R110" s="1470"/>
      <c r="S110" s="1470"/>
      <c r="T110" s="1470"/>
      <c r="U110" s="1470"/>
      <c r="V110" s="1470"/>
      <c r="W110" s="1470"/>
      <c r="X110" s="1470"/>
      <c r="Y110" s="1470"/>
      <c r="Z110" s="1470"/>
    </row>
    <row r="111">
      <c r="A111" s="1470"/>
      <c r="B111" s="1470"/>
      <c r="C111" s="1473"/>
      <c r="D111" s="1473"/>
      <c r="E111" s="1473"/>
      <c r="F111" s="1470"/>
      <c r="G111" s="1470"/>
      <c r="H111" s="1470"/>
      <c r="I111" s="1470"/>
      <c r="J111" s="1470"/>
      <c r="K111" s="1470"/>
      <c r="L111" s="1470"/>
      <c r="M111" s="1470"/>
      <c r="N111" s="1470"/>
      <c r="O111" s="1470"/>
      <c r="P111" s="1470"/>
      <c r="Q111" s="1470"/>
      <c r="R111" s="1470"/>
      <c r="S111" s="1470"/>
      <c r="T111" s="1470"/>
      <c r="U111" s="1470"/>
      <c r="V111" s="1470"/>
      <c r="W111" s="1470"/>
      <c r="X111" s="1470"/>
      <c r="Y111" s="1470"/>
      <c r="Z111" s="1470"/>
    </row>
    <row r="112">
      <c r="A112" s="1470"/>
      <c r="B112" s="1470"/>
      <c r="C112" s="1473"/>
      <c r="D112" s="1473"/>
      <c r="E112" s="1473"/>
      <c r="F112" s="1470"/>
      <c r="G112" s="1470"/>
      <c r="H112" s="1470"/>
      <c r="I112" s="1470"/>
      <c r="J112" s="1470"/>
      <c r="K112" s="1470"/>
      <c r="L112" s="1470"/>
      <c r="M112" s="1470"/>
      <c r="N112" s="1470"/>
      <c r="O112" s="1470"/>
      <c r="P112" s="1470"/>
      <c r="Q112" s="1470"/>
      <c r="R112" s="1470"/>
      <c r="S112" s="1470"/>
      <c r="T112" s="1470"/>
      <c r="U112" s="1470"/>
      <c r="V112" s="1470"/>
      <c r="W112" s="1470"/>
      <c r="X112" s="1470"/>
      <c r="Y112" s="1470"/>
      <c r="Z112" s="1470"/>
    </row>
    <row r="113">
      <c r="A113" s="1470"/>
      <c r="B113" s="1470"/>
      <c r="C113" s="1473"/>
      <c r="D113" s="1473"/>
      <c r="E113" s="1473"/>
      <c r="F113" s="1470"/>
      <c r="G113" s="1470"/>
      <c r="H113" s="1470"/>
      <c r="I113" s="1470"/>
      <c r="J113" s="1470"/>
      <c r="K113" s="1470"/>
      <c r="L113" s="1470"/>
      <c r="M113" s="1470"/>
      <c r="N113" s="1470"/>
      <c r="O113" s="1470"/>
      <c r="P113" s="1470"/>
      <c r="Q113" s="1470"/>
      <c r="R113" s="1470"/>
      <c r="S113" s="1470"/>
      <c r="T113" s="1470"/>
      <c r="U113" s="1470"/>
      <c r="V113" s="1470"/>
      <c r="W113" s="1470"/>
      <c r="X113" s="1470"/>
      <c r="Y113" s="1470"/>
      <c r="Z113" s="1470"/>
    </row>
    <row r="114">
      <c r="A114" s="1470"/>
      <c r="B114" s="1470"/>
      <c r="C114" s="1473"/>
      <c r="D114" s="1473"/>
      <c r="E114" s="1473"/>
      <c r="F114" s="1470"/>
      <c r="G114" s="1470"/>
      <c r="H114" s="1470"/>
      <c r="I114" s="1470"/>
      <c r="J114" s="1470"/>
      <c r="K114" s="1470"/>
      <c r="L114" s="1470"/>
      <c r="M114" s="1470"/>
      <c r="N114" s="1470"/>
      <c r="O114" s="1470"/>
      <c r="P114" s="1470"/>
      <c r="Q114" s="1470"/>
      <c r="R114" s="1470"/>
      <c r="S114" s="1470"/>
      <c r="T114" s="1470"/>
      <c r="U114" s="1470"/>
      <c r="V114" s="1470"/>
      <c r="W114" s="1470"/>
      <c r="X114" s="1470"/>
      <c r="Y114" s="1470"/>
      <c r="Z114" s="1470"/>
    </row>
    <row r="115">
      <c r="A115" s="1470"/>
      <c r="B115" s="1470"/>
      <c r="C115" s="1473"/>
      <c r="D115" s="1473"/>
      <c r="E115" s="1473"/>
      <c r="F115" s="1470"/>
      <c r="G115" s="1470"/>
      <c r="H115" s="1470"/>
      <c r="I115" s="1470"/>
      <c r="J115" s="1470"/>
      <c r="K115" s="1470"/>
      <c r="L115" s="1470"/>
      <c r="M115" s="1470"/>
      <c r="N115" s="1470"/>
      <c r="O115" s="1470"/>
      <c r="P115" s="1470"/>
      <c r="Q115" s="1470"/>
      <c r="R115" s="1470"/>
      <c r="S115" s="1470"/>
      <c r="T115" s="1470"/>
      <c r="U115" s="1470"/>
      <c r="V115" s="1470"/>
      <c r="W115" s="1470"/>
      <c r="X115" s="1470"/>
      <c r="Y115" s="1470"/>
      <c r="Z115" s="1470"/>
    </row>
    <row r="116">
      <c r="A116" s="1470"/>
      <c r="B116" s="1470"/>
      <c r="C116" s="1473"/>
      <c r="D116" s="1473"/>
      <c r="E116" s="1473"/>
      <c r="F116" s="1470"/>
      <c r="G116" s="1470"/>
      <c r="H116" s="1470"/>
      <c r="I116" s="1470"/>
      <c r="J116" s="1470"/>
      <c r="K116" s="1470"/>
      <c r="L116" s="1470"/>
      <c r="M116" s="1470"/>
      <c r="N116" s="1470"/>
      <c r="O116" s="1470"/>
      <c r="P116" s="1470"/>
      <c r="Q116" s="1470"/>
      <c r="R116" s="1470"/>
      <c r="S116" s="1470"/>
      <c r="T116" s="1470"/>
      <c r="U116" s="1470"/>
      <c r="V116" s="1470"/>
      <c r="W116" s="1470"/>
      <c r="X116" s="1470"/>
      <c r="Y116" s="1470"/>
      <c r="Z116" s="1470"/>
    </row>
    <row r="117">
      <c r="A117" s="1470"/>
      <c r="B117" s="1470"/>
      <c r="C117" s="1473"/>
      <c r="D117" s="1473"/>
      <c r="E117" s="1473"/>
      <c r="F117" s="1470"/>
      <c r="G117" s="1470"/>
      <c r="H117" s="1470"/>
      <c r="I117" s="1470"/>
      <c r="J117" s="1470"/>
      <c r="K117" s="1470"/>
      <c r="L117" s="1470"/>
      <c r="M117" s="1470"/>
      <c r="N117" s="1470"/>
      <c r="O117" s="1470"/>
      <c r="P117" s="1470"/>
      <c r="Q117" s="1470"/>
      <c r="R117" s="1470"/>
      <c r="S117" s="1470"/>
      <c r="T117" s="1470"/>
      <c r="U117" s="1470"/>
      <c r="V117" s="1470"/>
      <c r="W117" s="1470"/>
      <c r="X117" s="1470"/>
      <c r="Y117" s="1470"/>
      <c r="Z117" s="1470"/>
    </row>
    <row r="118">
      <c r="A118" s="1470"/>
      <c r="B118" s="1470"/>
      <c r="C118" s="1473"/>
      <c r="D118" s="1473"/>
      <c r="E118" s="1473"/>
      <c r="F118" s="1470"/>
      <c r="G118" s="1470"/>
      <c r="H118" s="1470"/>
      <c r="I118" s="1470"/>
      <c r="J118" s="1470"/>
      <c r="K118" s="1470"/>
      <c r="L118" s="1470"/>
      <c r="M118" s="1470"/>
      <c r="N118" s="1470"/>
      <c r="O118" s="1470"/>
      <c r="P118" s="1470"/>
      <c r="Q118" s="1470"/>
      <c r="R118" s="1470"/>
      <c r="S118" s="1470"/>
      <c r="T118" s="1470"/>
      <c r="U118" s="1470"/>
      <c r="V118" s="1470"/>
      <c r="W118" s="1470"/>
      <c r="X118" s="1470"/>
      <c r="Y118" s="1470"/>
      <c r="Z118" s="1470"/>
    </row>
    <row r="119">
      <c r="A119" s="1470"/>
      <c r="B119" s="1470"/>
      <c r="C119" s="1473"/>
      <c r="D119" s="1473"/>
      <c r="E119" s="1473"/>
      <c r="F119" s="1470"/>
      <c r="G119" s="1470"/>
      <c r="H119" s="1470"/>
      <c r="I119" s="1470"/>
      <c r="J119" s="1470"/>
      <c r="K119" s="1470"/>
      <c r="L119" s="1470"/>
      <c r="M119" s="1470"/>
      <c r="N119" s="1470"/>
      <c r="O119" s="1470"/>
      <c r="P119" s="1470"/>
      <c r="Q119" s="1470"/>
      <c r="R119" s="1470"/>
      <c r="S119" s="1470"/>
      <c r="T119" s="1470"/>
      <c r="U119" s="1470"/>
      <c r="V119" s="1470"/>
      <c r="W119" s="1470"/>
      <c r="X119" s="1470"/>
      <c r="Y119" s="1470"/>
      <c r="Z119" s="1470"/>
    </row>
    <row r="120">
      <c r="A120" s="1470"/>
      <c r="B120" s="1470"/>
      <c r="C120" s="1473"/>
      <c r="D120" s="1473"/>
      <c r="E120" s="1473"/>
      <c r="F120" s="1470"/>
      <c r="G120" s="1470"/>
      <c r="H120" s="1470"/>
      <c r="I120" s="1470"/>
      <c r="J120" s="1470"/>
      <c r="K120" s="1470"/>
      <c r="L120" s="1470"/>
      <c r="M120" s="1470"/>
      <c r="N120" s="1470"/>
      <c r="O120" s="1470"/>
      <c r="P120" s="1470"/>
      <c r="Q120" s="1470"/>
      <c r="R120" s="1470"/>
      <c r="S120" s="1470"/>
      <c r="T120" s="1470"/>
      <c r="U120" s="1470"/>
      <c r="V120" s="1470"/>
      <c r="W120" s="1470"/>
      <c r="X120" s="1470"/>
      <c r="Y120" s="1470"/>
      <c r="Z120" s="1470"/>
    </row>
    <row r="121">
      <c r="A121" s="1470"/>
      <c r="B121" s="1470"/>
      <c r="C121" s="1473"/>
      <c r="D121" s="1473"/>
      <c r="E121" s="1473"/>
      <c r="F121" s="1470"/>
      <c r="G121" s="1470"/>
      <c r="H121" s="1470"/>
      <c r="I121" s="1470"/>
      <c r="J121" s="1470"/>
      <c r="K121" s="1470"/>
      <c r="L121" s="1470"/>
      <c r="M121" s="1470"/>
      <c r="N121" s="1470"/>
      <c r="O121" s="1470"/>
      <c r="P121" s="1470"/>
      <c r="Q121" s="1470"/>
      <c r="R121" s="1470"/>
      <c r="S121" s="1470"/>
      <c r="T121" s="1470"/>
      <c r="U121" s="1470"/>
      <c r="V121" s="1470"/>
      <c r="W121" s="1470"/>
      <c r="X121" s="1470"/>
      <c r="Y121" s="1470"/>
      <c r="Z121" s="1470"/>
    </row>
    <row r="122">
      <c r="A122" s="1470"/>
      <c r="B122" s="1470"/>
      <c r="C122" s="1473"/>
      <c r="D122" s="1473"/>
      <c r="E122" s="1473"/>
      <c r="F122" s="1470"/>
      <c r="G122" s="1470"/>
      <c r="H122" s="1470"/>
      <c r="I122" s="1470"/>
      <c r="J122" s="1470"/>
      <c r="K122" s="1470"/>
      <c r="L122" s="1470"/>
      <c r="M122" s="1470"/>
      <c r="N122" s="1470"/>
      <c r="O122" s="1470"/>
      <c r="P122" s="1470"/>
      <c r="Q122" s="1470"/>
      <c r="R122" s="1470"/>
      <c r="S122" s="1470"/>
      <c r="T122" s="1470"/>
      <c r="U122" s="1470"/>
      <c r="V122" s="1470"/>
      <c r="W122" s="1470"/>
      <c r="X122" s="1470"/>
      <c r="Y122" s="1470"/>
      <c r="Z122" s="1470"/>
    </row>
    <row r="123">
      <c r="A123" s="1470"/>
      <c r="B123" s="1470"/>
      <c r="C123" s="1473"/>
      <c r="D123" s="1473"/>
      <c r="E123" s="1473"/>
      <c r="F123" s="1470"/>
      <c r="G123" s="1470"/>
      <c r="H123" s="1470"/>
      <c r="I123" s="1470"/>
      <c r="J123" s="1470"/>
      <c r="K123" s="1470"/>
      <c r="L123" s="1470"/>
      <c r="M123" s="1470"/>
      <c r="N123" s="1470"/>
      <c r="O123" s="1470"/>
      <c r="P123" s="1470"/>
      <c r="Q123" s="1470"/>
      <c r="R123" s="1470"/>
      <c r="S123" s="1470"/>
      <c r="T123" s="1470"/>
      <c r="U123" s="1470"/>
      <c r="V123" s="1470"/>
      <c r="W123" s="1470"/>
      <c r="X123" s="1470"/>
      <c r="Y123" s="1470"/>
      <c r="Z123" s="1470"/>
    </row>
    <row r="124">
      <c r="A124" s="1470"/>
      <c r="B124" s="1470"/>
      <c r="C124" s="1473"/>
      <c r="D124" s="1473"/>
      <c r="E124" s="1473"/>
      <c r="F124" s="1470"/>
      <c r="G124" s="1470"/>
      <c r="H124" s="1470"/>
      <c r="I124" s="1470"/>
      <c r="J124" s="1470"/>
      <c r="K124" s="1470"/>
      <c r="L124" s="1470"/>
      <c r="M124" s="1470"/>
      <c r="N124" s="1470"/>
      <c r="O124" s="1470"/>
      <c r="P124" s="1470"/>
      <c r="Q124" s="1470"/>
      <c r="R124" s="1470"/>
      <c r="S124" s="1470"/>
      <c r="T124" s="1470"/>
      <c r="U124" s="1470"/>
      <c r="V124" s="1470"/>
      <c r="W124" s="1470"/>
      <c r="X124" s="1470"/>
      <c r="Y124" s="1470"/>
      <c r="Z124" s="1470"/>
    </row>
    <row r="125">
      <c r="A125" s="1470"/>
      <c r="B125" s="1470"/>
      <c r="C125" s="1473"/>
      <c r="D125" s="1473"/>
      <c r="E125" s="1473"/>
      <c r="F125" s="1470"/>
      <c r="G125" s="1470"/>
      <c r="H125" s="1470"/>
      <c r="I125" s="1470"/>
      <c r="J125" s="1470"/>
      <c r="K125" s="1470"/>
      <c r="L125" s="1470"/>
      <c r="M125" s="1470"/>
      <c r="N125" s="1470"/>
      <c r="O125" s="1470"/>
      <c r="P125" s="1470"/>
      <c r="Q125" s="1470"/>
      <c r="R125" s="1470"/>
      <c r="S125" s="1470"/>
      <c r="T125" s="1470"/>
      <c r="U125" s="1470"/>
      <c r="V125" s="1470"/>
      <c r="W125" s="1470"/>
      <c r="X125" s="1470"/>
      <c r="Y125" s="1470"/>
      <c r="Z125" s="1470"/>
    </row>
    <row r="126">
      <c r="A126" s="1470"/>
      <c r="B126" s="1470"/>
      <c r="C126" s="1473"/>
      <c r="D126" s="1473"/>
      <c r="E126" s="1473"/>
      <c r="F126" s="1470"/>
      <c r="G126" s="1470"/>
      <c r="H126" s="1470"/>
      <c r="I126" s="1470"/>
      <c r="J126" s="1470"/>
      <c r="K126" s="1470"/>
      <c r="L126" s="1470"/>
      <c r="M126" s="1470"/>
      <c r="N126" s="1470"/>
      <c r="O126" s="1470"/>
      <c r="P126" s="1470"/>
      <c r="Q126" s="1470"/>
      <c r="R126" s="1470"/>
      <c r="S126" s="1470"/>
      <c r="T126" s="1470"/>
      <c r="U126" s="1470"/>
      <c r="V126" s="1470"/>
      <c r="W126" s="1470"/>
      <c r="X126" s="1470"/>
      <c r="Y126" s="1470"/>
      <c r="Z126" s="1470"/>
    </row>
    <row r="127">
      <c r="A127" s="1470"/>
      <c r="B127" s="1470"/>
      <c r="C127" s="1473"/>
      <c r="D127" s="1473"/>
      <c r="E127" s="1473"/>
      <c r="F127" s="1470"/>
      <c r="G127" s="1470"/>
      <c r="H127" s="1470"/>
      <c r="I127" s="1470"/>
      <c r="J127" s="1470"/>
      <c r="K127" s="1470"/>
      <c r="L127" s="1470"/>
      <c r="M127" s="1470"/>
      <c r="N127" s="1470"/>
      <c r="O127" s="1470"/>
      <c r="P127" s="1470"/>
      <c r="Q127" s="1470"/>
      <c r="R127" s="1470"/>
      <c r="S127" s="1470"/>
      <c r="T127" s="1470"/>
      <c r="U127" s="1470"/>
      <c r="V127" s="1470"/>
      <c r="W127" s="1470"/>
      <c r="X127" s="1470"/>
      <c r="Y127" s="1470"/>
      <c r="Z127" s="1470"/>
    </row>
    <row r="128">
      <c r="A128" s="1470"/>
      <c r="B128" s="1470"/>
      <c r="C128" s="1473"/>
      <c r="D128" s="1473"/>
      <c r="E128" s="1473"/>
      <c r="F128" s="1470"/>
      <c r="G128" s="1470"/>
      <c r="H128" s="1470"/>
      <c r="I128" s="1470"/>
      <c r="J128" s="1470"/>
      <c r="K128" s="1470"/>
      <c r="L128" s="1470"/>
      <c r="M128" s="1470"/>
      <c r="N128" s="1470"/>
      <c r="O128" s="1470"/>
      <c r="P128" s="1470"/>
      <c r="Q128" s="1470"/>
      <c r="R128" s="1470"/>
      <c r="S128" s="1470"/>
      <c r="T128" s="1470"/>
      <c r="U128" s="1470"/>
      <c r="V128" s="1470"/>
      <c r="W128" s="1470"/>
      <c r="X128" s="1470"/>
      <c r="Y128" s="1470"/>
      <c r="Z128" s="1470"/>
    </row>
    <row r="129">
      <c r="A129" s="1470"/>
      <c r="B129" s="1470"/>
      <c r="C129" s="1473"/>
      <c r="D129" s="1473"/>
      <c r="E129" s="1473"/>
      <c r="F129" s="1470"/>
      <c r="G129" s="1470"/>
      <c r="H129" s="1470"/>
      <c r="I129" s="1470"/>
      <c r="J129" s="1470"/>
      <c r="K129" s="1470"/>
      <c r="L129" s="1470"/>
      <c r="M129" s="1470"/>
      <c r="N129" s="1470"/>
      <c r="O129" s="1470"/>
      <c r="P129" s="1470"/>
      <c r="Q129" s="1470"/>
      <c r="R129" s="1470"/>
      <c r="S129" s="1470"/>
      <c r="T129" s="1470"/>
      <c r="U129" s="1470"/>
      <c r="V129" s="1470"/>
      <c r="W129" s="1470"/>
      <c r="X129" s="1470"/>
      <c r="Y129" s="1470"/>
      <c r="Z129" s="1470"/>
    </row>
    <row r="130">
      <c r="A130" s="1470"/>
      <c r="B130" s="1470"/>
      <c r="C130" s="1473"/>
      <c r="D130" s="1473"/>
      <c r="E130" s="1473"/>
      <c r="F130" s="1470"/>
      <c r="G130" s="1470"/>
      <c r="H130" s="1470"/>
      <c r="I130" s="1470"/>
      <c r="J130" s="1470"/>
      <c r="K130" s="1470"/>
      <c r="L130" s="1470"/>
      <c r="M130" s="1470"/>
      <c r="N130" s="1470"/>
      <c r="O130" s="1470"/>
      <c r="P130" s="1470"/>
      <c r="Q130" s="1470"/>
      <c r="R130" s="1470"/>
      <c r="S130" s="1470"/>
      <c r="T130" s="1470"/>
      <c r="U130" s="1470"/>
      <c r="V130" s="1470"/>
      <c r="W130" s="1470"/>
      <c r="X130" s="1470"/>
      <c r="Y130" s="1470"/>
      <c r="Z130" s="1470"/>
    </row>
    <row r="131">
      <c r="A131" s="1470"/>
      <c r="B131" s="1470"/>
      <c r="C131" s="1473"/>
      <c r="D131" s="1473"/>
      <c r="E131" s="1473"/>
      <c r="F131" s="1470"/>
      <c r="G131" s="1470"/>
      <c r="H131" s="1470"/>
      <c r="I131" s="1470"/>
      <c r="J131" s="1470"/>
      <c r="K131" s="1470"/>
      <c r="L131" s="1470"/>
      <c r="M131" s="1470"/>
      <c r="N131" s="1470"/>
      <c r="O131" s="1470"/>
      <c r="P131" s="1470"/>
      <c r="Q131" s="1470"/>
      <c r="R131" s="1470"/>
      <c r="S131" s="1470"/>
      <c r="T131" s="1470"/>
      <c r="U131" s="1470"/>
      <c r="V131" s="1470"/>
      <c r="W131" s="1470"/>
      <c r="X131" s="1470"/>
      <c r="Y131" s="1470"/>
      <c r="Z131" s="1470"/>
    </row>
    <row r="132">
      <c r="A132" s="1470"/>
      <c r="B132" s="1470"/>
      <c r="C132" s="1473"/>
      <c r="D132" s="1473"/>
      <c r="E132" s="1473"/>
      <c r="F132" s="1470"/>
      <c r="G132" s="1470"/>
      <c r="H132" s="1470"/>
      <c r="I132" s="1470"/>
      <c r="J132" s="1470"/>
      <c r="K132" s="1470"/>
      <c r="L132" s="1470"/>
      <c r="M132" s="1470"/>
      <c r="N132" s="1470"/>
      <c r="O132" s="1470"/>
      <c r="P132" s="1470"/>
      <c r="Q132" s="1470"/>
      <c r="R132" s="1470"/>
      <c r="S132" s="1470"/>
      <c r="T132" s="1470"/>
      <c r="U132" s="1470"/>
      <c r="V132" s="1470"/>
      <c r="W132" s="1470"/>
      <c r="X132" s="1470"/>
      <c r="Y132" s="1470"/>
      <c r="Z132" s="1470"/>
    </row>
    <row r="133">
      <c r="A133" s="1470"/>
      <c r="B133" s="1470"/>
      <c r="C133" s="1473"/>
      <c r="D133" s="1473"/>
      <c r="E133" s="1473"/>
      <c r="F133" s="1470"/>
      <c r="G133" s="1470"/>
      <c r="H133" s="1470"/>
      <c r="I133" s="1470"/>
      <c r="J133" s="1470"/>
      <c r="K133" s="1470"/>
      <c r="L133" s="1470"/>
      <c r="M133" s="1470"/>
      <c r="N133" s="1470"/>
      <c r="O133" s="1470"/>
      <c r="P133" s="1470"/>
      <c r="Q133" s="1470"/>
      <c r="R133" s="1470"/>
      <c r="S133" s="1470"/>
      <c r="T133" s="1470"/>
      <c r="U133" s="1470"/>
      <c r="V133" s="1470"/>
      <c r="W133" s="1470"/>
      <c r="X133" s="1470"/>
      <c r="Y133" s="1470"/>
      <c r="Z133" s="1470"/>
    </row>
    <row r="134">
      <c r="A134" s="1470"/>
      <c r="B134" s="1470"/>
      <c r="C134" s="1473"/>
      <c r="D134" s="1473"/>
      <c r="E134" s="1473"/>
      <c r="F134" s="1470"/>
      <c r="G134" s="1470"/>
      <c r="H134" s="1470"/>
      <c r="I134" s="1470"/>
      <c r="J134" s="1470"/>
      <c r="K134" s="1470"/>
      <c r="L134" s="1470"/>
      <c r="M134" s="1470"/>
      <c r="N134" s="1470"/>
      <c r="O134" s="1470"/>
      <c r="P134" s="1470"/>
      <c r="Q134" s="1470"/>
      <c r="R134" s="1470"/>
      <c r="S134" s="1470"/>
      <c r="T134" s="1470"/>
      <c r="U134" s="1470"/>
      <c r="V134" s="1470"/>
      <c r="W134" s="1470"/>
      <c r="X134" s="1470"/>
      <c r="Y134" s="1470"/>
      <c r="Z134" s="1470"/>
    </row>
    <row r="135">
      <c r="A135" s="1470"/>
      <c r="B135" s="1470"/>
      <c r="C135" s="1473"/>
      <c r="D135" s="1473"/>
      <c r="E135" s="1473"/>
      <c r="F135" s="1470"/>
      <c r="G135" s="1470"/>
      <c r="H135" s="1470"/>
      <c r="I135" s="1470"/>
      <c r="J135" s="1470"/>
      <c r="K135" s="1470"/>
      <c r="L135" s="1470"/>
      <c r="M135" s="1470"/>
      <c r="N135" s="1470"/>
      <c r="O135" s="1470"/>
      <c r="P135" s="1470"/>
      <c r="Q135" s="1470"/>
      <c r="R135" s="1470"/>
      <c r="S135" s="1470"/>
      <c r="T135" s="1470"/>
      <c r="U135" s="1470"/>
      <c r="V135" s="1470"/>
      <c r="W135" s="1470"/>
      <c r="X135" s="1470"/>
      <c r="Y135" s="1470"/>
      <c r="Z135" s="1470"/>
    </row>
    <row r="136">
      <c r="A136" s="1470"/>
      <c r="B136" s="1470"/>
      <c r="C136" s="1473"/>
      <c r="D136" s="1473"/>
      <c r="E136" s="1473"/>
      <c r="F136" s="1470"/>
      <c r="G136" s="1470"/>
      <c r="H136" s="1470"/>
      <c r="I136" s="1470"/>
      <c r="J136" s="1470"/>
      <c r="K136" s="1470"/>
      <c r="L136" s="1470"/>
      <c r="M136" s="1470"/>
      <c r="N136" s="1470"/>
      <c r="O136" s="1470"/>
      <c r="P136" s="1470"/>
      <c r="Q136" s="1470"/>
      <c r="R136" s="1470"/>
      <c r="S136" s="1470"/>
      <c r="T136" s="1470"/>
      <c r="U136" s="1470"/>
      <c r="V136" s="1470"/>
      <c r="W136" s="1470"/>
      <c r="X136" s="1470"/>
      <c r="Y136" s="1470"/>
      <c r="Z136" s="1470"/>
    </row>
    <row r="137">
      <c r="A137" s="1470"/>
      <c r="B137" s="1470"/>
      <c r="C137" s="1473"/>
      <c r="D137" s="1473"/>
      <c r="E137" s="1473"/>
      <c r="F137" s="1470"/>
      <c r="G137" s="1470"/>
      <c r="H137" s="1470"/>
      <c r="I137" s="1470"/>
      <c r="J137" s="1470"/>
      <c r="K137" s="1470"/>
      <c r="L137" s="1470"/>
      <c r="M137" s="1470"/>
      <c r="N137" s="1470"/>
      <c r="O137" s="1470"/>
      <c r="P137" s="1470"/>
      <c r="Q137" s="1470"/>
      <c r="R137" s="1470"/>
      <c r="S137" s="1470"/>
      <c r="T137" s="1470"/>
      <c r="U137" s="1470"/>
      <c r="V137" s="1470"/>
      <c r="W137" s="1470"/>
      <c r="X137" s="1470"/>
      <c r="Y137" s="1470"/>
      <c r="Z137" s="1470"/>
    </row>
    <row r="138">
      <c r="A138" s="1470"/>
      <c r="B138" s="1470"/>
      <c r="C138" s="1473"/>
      <c r="D138" s="1473"/>
      <c r="E138" s="1473"/>
      <c r="F138" s="1470"/>
      <c r="G138" s="1470"/>
      <c r="H138" s="1470"/>
      <c r="I138" s="1470"/>
      <c r="J138" s="1470"/>
      <c r="K138" s="1470"/>
      <c r="L138" s="1470"/>
      <c r="M138" s="1470"/>
      <c r="N138" s="1470"/>
      <c r="O138" s="1470"/>
      <c r="P138" s="1470"/>
      <c r="Q138" s="1470"/>
      <c r="R138" s="1470"/>
      <c r="S138" s="1470"/>
      <c r="T138" s="1470"/>
      <c r="U138" s="1470"/>
      <c r="V138" s="1470"/>
      <c r="W138" s="1470"/>
      <c r="X138" s="1470"/>
      <c r="Y138" s="1470"/>
      <c r="Z138" s="1470"/>
    </row>
    <row r="139">
      <c r="A139" s="1470"/>
      <c r="B139" s="1470"/>
      <c r="C139" s="1473"/>
      <c r="D139" s="1473"/>
      <c r="E139" s="1473"/>
      <c r="F139" s="1470"/>
      <c r="G139" s="1470"/>
      <c r="H139" s="1470"/>
      <c r="I139" s="1470"/>
      <c r="J139" s="1470"/>
      <c r="K139" s="1470"/>
      <c r="L139" s="1470"/>
      <c r="M139" s="1470"/>
      <c r="N139" s="1470"/>
      <c r="O139" s="1470"/>
      <c r="P139" s="1470"/>
      <c r="Q139" s="1470"/>
      <c r="R139" s="1470"/>
      <c r="S139" s="1470"/>
      <c r="T139" s="1470"/>
      <c r="U139" s="1470"/>
      <c r="V139" s="1470"/>
      <c r="W139" s="1470"/>
      <c r="X139" s="1470"/>
      <c r="Y139" s="1470"/>
      <c r="Z139" s="1470"/>
    </row>
    <row r="140">
      <c r="A140" s="1470"/>
      <c r="B140" s="1470"/>
      <c r="C140" s="1473"/>
      <c r="D140" s="1473"/>
      <c r="E140" s="1473"/>
      <c r="F140" s="1470"/>
      <c r="G140" s="1470"/>
      <c r="H140" s="1470"/>
      <c r="I140" s="1470"/>
      <c r="J140" s="1470"/>
      <c r="K140" s="1470"/>
      <c r="L140" s="1470"/>
      <c r="M140" s="1470"/>
      <c r="N140" s="1470"/>
      <c r="O140" s="1470"/>
      <c r="P140" s="1470"/>
      <c r="Q140" s="1470"/>
      <c r="R140" s="1470"/>
      <c r="S140" s="1470"/>
      <c r="T140" s="1470"/>
      <c r="U140" s="1470"/>
      <c r="V140" s="1470"/>
      <c r="W140" s="1470"/>
      <c r="X140" s="1470"/>
      <c r="Y140" s="1470"/>
      <c r="Z140" s="1470"/>
    </row>
    <row r="141">
      <c r="A141" s="1470"/>
      <c r="B141" s="1470"/>
      <c r="C141" s="1473"/>
      <c r="D141" s="1473"/>
      <c r="E141" s="1473"/>
      <c r="F141" s="1470"/>
      <c r="G141" s="1470"/>
      <c r="H141" s="1470"/>
      <c r="I141" s="1470"/>
      <c r="J141" s="1470"/>
      <c r="K141" s="1470"/>
      <c r="L141" s="1470"/>
      <c r="M141" s="1470"/>
      <c r="N141" s="1470"/>
      <c r="O141" s="1470"/>
      <c r="P141" s="1470"/>
      <c r="Q141" s="1470"/>
      <c r="R141" s="1470"/>
      <c r="S141" s="1470"/>
      <c r="T141" s="1470"/>
      <c r="U141" s="1470"/>
      <c r="V141" s="1470"/>
      <c r="W141" s="1470"/>
      <c r="X141" s="1470"/>
      <c r="Y141" s="1470"/>
      <c r="Z141" s="1470"/>
    </row>
    <row r="142">
      <c r="A142" s="1470"/>
      <c r="B142" s="1470"/>
      <c r="C142" s="1473"/>
      <c r="D142" s="1473"/>
      <c r="E142" s="1473"/>
      <c r="F142" s="1470"/>
      <c r="G142" s="1470"/>
      <c r="H142" s="1470"/>
      <c r="I142" s="1470"/>
      <c r="J142" s="1470"/>
      <c r="K142" s="1470"/>
      <c r="L142" s="1470"/>
      <c r="M142" s="1470"/>
      <c r="N142" s="1470"/>
      <c r="O142" s="1470"/>
      <c r="P142" s="1470"/>
      <c r="Q142" s="1470"/>
      <c r="R142" s="1470"/>
      <c r="S142" s="1470"/>
      <c r="T142" s="1470"/>
      <c r="U142" s="1470"/>
      <c r="V142" s="1470"/>
      <c r="W142" s="1470"/>
      <c r="X142" s="1470"/>
      <c r="Y142" s="1470"/>
      <c r="Z142" s="1470"/>
    </row>
    <row r="143">
      <c r="A143" s="1470"/>
      <c r="B143" s="1470"/>
      <c r="C143" s="1473"/>
      <c r="D143" s="1473"/>
      <c r="E143" s="1473"/>
      <c r="F143" s="1470"/>
      <c r="G143" s="1470"/>
      <c r="H143" s="1470"/>
      <c r="I143" s="1470"/>
      <c r="J143" s="1470"/>
      <c r="K143" s="1470"/>
      <c r="L143" s="1470"/>
      <c r="M143" s="1470"/>
      <c r="N143" s="1470"/>
      <c r="O143" s="1470"/>
      <c r="P143" s="1470"/>
      <c r="Q143" s="1470"/>
      <c r="R143" s="1470"/>
      <c r="S143" s="1470"/>
      <c r="T143" s="1470"/>
      <c r="U143" s="1470"/>
      <c r="V143" s="1470"/>
      <c r="W143" s="1470"/>
      <c r="X143" s="1470"/>
      <c r="Y143" s="1470"/>
      <c r="Z143" s="1470"/>
    </row>
    <row r="144">
      <c r="A144" s="1470"/>
      <c r="B144" s="1470"/>
      <c r="C144" s="1473"/>
      <c r="D144" s="1473"/>
      <c r="E144" s="1473"/>
      <c r="F144" s="1470"/>
      <c r="G144" s="1470"/>
      <c r="H144" s="1470"/>
      <c r="I144" s="1470"/>
      <c r="J144" s="1470"/>
      <c r="K144" s="1470"/>
      <c r="L144" s="1470"/>
      <c r="M144" s="1470"/>
      <c r="N144" s="1470"/>
      <c r="O144" s="1470"/>
      <c r="P144" s="1470"/>
      <c r="Q144" s="1470"/>
      <c r="R144" s="1470"/>
      <c r="S144" s="1470"/>
      <c r="T144" s="1470"/>
      <c r="U144" s="1470"/>
      <c r="V144" s="1470"/>
      <c r="W144" s="1470"/>
      <c r="X144" s="1470"/>
      <c r="Y144" s="1470"/>
      <c r="Z144" s="1470"/>
    </row>
    <row r="145">
      <c r="A145" s="1470"/>
      <c r="B145" s="1470"/>
      <c r="C145" s="1473"/>
      <c r="D145" s="1473"/>
      <c r="E145" s="1473"/>
      <c r="F145" s="1470"/>
      <c r="G145" s="1470"/>
      <c r="H145" s="1470"/>
      <c r="I145" s="1470"/>
      <c r="J145" s="1470"/>
      <c r="K145" s="1470"/>
      <c r="L145" s="1470"/>
      <c r="M145" s="1470"/>
      <c r="N145" s="1470"/>
      <c r="O145" s="1470"/>
      <c r="P145" s="1470"/>
      <c r="Q145" s="1470"/>
      <c r="R145" s="1470"/>
      <c r="S145" s="1470"/>
      <c r="T145" s="1470"/>
      <c r="U145" s="1470"/>
      <c r="V145" s="1470"/>
      <c r="W145" s="1470"/>
      <c r="X145" s="1470"/>
      <c r="Y145" s="1470"/>
      <c r="Z145" s="1470"/>
    </row>
    <row r="146">
      <c r="A146" s="1470"/>
      <c r="B146" s="1470"/>
      <c r="C146" s="1473"/>
      <c r="D146" s="1473"/>
      <c r="E146" s="1473"/>
      <c r="F146" s="1470"/>
      <c r="G146" s="1470"/>
      <c r="H146" s="1470"/>
      <c r="I146" s="1470"/>
      <c r="J146" s="1470"/>
      <c r="K146" s="1470"/>
      <c r="L146" s="1470"/>
      <c r="M146" s="1470"/>
      <c r="N146" s="1470"/>
      <c r="O146" s="1470"/>
      <c r="P146" s="1470"/>
      <c r="Q146" s="1470"/>
      <c r="R146" s="1470"/>
      <c r="S146" s="1470"/>
      <c r="T146" s="1470"/>
      <c r="U146" s="1470"/>
      <c r="V146" s="1470"/>
      <c r="W146" s="1470"/>
      <c r="X146" s="1470"/>
      <c r="Y146" s="1470"/>
      <c r="Z146" s="1470"/>
    </row>
    <row r="147">
      <c r="A147" s="1470"/>
      <c r="B147" s="1470"/>
      <c r="C147" s="1473"/>
      <c r="D147" s="1473"/>
      <c r="E147" s="1473"/>
      <c r="F147" s="1470"/>
      <c r="G147" s="1470"/>
      <c r="H147" s="1470"/>
      <c r="I147" s="1470"/>
      <c r="J147" s="1470"/>
      <c r="K147" s="1470"/>
      <c r="L147" s="1470"/>
      <c r="M147" s="1470"/>
      <c r="N147" s="1470"/>
      <c r="O147" s="1470"/>
      <c r="P147" s="1470"/>
      <c r="Q147" s="1470"/>
      <c r="R147" s="1470"/>
      <c r="S147" s="1470"/>
      <c r="T147" s="1470"/>
      <c r="U147" s="1470"/>
      <c r="V147" s="1470"/>
      <c r="W147" s="1470"/>
      <c r="X147" s="1470"/>
      <c r="Y147" s="1470"/>
      <c r="Z147" s="1470"/>
    </row>
    <row r="148">
      <c r="A148" s="1470"/>
      <c r="B148" s="1470"/>
      <c r="C148" s="1473"/>
      <c r="D148" s="1473"/>
      <c r="E148" s="1473"/>
      <c r="F148" s="1470"/>
      <c r="G148" s="1470"/>
      <c r="H148" s="1470"/>
      <c r="I148" s="1470"/>
      <c r="J148" s="1470"/>
      <c r="K148" s="1470"/>
      <c r="L148" s="1470"/>
      <c r="M148" s="1470"/>
      <c r="N148" s="1470"/>
      <c r="O148" s="1470"/>
      <c r="P148" s="1470"/>
      <c r="Q148" s="1470"/>
      <c r="R148" s="1470"/>
      <c r="S148" s="1470"/>
      <c r="T148" s="1470"/>
      <c r="U148" s="1470"/>
      <c r="V148" s="1470"/>
      <c r="W148" s="1470"/>
      <c r="X148" s="1470"/>
      <c r="Y148" s="1470"/>
      <c r="Z148" s="1470"/>
    </row>
    <row r="149">
      <c r="A149" s="1470"/>
      <c r="B149" s="1470"/>
      <c r="C149" s="1473"/>
      <c r="D149" s="1473"/>
      <c r="E149" s="1473"/>
      <c r="F149" s="1470"/>
      <c r="G149" s="1470"/>
      <c r="H149" s="1470"/>
      <c r="I149" s="1470"/>
      <c r="J149" s="1470"/>
      <c r="K149" s="1470"/>
      <c r="L149" s="1470"/>
      <c r="M149" s="1470"/>
      <c r="N149" s="1470"/>
      <c r="O149" s="1470"/>
      <c r="P149" s="1470"/>
      <c r="Q149" s="1470"/>
      <c r="R149" s="1470"/>
      <c r="S149" s="1470"/>
      <c r="T149" s="1470"/>
      <c r="U149" s="1470"/>
      <c r="V149" s="1470"/>
      <c r="W149" s="1470"/>
      <c r="X149" s="1470"/>
      <c r="Y149" s="1470"/>
      <c r="Z149" s="1470"/>
    </row>
    <row r="150">
      <c r="A150" s="1470"/>
      <c r="B150" s="1470"/>
      <c r="C150" s="1473"/>
      <c r="D150" s="1473"/>
      <c r="E150" s="1473"/>
      <c r="F150" s="1470"/>
      <c r="G150" s="1470"/>
      <c r="H150" s="1470"/>
      <c r="I150" s="1470"/>
      <c r="J150" s="1470"/>
      <c r="K150" s="1470"/>
      <c r="L150" s="1470"/>
      <c r="M150" s="1470"/>
      <c r="N150" s="1470"/>
      <c r="O150" s="1470"/>
      <c r="P150" s="1470"/>
      <c r="Q150" s="1470"/>
      <c r="R150" s="1470"/>
      <c r="S150" s="1470"/>
      <c r="T150" s="1470"/>
      <c r="U150" s="1470"/>
      <c r="V150" s="1470"/>
      <c r="W150" s="1470"/>
      <c r="X150" s="1470"/>
      <c r="Y150" s="1470"/>
      <c r="Z150" s="1470"/>
    </row>
    <row r="151">
      <c r="A151" s="1470"/>
      <c r="B151" s="1470"/>
      <c r="C151" s="1473"/>
      <c r="D151" s="1473"/>
      <c r="E151" s="1473"/>
      <c r="F151" s="1470"/>
      <c r="G151" s="1470"/>
      <c r="H151" s="1470"/>
      <c r="I151" s="1470"/>
      <c r="J151" s="1470"/>
      <c r="K151" s="1470"/>
      <c r="L151" s="1470"/>
      <c r="M151" s="1470"/>
      <c r="N151" s="1470"/>
      <c r="O151" s="1470"/>
      <c r="P151" s="1470"/>
      <c r="Q151" s="1470"/>
      <c r="R151" s="1470"/>
      <c r="S151" s="1470"/>
      <c r="T151" s="1470"/>
      <c r="U151" s="1470"/>
      <c r="V151" s="1470"/>
      <c r="W151" s="1470"/>
      <c r="X151" s="1470"/>
      <c r="Y151" s="1470"/>
      <c r="Z151" s="1470"/>
    </row>
    <row r="152">
      <c r="A152" s="1470"/>
      <c r="B152" s="1470"/>
      <c r="C152" s="1473"/>
      <c r="D152" s="1473"/>
      <c r="E152" s="1473"/>
      <c r="F152" s="1470"/>
      <c r="G152" s="1470"/>
      <c r="H152" s="1470"/>
      <c r="I152" s="1470"/>
      <c r="J152" s="1470"/>
      <c r="K152" s="1470"/>
      <c r="L152" s="1470"/>
      <c r="M152" s="1470"/>
      <c r="N152" s="1470"/>
      <c r="O152" s="1470"/>
      <c r="P152" s="1470"/>
      <c r="Q152" s="1470"/>
      <c r="R152" s="1470"/>
      <c r="S152" s="1470"/>
      <c r="T152" s="1470"/>
      <c r="U152" s="1470"/>
      <c r="V152" s="1470"/>
      <c r="W152" s="1470"/>
      <c r="X152" s="1470"/>
      <c r="Y152" s="1470"/>
      <c r="Z152" s="1470"/>
    </row>
    <row r="153">
      <c r="A153" s="1470"/>
      <c r="B153" s="1470"/>
      <c r="C153" s="1473"/>
      <c r="D153" s="1473"/>
      <c r="E153" s="1473"/>
      <c r="F153" s="1470"/>
      <c r="G153" s="1470"/>
      <c r="H153" s="1470"/>
      <c r="I153" s="1470"/>
      <c r="J153" s="1470"/>
      <c r="K153" s="1470"/>
      <c r="L153" s="1470"/>
      <c r="M153" s="1470"/>
      <c r="N153" s="1470"/>
      <c r="O153" s="1470"/>
      <c r="P153" s="1470"/>
      <c r="Q153" s="1470"/>
      <c r="R153" s="1470"/>
      <c r="S153" s="1470"/>
      <c r="T153" s="1470"/>
      <c r="U153" s="1470"/>
      <c r="V153" s="1470"/>
      <c r="W153" s="1470"/>
      <c r="X153" s="1470"/>
      <c r="Y153" s="1470"/>
      <c r="Z153" s="1470"/>
    </row>
    <row r="154">
      <c r="A154" s="1470"/>
      <c r="B154" s="1470"/>
      <c r="C154" s="1473"/>
      <c r="D154" s="1473"/>
      <c r="E154" s="1473"/>
      <c r="F154" s="1470"/>
      <c r="G154" s="1470"/>
      <c r="H154" s="1470"/>
      <c r="I154" s="1470"/>
      <c r="J154" s="1470"/>
      <c r="K154" s="1470"/>
      <c r="L154" s="1470"/>
      <c r="M154" s="1470"/>
      <c r="N154" s="1470"/>
      <c r="O154" s="1470"/>
      <c r="P154" s="1470"/>
      <c r="Q154" s="1470"/>
      <c r="R154" s="1470"/>
      <c r="S154" s="1470"/>
      <c r="T154" s="1470"/>
      <c r="U154" s="1470"/>
      <c r="V154" s="1470"/>
      <c r="W154" s="1470"/>
      <c r="X154" s="1470"/>
      <c r="Y154" s="1470"/>
      <c r="Z154" s="1470"/>
    </row>
    <row r="155">
      <c r="A155" s="1470"/>
      <c r="B155" s="1470"/>
      <c r="C155" s="1473"/>
      <c r="D155" s="1473"/>
      <c r="E155" s="1473"/>
      <c r="F155" s="1470"/>
      <c r="G155" s="1470"/>
      <c r="H155" s="1470"/>
      <c r="I155" s="1470"/>
      <c r="J155" s="1470"/>
      <c r="K155" s="1470"/>
      <c r="L155" s="1470"/>
      <c r="M155" s="1470"/>
      <c r="N155" s="1470"/>
      <c r="O155" s="1470"/>
      <c r="P155" s="1470"/>
      <c r="Q155" s="1470"/>
      <c r="R155" s="1470"/>
      <c r="S155" s="1470"/>
      <c r="T155" s="1470"/>
      <c r="U155" s="1470"/>
      <c r="V155" s="1470"/>
      <c r="W155" s="1470"/>
      <c r="X155" s="1470"/>
      <c r="Y155" s="1470"/>
      <c r="Z155" s="1470"/>
    </row>
    <row r="156">
      <c r="A156" s="1470"/>
      <c r="B156" s="1470"/>
      <c r="C156" s="1473"/>
      <c r="D156" s="1473"/>
      <c r="E156" s="1473"/>
      <c r="F156" s="1470"/>
      <c r="G156" s="1470"/>
      <c r="H156" s="1470"/>
      <c r="I156" s="1470"/>
      <c r="J156" s="1470"/>
      <c r="K156" s="1470"/>
      <c r="L156" s="1470"/>
      <c r="M156" s="1470"/>
      <c r="N156" s="1470"/>
      <c r="O156" s="1470"/>
      <c r="P156" s="1470"/>
      <c r="Q156" s="1470"/>
      <c r="R156" s="1470"/>
      <c r="S156" s="1470"/>
      <c r="T156" s="1470"/>
      <c r="U156" s="1470"/>
      <c r="V156" s="1470"/>
      <c r="W156" s="1470"/>
      <c r="X156" s="1470"/>
      <c r="Y156" s="1470"/>
      <c r="Z156" s="1470"/>
    </row>
    <row r="157">
      <c r="A157" s="1470"/>
      <c r="B157" s="1470"/>
      <c r="C157" s="1473"/>
      <c r="D157" s="1473"/>
      <c r="E157" s="1473"/>
      <c r="F157" s="1470"/>
      <c r="G157" s="1470"/>
      <c r="H157" s="1470"/>
      <c r="I157" s="1470"/>
      <c r="J157" s="1470"/>
      <c r="K157" s="1470"/>
      <c r="L157" s="1470"/>
      <c r="M157" s="1470"/>
      <c r="N157" s="1470"/>
      <c r="O157" s="1470"/>
      <c r="P157" s="1470"/>
      <c r="Q157" s="1470"/>
      <c r="R157" s="1470"/>
      <c r="S157" s="1470"/>
      <c r="T157" s="1470"/>
      <c r="U157" s="1470"/>
      <c r="V157" s="1470"/>
      <c r="W157" s="1470"/>
      <c r="X157" s="1470"/>
      <c r="Y157" s="1470"/>
      <c r="Z157" s="1470"/>
    </row>
    <row r="158">
      <c r="A158" s="1470"/>
      <c r="B158" s="1470"/>
      <c r="C158" s="1473"/>
      <c r="D158" s="1473"/>
      <c r="E158" s="1473"/>
      <c r="F158" s="1470"/>
      <c r="G158" s="1470"/>
      <c r="H158" s="1470"/>
      <c r="I158" s="1470"/>
      <c r="J158" s="1470"/>
      <c r="K158" s="1470"/>
      <c r="L158" s="1470"/>
      <c r="M158" s="1470"/>
      <c r="N158" s="1470"/>
      <c r="O158" s="1470"/>
      <c r="P158" s="1470"/>
      <c r="Q158" s="1470"/>
      <c r="R158" s="1470"/>
      <c r="S158" s="1470"/>
      <c r="T158" s="1470"/>
      <c r="U158" s="1470"/>
      <c r="V158" s="1470"/>
      <c r="W158" s="1470"/>
      <c r="X158" s="1470"/>
      <c r="Y158" s="1470"/>
      <c r="Z158" s="1470"/>
    </row>
    <row r="159">
      <c r="A159" s="1470"/>
      <c r="B159" s="1470"/>
      <c r="C159" s="1473"/>
      <c r="D159" s="1473"/>
      <c r="E159" s="1473"/>
      <c r="F159" s="1470"/>
      <c r="G159" s="1470"/>
      <c r="H159" s="1470"/>
      <c r="I159" s="1470"/>
      <c r="J159" s="1470"/>
      <c r="K159" s="1470"/>
      <c r="L159" s="1470"/>
      <c r="M159" s="1470"/>
      <c r="N159" s="1470"/>
      <c r="O159" s="1470"/>
      <c r="P159" s="1470"/>
      <c r="Q159" s="1470"/>
      <c r="R159" s="1470"/>
      <c r="S159" s="1470"/>
      <c r="T159" s="1470"/>
      <c r="U159" s="1470"/>
      <c r="V159" s="1470"/>
      <c r="W159" s="1470"/>
      <c r="X159" s="1470"/>
      <c r="Y159" s="1470"/>
      <c r="Z159" s="1470"/>
    </row>
    <row r="160">
      <c r="A160" s="1470"/>
      <c r="B160" s="1470"/>
      <c r="C160" s="1473"/>
      <c r="D160" s="1473"/>
      <c r="E160" s="1473"/>
      <c r="F160" s="1470"/>
      <c r="G160" s="1470"/>
      <c r="H160" s="1470"/>
      <c r="I160" s="1470"/>
      <c r="J160" s="1470"/>
      <c r="K160" s="1470"/>
      <c r="L160" s="1470"/>
      <c r="M160" s="1470"/>
      <c r="N160" s="1470"/>
      <c r="O160" s="1470"/>
      <c r="P160" s="1470"/>
      <c r="Q160" s="1470"/>
      <c r="R160" s="1470"/>
      <c r="S160" s="1470"/>
      <c r="T160" s="1470"/>
      <c r="U160" s="1470"/>
      <c r="V160" s="1470"/>
      <c r="W160" s="1470"/>
      <c r="X160" s="1470"/>
      <c r="Y160" s="1470"/>
      <c r="Z160" s="1470"/>
    </row>
    <row r="161">
      <c r="A161" s="1470"/>
      <c r="B161" s="1470"/>
      <c r="C161" s="1473"/>
      <c r="D161" s="1473"/>
      <c r="E161" s="1473"/>
      <c r="F161" s="1470"/>
      <c r="G161" s="1470"/>
      <c r="H161" s="1470"/>
      <c r="I161" s="1470"/>
      <c r="J161" s="1470"/>
      <c r="K161" s="1470"/>
      <c r="L161" s="1470"/>
      <c r="M161" s="1470"/>
      <c r="N161" s="1470"/>
      <c r="O161" s="1470"/>
      <c r="P161" s="1470"/>
      <c r="Q161" s="1470"/>
      <c r="R161" s="1470"/>
      <c r="S161" s="1470"/>
      <c r="T161" s="1470"/>
      <c r="U161" s="1470"/>
      <c r="V161" s="1470"/>
      <c r="W161" s="1470"/>
      <c r="X161" s="1470"/>
      <c r="Y161" s="1470"/>
      <c r="Z161" s="1470"/>
    </row>
    <row r="162">
      <c r="A162" s="1470"/>
      <c r="B162" s="1470"/>
      <c r="C162" s="1473"/>
      <c r="D162" s="1473"/>
      <c r="E162" s="1473"/>
      <c r="F162" s="1470"/>
      <c r="G162" s="1470"/>
      <c r="H162" s="1470"/>
      <c r="I162" s="1470"/>
      <c r="J162" s="1470"/>
      <c r="K162" s="1470"/>
      <c r="L162" s="1470"/>
      <c r="M162" s="1470"/>
      <c r="N162" s="1470"/>
      <c r="O162" s="1470"/>
      <c r="P162" s="1470"/>
      <c r="Q162" s="1470"/>
      <c r="R162" s="1470"/>
      <c r="S162" s="1470"/>
      <c r="T162" s="1470"/>
      <c r="U162" s="1470"/>
      <c r="V162" s="1470"/>
      <c r="W162" s="1470"/>
      <c r="X162" s="1470"/>
      <c r="Y162" s="1470"/>
      <c r="Z162" s="1470"/>
    </row>
    <row r="163">
      <c r="A163" s="1470"/>
      <c r="B163" s="1470"/>
      <c r="C163" s="1473"/>
      <c r="D163" s="1473"/>
      <c r="E163" s="1473"/>
      <c r="F163" s="1470"/>
      <c r="G163" s="1470"/>
      <c r="H163" s="1470"/>
      <c r="I163" s="1470"/>
      <c r="J163" s="1470"/>
      <c r="K163" s="1470"/>
      <c r="L163" s="1470"/>
      <c r="M163" s="1470"/>
      <c r="N163" s="1470"/>
      <c r="O163" s="1470"/>
      <c r="P163" s="1470"/>
      <c r="Q163" s="1470"/>
      <c r="R163" s="1470"/>
      <c r="S163" s="1470"/>
      <c r="T163" s="1470"/>
      <c r="U163" s="1470"/>
      <c r="V163" s="1470"/>
      <c r="W163" s="1470"/>
      <c r="X163" s="1470"/>
      <c r="Y163" s="1470"/>
      <c r="Z163" s="1470"/>
    </row>
    <row r="164">
      <c r="A164" s="1470"/>
      <c r="B164" s="1470"/>
      <c r="C164" s="1473"/>
      <c r="D164" s="1473"/>
      <c r="E164" s="1473"/>
      <c r="F164" s="1470"/>
      <c r="G164" s="1470"/>
      <c r="H164" s="1470"/>
      <c r="I164" s="1470"/>
      <c r="J164" s="1470"/>
      <c r="K164" s="1470"/>
      <c r="L164" s="1470"/>
      <c r="M164" s="1470"/>
      <c r="N164" s="1470"/>
      <c r="O164" s="1470"/>
      <c r="P164" s="1470"/>
      <c r="Q164" s="1470"/>
      <c r="R164" s="1470"/>
      <c r="S164" s="1470"/>
      <c r="T164" s="1470"/>
      <c r="U164" s="1470"/>
      <c r="V164" s="1470"/>
      <c r="W164" s="1470"/>
      <c r="X164" s="1470"/>
      <c r="Y164" s="1470"/>
      <c r="Z164" s="1470"/>
    </row>
    <row r="165">
      <c r="A165" s="1470"/>
      <c r="B165" s="1470"/>
      <c r="C165" s="1473"/>
      <c r="D165" s="1473"/>
      <c r="E165" s="1473"/>
      <c r="F165" s="1470"/>
      <c r="G165" s="1470"/>
      <c r="H165" s="1470"/>
      <c r="I165" s="1470"/>
      <c r="J165" s="1470"/>
      <c r="K165" s="1470"/>
      <c r="L165" s="1470"/>
      <c r="M165" s="1470"/>
      <c r="N165" s="1470"/>
      <c r="O165" s="1470"/>
      <c r="P165" s="1470"/>
      <c r="Q165" s="1470"/>
      <c r="R165" s="1470"/>
      <c r="S165" s="1470"/>
      <c r="T165" s="1470"/>
      <c r="U165" s="1470"/>
      <c r="V165" s="1470"/>
      <c r="W165" s="1470"/>
      <c r="X165" s="1470"/>
      <c r="Y165" s="1470"/>
      <c r="Z165" s="1470"/>
    </row>
    <row r="166">
      <c r="A166" s="1470"/>
      <c r="B166" s="1470"/>
      <c r="C166" s="1473"/>
      <c r="D166" s="1473"/>
      <c r="E166" s="1473"/>
      <c r="F166" s="1470"/>
      <c r="G166" s="1470"/>
      <c r="H166" s="1470"/>
      <c r="I166" s="1470"/>
      <c r="J166" s="1470"/>
      <c r="K166" s="1470"/>
      <c r="L166" s="1470"/>
      <c r="M166" s="1470"/>
      <c r="N166" s="1470"/>
      <c r="O166" s="1470"/>
      <c r="P166" s="1470"/>
      <c r="Q166" s="1470"/>
      <c r="R166" s="1470"/>
      <c r="S166" s="1470"/>
      <c r="T166" s="1470"/>
      <c r="U166" s="1470"/>
      <c r="V166" s="1470"/>
      <c r="W166" s="1470"/>
      <c r="X166" s="1470"/>
      <c r="Y166" s="1470"/>
      <c r="Z166" s="1470"/>
    </row>
    <row r="167">
      <c r="C167" s="1474"/>
      <c r="D167" s="1474"/>
      <c r="E167" s="1474"/>
    </row>
    <row r="168">
      <c r="C168" s="1474"/>
      <c r="D168" s="1474"/>
      <c r="E168" s="1474"/>
    </row>
    <row r="169">
      <c r="C169" s="1474"/>
      <c r="D169" s="1474"/>
      <c r="E169" s="1474"/>
    </row>
    <row r="170">
      <c r="C170" s="1474"/>
      <c r="D170" s="1474"/>
      <c r="E170" s="1474"/>
    </row>
    <row r="171">
      <c r="C171" s="1474"/>
      <c r="D171" s="1474"/>
      <c r="E171" s="1474"/>
    </row>
    <row r="172">
      <c r="C172" s="1474"/>
      <c r="D172" s="1474"/>
      <c r="E172" s="1474"/>
    </row>
    <row r="173">
      <c r="C173" s="1474"/>
      <c r="D173" s="1474"/>
      <c r="E173" s="1474"/>
    </row>
    <row r="174">
      <c r="C174" s="1474"/>
      <c r="D174" s="1474"/>
      <c r="E174" s="1474"/>
    </row>
    <row r="175">
      <c r="C175" s="1474"/>
      <c r="D175" s="1474"/>
      <c r="E175" s="1474"/>
    </row>
    <row r="176">
      <c r="C176" s="1474"/>
      <c r="D176" s="1474"/>
      <c r="E176" s="1474"/>
    </row>
    <row r="177">
      <c r="C177" s="1474"/>
      <c r="D177" s="1474"/>
      <c r="E177" s="1474"/>
    </row>
    <row r="178">
      <c r="C178" s="1474"/>
      <c r="D178" s="1474"/>
      <c r="E178" s="1474"/>
    </row>
    <row r="179">
      <c r="C179" s="1474"/>
      <c r="D179" s="1474"/>
      <c r="E179" s="1474"/>
    </row>
    <row r="180">
      <c r="C180" s="1474"/>
      <c r="D180" s="1474"/>
      <c r="E180" s="1474"/>
    </row>
    <row r="181">
      <c r="C181" s="1474"/>
      <c r="D181" s="1474"/>
      <c r="E181" s="1474"/>
    </row>
    <row r="182">
      <c r="C182" s="1474"/>
      <c r="D182" s="1474"/>
      <c r="E182" s="1474"/>
    </row>
    <row r="183">
      <c r="C183" s="1474"/>
      <c r="D183" s="1474"/>
      <c r="E183" s="1474"/>
    </row>
    <row r="184">
      <c r="C184" s="1474"/>
      <c r="D184" s="1474"/>
      <c r="E184" s="1474"/>
    </row>
    <row r="185">
      <c r="C185" s="1474"/>
      <c r="D185" s="1474"/>
      <c r="E185" s="1474"/>
    </row>
    <row r="186">
      <c r="C186" s="1474"/>
      <c r="D186" s="1474"/>
      <c r="E186" s="1474"/>
    </row>
    <row r="187">
      <c r="C187" s="1474"/>
      <c r="D187" s="1474"/>
      <c r="E187" s="1474"/>
    </row>
    <row r="188">
      <c r="C188" s="1474"/>
      <c r="D188" s="1474"/>
      <c r="E188" s="1474"/>
    </row>
    <row r="189">
      <c r="C189" s="1474"/>
      <c r="D189" s="1474"/>
      <c r="E189" s="1474"/>
    </row>
    <row r="190">
      <c r="C190" s="1474"/>
      <c r="D190" s="1474"/>
      <c r="E190" s="1474"/>
    </row>
    <row r="191">
      <c r="C191" s="1474"/>
      <c r="D191" s="1474"/>
      <c r="E191" s="1474"/>
    </row>
    <row r="192">
      <c r="C192" s="1474"/>
      <c r="D192" s="1474"/>
      <c r="E192" s="1474"/>
    </row>
    <row r="193">
      <c r="C193" s="1474"/>
      <c r="D193" s="1474"/>
      <c r="E193" s="1474"/>
    </row>
    <row r="194">
      <c r="C194" s="1474"/>
      <c r="D194" s="1474"/>
      <c r="E194" s="1474"/>
    </row>
    <row r="195">
      <c r="C195" s="1474"/>
      <c r="D195" s="1474"/>
      <c r="E195" s="1474"/>
    </row>
    <row r="196">
      <c r="C196" s="1474"/>
      <c r="D196" s="1474"/>
      <c r="E196" s="1474"/>
    </row>
    <row r="197">
      <c r="C197" s="1474"/>
      <c r="D197" s="1474"/>
      <c r="E197" s="1474"/>
    </row>
    <row r="198">
      <c r="C198" s="1474"/>
      <c r="D198" s="1474"/>
      <c r="E198" s="1474"/>
    </row>
    <row r="199">
      <c r="C199" s="1474"/>
      <c r="D199" s="1474"/>
      <c r="E199" s="1474"/>
    </row>
    <row r="200">
      <c r="C200" s="1474"/>
      <c r="D200" s="1474"/>
      <c r="E200" s="1474"/>
    </row>
    <row r="201">
      <c r="C201" s="1474"/>
      <c r="D201" s="1474"/>
      <c r="E201" s="1474"/>
    </row>
    <row r="202">
      <c r="C202" s="1474"/>
      <c r="D202" s="1474"/>
      <c r="E202" s="1474"/>
    </row>
    <row r="203">
      <c r="C203" s="1474"/>
      <c r="D203" s="1474"/>
      <c r="E203" s="1474"/>
    </row>
    <row r="204">
      <c r="C204" s="1474"/>
      <c r="D204" s="1474"/>
      <c r="E204" s="1474"/>
    </row>
    <row r="205">
      <c r="C205" s="1474"/>
      <c r="D205" s="1474"/>
      <c r="E205" s="1474"/>
    </row>
    <row r="206">
      <c r="C206" s="1474"/>
      <c r="D206" s="1474"/>
      <c r="E206" s="1474"/>
    </row>
    <row r="207">
      <c r="C207" s="1474"/>
      <c r="D207" s="1474"/>
      <c r="E207" s="1474"/>
    </row>
    <row r="208">
      <c r="C208" s="1474"/>
      <c r="D208" s="1474"/>
      <c r="E208" s="1474"/>
    </row>
    <row r="209">
      <c r="C209" s="1474"/>
      <c r="D209" s="1474"/>
      <c r="E209" s="1474"/>
    </row>
    <row r="210">
      <c r="C210" s="1474"/>
      <c r="D210" s="1474"/>
      <c r="E210" s="1474"/>
    </row>
    <row r="211">
      <c r="C211" s="1474"/>
      <c r="D211" s="1474"/>
      <c r="E211" s="1474"/>
    </row>
    <row r="212">
      <c r="C212" s="1474"/>
      <c r="D212" s="1474"/>
      <c r="E212" s="1474"/>
    </row>
    <row r="213">
      <c r="C213" s="1474"/>
      <c r="D213" s="1474"/>
      <c r="E213" s="1474"/>
    </row>
    <row r="214">
      <c r="C214" s="1474"/>
      <c r="D214" s="1474"/>
      <c r="E214" s="1474"/>
    </row>
    <row r="215">
      <c r="C215" s="1474"/>
      <c r="D215" s="1474"/>
      <c r="E215" s="1474"/>
    </row>
    <row r="216">
      <c r="C216" s="1474"/>
      <c r="D216" s="1474"/>
      <c r="E216" s="1474"/>
    </row>
    <row r="217">
      <c r="C217" s="1474"/>
      <c r="D217" s="1474"/>
      <c r="E217" s="1474"/>
    </row>
    <row r="218">
      <c r="C218" s="1474"/>
      <c r="D218" s="1474"/>
      <c r="E218" s="1474"/>
    </row>
    <row r="219">
      <c r="C219" s="1474"/>
      <c r="D219" s="1474"/>
      <c r="E219" s="1474"/>
    </row>
    <row r="220">
      <c r="C220" s="1474"/>
      <c r="D220" s="1474"/>
      <c r="E220" s="1474"/>
    </row>
    <row r="221">
      <c r="C221" s="1474"/>
      <c r="D221" s="1474"/>
      <c r="E221" s="1474"/>
    </row>
    <row r="222">
      <c r="C222" s="1474"/>
      <c r="D222" s="1474"/>
      <c r="E222" s="1474"/>
    </row>
    <row r="223">
      <c r="C223" s="1474"/>
      <c r="D223" s="1474"/>
      <c r="E223" s="1474"/>
    </row>
    <row r="224">
      <c r="C224" s="1474"/>
      <c r="D224" s="1474"/>
      <c r="E224" s="1474"/>
    </row>
    <row r="225">
      <c r="C225" s="1474"/>
      <c r="D225" s="1474"/>
      <c r="E225" s="1474"/>
    </row>
    <row r="226">
      <c r="C226" s="1474"/>
      <c r="D226" s="1474"/>
      <c r="E226" s="1474"/>
    </row>
    <row r="227">
      <c r="C227" s="1474"/>
      <c r="D227" s="1474"/>
      <c r="E227" s="1474"/>
    </row>
    <row r="228">
      <c r="C228" s="1474"/>
      <c r="D228" s="1474"/>
      <c r="E228" s="1474"/>
    </row>
    <row r="229">
      <c r="C229" s="1474"/>
      <c r="D229" s="1474"/>
      <c r="E229" s="1474"/>
    </row>
    <row r="230">
      <c r="C230" s="1474"/>
      <c r="D230" s="1474"/>
      <c r="E230" s="1474"/>
    </row>
    <row r="231">
      <c r="C231" s="1474"/>
      <c r="D231" s="1474"/>
      <c r="E231" s="1474"/>
    </row>
    <row r="232">
      <c r="C232" s="1474"/>
      <c r="D232" s="1474"/>
      <c r="E232" s="1474"/>
    </row>
    <row r="233">
      <c r="C233" s="1474"/>
      <c r="D233" s="1474"/>
      <c r="E233" s="1474"/>
    </row>
    <row r="234">
      <c r="C234" s="1474"/>
      <c r="D234" s="1474"/>
      <c r="E234" s="1474"/>
    </row>
    <row r="235">
      <c r="C235" s="1474"/>
      <c r="D235" s="1474"/>
      <c r="E235" s="1474"/>
    </row>
    <row r="236">
      <c r="C236" s="1474"/>
      <c r="D236" s="1474"/>
      <c r="E236" s="1474"/>
    </row>
    <row r="237">
      <c r="C237" s="1474"/>
      <c r="D237" s="1474"/>
      <c r="E237" s="1474"/>
    </row>
    <row r="238">
      <c r="C238" s="1474"/>
      <c r="D238" s="1474"/>
      <c r="E238" s="1474"/>
    </row>
    <row r="239">
      <c r="C239" s="1474"/>
      <c r="D239" s="1474"/>
      <c r="E239" s="1474"/>
    </row>
    <row r="240">
      <c r="C240" s="1474"/>
      <c r="D240" s="1474"/>
      <c r="E240" s="1474"/>
    </row>
    <row r="241">
      <c r="C241" s="1474"/>
      <c r="D241" s="1474"/>
      <c r="E241" s="1474"/>
    </row>
    <row r="242">
      <c r="C242" s="1474"/>
      <c r="D242" s="1474"/>
      <c r="E242" s="1474"/>
    </row>
    <row r="243">
      <c r="C243" s="1474"/>
      <c r="D243" s="1474"/>
      <c r="E243" s="1474"/>
    </row>
    <row r="244">
      <c r="C244" s="1474"/>
      <c r="D244" s="1474"/>
      <c r="E244" s="1474"/>
    </row>
    <row r="245">
      <c r="C245" s="1474"/>
      <c r="D245" s="1474"/>
      <c r="E245" s="1474"/>
    </row>
    <row r="246">
      <c r="C246" s="1474"/>
      <c r="D246" s="1474"/>
      <c r="E246" s="1474"/>
    </row>
    <row r="247">
      <c r="C247" s="1474"/>
      <c r="D247" s="1474"/>
      <c r="E247" s="1474"/>
    </row>
    <row r="248">
      <c r="C248" s="1474"/>
      <c r="D248" s="1474"/>
      <c r="E248" s="1474"/>
    </row>
    <row r="249">
      <c r="C249" s="1474"/>
      <c r="D249" s="1474"/>
      <c r="E249" s="1474"/>
    </row>
    <row r="250">
      <c r="C250" s="1474"/>
      <c r="D250" s="1474"/>
      <c r="E250" s="1474"/>
    </row>
    <row r="251">
      <c r="C251" s="1474"/>
      <c r="D251" s="1474"/>
      <c r="E251" s="1474"/>
    </row>
    <row r="252">
      <c r="C252" s="1474"/>
      <c r="D252" s="1474"/>
      <c r="E252" s="1474"/>
    </row>
    <row r="253">
      <c r="C253" s="1474"/>
      <c r="D253" s="1474"/>
      <c r="E253" s="1474"/>
    </row>
    <row r="254">
      <c r="C254" s="1474"/>
      <c r="D254" s="1474"/>
      <c r="E254" s="1474"/>
    </row>
    <row r="255">
      <c r="C255" s="1474"/>
      <c r="D255" s="1474"/>
      <c r="E255" s="1474"/>
    </row>
    <row r="256">
      <c r="C256" s="1474"/>
      <c r="D256" s="1474"/>
      <c r="E256" s="1474"/>
    </row>
    <row r="257">
      <c r="C257" s="1474"/>
      <c r="D257" s="1474"/>
      <c r="E257" s="1474"/>
    </row>
    <row r="258">
      <c r="C258" s="1474"/>
      <c r="D258" s="1474"/>
      <c r="E258" s="1474"/>
    </row>
    <row r="259">
      <c r="C259" s="1474"/>
      <c r="D259" s="1474"/>
      <c r="E259" s="1474"/>
    </row>
    <row r="260">
      <c r="C260" s="1474"/>
      <c r="D260" s="1474"/>
      <c r="E260" s="1474"/>
    </row>
    <row r="261">
      <c r="C261" s="1474"/>
      <c r="D261" s="1474"/>
      <c r="E261" s="1474"/>
    </row>
    <row r="262">
      <c r="C262" s="1474"/>
      <c r="D262" s="1474"/>
      <c r="E262" s="1474"/>
    </row>
    <row r="263">
      <c r="C263" s="1474"/>
      <c r="D263" s="1474"/>
      <c r="E263" s="1474"/>
    </row>
    <row r="264">
      <c r="C264" s="1474"/>
      <c r="D264" s="1474"/>
      <c r="E264" s="1474"/>
    </row>
    <row r="265">
      <c r="C265" s="1474"/>
      <c r="D265" s="1474"/>
      <c r="E265" s="1474"/>
    </row>
    <row r="266">
      <c r="C266" s="1474"/>
      <c r="D266" s="1474"/>
      <c r="E266" s="1474"/>
    </row>
    <row r="267">
      <c r="C267" s="1474"/>
      <c r="D267" s="1474"/>
      <c r="E267" s="1474"/>
    </row>
    <row r="268">
      <c r="C268" s="1474"/>
      <c r="D268" s="1474"/>
      <c r="E268" s="1474"/>
    </row>
    <row r="269">
      <c r="C269" s="1474"/>
      <c r="D269" s="1474"/>
      <c r="E269" s="1474"/>
    </row>
    <row r="270">
      <c r="C270" s="1474"/>
      <c r="D270" s="1474"/>
      <c r="E270" s="1474"/>
    </row>
    <row r="271">
      <c r="C271" s="1474"/>
      <c r="D271" s="1474"/>
      <c r="E271" s="1474"/>
    </row>
    <row r="272">
      <c r="C272" s="1474"/>
      <c r="D272" s="1474"/>
      <c r="E272" s="1474"/>
    </row>
    <row r="273">
      <c r="C273" s="1474"/>
      <c r="D273" s="1474"/>
      <c r="E273" s="1474"/>
    </row>
    <row r="274">
      <c r="C274" s="1474"/>
      <c r="D274" s="1474"/>
      <c r="E274" s="1474"/>
    </row>
    <row r="275">
      <c r="C275" s="1474"/>
      <c r="D275" s="1474"/>
      <c r="E275" s="1474"/>
    </row>
    <row r="276">
      <c r="C276" s="1474"/>
      <c r="D276" s="1474"/>
      <c r="E276" s="1474"/>
    </row>
    <row r="277">
      <c r="C277" s="1474"/>
      <c r="D277" s="1474"/>
      <c r="E277" s="1474"/>
    </row>
    <row r="278">
      <c r="C278" s="1474"/>
      <c r="D278" s="1474"/>
      <c r="E278" s="1474"/>
    </row>
    <row r="279">
      <c r="C279" s="1474"/>
      <c r="D279" s="1474"/>
      <c r="E279" s="1474"/>
    </row>
    <row r="280">
      <c r="C280" s="1474"/>
      <c r="D280" s="1474"/>
      <c r="E280" s="1474"/>
    </row>
    <row r="281">
      <c r="C281" s="1474"/>
      <c r="D281" s="1474"/>
      <c r="E281" s="1474"/>
    </row>
    <row r="282">
      <c r="C282" s="1474"/>
      <c r="D282" s="1474"/>
      <c r="E282" s="1474"/>
    </row>
    <row r="283">
      <c r="C283" s="1474"/>
      <c r="D283" s="1474"/>
      <c r="E283" s="1474"/>
    </row>
    <row r="284">
      <c r="C284" s="1474"/>
      <c r="D284" s="1474"/>
      <c r="E284" s="1474"/>
    </row>
    <row r="285">
      <c r="C285" s="1474"/>
      <c r="D285" s="1474"/>
      <c r="E285" s="1474"/>
    </row>
    <row r="286">
      <c r="C286" s="1474"/>
      <c r="D286" s="1474"/>
      <c r="E286" s="1474"/>
    </row>
    <row r="287">
      <c r="C287" s="1474"/>
      <c r="D287" s="1474"/>
      <c r="E287" s="1474"/>
    </row>
    <row r="288">
      <c r="C288" s="1474"/>
      <c r="D288" s="1474"/>
      <c r="E288" s="1474"/>
    </row>
    <row r="289">
      <c r="C289" s="1474"/>
      <c r="D289" s="1474"/>
      <c r="E289" s="1474"/>
    </row>
    <row r="290">
      <c r="C290" s="1474"/>
      <c r="D290" s="1474"/>
      <c r="E290" s="1474"/>
    </row>
    <row r="291">
      <c r="C291" s="1474"/>
      <c r="D291" s="1474"/>
      <c r="E291" s="1474"/>
    </row>
    <row r="292">
      <c r="C292" s="1474"/>
      <c r="D292" s="1474"/>
      <c r="E292" s="1474"/>
    </row>
    <row r="293">
      <c r="C293" s="1474"/>
      <c r="D293" s="1474"/>
      <c r="E293" s="1474"/>
    </row>
    <row r="294">
      <c r="C294" s="1474"/>
      <c r="D294" s="1474"/>
      <c r="E294" s="1474"/>
    </row>
    <row r="295">
      <c r="C295" s="1474"/>
      <c r="D295" s="1474"/>
      <c r="E295" s="1474"/>
    </row>
    <row r="296">
      <c r="C296" s="1474"/>
      <c r="D296" s="1474"/>
      <c r="E296" s="1474"/>
    </row>
    <row r="297">
      <c r="C297" s="1474"/>
      <c r="D297" s="1474"/>
      <c r="E297" s="1474"/>
    </row>
    <row r="298">
      <c r="C298" s="1474"/>
      <c r="D298" s="1474"/>
      <c r="E298" s="1474"/>
    </row>
    <row r="299">
      <c r="C299" s="1474"/>
      <c r="D299" s="1474"/>
      <c r="E299" s="1474"/>
    </row>
    <row r="300">
      <c r="C300" s="1474"/>
      <c r="D300" s="1474"/>
      <c r="E300" s="1474"/>
    </row>
    <row r="301">
      <c r="C301" s="1474"/>
      <c r="D301" s="1474"/>
      <c r="E301" s="1474"/>
    </row>
    <row r="302">
      <c r="C302" s="1474"/>
      <c r="D302" s="1474"/>
      <c r="E302" s="1474"/>
    </row>
    <row r="303">
      <c r="C303" s="1474"/>
      <c r="D303" s="1474"/>
      <c r="E303" s="1474"/>
    </row>
    <row r="304">
      <c r="C304" s="1474"/>
      <c r="D304" s="1474"/>
      <c r="E304" s="1474"/>
    </row>
    <row r="305">
      <c r="C305" s="1474"/>
      <c r="D305" s="1474"/>
      <c r="E305" s="1474"/>
    </row>
    <row r="306">
      <c r="C306" s="1474"/>
      <c r="D306" s="1474"/>
      <c r="E306" s="1474"/>
    </row>
    <row r="307">
      <c r="C307" s="1474"/>
      <c r="D307" s="1474"/>
      <c r="E307" s="1474"/>
    </row>
    <row r="308">
      <c r="C308" s="1474"/>
      <c r="D308" s="1474"/>
      <c r="E308" s="1474"/>
    </row>
    <row r="309">
      <c r="C309" s="1474"/>
      <c r="D309" s="1474"/>
      <c r="E309" s="1474"/>
    </row>
    <row r="310">
      <c r="C310" s="1474"/>
      <c r="D310" s="1474"/>
      <c r="E310" s="1474"/>
    </row>
    <row r="311">
      <c r="C311" s="1474"/>
      <c r="D311" s="1474"/>
      <c r="E311" s="1474"/>
    </row>
    <row r="312">
      <c r="C312" s="1474"/>
      <c r="D312" s="1474"/>
      <c r="E312" s="1474"/>
    </row>
    <row r="313">
      <c r="C313" s="1474"/>
      <c r="D313" s="1474"/>
      <c r="E313" s="1474"/>
    </row>
    <row r="314">
      <c r="C314" s="1474"/>
      <c r="D314" s="1474"/>
      <c r="E314" s="1474"/>
    </row>
    <row r="315">
      <c r="C315" s="1474"/>
      <c r="D315" s="1474"/>
      <c r="E315" s="1474"/>
    </row>
    <row r="316">
      <c r="C316" s="1474"/>
      <c r="D316" s="1474"/>
      <c r="E316" s="1474"/>
    </row>
    <row r="317">
      <c r="C317" s="1474"/>
      <c r="D317" s="1474"/>
      <c r="E317" s="1474"/>
    </row>
    <row r="318">
      <c r="C318" s="1474"/>
      <c r="D318" s="1474"/>
      <c r="E318" s="1474"/>
    </row>
    <row r="319">
      <c r="C319" s="1474"/>
      <c r="D319" s="1474"/>
      <c r="E319" s="1474"/>
    </row>
    <row r="320">
      <c r="C320" s="1474"/>
      <c r="D320" s="1474"/>
      <c r="E320" s="1474"/>
    </row>
    <row r="321">
      <c r="C321" s="1474"/>
      <c r="D321" s="1474"/>
      <c r="E321" s="1474"/>
    </row>
    <row r="322">
      <c r="C322" s="1474"/>
      <c r="D322" s="1474"/>
      <c r="E322" s="1474"/>
    </row>
    <row r="323">
      <c r="C323" s="1474"/>
      <c r="D323" s="1474"/>
      <c r="E323" s="1474"/>
    </row>
    <row r="324">
      <c r="C324" s="1474"/>
      <c r="D324" s="1474"/>
      <c r="E324" s="1474"/>
    </row>
    <row r="325">
      <c r="C325" s="1474"/>
      <c r="D325" s="1474"/>
      <c r="E325" s="1474"/>
    </row>
    <row r="326">
      <c r="C326" s="1474"/>
      <c r="D326" s="1474"/>
      <c r="E326" s="1474"/>
    </row>
    <row r="327">
      <c r="C327" s="1474"/>
      <c r="D327" s="1474"/>
      <c r="E327" s="1474"/>
    </row>
    <row r="328">
      <c r="C328" s="1474"/>
      <c r="D328" s="1474"/>
      <c r="E328" s="1474"/>
    </row>
    <row r="329">
      <c r="C329" s="1474"/>
      <c r="D329" s="1474"/>
      <c r="E329" s="1474"/>
    </row>
    <row r="330">
      <c r="C330" s="1474"/>
      <c r="D330" s="1474"/>
      <c r="E330" s="1474"/>
    </row>
    <row r="331">
      <c r="C331" s="1474"/>
      <c r="D331" s="1474"/>
      <c r="E331" s="1474"/>
    </row>
    <row r="332">
      <c r="C332" s="1474"/>
      <c r="D332" s="1474"/>
      <c r="E332" s="1474"/>
    </row>
    <row r="333">
      <c r="C333" s="1474"/>
      <c r="D333" s="1474"/>
      <c r="E333" s="1474"/>
    </row>
    <row r="334">
      <c r="C334" s="1474"/>
      <c r="D334" s="1474"/>
      <c r="E334" s="1474"/>
    </row>
    <row r="335">
      <c r="C335" s="1474"/>
      <c r="D335" s="1474"/>
      <c r="E335" s="1474"/>
    </row>
    <row r="336">
      <c r="C336" s="1474"/>
      <c r="D336" s="1474"/>
      <c r="E336" s="1474"/>
    </row>
    <row r="337">
      <c r="C337" s="1474"/>
      <c r="D337" s="1474"/>
      <c r="E337" s="1474"/>
    </row>
    <row r="338">
      <c r="C338" s="1474"/>
      <c r="D338" s="1474"/>
      <c r="E338" s="1474"/>
    </row>
    <row r="339">
      <c r="C339" s="1474"/>
      <c r="D339" s="1474"/>
      <c r="E339" s="1474"/>
    </row>
    <row r="340">
      <c r="C340" s="1474"/>
      <c r="D340" s="1474"/>
      <c r="E340" s="1474"/>
    </row>
    <row r="341">
      <c r="C341" s="1474"/>
      <c r="D341" s="1474"/>
      <c r="E341" s="1474"/>
    </row>
    <row r="342">
      <c r="C342" s="1474"/>
      <c r="D342" s="1474"/>
      <c r="E342" s="1474"/>
    </row>
    <row r="343">
      <c r="C343" s="1474"/>
      <c r="D343" s="1474"/>
      <c r="E343" s="1474"/>
    </row>
    <row r="344">
      <c r="C344" s="1474"/>
      <c r="D344" s="1474"/>
      <c r="E344" s="1474"/>
    </row>
    <row r="345">
      <c r="C345" s="1474"/>
      <c r="D345" s="1474"/>
      <c r="E345" s="1474"/>
    </row>
    <row r="346">
      <c r="C346" s="1474"/>
      <c r="D346" s="1474"/>
      <c r="E346" s="1474"/>
    </row>
    <row r="347">
      <c r="C347" s="1474"/>
      <c r="D347" s="1474"/>
      <c r="E347" s="1474"/>
    </row>
    <row r="348">
      <c r="C348" s="1474"/>
      <c r="D348" s="1474"/>
      <c r="E348" s="1474"/>
    </row>
    <row r="349">
      <c r="C349" s="1474"/>
      <c r="D349" s="1474"/>
      <c r="E349" s="1474"/>
    </row>
    <row r="350">
      <c r="C350" s="1474"/>
      <c r="D350" s="1474"/>
      <c r="E350" s="1474"/>
    </row>
    <row r="351">
      <c r="C351" s="1474"/>
      <c r="D351" s="1474"/>
      <c r="E351" s="1474"/>
    </row>
    <row r="352">
      <c r="C352" s="1474"/>
      <c r="D352" s="1474"/>
      <c r="E352" s="1474"/>
    </row>
    <row r="353">
      <c r="C353" s="1474"/>
      <c r="D353" s="1474"/>
      <c r="E353" s="1474"/>
    </row>
    <row r="354">
      <c r="C354" s="1474"/>
      <c r="D354" s="1474"/>
      <c r="E354" s="1474"/>
    </row>
    <row r="355">
      <c r="C355" s="1474"/>
      <c r="D355" s="1474"/>
      <c r="E355" s="1474"/>
    </row>
    <row r="356">
      <c r="C356" s="1474"/>
      <c r="D356" s="1474"/>
      <c r="E356" s="1474"/>
    </row>
    <row r="357">
      <c r="C357" s="1474"/>
      <c r="D357" s="1474"/>
      <c r="E357" s="1474"/>
    </row>
    <row r="358">
      <c r="C358" s="1474"/>
      <c r="D358" s="1474"/>
      <c r="E358" s="1474"/>
    </row>
    <row r="359">
      <c r="C359" s="1474"/>
      <c r="D359" s="1474"/>
      <c r="E359" s="1474"/>
    </row>
    <row r="360">
      <c r="C360" s="1474"/>
      <c r="D360" s="1474"/>
      <c r="E360" s="1474"/>
    </row>
    <row r="361">
      <c r="C361" s="1474"/>
      <c r="D361" s="1474"/>
      <c r="E361" s="1474"/>
    </row>
    <row r="362">
      <c r="C362" s="1474"/>
      <c r="D362" s="1474"/>
      <c r="E362" s="1474"/>
    </row>
    <row r="363">
      <c r="C363" s="1474"/>
      <c r="D363" s="1474"/>
      <c r="E363" s="1474"/>
    </row>
    <row r="364">
      <c r="C364" s="1474"/>
      <c r="D364" s="1474"/>
      <c r="E364" s="1474"/>
    </row>
    <row r="365">
      <c r="C365" s="1474"/>
      <c r="D365" s="1474"/>
      <c r="E365" s="1474"/>
    </row>
    <row r="366">
      <c r="C366" s="1474"/>
      <c r="D366" s="1474"/>
      <c r="E366" s="1474"/>
    </row>
    <row r="367">
      <c r="C367" s="1474"/>
      <c r="D367" s="1474"/>
      <c r="E367" s="1474"/>
    </row>
    <row r="368">
      <c r="C368" s="1474"/>
      <c r="D368" s="1474"/>
      <c r="E368" s="1474"/>
    </row>
    <row r="369">
      <c r="C369" s="1474"/>
      <c r="D369" s="1474"/>
      <c r="E369" s="1474"/>
    </row>
    <row r="370">
      <c r="C370" s="1474"/>
      <c r="D370" s="1474"/>
      <c r="E370" s="1474"/>
    </row>
    <row r="371">
      <c r="C371" s="1474"/>
      <c r="D371" s="1474"/>
      <c r="E371" s="1474"/>
    </row>
    <row r="372">
      <c r="C372" s="1474"/>
      <c r="D372" s="1474"/>
      <c r="E372" s="1474"/>
    </row>
    <row r="373">
      <c r="C373" s="1474"/>
      <c r="D373" s="1474"/>
      <c r="E373" s="1474"/>
    </row>
    <row r="374">
      <c r="C374" s="1474"/>
      <c r="D374" s="1474"/>
      <c r="E374" s="1474"/>
    </row>
    <row r="375">
      <c r="C375" s="1474"/>
      <c r="D375" s="1474"/>
      <c r="E375" s="1474"/>
    </row>
    <row r="376">
      <c r="C376" s="1474"/>
      <c r="D376" s="1474"/>
      <c r="E376" s="1474"/>
    </row>
    <row r="377">
      <c r="C377" s="1474"/>
      <c r="D377" s="1474"/>
      <c r="E377" s="1474"/>
    </row>
    <row r="378">
      <c r="C378" s="1474"/>
      <c r="D378" s="1474"/>
      <c r="E378" s="1474"/>
    </row>
    <row r="379">
      <c r="C379" s="1474"/>
      <c r="D379" s="1474"/>
      <c r="E379" s="1474"/>
    </row>
    <row r="380">
      <c r="C380" s="1474"/>
      <c r="D380" s="1474"/>
      <c r="E380" s="1474"/>
    </row>
    <row r="381">
      <c r="C381" s="1474"/>
      <c r="D381" s="1474"/>
      <c r="E381" s="1474"/>
    </row>
    <row r="382">
      <c r="C382" s="1474"/>
      <c r="D382" s="1474"/>
      <c r="E382" s="1474"/>
    </row>
    <row r="383">
      <c r="C383" s="1474"/>
      <c r="D383" s="1474"/>
      <c r="E383" s="1474"/>
    </row>
    <row r="384">
      <c r="C384" s="1474"/>
      <c r="D384" s="1474"/>
      <c r="E384" s="1474"/>
    </row>
    <row r="385">
      <c r="C385" s="1474"/>
      <c r="D385" s="1474"/>
      <c r="E385" s="1474"/>
    </row>
    <row r="386">
      <c r="C386" s="1474"/>
      <c r="D386" s="1474"/>
      <c r="E386" s="1474"/>
    </row>
    <row r="387">
      <c r="C387" s="1474"/>
      <c r="D387" s="1474"/>
      <c r="E387" s="1474"/>
    </row>
    <row r="388">
      <c r="C388" s="1474"/>
      <c r="D388" s="1474"/>
      <c r="E388" s="1474"/>
    </row>
    <row r="389">
      <c r="C389" s="1474"/>
      <c r="D389" s="1474"/>
      <c r="E389" s="1474"/>
    </row>
    <row r="390">
      <c r="C390" s="1474"/>
      <c r="D390" s="1474"/>
      <c r="E390" s="1474"/>
    </row>
    <row r="391">
      <c r="C391" s="1474"/>
      <c r="D391" s="1474"/>
      <c r="E391" s="1474"/>
    </row>
    <row r="392">
      <c r="C392" s="1474"/>
      <c r="D392" s="1474"/>
      <c r="E392" s="1474"/>
    </row>
    <row r="393">
      <c r="C393" s="1474"/>
      <c r="D393" s="1474"/>
      <c r="E393" s="1474"/>
    </row>
    <row r="394">
      <c r="C394" s="1474"/>
      <c r="D394" s="1474"/>
      <c r="E394" s="1474"/>
    </row>
    <row r="395">
      <c r="C395" s="1474"/>
      <c r="D395" s="1474"/>
      <c r="E395" s="1474"/>
    </row>
    <row r="396">
      <c r="C396" s="1474"/>
      <c r="D396" s="1474"/>
      <c r="E396" s="1474"/>
    </row>
    <row r="397">
      <c r="C397" s="1474"/>
      <c r="D397" s="1474"/>
      <c r="E397" s="1474"/>
    </row>
    <row r="398">
      <c r="C398" s="1474"/>
      <c r="D398" s="1474"/>
      <c r="E398" s="1474"/>
    </row>
    <row r="399">
      <c r="C399" s="1474"/>
      <c r="D399" s="1474"/>
      <c r="E399" s="1474"/>
    </row>
    <row r="400">
      <c r="C400" s="1474"/>
      <c r="D400" s="1474"/>
      <c r="E400" s="1474"/>
    </row>
    <row r="401">
      <c r="C401" s="1474"/>
      <c r="D401" s="1474"/>
      <c r="E401" s="1474"/>
    </row>
    <row r="402">
      <c r="C402" s="1474"/>
      <c r="D402" s="1474"/>
      <c r="E402" s="1474"/>
    </row>
    <row r="403">
      <c r="C403" s="1474"/>
      <c r="D403" s="1474"/>
      <c r="E403" s="1474"/>
    </row>
    <row r="404">
      <c r="C404" s="1474"/>
      <c r="D404" s="1474"/>
      <c r="E404" s="1474"/>
    </row>
    <row r="405">
      <c r="C405" s="1474"/>
      <c r="D405" s="1474"/>
      <c r="E405" s="1474"/>
    </row>
    <row r="406">
      <c r="C406" s="1474"/>
      <c r="D406" s="1474"/>
      <c r="E406" s="1474"/>
    </row>
    <row r="407">
      <c r="C407" s="1474"/>
      <c r="D407" s="1474"/>
      <c r="E407" s="1474"/>
    </row>
    <row r="408">
      <c r="C408" s="1474"/>
      <c r="D408" s="1474"/>
      <c r="E408" s="1474"/>
    </row>
    <row r="409">
      <c r="C409" s="1474"/>
      <c r="D409" s="1474"/>
      <c r="E409" s="1474"/>
    </row>
    <row r="410">
      <c r="C410" s="1474"/>
      <c r="D410" s="1474"/>
      <c r="E410" s="1474"/>
    </row>
    <row r="411">
      <c r="C411" s="1474"/>
      <c r="D411" s="1474"/>
      <c r="E411" s="1474"/>
    </row>
    <row r="412">
      <c r="C412" s="1474"/>
      <c r="D412" s="1474"/>
      <c r="E412" s="1474"/>
    </row>
    <row r="413">
      <c r="C413" s="1474"/>
      <c r="D413" s="1474"/>
      <c r="E413" s="1474"/>
    </row>
    <row r="414">
      <c r="C414" s="1474"/>
      <c r="D414" s="1474"/>
      <c r="E414" s="1474"/>
    </row>
    <row r="415">
      <c r="C415" s="1474"/>
      <c r="D415" s="1474"/>
      <c r="E415" s="1474"/>
    </row>
    <row r="416">
      <c r="C416" s="1474"/>
      <c r="D416" s="1474"/>
      <c r="E416" s="1474"/>
    </row>
    <row r="417">
      <c r="C417" s="1474"/>
      <c r="D417" s="1474"/>
      <c r="E417" s="1474"/>
    </row>
    <row r="418">
      <c r="C418" s="1474"/>
      <c r="D418" s="1474"/>
      <c r="E418" s="1474"/>
    </row>
    <row r="419">
      <c r="C419" s="1474"/>
      <c r="D419" s="1474"/>
      <c r="E419" s="1474"/>
    </row>
    <row r="420">
      <c r="C420" s="1474"/>
      <c r="D420" s="1474"/>
      <c r="E420" s="1474"/>
    </row>
    <row r="421">
      <c r="C421" s="1474"/>
      <c r="D421" s="1474"/>
      <c r="E421" s="1474"/>
    </row>
    <row r="422">
      <c r="C422" s="1474"/>
      <c r="D422" s="1474"/>
      <c r="E422" s="1474"/>
    </row>
    <row r="423">
      <c r="C423" s="1474"/>
      <c r="D423" s="1474"/>
      <c r="E423" s="1474"/>
    </row>
    <row r="424">
      <c r="C424" s="1474"/>
      <c r="D424" s="1474"/>
      <c r="E424" s="1474"/>
    </row>
    <row r="425">
      <c r="C425" s="1474"/>
      <c r="D425" s="1474"/>
      <c r="E425" s="1474"/>
    </row>
    <row r="426">
      <c r="C426" s="1474"/>
      <c r="D426" s="1474"/>
      <c r="E426" s="1474"/>
    </row>
    <row r="427">
      <c r="C427" s="1474"/>
      <c r="D427" s="1474"/>
      <c r="E427" s="1474"/>
    </row>
    <row r="428">
      <c r="C428" s="1474"/>
      <c r="D428" s="1474"/>
      <c r="E428" s="1474"/>
    </row>
    <row r="429">
      <c r="C429" s="1474"/>
      <c r="D429" s="1474"/>
      <c r="E429" s="1474"/>
    </row>
    <row r="430">
      <c r="C430" s="1474"/>
      <c r="D430" s="1474"/>
      <c r="E430" s="1474"/>
    </row>
    <row r="431">
      <c r="C431" s="1474"/>
      <c r="D431" s="1474"/>
      <c r="E431" s="1474"/>
    </row>
    <row r="432">
      <c r="C432" s="1474"/>
      <c r="D432" s="1474"/>
      <c r="E432" s="1474"/>
    </row>
    <row r="433">
      <c r="C433" s="1474"/>
      <c r="D433" s="1474"/>
      <c r="E433" s="1474"/>
    </row>
    <row r="434">
      <c r="C434" s="1474"/>
      <c r="D434" s="1474"/>
      <c r="E434" s="1474"/>
    </row>
    <row r="435">
      <c r="C435" s="1474"/>
      <c r="D435" s="1474"/>
      <c r="E435" s="1474"/>
    </row>
    <row r="436">
      <c r="C436" s="1474"/>
      <c r="D436" s="1474"/>
      <c r="E436" s="1474"/>
    </row>
    <row r="437">
      <c r="C437" s="1474"/>
      <c r="D437" s="1474"/>
      <c r="E437" s="1474"/>
    </row>
    <row r="438">
      <c r="C438" s="1474"/>
      <c r="D438" s="1474"/>
      <c r="E438" s="1474"/>
    </row>
    <row r="439">
      <c r="C439" s="1474"/>
      <c r="D439" s="1474"/>
      <c r="E439" s="1474"/>
    </row>
    <row r="440">
      <c r="C440" s="1474"/>
      <c r="D440" s="1474"/>
      <c r="E440" s="1474"/>
    </row>
    <row r="441">
      <c r="C441" s="1474"/>
      <c r="D441" s="1474"/>
      <c r="E441" s="1474"/>
    </row>
    <row r="442">
      <c r="C442" s="1474"/>
      <c r="D442" s="1474"/>
      <c r="E442" s="1474"/>
    </row>
    <row r="443">
      <c r="C443" s="1474"/>
      <c r="D443" s="1474"/>
      <c r="E443" s="1474"/>
    </row>
    <row r="444">
      <c r="C444" s="1474"/>
      <c r="D444" s="1474"/>
      <c r="E444" s="1474"/>
    </row>
    <row r="445">
      <c r="C445" s="1474"/>
      <c r="D445" s="1474"/>
      <c r="E445" s="1474"/>
    </row>
    <row r="446">
      <c r="C446" s="1474"/>
      <c r="D446" s="1474"/>
      <c r="E446" s="1474"/>
    </row>
    <row r="447">
      <c r="C447" s="1474"/>
      <c r="D447" s="1474"/>
      <c r="E447" s="1474"/>
    </row>
    <row r="448">
      <c r="C448" s="1474"/>
      <c r="D448" s="1474"/>
      <c r="E448" s="1474"/>
    </row>
    <row r="449">
      <c r="C449" s="1474"/>
      <c r="D449" s="1474"/>
      <c r="E449" s="1474"/>
    </row>
    <row r="450">
      <c r="C450" s="1474"/>
      <c r="D450" s="1474"/>
      <c r="E450" s="1474"/>
    </row>
    <row r="451">
      <c r="C451" s="1474"/>
      <c r="D451" s="1474"/>
      <c r="E451" s="1474"/>
    </row>
    <row r="452">
      <c r="C452" s="1474"/>
      <c r="D452" s="1474"/>
      <c r="E452" s="1474"/>
    </row>
    <row r="453">
      <c r="C453" s="1474"/>
      <c r="D453" s="1474"/>
      <c r="E453" s="1474"/>
    </row>
    <row r="454">
      <c r="C454" s="1474"/>
      <c r="D454" s="1474"/>
      <c r="E454" s="1474"/>
    </row>
    <row r="455">
      <c r="C455" s="1474"/>
      <c r="D455" s="1474"/>
      <c r="E455" s="1474"/>
    </row>
    <row r="456">
      <c r="C456" s="1474"/>
      <c r="D456" s="1474"/>
      <c r="E456" s="1474"/>
    </row>
    <row r="457">
      <c r="C457" s="1474"/>
      <c r="D457" s="1474"/>
      <c r="E457" s="1474"/>
    </row>
    <row r="458">
      <c r="C458" s="1474"/>
      <c r="D458" s="1474"/>
      <c r="E458" s="1474"/>
    </row>
    <row r="459">
      <c r="C459" s="1474"/>
      <c r="D459" s="1474"/>
      <c r="E459" s="1474"/>
    </row>
    <row r="460">
      <c r="C460" s="1474"/>
      <c r="D460" s="1474"/>
      <c r="E460" s="1474"/>
    </row>
    <row r="461">
      <c r="C461" s="1474"/>
      <c r="D461" s="1474"/>
      <c r="E461" s="1474"/>
    </row>
    <row r="462">
      <c r="C462" s="1474"/>
      <c r="D462" s="1474"/>
      <c r="E462" s="1474"/>
    </row>
    <row r="463">
      <c r="C463" s="1474"/>
      <c r="D463" s="1474"/>
      <c r="E463" s="1474"/>
    </row>
    <row r="464">
      <c r="C464" s="1474"/>
      <c r="D464" s="1474"/>
      <c r="E464" s="1474"/>
    </row>
    <row r="465">
      <c r="C465" s="1474"/>
      <c r="D465" s="1474"/>
      <c r="E465" s="1474"/>
    </row>
    <row r="466">
      <c r="C466" s="1474"/>
      <c r="D466" s="1474"/>
      <c r="E466" s="1474"/>
    </row>
    <row r="467">
      <c r="C467" s="1474"/>
      <c r="D467" s="1474"/>
      <c r="E467" s="1474"/>
    </row>
    <row r="468">
      <c r="C468" s="1474"/>
      <c r="D468" s="1474"/>
      <c r="E468" s="1474"/>
    </row>
    <row r="469">
      <c r="C469" s="1474"/>
      <c r="D469" s="1474"/>
      <c r="E469" s="1474"/>
    </row>
    <row r="470">
      <c r="C470" s="1474"/>
      <c r="D470" s="1474"/>
      <c r="E470" s="1474"/>
    </row>
    <row r="471">
      <c r="C471" s="1474"/>
      <c r="D471" s="1474"/>
      <c r="E471" s="1474"/>
    </row>
    <row r="472">
      <c r="C472" s="1474"/>
      <c r="D472" s="1474"/>
      <c r="E472" s="1474"/>
    </row>
    <row r="473">
      <c r="C473" s="1474"/>
      <c r="D473" s="1474"/>
      <c r="E473" s="1474"/>
    </row>
    <row r="474">
      <c r="C474" s="1474"/>
      <c r="D474" s="1474"/>
      <c r="E474" s="1474"/>
    </row>
    <row r="475">
      <c r="C475" s="1474"/>
      <c r="D475" s="1474"/>
      <c r="E475" s="1474"/>
    </row>
    <row r="476">
      <c r="C476" s="1474"/>
      <c r="D476" s="1474"/>
      <c r="E476" s="1474"/>
    </row>
    <row r="477">
      <c r="C477" s="1474"/>
      <c r="D477" s="1474"/>
      <c r="E477" s="1474"/>
    </row>
    <row r="478">
      <c r="C478" s="1474"/>
      <c r="D478" s="1474"/>
      <c r="E478" s="1474"/>
    </row>
    <row r="479">
      <c r="C479" s="1474"/>
      <c r="D479" s="1474"/>
      <c r="E479" s="1474"/>
    </row>
    <row r="480">
      <c r="C480" s="1474"/>
      <c r="D480" s="1474"/>
      <c r="E480" s="1474"/>
    </row>
    <row r="481">
      <c r="C481" s="1474"/>
      <c r="D481" s="1474"/>
      <c r="E481" s="1474"/>
    </row>
    <row r="482">
      <c r="C482" s="1474"/>
      <c r="D482" s="1474"/>
      <c r="E482" s="1474"/>
    </row>
    <row r="483">
      <c r="C483" s="1474"/>
      <c r="D483" s="1474"/>
      <c r="E483" s="1474"/>
    </row>
    <row r="484">
      <c r="C484" s="1474"/>
      <c r="D484" s="1474"/>
      <c r="E484" s="1474"/>
    </row>
    <row r="485">
      <c r="C485" s="1474"/>
      <c r="D485" s="1474"/>
      <c r="E485" s="1474"/>
    </row>
    <row r="486">
      <c r="C486" s="1474"/>
      <c r="D486" s="1474"/>
      <c r="E486" s="1474"/>
    </row>
    <row r="487">
      <c r="C487" s="1474"/>
      <c r="D487" s="1474"/>
      <c r="E487" s="1474"/>
    </row>
    <row r="488">
      <c r="C488" s="1474"/>
      <c r="D488" s="1474"/>
      <c r="E488" s="1474"/>
    </row>
    <row r="489">
      <c r="C489" s="1474"/>
      <c r="D489" s="1474"/>
      <c r="E489" s="1474"/>
    </row>
    <row r="490">
      <c r="C490" s="1474"/>
      <c r="D490" s="1474"/>
      <c r="E490" s="1474"/>
    </row>
    <row r="491">
      <c r="C491" s="1474"/>
      <c r="D491" s="1474"/>
      <c r="E491" s="1474"/>
    </row>
    <row r="492">
      <c r="C492" s="1474"/>
      <c r="D492" s="1474"/>
      <c r="E492" s="1474"/>
    </row>
    <row r="493">
      <c r="C493" s="1474"/>
      <c r="D493" s="1474"/>
      <c r="E493" s="1474"/>
    </row>
    <row r="494">
      <c r="C494" s="1474"/>
      <c r="D494" s="1474"/>
      <c r="E494" s="1474"/>
    </row>
    <row r="495">
      <c r="C495" s="1474"/>
      <c r="D495" s="1474"/>
      <c r="E495" s="1474"/>
    </row>
    <row r="496">
      <c r="C496" s="1474"/>
      <c r="D496" s="1474"/>
      <c r="E496" s="1474"/>
    </row>
    <row r="497">
      <c r="C497" s="1474"/>
      <c r="D497" s="1474"/>
      <c r="E497" s="1474"/>
    </row>
    <row r="498">
      <c r="C498" s="1474"/>
      <c r="D498" s="1474"/>
      <c r="E498" s="1474"/>
    </row>
    <row r="499">
      <c r="C499" s="1474"/>
      <c r="D499" s="1474"/>
      <c r="E499" s="1474"/>
    </row>
    <row r="500">
      <c r="C500" s="1474"/>
      <c r="D500" s="1474"/>
      <c r="E500" s="1474"/>
    </row>
    <row r="501">
      <c r="C501" s="1474"/>
      <c r="D501" s="1474"/>
      <c r="E501" s="1474"/>
    </row>
    <row r="502">
      <c r="C502" s="1474"/>
      <c r="D502" s="1474"/>
      <c r="E502" s="1474"/>
    </row>
    <row r="503">
      <c r="C503" s="1474"/>
      <c r="D503" s="1474"/>
      <c r="E503" s="1474"/>
    </row>
    <row r="504">
      <c r="C504" s="1474"/>
      <c r="D504" s="1474"/>
      <c r="E504" s="1474"/>
    </row>
    <row r="505">
      <c r="C505" s="1474"/>
      <c r="D505" s="1474"/>
      <c r="E505" s="1474"/>
    </row>
    <row r="506">
      <c r="C506" s="1474"/>
      <c r="D506" s="1474"/>
      <c r="E506" s="1474"/>
    </row>
    <row r="507">
      <c r="C507" s="1474"/>
      <c r="D507" s="1474"/>
      <c r="E507" s="1474"/>
    </row>
    <row r="508">
      <c r="C508" s="1474"/>
      <c r="D508" s="1474"/>
      <c r="E508" s="1474"/>
    </row>
    <row r="509">
      <c r="C509" s="1474"/>
      <c r="D509" s="1474"/>
      <c r="E509" s="1474"/>
    </row>
    <row r="510">
      <c r="C510" s="1474"/>
      <c r="D510" s="1474"/>
      <c r="E510" s="1474"/>
    </row>
    <row r="511">
      <c r="C511" s="1474"/>
      <c r="D511" s="1474"/>
      <c r="E511" s="1474"/>
    </row>
    <row r="512">
      <c r="C512" s="1474"/>
      <c r="D512" s="1474"/>
      <c r="E512" s="1474"/>
    </row>
    <row r="513">
      <c r="C513" s="1474"/>
      <c r="D513" s="1474"/>
      <c r="E513" s="1474"/>
    </row>
    <row r="514">
      <c r="C514" s="1474"/>
      <c r="D514" s="1474"/>
      <c r="E514" s="1474"/>
    </row>
    <row r="515">
      <c r="C515" s="1474"/>
      <c r="D515" s="1474"/>
      <c r="E515" s="1474"/>
    </row>
    <row r="516">
      <c r="C516" s="1474"/>
      <c r="D516" s="1474"/>
      <c r="E516" s="1474"/>
    </row>
    <row r="517">
      <c r="C517" s="1474"/>
      <c r="D517" s="1474"/>
      <c r="E517" s="1474"/>
    </row>
    <row r="518">
      <c r="C518" s="1474"/>
      <c r="D518" s="1474"/>
      <c r="E518" s="1474"/>
    </row>
    <row r="519">
      <c r="C519" s="1474"/>
      <c r="D519" s="1474"/>
      <c r="E519" s="1474"/>
    </row>
    <row r="520">
      <c r="C520" s="1474"/>
      <c r="D520" s="1474"/>
      <c r="E520" s="1474"/>
    </row>
    <row r="521">
      <c r="C521" s="1474"/>
      <c r="D521" s="1474"/>
      <c r="E521" s="1474"/>
    </row>
    <row r="522">
      <c r="C522" s="1474"/>
      <c r="D522" s="1474"/>
      <c r="E522" s="1474"/>
    </row>
    <row r="523">
      <c r="C523" s="1474"/>
      <c r="D523" s="1474"/>
      <c r="E523" s="1474"/>
    </row>
    <row r="524">
      <c r="C524" s="1474"/>
      <c r="D524" s="1474"/>
      <c r="E524" s="1474"/>
    </row>
    <row r="525">
      <c r="C525" s="1474"/>
      <c r="D525" s="1474"/>
      <c r="E525" s="1474"/>
    </row>
    <row r="526">
      <c r="C526" s="1474"/>
      <c r="D526" s="1474"/>
      <c r="E526" s="1474"/>
    </row>
    <row r="527">
      <c r="C527" s="1474"/>
      <c r="D527" s="1474"/>
      <c r="E527" s="1474"/>
    </row>
    <row r="528">
      <c r="C528" s="1474"/>
      <c r="D528" s="1474"/>
      <c r="E528" s="1474"/>
    </row>
    <row r="529">
      <c r="C529" s="1474"/>
      <c r="D529" s="1474"/>
      <c r="E529" s="1474"/>
    </row>
    <row r="530">
      <c r="C530" s="1474"/>
      <c r="D530" s="1474"/>
      <c r="E530" s="1474"/>
    </row>
    <row r="531">
      <c r="C531" s="1474"/>
      <c r="D531" s="1474"/>
      <c r="E531" s="1474"/>
    </row>
    <row r="532">
      <c r="C532" s="1474"/>
      <c r="D532" s="1474"/>
      <c r="E532" s="1474"/>
    </row>
    <row r="533">
      <c r="C533" s="1474"/>
      <c r="D533" s="1474"/>
      <c r="E533" s="1474"/>
    </row>
    <row r="534">
      <c r="C534" s="1474"/>
      <c r="D534" s="1474"/>
      <c r="E534" s="1474"/>
    </row>
    <row r="535">
      <c r="C535" s="1474"/>
      <c r="D535" s="1474"/>
      <c r="E535" s="1474"/>
    </row>
    <row r="536">
      <c r="C536" s="1474"/>
      <c r="D536" s="1474"/>
      <c r="E536" s="1474"/>
    </row>
    <row r="537">
      <c r="C537" s="1474"/>
      <c r="D537" s="1474"/>
      <c r="E537" s="1474"/>
    </row>
    <row r="538">
      <c r="C538" s="1474"/>
      <c r="D538" s="1474"/>
      <c r="E538" s="1474"/>
    </row>
    <row r="539">
      <c r="C539" s="1474"/>
      <c r="D539" s="1474"/>
      <c r="E539" s="1474"/>
    </row>
    <row r="540">
      <c r="C540" s="1474"/>
      <c r="D540" s="1474"/>
      <c r="E540" s="1474"/>
    </row>
    <row r="541">
      <c r="C541" s="1474"/>
      <c r="D541" s="1474"/>
      <c r="E541" s="1474"/>
    </row>
    <row r="542">
      <c r="C542" s="1474"/>
      <c r="D542" s="1474"/>
      <c r="E542" s="1474"/>
    </row>
    <row r="543">
      <c r="C543" s="1474"/>
      <c r="D543" s="1474"/>
      <c r="E543" s="1474"/>
    </row>
    <row r="544">
      <c r="C544" s="1474"/>
      <c r="D544" s="1474"/>
      <c r="E544" s="1474"/>
    </row>
    <row r="545">
      <c r="C545" s="1474"/>
      <c r="D545" s="1474"/>
      <c r="E545" s="1474"/>
    </row>
    <row r="546">
      <c r="C546" s="1474"/>
      <c r="D546" s="1474"/>
      <c r="E546" s="1474"/>
    </row>
    <row r="547">
      <c r="C547" s="1474"/>
      <c r="D547" s="1474"/>
      <c r="E547" s="1474"/>
    </row>
    <row r="548">
      <c r="C548" s="1474"/>
      <c r="D548" s="1474"/>
      <c r="E548" s="1474"/>
    </row>
    <row r="549">
      <c r="C549" s="1474"/>
      <c r="D549" s="1474"/>
      <c r="E549" s="1474"/>
    </row>
    <row r="550">
      <c r="C550" s="1474"/>
      <c r="D550" s="1474"/>
      <c r="E550" s="1474"/>
    </row>
    <row r="551">
      <c r="C551" s="1474"/>
      <c r="D551" s="1474"/>
      <c r="E551" s="1474"/>
    </row>
    <row r="552">
      <c r="C552" s="1474"/>
      <c r="D552" s="1474"/>
      <c r="E552" s="1474"/>
    </row>
    <row r="553">
      <c r="C553" s="1474"/>
      <c r="D553" s="1474"/>
      <c r="E553" s="1474"/>
    </row>
    <row r="554">
      <c r="C554" s="1474"/>
      <c r="D554" s="1474"/>
      <c r="E554" s="1474"/>
    </row>
    <row r="555">
      <c r="C555" s="1474"/>
      <c r="D555" s="1474"/>
      <c r="E555" s="1474"/>
    </row>
    <row r="556">
      <c r="C556" s="1474"/>
      <c r="D556" s="1474"/>
      <c r="E556" s="1474"/>
    </row>
    <row r="557">
      <c r="C557" s="1474"/>
      <c r="D557" s="1474"/>
      <c r="E557" s="1474"/>
    </row>
    <row r="558">
      <c r="C558" s="1474"/>
      <c r="D558" s="1474"/>
      <c r="E558" s="1474"/>
    </row>
    <row r="559">
      <c r="C559" s="1474"/>
      <c r="D559" s="1474"/>
      <c r="E559" s="1474"/>
    </row>
    <row r="560">
      <c r="C560" s="1474"/>
      <c r="D560" s="1474"/>
      <c r="E560" s="1474"/>
    </row>
    <row r="561">
      <c r="C561" s="1474"/>
      <c r="D561" s="1474"/>
      <c r="E561" s="1474"/>
    </row>
    <row r="562">
      <c r="C562" s="1474"/>
      <c r="D562" s="1474"/>
      <c r="E562" s="1474"/>
    </row>
    <row r="563">
      <c r="C563" s="1474"/>
      <c r="D563" s="1474"/>
      <c r="E563" s="1474"/>
    </row>
    <row r="564">
      <c r="C564" s="1474"/>
      <c r="D564" s="1474"/>
      <c r="E564" s="1474"/>
    </row>
    <row r="565">
      <c r="C565" s="1474"/>
      <c r="D565" s="1474"/>
      <c r="E565" s="1474"/>
    </row>
    <row r="566">
      <c r="C566" s="1474"/>
      <c r="D566" s="1474"/>
      <c r="E566" s="1474"/>
    </row>
    <row r="567">
      <c r="C567" s="1474"/>
      <c r="D567" s="1474"/>
      <c r="E567" s="1474"/>
    </row>
    <row r="568">
      <c r="C568" s="1474"/>
      <c r="D568" s="1474"/>
      <c r="E568" s="1474"/>
    </row>
    <row r="569">
      <c r="C569" s="1474"/>
      <c r="D569" s="1474"/>
      <c r="E569" s="1474"/>
    </row>
    <row r="570">
      <c r="C570" s="1474"/>
      <c r="D570" s="1474"/>
      <c r="E570" s="1474"/>
    </row>
    <row r="571">
      <c r="C571" s="1474"/>
      <c r="D571" s="1474"/>
      <c r="E571" s="1474"/>
    </row>
    <row r="572">
      <c r="C572" s="1474"/>
      <c r="D572" s="1474"/>
      <c r="E572" s="1474"/>
    </row>
    <row r="573">
      <c r="C573" s="1474"/>
      <c r="D573" s="1474"/>
      <c r="E573" s="1474"/>
    </row>
    <row r="574">
      <c r="C574" s="1474"/>
      <c r="D574" s="1474"/>
      <c r="E574" s="1474"/>
    </row>
    <row r="575">
      <c r="C575" s="1474"/>
      <c r="D575" s="1474"/>
      <c r="E575" s="1474"/>
    </row>
    <row r="576">
      <c r="C576" s="1474"/>
      <c r="D576" s="1474"/>
      <c r="E576" s="1474"/>
    </row>
    <row r="577">
      <c r="C577" s="1474"/>
      <c r="D577" s="1474"/>
      <c r="E577" s="1474"/>
    </row>
    <row r="578">
      <c r="C578" s="1474"/>
      <c r="D578" s="1474"/>
      <c r="E578" s="1474"/>
    </row>
    <row r="579">
      <c r="C579" s="1474"/>
      <c r="D579" s="1474"/>
      <c r="E579" s="1474"/>
    </row>
    <row r="580">
      <c r="C580" s="1474"/>
      <c r="D580" s="1474"/>
      <c r="E580" s="1474"/>
    </row>
    <row r="581">
      <c r="C581" s="1474"/>
      <c r="D581" s="1474"/>
      <c r="E581" s="1474"/>
    </row>
    <row r="582">
      <c r="C582" s="1474"/>
      <c r="D582" s="1474"/>
      <c r="E582" s="1474"/>
    </row>
    <row r="583">
      <c r="C583" s="1474"/>
      <c r="D583" s="1474"/>
      <c r="E583" s="1474"/>
    </row>
    <row r="584">
      <c r="C584" s="1474"/>
      <c r="D584" s="1474"/>
      <c r="E584" s="1474"/>
    </row>
    <row r="585">
      <c r="C585" s="1474"/>
      <c r="D585" s="1474"/>
      <c r="E585" s="1474"/>
    </row>
    <row r="586">
      <c r="C586" s="1474"/>
      <c r="D586" s="1474"/>
      <c r="E586" s="1474"/>
    </row>
    <row r="587">
      <c r="C587" s="1474"/>
      <c r="D587" s="1474"/>
      <c r="E587" s="1474"/>
    </row>
    <row r="588">
      <c r="C588" s="1474"/>
      <c r="D588" s="1474"/>
      <c r="E588" s="1474"/>
    </row>
    <row r="589">
      <c r="C589" s="1474"/>
      <c r="D589" s="1474"/>
      <c r="E589" s="1474"/>
    </row>
    <row r="590">
      <c r="C590" s="1474"/>
      <c r="D590" s="1474"/>
      <c r="E590" s="1474"/>
    </row>
    <row r="591">
      <c r="C591" s="1474"/>
      <c r="D591" s="1474"/>
      <c r="E591" s="1474"/>
    </row>
    <row r="592">
      <c r="C592" s="1474"/>
      <c r="D592" s="1474"/>
      <c r="E592" s="1474"/>
    </row>
    <row r="593">
      <c r="C593" s="1474"/>
      <c r="D593" s="1474"/>
      <c r="E593" s="1474"/>
    </row>
    <row r="594">
      <c r="C594" s="1474"/>
      <c r="D594" s="1474"/>
      <c r="E594" s="1474"/>
    </row>
    <row r="595">
      <c r="C595" s="1474"/>
      <c r="D595" s="1474"/>
      <c r="E595" s="1474"/>
    </row>
    <row r="596">
      <c r="C596" s="1474"/>
      <c r="D596" s="1474"/>
      <c r="E596" s="1474"/>
    </row>
    <row r="597">
      <c r="C597" s="1474"/>
      <c r="D597" s="1474"/>
      <c r="E597" s="1474"/>
    </row>
    <row r="598">
      <c r="C598" s="1474"/>
      <c r="D598" s="1474"/>
      <c r="E598" s="1474"/>
    </row>
    <row r="599">
      <c r="C599" s="1474"/>
      <c r="D599" s="1474"/>
      <c r="E599" s="1474"/>
    </row>
    <row r="600">
      <c r="C600" s="1474"/>
      <c r="D600" s="1474"/>
      <c r="E600" s="1474"/>
    </row>
    <row r="601">
      <c r="C601" s="1474"/>
      <c r="D601" s="1474"/>
      <c r="E601" s="1474"/>
    </row>
    <row r="602">
      <c r="C602" s="1474"/>
      <c r="D602" s="1474"/>
      <c r="E602" s="1474"/>
    </row>
    <row r="603">
      <c r="C603" s="1474"/>
      <c r="D603" s="1474"/>
      <c r="E603" s="1474"/>
    </row>
    <row r="604">
      <c r="C604" s="1474"/>
      <c r="D604" s="1474"/>
      <c r="E604" s="1474"/>
    </row>
    <row r="605">
      <c r="C605" s="1474"/>
      <c r="D605" s="1474"/>
      <c r="E605" s="1474"/>
    </row>
    <row r="606">
      <c r="C606" s="1474"/>
      <c r="D606" s="1474"/>
      <c r="E606" s="1474"/>
    </row>
    <row r="607">
      <c r="C607" s="1474"/>
      <c r="D607" s="1474"/>
      <c r="E607" s="1474"/>
    </row>
    <row r="608">
      <c r="C608" s="1474"/>
      <c r="D608" s="1474"/>
      <c r="E608" s="1474"/>
    </row>
    <row r="609">
      <c r="C609" s="1474"/>
      <c r="D609" s="1474"/>
      <c r="E609" s="1474"/>
    </row>
    <row r="610">
      <c r="C610" s="1474"/>
      <c r="D610" s="1474"/>
      <c r="E610" s="1474"/>
    </row>
    <row r="611">
      <c r="C611" s="1474"/>
      <c r="D611" s="1474"/>
      <c r="E611" s="1474"/>
    </row>
    <row r="612">
      <c r="C612" s="1474"/>
      <c r="D612" s="1474"/>
      <c r="E612" s="1474"/>
    </row>
    <row r="613">
      <c r="C613" s="1474"/>
      <c r="D613" s="1474"/>
      <c r="E613" s="1474"/>
    </row>
    <row r="614">
      <c r="C614" s="1474"/>
      <c r="D614" s="1474"/>
      <c r="E614" s="1474"/>
    </row>
    <row r="615">
      <c r="C615" s="1474"/>
      <c r="D615" s="1474"/>
      <c r="E615" s="1474"/>
    </row>
    <row r="616">
      <c r="C616" s="1474"/>
      <c r="D616" s="1474"/>
      <c r="E616" s="1474"/>
    </row>
    <row r="617">
      <c r="C617" s="1474"/>
      <c r="D617" s="1474"/>
      <c r="E617" s="1474"/>
    </row>
    <row r="618">
      <c r="C618" s="1474"/>
      <c r="D618" s="1474"/>
      <c r="E618" s="1474"/>
    </row>
    <row r="619">
      <c r="C619" s="1474"/>
      <c r="D619" s="1474"/>
      <c r="E619" s="1474"/>
    </row>
    <row r="620">
      <c r="C620" s="1474"/>
      <c r="D620" s="1474"/>
      <c r="E620" s="1474"/>
    </row>
    <row r="621">
      <c r="C621" s="1474"/>
      <c r="D621" s="1474"/>
      <c r="E621" s="1474"/>
    </row>
    <row r="622">
      <c r="C622" s="1474"/>
      <c r="D622" s="1474"/>
      <c r="E622" s="1474"/>
    </row>
    <row r="623">
      <c r="C623" s="1474"/>
      <c r="D623" s="1474"/>
      <c r="E623" s="1474"/>
    </row>
    <row r="624">
      <c r="C624" s="1474"/>
      <c r="D624" s="1474"/>
      <c r="E624" s="1474"/>
    </row>
    <row r="625">
      <c r="C625" s="1474"/>
      <c r="D625" s="1474"/>
      <c r="E625" s="1474"/>
    </row>
    <row r="626">
      <c r="C626" s="1474"/>
      <c r="D626" s="1474"/>
      <c r="E626" s="1474"/>
    </row>
    <row r="627">
      <c r="C627" s="1474"/>
      <c r="D627" s="1474"/>
      <c r="E627" s="1474"/>
    </row>
    <row r="628">
      <c r="C628" s="1474"/>
      <c r="D628" s="1474"/>
      <c r="E628" s="1474"/>
    </row>
    <row r="629">
      <c r="C629" s="1474"/>
      <c r="D629" s="1474"/>
      <c r="E629" s="1474"/>
    </row>
    <row r="630">
      <c r="C630" s="1474"/>
      <c r="D630" s="1474"/>
      <c r="E630" s="1474"/>
    </row>
    <row r="631">
      <c r="C631" s="1474"/>
      <c r="D631" s="1474"/>
      <c r="E631" s="1474"/>
    </row>
    <row r="632">
      <c r="C632" s="1474"/>
      <c r="D632" s="1474"/>
      <c r="E632" s="1474"/>
    </row>
    <row r="633">
      <c r="C633" s="1474"/>
      <c r="D633" s="1474"/>
      <c r="E633" s="1474"/>
    </row>
    <row r="634">
      <c r="C634" s="1474"/>
      <c r="D634" s="1474"/>
      <c r="E634" s="1474"/>
    </row>
    <row r="635">
      <c r="C635" s="1474"/>
      <c r="D635" s="1474"/>
      <c r="E635" s="1474"/>
    </row>
    <row r="636">
      <c r="C636" s="1474"/>
      <c r="D636" s="1474"/>
      <c r="E636" s="1474"/>
    </row>
    <row r="637">
      <c r="C637" s="1474"/>
      <c r="D637" s="1474"/>
      <c r="E637" s="1474"/>
    </row>
    <row r="638">
      <c r="C638" s="1474"/>
      <c r="D638" s="1474"/>
      <c r="E638" s="1474"/>
    </row>
    <row r="639">
      <c r="C639" s="1474"/>
      <c r="D639" s="1474"/>
      <c r="E639" s="1474"/>
    </row>
    <row r="640">
      <c r="C640" s="1474"/>
      <c r="D640" s="1474"/>
      <c r="E640" s="1474"/>
    </row>
    <row r="641">
      <c r="C641" s="1474"/>
      <c r="D641" s="1474"/>
      <c r="E641" s="1474"/>
    </row>
    <row r="642">
      <c r="C642" s="1474"/>
      <c r="D642" s="1474"/>
      <c r="E642" s="1474"/>
    </row>
    <row r="643">
      <c r="C643" s="1474"/>
      <c r="D643" s="1474"/>
      <c r="E643" s="1474"/>
    </row>
    <row r="644">
      <c r="C644" s="1474"/>
      <c r="D644" s="1474"/>
      <c r="E644" s="1474"/>
    </row>
    <row r="645">
      <c r="C645" s="1474"/>
      <c r="D645" s="1474"/>
      <c r="E645" s="1474"/>
    </row>
    <row r="646">
      <c r="C646" s="1474"/>
      <c r="D646" s="1474"/>
      <c r="E646" s="1474"/>
    </row>
    <row r="647">
      <c r="C647" s="1474"/>
      <c r="D647" s="1474"/>
      <c r="E647" s="1474"/>
    </row>
    <row r="648">
      <c r="C648" s="1474"/>
      <c r="D648" s="1474"/>
      <c r="E648" s="1474"/>
    </row>
    <row r="649">
      <c r="C649" s="1474"/>
      <c r="D649" s="1474"/>
      <c r="E649" s="1474"/>
    </row>
    <row r="650">
      <c r="C650" s="1474"/>
      <c r="D650" s="1474"/>
      <c r="E650" s="1474"/>
    </row>
    <row r="651">
      <c r="C651" s="1474"/>
      <c r="D651" s="1474"/>
      <c r="E651" s="1474"/>
    </row>
    <row r="652">
      <c r="C652" s="1474"/>
      <c r="D652" s="1474"/>
      <c r="E652" s="1474"/>
    </row>
    <row r="653">
      <c r="C653" s="1474"/>
      <c r="D653" s="1474"/>
      <c r="E653" s="1474"/>
    </row>
    <row r="654">
      <c r="C654" s="1474"/>
      <c r="D654" s="1474"/>
      <c r="E654" s="1474"/>
    </row>
    <row r="655">
      <c r="C655" s="1474"/>
      <c r="D655" s="1474"/>
      <c r="E655" s="1474"/>
    </row>
    <row r="656">
      <c r="C656" s="1474"/>
      <c r="D656" s="1474"/>
      <c r="E656" s="1474"/>
    </row>
    <row r="657">
      <c r="C657" s="1474"/>
      <c r="D657" s="1474"/>
      <c r="E657" s="1474"/>
    </row>
    <row r="658">
      <c r="C658" s="1474"/>
      <c r="D658" s="1474"/>
      <c r="E658" s="1474"/>
    </row>
    <row r="659">
      <c r="C659" s="1474"/>
      <c r="D659" s="1474"/>
      <c r="E659" s="1474"/>
    </row>
    <row r="660">
      <c r="C660" s="1474"/>
      <c r="D660" s="1474"/>
      <c r="E660" s="1474"/>
    </row>
    <row r="661">
      <c r="C661" s="1474"/>
      <c r="D661" s="1474"/>
      <c r="E661" s="1474"/>
    </row>
    <row r="662">
      <c r="C662" s="1474"/>
      <c r="D662" s="1474"/>
      <c r="E662" s="1474"/>
    </row>
    <row r="663">
      <c r="C663" s="1474"/>
      <c r="D663" s="1474"/>
      <c r="E663" s="1474"/>
    </row>
    <row r="664">
      <c r="C664" s="1474"/>
      <c r="D664" s="1474"/>
      <c r="E664" s="1474"/>
    </row>
    <row r="665">
      <c r="C665" s="1474"/>
      <c r="D665" s="1474"/>
      <c r="E665" s="1474"/>
    </row>
    <row r="666">
      <c r="C666" s="1474"/>
      <c r="D666" s="1474"/>
      <c r="E666" s="1474"/>
    </row>
    <row r="667">
      <c r="C667" s="1474"/>
      <c r="D667" s="1474"/>
      <c r="E667" s="1474"/>
    </row>
    <row r="668">
      <c r="C668" s="1474"/>
      <c r="D668" s="1474"/>
      <c r="E668" s="1474"/>
    </row>
    <row r="669">
      <c r="C669" s="1474"/>
      <c r="D669" s="1474"/>
      <c r="E669" s="1474"/>
    </row>
    <row r="670">
      <c r="C670" s="1474"/>
      <c r="D670" s="1474"/>
      <c r="E670" s="1474"/>
    </row>
    <row r="671">
      <c r="C671" s="1474"/>
      <c r="D671" s="1474"/>
      <c r="E671" s="1474"/>
    </row>
    <row r="672">
      <c r="C672" s="1474"/>
      <c r="D672" s="1474"/>
      <c r="E672" s="1474"/>
    </row>
    <row r="673">
      <c r="C673" s="1474"/>
      <c r="D673" s="1474"/>
      <c r="E673" s="1474"/>
    </row>
    <row r="674">
      <c r="C674" s="1474"/>
      <c r="D674" s="1474"/>
      <c r="E674" s="1474"/>
    </row>
    <row r="675">
      <c r="C675" s="1474"/>
      <c r="D675" s="1474"/>
      <c r="E675" s="1474"/>
    </row>
    <row r="676">
      <c r="C676" s="1474"/>
      <c r="D676" s="1474"/>
      <c r="E676" s="1474"/>
    </row>
    <row r="677">
      <c r="C677" s="1474"/>
      <c r="D677" s="1474"/>
      <c r="E677" s="1474"/>
    </row>
    <row r="678">
      <c r="C678" s="1474"/>
      <c r="D678" s="1474"/>
      <c r="E678" s="1474"/>
    </row>
    <row r="679">
      <c r="C679" s="1474"/>
      <c r="D679" s="1474"/>
      <c r="E679" s="1474"/>
    </row>
    <row r="680">
      <c r="C680" s="1474"/>
      <c r="D680" s="1474"/>
      <c r="E680" s="1474"/>
    </row>
    <row r="681">
      <c r="C681" s="1474"/>
      <c r="D681" s="1474"/>
      <c r="E681" s="1474"/>
    </row>
    <row r="682">
      <c r="C682" s="1474"/>
      <c r="D682" s="1474"/>
      <c r="E682" s="1474"/>
    </row>
    <row r="683">
      <c r="C683" s="1474"/>
      <c r="D683" s="1474"/>
      <c r="E683" s="1474"/>
    </row>
    <row r="684">
      <c r="C684" s="1474"/>
      <c r="D684" s="1474"/>
      <c r="E684" s="1474"/>
    </row>
    <row r="685">
      <c r="C685" s="1474"/>
      <c r="D685" s="1474"/>
      <c r="E685" s="1474"/>
    </row>
    <row r="686">
      <c r="C686" s="1474"/>
      <c r="D686" s="1474"/>
      <c r="E686" s="1474"/>
    </row>
    <row r="687">
      <c r="C687" s="1474"/>
      <c r="D687" s="1474"/>
      <c r="E687" s="1474"/>
    </row>
    <row r="688">
      <c r="C688" s="1474"/>
      <c r="D688" s="1474"/>
      <c r="E688" s="1474"/>
    </row>
    <row r="689">
      <c r="C689" s="1474"/>
      <c r="D689" s="1474"/>
      <c r="E689" s="1474"/>
    </row>
    <row r="690">
      <c r="C690" s="1474"/>
      <c r="D690" s="1474"/>
      <c r="E690" s="1474"/>
    </row>
    <row r="691">
      <c r="C691" s="1474"/>
      <c r="D691" s="1474"/>
      <c r="E691" s="1474"/>
    </row>
    <row r="692">
      <c r="C692" s="1474"/>
      <c r="D692" s="1474"/>
      <c r="E692" s="1474"/>
    </row>
    <row r="693">
      <c r="C693" s="1474"/>
      <c r="D693" s="1474"/>
      <c r="E693" s="1474"/>
    </row>
    <row r="694">
      <c r="C694" s="1474"/>
      <c r="D694" s="1474"/>
      <c r="E694" s="1474"/>
    </row>
    <row r="695">
      <c r="C695" s="1474"/>
      <c r="D695" s="1474"/>
      <c r="E695" s="1474"/>
    </row>
    <row r="696">
      <c r="C696" s="1474"/>
      <c r="D696" s="1474"/>
      <c r="E696" s="1474"/>
    </row>
    <row r="697">
      <c r="C697" s="1474"/>
      <c r="D697" s="1474"/>
      <c r="E697" s="1474"/>
    </row>
    <row r="698">
      <c r="C698" s="1474"/>
      <c r="D698" s="1474"/>
      <c r="E698" s="1474"/>
    </row>
    <row r="699">
      <c r="C699" s="1474"/>
      <c r="D699" s="1474"/>
      <c r="E699" s="1474"/>
    </row>
    <row r="700">
      <c r="C700" s="1474"/>
      <c r="D700" s="1474"/>
      <c r="E700" s="1474"/>
    </row>
    <row r="701">
      <c r="C701" s="1474"/>
      <c r="D701" s="1474"/>
      <c r="E701" s="1474"/>
    </row>
    <row r="702">
      <c r="C702" s="1474"/>
      <c r="D702" s="1474"/>
      <c r="E702" s="1474"/>
    </row>
    <row r="703">
      <c r="C703" s="1474"/>
      <c r="D703" s="1474"/>
      <c r="E703" s="1474"/>
    </row>
    <row r="704">
      <c r="C704" s="1474"/>
      <c r="D704" s="1474"/>
      <c r="E704" s="1474"/>
    </row>
    <row r="705">
      <c r="C705" s="1474"/>
      <c r="D705" s="1474"/>
      <c r="E705" s="1474"/>
    </row>
    <row r="706">
      <c r="C706" s="1474"/>
      <c r="D706" s="1474"/>
      <c r="E706" s="1474"/>
    </row>
    <row r="707">
      <c r="C707" s="1474"/>
      <c r="D707" s="1474"/>
      <c r="E707" s="1474"/>
    </row>
    <row r="708">
      <c r="C708" s="1474"/>
      <c r="D708" s="1474"/>
      <c r="E708" s="1474"/>
    </row>
    <row r="709">
      <c r="C709" s="1474"/>
      <c r="D709" s="1474"/>
      <c r="E709" s="1474"/>
    </row>
    <row r="710">
      <c r="C710" s="1474"/>
      <c r="D710" s="1474"/>
      <c r="E710" s="1474"/>
    </row>
    <row r="711">
      <c r="C711" s="1474"/>
      <c r="D711" s="1474"/>
      <c r="E711" s="1474"/>
    </row>
    <row r="712">
      <c r="C712" s="1474"/>
      <c r="D712" s="1474"/>
      <c r="E712" s="1474"/>
    </row>
    <row r="713">
      <c r="C713" s="1474"/>
      <c r="D713" s="1474"/>
      <c r="E713" s="1474"/>
    </row>
    <row r="714">
      <c r="C714" s="1474"/>
      <c r="D714" s="1474"/>
      <c r="E714" s="1474"/>
    </row>
    <row r="715">
      <c r="C715" s="1474"/>
      <c r="D715" s="1474"/>
      <c r="E715" s="1474"/>
    </row>
    <row r="716">
      <c r="C716" s="1474"/>
      <c r="D716" s="1474"/>
      <c r="E716" s="1474"/>
    </row>
    <row r="717">
      <c r="C717" s="1474"/>
      <c r="D717" s="1474"/>
      <c r="E717" s="1474"/>
    </row>
    <row r="718">
      <c r="C718" s="1474"/>
      <c r="D718" s="1474"/>
      <c r="E718" s="1474"/>
    </row>
    <row r="719">
      <c r="C719" s="1474"/>
      <c r="D719" s="1474"/>
      <c r="E719" s="1474"/>
    </row>
    <row r="720">
      <c r="C720" s="1474"/>
      <c r="D720" s="1474"/>
      <c r="E720" s="1474"/>
    </row>
    <row r="721">
      <c r="C721" s="1474"/>
      <c r="D721" s="1474"/>
      <c r="E721" s="1474"/>
    </row>
    <row r="722">
      <c r="C722" s="1474"/>
      <c r="D722" s="1474"/>
      <c r="E722" s="1474"/>
    </row>
    <row r="723">
      <c r="C723" s="1474"/>
      <c r="D723" s="1474"/>
      <c r="E723" s="1474"/>
    </row>
    <row r="724">
      <c r="C724" s="1474"/>
      <c r="D724" s="1474"/>
      <c r="E724" s="1474"/>
    </row>
    <row r="725">
      <c r="C725" s="1474"/>
      <c r="D725" s="1474"/>
      <c r="E725" s="1474"/>
    </row>
    <row r="726">
      <c r="C726" s="1474"/>
      <c r="D726" s="1474"/>
      <c r="E726" s="1474"/>
    </row>
    <row r="727">
      <c r="C727" s="1474"/>
      <c r="D727" s="1474"/>
      <c r="E727" s="1474"/>
    </row>
    <row r="728">
      <c r="C728" s="1474"/>
      <c r="D728" s="1474"/>
      <c r="E728" s="1474"/>
    </row>
    <row r="729">
      <c r="C729" s="1474"/>
      <c r="D729" s="1474"/>
      <c r="E729" s="1474"/>
    </row>
    <row r="730">
      <c r="C730" s="1474"/>
      <c r="D730" s="1474"/>
      <c r="E730" s="1474"/>
    </row>
    <row r="731">
      <c r="C731" s="1474"/>
      <c r="D731" s="1474"/>
      <c r="E731" s="1474"/>
    </row>
    <row r="732">
      <c r="C732" s="1474"/>
      <c r="D732" s="1474"/>
      <c r="E732" s="1474"/>
    </row>
    <row r="733">
      <c r="C733" s="1474"/>
      <c r="D733" s="1474"/>
      <c r="E733" s="1474"/>
    </row>
    <row r="734">
      <c r="C734" s="1474"/>
      <c r="D734" s="1474"/>
      <c r="E734" s="1474"/>
    </row>
    <row r="735">
      <c r="C735" s="1474"/>
      <c r="D735" s="1474"/>
      <c r="E735" s="1474"/>
    </row>
    <row r="736">
      <c r="C736" s="1474"/>
      <c r="D736" s="1474"/>
      <c r="E736" s="1474"/>
    </row>
    <row r="737">
      <c r="C737" s="1474"/>
      <c r="D737" s="1474"/>
      <c r="E737" s="1474"/>
    </row>
    <row r="738">
      <c r="C738" s="1474"/>
      <c r="D738" s="1474"/>
      <c r="E738" s="1474"/>
    </row>
    <row r="739">
      <c r="C739" s="1474"/>
      <c r="D739" s="1474"/>
      <c r="E739" s="1474"/>
    </row>
    <row r="740">
      <c r="C740" s="1474"/>
      <c r="D740" s="1474"/>
      <c r="E740" s="1474"/>
    </row>
    <row r="741">
      <c r="C741" s="1474"/>
      <c r="D741" s="1474"/>
      <c r="E741" s="1474"/>
    </row>
    <row r="742">
      <c r="C742" s="1474"/>
      <c r="D742" s="1474"/>
      <c r="E742" s="1474"/>
    </row>
    <row r="743">
      <c r="C743" s="1474"/>
      <c r="D743" s="1474"/>
      <c r="E743" s="1474"/>
    </row>
    <row r="744">
      <c r="C744" s="1474"/>
      <c r="D744" s="1474"/>
      <c r="E744" s="1474"/>
    </row>
    <row r="745">
      <c r="C745" s="1474"/>
      <c r="D745" s="1474"/>
      <c r="E745" s="1474"/>
    </row>
    <row r="746">
      <c r="C746" s="1474"/>
      <c r="D746" s="1474"/>
      <c r="E746" s="1474"/>
    </row>
    <row r="747">
      <c r="C747" s="1474"/>
      <c r="D747" s="1474"/>
      <c r="E747" s="1474"/>
    </row>
    <row r="748">
      <c r="C748" s="1474"/>
      <c r="D748" s="1474"/>
      <c r="E748" s="1474"/>
    </row>
    <row r="749">
      <c r="C749" s="1474"/>
      <c r="D749" s="1474"/>
      <c r="E749" s="1474"/>
    </row>
    <row r="750">
      <c r="C750" s="1474"/>
      <c r="D750" s="1474"/>
      <c r="E750" s="1474"/>
    </row>
    <row r="751">
      <c r="C751" s="1474"/>
      <c r="D751" s="1474"/>
      <c r="E751" s="1474"/>
    </row>
    <row r="752">
      <c r="C752" s="1474"/>
      <c r="D752" s="1474"/>
      <c r="E752" s="1474"/>
    </row>
    <row r="753">
      <c r="C753" s="1474"/>
      <c r="D753" s="1474"/>
      <c r="E753" s="1474"/>
    </row>
    <row r="754">
      <c r="C754" s="1474"/>
      <c r="D754" s="1474"/>
      <c r="E754" s="1474"/>
    </row>
    <row r="755">
      <c r="C755" s="1474"/>
      <c r="D755" s="1474"/>
      <c r="E755" s="1474"/>
    </row>
    <row r="756">
      <c r="C756" s="1474"/>
      <c r="D756" s="1474"/>
      <c r="E756" s="1474"/>
    </row>
    <row r="757">
      <c r="C757" s="1474"/>
      <c r="D757" s="1474"/>
      <c r="E757" s="1474"/>
    </row>
    <row r="758">
      <c r="C758" s="1474"/>
      <c r="D758" s="1474"/>
      <c r="E758" s="1474"/>
    </row>
    <row r="759">
      <c r="C759" s="1474"/>
      <c r="D759" s="1474"/>
      <c r="E759" s="1474"/>
    </row>
    <row r="760">
      <c r="C760" s="1474"/>
      <c r="D760" s="1474"/>
      <c r="E760" s="1474"/>
    </row>
    <row r="761">
      <c r="C761" s="1474"/>
      <c r="D761" s="1474"/>
      <c r="E761" s="1474"/>
    </row>
    <row r="762">
      <c r="C762" s="1474"/>
      <c r="D762" s="1474"/>
      <c r="E762" s="1474"/>
    </row>
    <row r="763">
      <c r="C763" s="1474"/>
      <c r="D763" s="1474"/>
      <c r="E763" s="1474"/>
    </row>
    <row r="764">
      <c r="C764" s="1474"/>
      <c r="D764" s="1474"/>
      <c r="E764" s="1474"/>
    </row>
    <row r="765">
      <c r="C765" s="1474"/>
      <c r="D765" s="1474"/>
      <c r="E765" s="1474"/>
    </row>
    <row r="766">
      <c r="C766" s="1474"/>
      <c r="D766" s="1474"/>
      <c r="E766" s="1474"/>
    </row>
    <row r="767">
      <c r="C767" s="1474"/>
      <c r="D767" s="1474"/>
      <c r="E767" s="1474"/>
    </row>
    <row r="768">
      <c r="C768" s="1474"/>
      <c r="D768" s="1474"/>
      <c r="E768" s="1474"/>
    </row>
    <row r="769">
      <c r="C769" s="1474"/>
      <c r="D769" s="1474"/>
      <c r="E769" s="1474"/>
    </row>
    <row r="770">
      <c r="C770" s="1474"/>
      <c r="D770" s="1474"/>
      <c r="E770" s="1474"/>
    </row>
    <row r="771">
      <c r="C771" s="1474"/>
      <c r="D771" s="1474"/>
      <c r="E771" s="1474"/>
    </row>
    <row r="772">
      <c r="C772" s="1474"/>
      <c r="D772" s="1474"/>
      <c r="E772" s="1474"/>
    </row>
    <row r="773">
      <c r="C773" s="1474"/>
      <c r="D773" s="1474"/>
      <c r="E773" s="1474"/>
    </row>
    <row r="774">
      <c r="C774" s="1474"/>
      <c r="D774" s="1474"/>
      <c r="E774" s="1474"/>
    </row>
    <row r="775">
      <c r="C775" s="1474"/>
      <c r="D775" s="1474"/>
      <c r="E775" s="1474"/>
    </row>
    <row r="776">
      <c r="C776" s="1474"/>
      <c r="D776" s="1474"/>
      <c r="E776" s="1474"/>
    </row>
    <row r="777">
      <c r="C777" s="1474"/>
      <c r="D777" s="1474"/>
      <c r="E777" s="1474"/>
    </row>
    <row r="778">
      <c r="C778" s="1474"/>
      <c r="D778" s="1474"/>
      <c r="E778" s="1474"/>
    </row>
    <row r="779">
      <c r="C779" s="1474"/>
      <c r="D779" s="1474"/>
      <c r="E779" s="1474"/>
    </row>
    <row r="780">
      <c r="C780" s="1474"/>
      <c r="D780" s="1474"/>
      <c r="E780" s="1474"/>
    </row>
    <row r="781">
      <c r="C781" s="1474"/>
      <c r="D781" s="1474"/>
      <c r="E781" s="1474"/>
    </row>
    <row r="782">
      <c r="C782" s="1474"/>
      <c r="D782" s="1474"/>
      <c r="E782" s="1474"/>
    </row>
    <row r="783">
      <c r="C783" s="1474"/>
      <c r="D783" s="1474"/>
      <c r="E783" s="1474"/>
    </row>
    <row r="784">
      <c r="C784" s="1474"/>
      <c r="D784" s="1474"/>
      <c r="E784" s="1474"/>
    </row>
    <row r="785">
      <c r="C785" s="1474"/>
      <c r="D785" s="1474"/>
      <c r="E785" s="1474"/>
    </row>
    <row r="786">
      <c r="C786" s="1474"/>
      <c r="D786" s="1474"/>
      <c r="E786" s="1474"/>
    </row>
    <row r="787">
      <c r="C787" s="1474"/>
      <c r="D787" s="1474"/>
      <c r="E787" s="1474"/>
    </row>
    <row r="788">
      <c r="C788" s="1474"/>
      <c r="D788" s="1474"/>
      <c r="E788" s="1474"/>
    </row>
    <row r="789">
      <c r="C789" s="1474"/>
      <c r="D789" s="1474"/>
      <c r="E789" s="1474"/>
    </row>
    <row r="790">
      <c r="C790" s="1474"/>
      <c r="D790" s="1474"/>
      <c r="E790" s="1474"/>
    </row>
    <row r="791">
      <c r="C791" s="1474"/>
      <c r="D791" s="1474"/>
      <c r="E791" s="1474"/>
    </row>
    <row r="792">
      <c r="C792" s="1474"/>
      <c r="D792" s="1474"/>
      <c r="E792" s="1474"/>
    </row>
    <row r="793">
      <c r="C793" s="1474"/>
      <c r="D793" s="1474"/>
      <c r="E793" s="1474"/>
    </row>
    <row r="794">
      <c r="C794" s="1474"/>
      <c r="D794" s="1474"/>
      <c r="E794" s="1474"/>
    </row>
    <row r="795">
      <c r="C795" s="1474"/>
      <c r="D795" s="1474"/>
      <c r="E795" s="1474"/>
    </row>
    <row r="796">
      <c r="C796" s="1474"/>
      <c r="D796" s="1474"/>
      <c r="E796" s="1474"/>
    </row>
    <row r="797">
      <c r="C797" s="1474"/>
      <c r="D797" s="1474"/>
      <c r="E797" s="1474"/>
    </row>
    <row r="798">
      <c r="C798" s="1474"/>
      <c r="D798" s="1474"/>
      <c r="E798" s="1474"/>
    </row>
    <row r="799">
      <c r="C799" s="1474"/>
      <c r="D799" s="1474"/>
      <c r="E799" s="1474"/>
    </row>
    <row r="800">
      <c r="C800" s="1474"/>
      <c r="D800" s="1474"/>
      <c r="E800" s="1474"/>
    </row>
    <row r="801">
      <c r="C801" s="1474"/>
      <c r="D801" s="1474"/>
      <c r="E801" s="1474"/>
    </row>
    <row r="802">
      <c r="C802" s="1474"/>
      <c r="D802" s="1474"/>
      <c r="E802" s="1474"/>
    </row>
    <row r="803">
      <c r="C803" s="1474"/>
      <c r="D803" s="1474"/>
      <c r="E803" s="1474"/>
    </row>
    <row r="804">
      <c r="C804" s="1474"/>
      <c r="D804" s="1474"/>
      <c r="E804" s="1474"/>
    </row>
    <row r="805">
      <c r="C805" s="1474"/>
      <c r="D805" s="1474"/>
      <c r="E805" s="1474"/>
    </row>
    <row r="806">
      <c r="C806" s="1474"/>
      <c r="D806" s="1474"/>
      <c r="E806" s="1474"/>
    </row>
    <row r="807">
      <c r="C807" s="1474"/>
      <c r="D807" s="1474"/>
      <c r="E807" s="1474"/>
    </row>
    <row r="808">
      <c r="C808" s="1474"/>
      <c r="D808" s="1474"/>
      <c r="E808" s="1474"/>
    </row>
    <row r="809">
      <c r="C809" s="1474"/>
      <c r="D809" s="1474"/>
      <c r="E809" s="1474"/>
    </row>
    <row r="810">
      <c r="C810" s="1474"/>
      <c r="D810" s="1474"/>
      <c r="E810" s="1474"/>
    </row>
    <row r="811">
      <c r="C811" s="1474"/>
      <c r="D811" s="1474"/>
      <c r="E811" s="1474"/>
    </row>
    <row r="812">
      <c r="C812" s="1474"/>
      <c r="D812" s="1474"/>
      <c r="E812" s="1474"/>
    </row>
    <row r="813">
      <c r="C813" s="1474"/>
      <c r="D813" s="1474"/>
      <c r="E813" s="1474"/>
    </row>
    <row r="814">
      <c r="C814" s="1474"/>
      <c r="D814" s="1474"/>
      <c r="E814" s="1474"/>
    </row>
    <row r="815">
      <c r="C815" s="1474"/>
      <c r="D815" s="1474"/>
      <c r="E815" s="1474"/>
    </row>
    <row r="816">
      <c r="C816" s="1474"/>
      <c r="D816" s="1474"/>
      <c r="E816" s="1474"/>
    </row>
    <row r="817">
      <c r="C817" s="1474"/>
      <c r="D817" s="1474"/>
      <c r="E817" s="1474"/>
    </row>
    <row r="818">
      <c r="C818" s="1474"/>
      <c r="D818" s="1474"/>
      <c r="E818" s="1474"/>
    </row>
    <row r="819">
      <c r="C819" s="1474"/>
      <c r="D819" s="1474"/>
      <c r="E819" s="1474"/>
    </row>
    <row r="820">
      <c r="C820" s="1474"/>
      <c r="D820" s="1474"/>
      <c r="E820" s="1474"/>
    </row>
    <row r="821">
      <c r="C821" s="1474"/>
      <c r="D821" s="1474"/>
      <c r="E821" s="1474"/>
    </row>
    <row r="822">
      <c r="C822" s="1474"/>
      <c r="D822" s="1474"/>
      <c r="E822" s="1474"/>
    </row>
    <row r="823">
      <c r="C823" s="1474"/>
      <c r="D823" s="1474"/>
      <c r="E823" s="1474"/>
    </row>
    <row r="824">
      <c r="C824" s="1474"/>
      <c r="D824" s="1474"/>
      <c r="E824" s="1474"/>
    </row>
    <row r="825">
      <c r="C825" s="1474"/>
      <c r="D825" s="1474"/>
      <c r="E825" s="1474"/>
    </row>
    <row r="826">
      <c r="C826" s="1474"/>
      <c r="D826" s="1474"/>
      <c r="E826" s="1474"/>
    </row>
    <row r="827">
      <c r="C827" s="1474"/>
      <c r="D827" s="1474"/>
      <c r="E827" s="1474"/>
    </row>
    <row r="828">
      <c r="C828" s="1474"/>
      <c r="D828" s="1474"/>
      <c r="E828" s="1474"/>
    </row>
    <row r="829">
      <c r="C829" s="1474"/>
      <c r="D829" s="1474"/>
      <c r="E829" s="1474"/>
    </row>
    <row r="830">
      <c r="C830" s="1474"/>
      <c r="D830" s="1474"/>
      <c r="E830" s="1474"/>
    </row>
    <row r="831">
      <c r="C831" s="1474"/>
      <c r="D831" s="1474"/>
      <c r="E831" s="1474"/>
    </row>
    <row r="832">
      <c r="C832" s="1474"/>
      <c r="D832" s="1474"/>
      <c r="E832" s="1474"/>
    </row>
    <row r="833">
      <c r="C833" s="1474"/>
      <c r="D833" s="1474"/>
      <c r="E833" s="1474"/>
    </row>
    <row r="834">
      <c r="C834" s="1474"/>
      <c r="D834" s="1474"/>
      <c r="E834" s="1474"/>
    </row>
    <row r="835">
      <c r="C835" s="1474"/>
      <c r="D835" s="1474"/>
      <c r="E835" s="1474"/>
    </row>
    <row r="836">
      <c r="C836" s="1474"/>
      <c r="D836" s="1474"/>
      <c r="E836" s="1474"/>
    </row>
    <row r="837">
      <c r="C837" s="1474"/>
      <c r="D837" s="1474"/>
      <c r="E837" s="1474"/>
    </row>
    <row r="838">
      <c r="C838" s="1474"/>
      <c r="D838" s="1474"/>
      <c r="E838" s="1474"/>
    </row>
    <row r="839">
      <c r="C839" s="1474"/>
      <c r="D839" s="1474"/>
      <c r="E839" s="1474"/>
    </row>
    <row r="840">
      <c r="C840" s="1474"/>
      <c r="D840" s="1474"/>
      <c r="E840" s="1474"/>
    </row>
    <row r="841">
      <c r="C841" s="1474"/>
      <c r="D841" s="1474"/>
      <c r="E841" s="1474"/>
    </row>
    <row r="842">
      <c r="C842" s="1474"/>
      <c r="D842" s="1474"/>
      <c r="E842" s="1474"/>
    </row>
    <row r="843">
      <c r="C843" s="1474"/>
      <c r="D843" s="1474"/>
      <c r="E843" s="1474"/>
    </row>
    <row r="844">
      <c r="C844" s="1474"/>
      <c r="D844" s="1474"/>
      <c r="E844" s="1474"/>
    </row>
    <row r="845">
      <c r="C845" s="1474"/>
      <c r="D845" s="1474"/>
      <c r="E845" s="1474"/>
    </row>
    <row r="846">
      <c r="C846" s="1474"/>
      <c r="D846" s="1474"/>
      <c r="E846" s="1474"/>
    </row>
    <row r="847">
      <c r="C847" s="1474"/>
      <c r="D847" s="1474"/>
      <c r="E847" s="1474"/>
    </row>
    <row r="848">
      <c r="C848" s="1474"/>
      <c r="D848" s="1474"/>
      <c r="E848" s="1474"/>
    </row>
    <row r="849">
      <c r="C849" s="1474"/>
      <c r="D849" s="1474"/>
      <c r="E849" s="1474"/>
    </row>
    <row r="850">
      <c r="C850" s="1474"/>
      <c r="D850" s="1474"/>
      <c r="E850" s="1474"/>
    </row>
    <row r="851">
      <c r="C851" s="1474"/>
      <c r="D851" s="1474"/>
      <c r="E851" s="1474"/>
    </row>
    <row r="852">
      <c r="C852" s="1474"/>
      <c r="D852" s="1474"/>
      <c r="E852" s="1474"/>
    </row>
    <row r="853">
      <c r="C853" s="1474"/>
      <c r="D853" s="1474"/>
      <c r="E853" s="1474"/>
    </row>
    <row r="854">
      <c r="C854" s="1474"/>
      <c r="D854" s="1474"/>
      <c r="E854" s="1474"/>
    </row>
    <row r="855">
      <c r="C855" s="1474"/>
      <c r="D855" s="1474"/>
      <c r="E855" s="1474"/>
    </row>
    <row r="856">
      <c r="C856" s="1474"/>
      <c r="D856" s="1474"/>
      <c r="E856" s="1474"/>
    </row>
    <row r="857">
      <c r="C857" s="1474"/>
      <c r="D857" s="1474"/>
      <c r="E857" s="1474"/>
    </row>
    <row r="858">
      <c r="C858" s="1474"/>
      <c r="D858" s="1474"/>
      <c r="E858" s="1474"/>
    </row>
    <row r="859">
      <c r="C859" s="1474"/>
      <c r="D859" s="1474"/>
      <c r="E859" s="1474"/>
    </row>
    <row r="860">
      <c r="C860" s="1474"/>
      <c r="D860" s="1474"/>
      <c r="E860" s="1474"/>
    </row>
    <row r="861">
      <c r="C861" s="1474"/>
      <c r="D861" s="1474"/>
      <c r="E861" s="1474"/>
    </row>
    <row r="862">
      <c r="C862" s="1474"/>
      <c r="D862" s="1474"/>
      <c r="E862" s="1474"/>
    </row>
    <row r="863">
      <c r="C863" s="1474"/>
      <c r="D863" s="1474"/>
      <c r="E863" s="1474"/>
    </row>
    <row r="864">
      <c r="C864" s="1474"/>
      <c r="D864" s="1474"/>
      <c r="E864" s="1474"/>
    </row>
    <row r="865">
      <c r="C865" s="1474"/>
      <c r="D865" s="1474"/>
      <c r="E865" s="1474"/>
    </row>
    <row r="866">
      <c r="C866" s="1474"/>
      <c r="D866" s="1474"/>
      <c r="E866" s="1474"/>
    </row>
    <row r="867">
      <c r="C867" s="1474"/>
      <c r="D867" s="1474"/>
      <c r="E867" s="1474"/>
    </row>
    <row r="868">
      <c r="C868" s="1474"/>
      <c r="D868" s="1474"/>
      <c r="E868" s="1474"/>
    </row>
    <row r="869">
      <c r="C869" s="1474"/>
      <c r="D869" s="1474"/>
      <c r="E869" s="1474"/>
    </row>
    <row r="870">
      <c r="C870" s="1474"/>
      <c r="D870" s="1474"/>
      <c r="E870" s="1474"/>
    </row>
    <row r="871">
      <c r="C871" s="1474"/>
      <c r="D871" s="1474"/>
      <c r="E871" s="1474"/>
    </row>
    <row r="872">
      <c r="C872" s="1474"/>
      <c r="D872" s="1474"/>
      <c r="E872" s="1474"/>
    </row>
    <row r="873">
      <c r="C873" s="1474"/>
      <c r="D873" s="1474"/>
      <c r="E873" s="1474"/>
    </row>
    <row r="874">
      <c r="C874" s="1474"/>
      <c r="D874" s="1474"/>
      <c r="E874" s="1474"/>
    </row>
    <row r="875">
      <c r="C875" s="1474"/>
      <c r="D875" s="1474"/>
      <c r="E875" s="1474"/>
    </row>
    <row r="876">
      <c r="C876" s="1474"/>
      <c r="D876" s="1474"/>
      <c r="E876" s="1474"/>
    </row>
    <row r="877">
      <c r="C877" s="1474"/>
      <c r="D877" s="1474"/>
      <c r="E877" s="1474"/>
    </row>
    <row r="878">
      <c r="C878" s="1474"/>
      <c r="D878" s="1474"/>
      <c r="E878" s="1474"/>
    </row>
    <row r="879">
      <c r="C879" s="1474"/>
      <c r="D879" s="1474"/>
      <c r="E879" s="1474"/>
    </row>
    <row r="880">
      <c r="C880" s="1474"/>
      <c r="D880" s="1474"/>
      <c r="E880" s="1474"/>
    </row>
    <row r="881">
      <c r="C881" s="1474"/>
      <c r="D881" s="1474"/>
      <c r="E881" s="1474"/>
    </row>
    <row r="882">
      <c r="C882" s="1474"/>
      <c r="D882" s="1474"/>
      <c r="E882" s="1474"/>
    </row>
    <row r="883">
      <c r="C883" s="1474"/>
      <c r="D883" s="1474"/>
      <c r="E883" s="1474"/>
    </row>
    <row r="884">
      <c r="C884" s="1474"/>
      <c r="D884" s="1474"/>
      <c r="E884" s="1474"/>
    </row>
    <row r="885">
      <c r="C885" s="1474"/>
      <c r="D885" s="1474"/>
      <c r="E885" s="1474"/>
    </row>
    <row r="886">
      <c r="C886" s="1474"/>
      <c r="D886" s="1474"/>
      <c r="E886" s="1474"/>
    </row>
    <row r="887">
      <c r="C887" s="1474"/>
      <c r="D887" s="1474"/>
      <c r="E887" s="1474"/>
    </row>
    <row r="888">
      <c r="C888" s="1474"/>
      <c r="D888" s="1474"/>
      <c r="E888" s="1474"/>
    </row>
    <row r="889">
      <c r="C889" s="1474"/>
      <c r="D889" s="1474"/>
      <c r="E889" s="1474"/>
    </row>
    <row r="890">
      <c r="C890" s="1474"/>
      <c r="D890" s="1474"/>
      <c r="E890" s="1474"/>
    </row>
    <row r="891">
      <c r="C891" s="1474"/>
      <c r="D891" s="1474"/>
      <c r="E891" s="1474"/>
    </row>
    <row r="892">
      <c r="C892" s="1474"/>
      <c r="D892" s="1474"/>
      <c r="E892" s="1474"/>
    </row>
    <row r="893">
      <c r="C893" s="1474"/>
      <c r="D893" s="1474"/>
      <c r="E893" s="1474"/>
    </row>
    <row r="894">
      <c r="C894" s="1474"/>
      <c r="D894" s="1474"/>
      <c r="E894" s="1474"/>
    </row>
    <row r="895">
      <c r="C895" s="1474"/>
      <c r="D895" s="1474"/>
      <c r="E895" s="1474"/>
    </row>
    <row r="896">
      <c r="C896" s="1474"/>
      <c r="D896" s="1474"/>
      <c r="E896" s="1474"/>
    </row>
    <row r="897">
      <c r="C897" s="1474"/>
      <c r="D897" s="1474"/>
      <c r="E897" s="1474"/>
    </row>
    <row r="898">
      <c r="C898" s="1474"/>
      <c r="D898" s="1474"/>
      <c r="E898" s="1474"/>
    </row>
    <row r="899">
      <c r="C899" s="1474"/>
      <c r="D899" s="1474"/>
      <c r="E899" s="1474"/>
    </row>
    <row r="900">
      <c r="C900" s="1474"/>
      <c r="D900" s="1474"/>
      <c r="E900" s="1474"/>
    </row>
    <row r="901">
      <c r="C901" s="1474"/>
      <c r="D901" s="1474"/>
      <c r="E901" s="1474"/>
    </row>
    <row r="902">
      <c r="C902" s="1474"/>
      <c r="D902" s="1474"/>
      <c r="E902" s="1474"/>
    </row>
    <row r="903">
      <c r="C903" s="1474"/>
      <c r="D903" s="1474"/>
      <c r="E903" s="1474"/>
    </row>
    <row r="904">
      <c r="C904" s="1474"/>
      <c r="D904" s="1474"/>
      <c r="E904" s="1474"/>
    </row>
    <row r="905">
      <c r="C905" s="1474"/>
      <c r="D905" s="1474"/>
      <c r="E905" s="1474"/>
    </row>
    <row r="906">
      <c r="C906" s="1474"/>
      <c r="D906" s="1474"/>
      <c r="E906" s="1474"/>
    </row>
    <row r="907">
      <c r="C907" s="1474"/>
      <c r="D907" s="1474"/>
      <c r="E907" s="1474"/>
    </row>
    <row r="908">
      <c r="C908" s="1474"/>
      <c r="D908" s="1474"/>
      <c r="E908" s="1474"/>
    </row>
    <row r="909">
      <c r="C909" s="1474"/>
      <c r="D909" s="1474"/>
      <c r="E909" s="1474"/>
    </row>
    <row r="910">
      <c r="C910" s="1474"/>
      <c r="D910" s="1474"/>
      <c r="E910" s="1474"/>
    </row>
    <row r="911">
      <c r="C911" s="1474"/>
      <c r="D911" s="1474"/>
      <c r="E911" s="1474"/>
    </row>
    <row r="912">
      <c r="C912" s="1474"/>
      <c r="D912" s="1474"/>
      <c r="E912" s="1474"/>
    </row>
    <row r="913">
      <c r="C913" s="1474"/>
      <c r="D913" s="1474"/>
      <c r="E913" s="1474"/>
    </row>
    <row r="914">
      <c r="C914" s="1474"/>
      <c r="D914" s="1474"/>
      <c r="E914" s="1474"/>
    </row>
    <row r="915">
      <c r="C915" s="1474"/>
      <c r="D915" s="1474"/>
      <c r="E915" s="1474"/>
    </row>
    <row r="916">
      <c r="C916" s="1474"/>
      <c r="D916" s="1474"/>
      <c r="E916" s="1474"/>
    </row>
    <row r="917">
      <c r="C917" s="1474"/>
      <c r="D917" s="1474"/>
      <c r="E917" s="1474"/>
    </row>
    <row r="918">
      <c r="C918" s="1474"/>
      <c r="D918" s="1474"/>
      <c r="E918" s="1474"/>
    </row>
    <row r="919">
      <c r="C919" s="1474"/>
      <c r="D919" s="1474"/>
      <c r="E919" s="1474"/>
    </row>
    <row r="920">
      <c r="C920" s="1474"/>
      <c r="D920" s="1474"/>
      <c r="E920" s="1474"/>
    </row>
    <row r="921">
      <c r="C921" s="1474"/>
      <c r="D921" s="1474"/>
      <c r="E921" s="1474"/>
    </row>
    <row r="922">
      <c r="C922" s="1474"/>
      <c r="D922" s="1474"/>
      <c r="E922" s="1474"/>
    </row>
    <row r="923">
      <c r="C923" s="1474"/>
      <c r="D923" s="1474"/>
      <c r="E923" s="1474"/>
    </row>
    <row r="924">
      <c r="C924" s="1474"/>
      <c r="D924" s="1474"/>
      <c r="E924" s="1474"/>
    </row>
    <row r="925">
      <c r="C925" s="1474"/>
      <c r="D925" s="1474"/>
      <c r="E925" s="1474"/>
    </row>
    <row r="926">
      <c r="C926" s="1474"/>
      <c r="D926" s="1474"/>
      <c r="E926" s="1474"/>
    </row>
    <row r="927">
      <c r="C927" s="1474"/>
      <c r="D927" s="1474"/>
      <c r="E927" s="1474"/>
    </row>
    <row r="928">
      <c r="C928" s="1474"/>
      <c r="D928" s="1474"/>
      <c r="E928" s="1474"/>
    </row>
    <row r="929">
      <c r="C929" s="1474"/>
      <c r="D929" s="1474"/>
      <c r="E929" s="1474"/>
    </row>
    <row r="930">
      <c r="C930" s="1474"/>
      <c r="D930" s="1474"/>
      <c r="E930" s="1474"/>
    </row>
    <row r="931">
      <c r="C931" s="1474"/>
      <c r="D931" s="1474"/>
      <c r="E931" s="1474"/>
    </row>
    <row r="932">
      <c r="C932" s="1474"/>
      <c r="D932" s="1474"/>
      <c r="E932" s="1474"/>
    </row>
    <row r="933">
      <c r="C933" s="1474"/>
      <c r="D933" s="1474"/>
      <c r="E933" s="1474"/>
    </row>
    <row r="934">
      <c r="C934" s="1474"/>
      <c r="D934" s="1474"/>
      <c r="E934" s="1474"/>
    </row>
    <row r="935">
      <c r="C935" s="1474"/>
      <c r="D935" s="1474"/>
      <c r="E935" s="1474"/>
    </row>
    <row r="936">
      <c r="C936" s="1474"/>
      <c r="D936" s="1474"/>
      <c r="E936" s="1474"/>
    </row>
    <row r="937">
      <c r="C937" s="1474"/>
      <c r="D937" s="1474"/>
      <c r="E937" s="1474"/>
    </row>
    <row r="938">
      <c r="C938" s="1474"/>
      <c r="D938" s="1474"/>
      <c r="E938" s="1474"/>
    </row>
    <row r="939">
      <c r="C939" s="1474"/>
      <c r="D939" s="1474"/>
      <c r="E939" s="1474"/>
    </row>
    <row r="940">
      <c r="C940" s="1474"/>
      <c r="D940" s="1474"/>
      <c r="E940" s="1474"/>
    </row>
    <row r="941">
      <c r="C941" s="1474"/>
      <c r="D941" s="1474"/>
      <c r="E941" s="1474"/>
    </row>
    <row r="942">
      <c r="C942" s="1474"/>
      <c r="D942" s="1474"/>
      <c r="E942" s="1474"/>
    </row>
    <row r="943">
      <c r="C943" s="1474"/>
      <c r="D943" s="1474"/>
      <c r="E943" s="1474"/>
    </row>
    <row r="944">
      <c r="C944" s="1474"/>
      <c r="D944" s="1474"/>
      <c r="E944" s="1474"/>
    </row>
    <row r="945">
      <c r="C945" s="1474"/>
      <c r="D945" s="1474"/>
      <c r="E945" s="1474"/>
    </row>
    <row r="946">
      <c r="C946" s="1474"/>
      <c r="D946" s="1474"/>
      <c r="E946" s="1474"/>
    </row>
    <row r="947">
      <c r="C947" s="1474"/>
      <c r="D947" s="1474"/>
      <c r="E947" s="1474"/>
    </row>
    <row r="948">
      <c r="C948" s="1474"/>
      <c r="D948" s="1474"/>
      <c r="E948" s="1474"/>
    </row>
    <row r="949">
      <c r="C949" s="1474"/>
      <c r="D949" s="1474"/>
      <c r="E949" s="1474"/>
    </row>
    <row r="950">
      <c r="C950" s="1474"/>
      <c r="D950" s="1474"/>
      <c r="E950" s="1474"/>
    </row>
    <row r="951">
      <c r="C951" s="1474"/>
      <c r="D951" s="1474"/>
      <c r="E951" s="1474"/>
    </row>
    <row r="952">
      <c r="C952" s="1474"/>
      <c r="D952" s="1474"/>
      <c r="E952" s="1474"/>
    </row>
    <row r="953">
      <c r="C953" s="1474"/>
      <c r="D953" s="1474"/>
      <c r="E953" s="1474"/>
    </row>
    <row r="954">
      <c r="C954" s="1474"/>
      <c r="D954" s="1474"/>
      <c r="E954" s="1474"/>
    </row>
    <row r="955">
      <c r="C955" s="1474"/>
      <c r="D955" s="1474"/>
      <c r="E955" s="1474"/>
    </row>
    <row r="956">
      <c r="C956" s="1474"/>
      <c r="D956" s="1474"/>
      <c r="E956" s="1474"/>
    </row>
    <row r="957">
      <c r="C957" s="1474"/>
      <c r="D957" s="1474"/>
      <c r="E957" s="1474"/>
    </row>
    <row r="958">
      <c r="C958" s="1474"/>
      <c r="D958" s="1474"/>
      <c r="E958" s="1474"/>
    </row>
    <row r="959">
      <c r="C959" s="1474"/>
      <c r="D959" s="1474"/>
      <c r="E959" s="1474"/>
    </row>
    <row r="960">
      <c r="C960" s="1474"/>
      <c r="D960" s="1474"/>
      <c r="E960" s="1474"/>
    </row>
    <row r="961">
      <c r="C961" s="1474"/>
      <c r="D961" s="1474"/>
      <c r="E961" s="1474"/>
    </row>
    <row r="962">
      <c r="C962" s="1474"/>
      <c r="D962" s="1474"/>
      <c r="E962" s="1474"/>
    </row>
    <row r="963">
      <c r="C963" s="1474"/>
      <c r="D963" s="1474"/>
      <c r="E963" s="1474"/>
    </row>
    <row r="964">
      <c r="C964" s="1474"/>
      <c r="D964" s="1474"/>
      <c r="E964" s="1474"/>
    </row>
    <row r="965">
      <c r="C965" s="1474"/>
      <c r="D965" s="1474"/>
      <c r="E965" s="1474"/>
    </row>
    <row r="966">
      <c r="C966" s="1474"/>
      <c r="D966" s="1474"/>
      <c r="E966" s="1474"/>
    </row>
    <row r="967">
      <c r="C967" s="1474"/>
      <c r="D967" s="1474"/>
      <c r="E967" s="1474"/>
    </row>
    <row r="968">
      <c r="C968" s="1474"/>
      <c r="D968" s="1474"/>
      <c r="E968" s="1474"/>
    </row>
    <row r="969">
      <c r="C969" s="1474"/>
      <c r="D969" s="1474"/>
      <c r="E969" s="1474"/>
    </row>
    <row r="970">
      <c r="C970" s="1474"/>
      <c r="D970" s="1474"/>
      <c r="E970" s="1474"/>
    </row>
    <row r="971">
      <c r="C971" s="1474"/>
      <c r="D971" s="1474"/>
      <c r="E971" s="1474"/>
    </row>
    <row r="972">
      <c r="C972" s="1474"/>
      <c r="D972" s="1474"/>
      <c r="E972" s="1474"/>
    </row>
    <row r="973">
      <c r="C973" s="1474"/>
      <c r="D973" s="1474"/>
      <c r="E973" s="1474"/>
    </row>
    <row r="974">
      <c r="C974" s="1474"/>
      <c r="D974" s="1474"/>
      <c r="E974" s="1474"/>
    </row>
    <row r="975">
      <c r="C975" s="1474"/>
      <c r="D975" s="1474"/>
      <c r="E975" s="1474"/>
    </row>
    <row r="976">
      <c r="C976" s="1474"/>
      <c r="D976" s="1474"/>
      <c r="E976" s="1474"/>
    </row>
    <row r="977">
      <c r="C977" s="1474"/>
      <c r="D977" s="1474"/>
      <c r="E977" s="1474"/>
    </row>
    <row r="978">
      <c r="C978" s="1474"/>
      <c r="D978" s="1474"/>
      <c r="E978" s="1474"/>
    </row>
    <row r="979">
      <c r="C979" s="1474"/>
      <c r="D979" s="1474"/>
      <c r="E979" s="1474"/>
    </row>
    <row r="980">
      <c r="C980" s="1474"/>
      <c r="D980" s="1474"/>
      <c r="E980" s="1474"/>
    </row>
    <row r="981">
      <c r="C981" s="1474"/>
      <c r="D981" s="1474"/>
      <c r="E981" s="1474"/>
    </row>
    <row r="982">
      <c r="C982" s="1474"/>
      <c r="D982" s="1474"/>
      <c r="E982" s="1474"/>
    </row>
    <row r="983">
      <c r="C983" s="1474"/>
      <c r="D983" s="1474"/>
      <c r="E983" s="1474"/>
    </row>
    <row r="984">
      <c r="C984" s="1474"/>
      <c r="D984" s="1474"/>
      <c r="E984" s="1474"/>
    </row>
    <row r="985">
      <c r="C985" s="1474"/>
      <c r="D985" s="1474"/>
      <c r="E985" s="1474"/>
    </row>
    <row r="986">
      <c r="C986" s="1474"/>
      <c r="D986" s="1474"/>
      <c r="E986" s="1474"/>
    </row>
    <row r="987">
      <c r="C987" s="1474"/>
      <c r="D987" s="1474"/>
      <c r="E987" s="1474"/>
    </row>
    <row r="988">
      <c r="C988" s="1474"/>
      <c r="D988" s="1474"/>
      <c r="E988" s="1474"/>
    </row>
    <row r="989">
      <c r="C989" s="1474"/>
      <c r="D989" s="1474"/>
      <c r="E989" s="1474"/>
    </row>
    <row r="990">
      <c r="C990" s="1474"/>
      <c r="D990" s="1474"/>
      <c r="E990" s="1474"/>
    </row>
    <row r="991">
      <c r="C991" s="1474"/>
      <c r="D991" s="1474"/>
      <c r="E991" s="1474"/>
    </row>
    <row r="992">
      <c r="C992" s="1474"/>
      <c r="D992" s="1474"/>
      <c r="E992" s="1474"/>
    </row>
    <row r="993">
      <c r="C993" s="1474"/>
      <c r="D993" s="1474"/>
      <c r="E993" s="1474"/>
    </row>
    <row r="994">
      <c r="C994" s="1474"/>
      <c r="D994" s="1474"/>
      <c r="E994" s="1474"/>
    </row>
    <row r="995">
      <c r="C995" s="1474"/>
      <c r="D995" s="1474"/>
      <c r="E995" s="1474"/>
    </row>
    <row r="996">
      <c r="C996" s="1474"/>
      <c r="D996" s="1474"/>
      <c r="E996" s="1474"/>
    </row>
    <row r="997">
      <c r="C997" s="1474"/>
      <c r="D997" s="1474"/>
      <c r="E997" s="1474"/>
    </row>
    <row r="998">
      <c r="C998" s="1474"/>
      <c r="D998" s="1474"/>
      <c r="E998" s="1474"/>
    </row>
    <row r="999">
      <c r="C999" s="1474"/>
      <c r="D999" s="1474"/>
      <c r="E999" s="1474"/>
    </row>
    <row r="1000">
      <c r="C1000" s="1474"/>
      <c r="D1000" s="1474"/>
      <c r="E1000" s="1474"/>
    </row>
  </sheetData>
  <dataValidations>
    <dataValidation type="list" allowBlank="1" sqref="B2:B100">
      <formula1>"1,2,3,4,5,6,7,8,9,10"</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38"/>
    <col customWidth="1" min="2" max="2" width="40.13"/>
    <col customWidth="1" min="3" max="3" width="27.13"/>
    <col customWidth="1" min="4" max="4" width="2.25"/>
    <col customWidth="1" min="5" max="5" width="35.75"/>
    <col customWidth="1" min="6" max="6" width="16.88"/>
    <col customWidth="1" min="7" max="8" width="2.38"/>
    <col customWidth="1" min="9" max="9" width="6.25"/>
    <col customWidth="1" min="10" max="23" width="2.38"/>
    <col customWidth="1" min="24" max="24" width="4.0"/>
    <col customWidth="1" min="25" max="25" width="10.25"/>
    <col customWidth="1" min="26" max="26" width="5.75"/>
    <col customWidth="1" min="27" max="27" width="6.38"/>
    <col customWidth="1" min="28" max="28" width="10.75"/>
    <col customWidth="1" min="29" max="29" width="6.5"/>
    <col customWidth="1" min="30" max="30" width="8.13"/>
    <col customWidth="1" min="31" max="32" width="6.75"/>
    <col customWidth="1" min="33" max="33" width="7.5"/>
    <col customWidth="1" min="34" max="34" width="6.75"/>
    <col customWidth="1" min="35" max="35" width="9.13"/>
    <col customWidth="1" min="36" max="36" width="9.5"/>
    <col customWidth="1" min="37" max="37" width="6.75"/>
    <col customWidth="1" min="38" max="38" width="9.38"/>
    <col customWidth="1" min="39" max="39" width="7.63"/>
    <col customWidth="1" min="40" max="40" width="6.75"/>
    <col customWidth="1" min="41" max="41" width="10.0"/>
    <col customWidth="1" min="42" max="42" width="6.75"/>
    <col customWidth="1" min="43" max="43" width="10.75"/>
    <col customWidth="1" min="44" max="44" width="7.63"/>
    <col customWidth="1" min="45" max="45" width="10.88"/>
    <col customWidth="1" min="46" max="46" width="9.13"/>
    <col customWidth="1" min="47" max="47" width="6.75"/>
    <col customWidth="1" min="48" max="49" width="9.0"/>
    <col customWidth="1" min="50" max="50" width="6.75"/>
    <col customWidth="1" min="51" max="52" width="8.13"/>
    <col customWidth="1" min="53" max="53" width="7.13"/>
    <col customWidth="1" min="54" max="54" width="10.0"/>
    <col customWidth="1" min="55" max="55" width="6.75"/>
    <col customWidth="1" min="56" max="56" width="10.25"/>
    <col customWidth="1" min="57" max="57" width="8.75"/>
    <col customWidth="1" min="58" max="58" width="9.38"/>
    <col customWidth="1" min="59" max="59" width="8.5"/>
    <col customWidth="1" min="60" max="60" width="10.0"/>
    <col customWidth="1" min="61" max="61" width="9.63"/>
    <col customWidth="1" min="62" max="62" width="9.88"/>
    <col customWidth="1" min="63" max="63" width="8.75"/>
    <col customWidth="1" min="64" max="64" width="8.88"/>
    <col customWidth="1" min="65" max="65" width="8.63"/>
    <col customWidth="1" min="66" max="66" width="9.38"/>
    <col customWidth="1" min="67" max="67" width="6.75"/>
    <col customWidth="1" min="68" max="68" width="8.63"/>
    <col customWidth="1" min="69" max="112" width="6.75"/>
    <col customWidth="1" min="113" max="113" width="9.0"/>
    <col customWidth="1" min="114" max="127" width="6.75"/>
  </cols>
  <sheetData>
    <row r="1">
      <c r="A1" s="1"/>
      <c r="B1" s="1"/>
      <c r="C1" s="1"/>
      <c r="D1" s="1"/>
      <c r="F1" s="1"/>
    </row>
    <row r="2">
      <c r="D2" s="2"/>
      <c r="F2" s="521"/>
    </row>
    <row r="3">
      <c r="D3" s="2"/>
      <c r="F3" s="523" t="s">
        <v>0</v>
      </c>
    </row>
    <row r="4">
      <c r="D4" s="2"/>
      <c r="F4" s="523" t="s">
        <v>111</v>
      </c>
    </row>
    <row r="5">
      <c r="D5" s="2"/>
    </row>
    <row r="6">
      <c r="D6" s="2"/>
      <c r="F6" s="139"/>
    </row>
    <row r="7">
      <c r="D7" s="2"/>
    </row>
    <row r="8">
      <c r="D8" s="2"/>
    </row>
    <row r="9">
      <c r="D9" s="2"/>
    </row>
    <row r="10">
      <c r="B10" s="1475" t="s">
        <v>184</v>
      </c>
      <c r="C10" s="526"/>
      <c r="D10" s="526"/>
      <c r="E10" s="526"/>
      <c r="F10" s="527"/>
      <c r="X10" s="1476" t="s">
        <v>132</v>
      </c>
      <c r="Y10" s="556"/>
      <c r="Z10" s="556"/>
      <c r="AA10" s="556"/>
      <c r="AB10" s="556"/>
      <c r="AC10" s="556"/>
      <c r="AD10" s="556"/>
      <c r="AE10" s="556"/>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7"/>
    </row>
    <row r="11">
      <c r="B11" s="110"/>
      <c r="F11" s="78"/>
      <c r="X11" s="559"/>
      <c r="BH11" s="560"/>
    </row>
    <row r="12">
      <c r="B12" s="146"/>
      <c r="C12" s="528"/>
      <c r="D12" s="528"/>
      <c r="E12" s="528"/>
      <c r="F12" s="529"/>
      <c r="X12" s="559"/>
      <c r="BH12" s="560"/>
    </row>
    <row r="13">
      <c r="B13" s="1477"/>
      <c r="C13" s="1477"/>
      <c r="D13" s="1477"/>
      <c r="E13" s="1477"/>
      <c r="F13" s="1477"/>
      <c r="X13" s="574"/>
      <c r="Y13" s="575"/>
      <c r="Z13" s="575"/>
      <c r="AA13" s="575"/>
      <c r="AB13" s="575"/>
      <c r="AC13" s="575"/>
      <c r="AD13" s="575"/>
      <c r="AE13" s="575"/>
      <c r="AF13" s="575"/>
      <c r="AG13" s="575"/>
      <c r="AH13" s="575"/>
      <c r="AI13" s="575"/>
      <c r="AJ13" s="575"/>
      <c r="AK13" s="575"/>
      <c r="AL13" s="575"/>
      <c r="AM13" s="575"/>
      <c r="AN13" s="575"/>
      <c r="AO13" s="575"/>
      <c r="AP13" s="575"/>
      <c r="AQ13" s="575"/>
      <c r="AR13" s="575"/>
      <c r="AS13" s="575"/>
      <c r="AT13" s="575"/>
      <c r="AU13" s="575"/>
      <c r="AV13" s="575"/>
      <c r="AW13" s="575"/>
      <c r="AX13" s="575"/>
      <c r="AY13" s="575"/>
      <c r="AZ13" s="575"/>
      <c r="BA13" s="575"/>
      <c r="BB13" s="575"/>
      <c r="BC13" s="575"/>
      <c r="BD13" s="575"/>
      <c r="BE13" s="575"/>
      <c r="BF13" s="575"/>
      <c r="BG13" s="575"/>
      <c r="BH13" s="576"/>
    </row>
    <row r="14">
      <c r="B14" s="1478" t="s">
        <v>185</v>
      </c>
    </row>
    <row r="18">
      <c r="B18" s="1479"/>
      <c r="C18" s="1479"/>
      <c r="D18" s="1479"/>
      <c r="E18" s="1479"/>
      <c r="F18" s="1479"/>
    </row>
    <row r="19">
      <c r="B19" s="1480" t="s">
        <v>133</v>
      </c>
      <c r="C19" s="526"/>
      <c r="D19" s="526"/>
      <c r="E19" s="526"/>
      <c r="F19" s="527"/>
    </row>
    <row r="20">
      <c r="B20" s="110"/>
      <c r="F20" s="78"/>
    </row>
    <row r="21">
      <c r="B21" s="1481">
        <f>$C$36*32</f>
        <v>0</v>
      </c>
      <c r="F21" s="78"/>
    </row>
    <row r="22">
      <c r="B22" s="110"/>
      <c r="F22" s="78"/>
    </row>
    <row r="23">
      <c r="B23" s="146"/>
      <c r="C23" s="528"/>
      <c r="D23" s="528"/>
      <c r="E23" s="528"/>
      <c r="F23" s="529"/>
    </row>
    <row r="24">
      <c r="B24" s="1479"/>
      <c r="C24" s="1479"/>
      <c r="D24" s="1479"/>
      <c r="E24" s="1479"/>
      <c r="F24" s="1479"/>
    </row>
    <row r="25">
      <c r="B25" s="1480" t="s">
        <v>186</v>
      </c>
      <c r="C25" s="526"/>
      <c r="D25" s="526"/>
      <c r="E25" s="526"/>
      <c r="F25" s="527"/>
    </row>
    <row r="26">
      <c r="B26" s="110"/>
      <c r="F26" s="78"/>
    </row>
    <row r="27">
      <c r="B27" s="1481">
        <f>C36*524288</f>
        <v>0</v>
      </c>
      <c r="F27" s="78"/>
    </row>
    <row r="28">
      <c r="B28" s="110"/>
      <c r="F28" s="78"/>
    </row>
    <row r="29">
      <c r="B29" s="146"/>
      <c r="C29" s="528"/>
      <c r="D29" s="528"/>
      <c r="E29" s="528"/>
      <c r="F29" s="529"/>
    </row>
    <row r="30">
      <c r="B30" s="1479"/>
      <c r="C30" s="1479"/>
      <c r="D30" s="1479"/>
      <c r="E30" s="1479"/>
      <c r="F30" s="1479"/>
    </row>
    <row r="31">
      <c r="B31" s="1475" t="s">
        <v>134</v>
      </c>
      <c r="C31" s="526"/>
      <c r="D31" s="526"/>
      <c r="E31" s="526"/>
      <c r="F31" s="527"/>
    </row>
    <row r="32">
      <c r="B32" s="110"/>
      <c r="F32" s="78"/>
    </row>
    <row r="33">
      <c r="B33" s="146"/>
      <c r="C33" s="528"/>
      <c r="D33" s="528"/>
      <c r="E33" s="528"/>
      <c r="F33" s="529"/>
    </row>
    <row r="34">
      <c r="B34" s="1482"/>
      <c r="C34" s="1483"/>
      <c r="D34" s="1479"/>
      <c r="E34" s="1479"/>
      <c r="F34" s="1479"/>
    </row>
    <row r="35" ht="17.25" customHeight="1">
      <c r="B35" s="1484" t="s">
        <v>6</v>
      </c>
      <c r="C35" s="1485"/>
      <c r="D35" s="1479"/>
      <c r="E35" s="1486" t="s">
        <v>2</v>
      </c>
      <c r="F35" s="1487"/>
    </row>
    <row r="36" ht="13.5" customHeight="1">
      <c r="B36" s="1488" t="s">
        <v>8</v>
      </c>
      <c r="C36" s="1489" t="str">
        <f>CoinGecko!D3</f>
        <v/>
      </c>
      <c r="D36" s="1483"/>
      <c r="E36" s="1490" t="s">
        <v>135</v>
      </c>
      <c r="F36" s="1491">
        <f>(C38/C37)</f>
        <v>16384</v>
      </c>
    </row>
    <row r="37">
      <c r="B37" s="1488" t="s">
        <v>10</v>
      </c>
      <c r="C37" s="1492">
        <v>32.0</v>
      </c>
      <c r="D37" s="1479"/>
      <c r="E37" s="1488" t="s">
        <v>5</v>
      </c>
      <c r="F37" s="1493">
        <f>C38/C37/C41</f>
        <v>256</v>
      </c>
    </row>
    <row r="38">
      <c r="B38" s="1488" t="s">
        <v>12</v>
      </c>
      <c r="C38" s="1494">
        <v>524288.0</v>
      </c>
      <c r="D38" s="1479"/>
      <c r="E38" s="1488" t="s">
        <v>7</v>
      </c>
      <c r="F38" s="1495">
        <f>(60*60*24*365.242)/(C42*C43)</f>
        <v>82179.45</v>
      </c>
    </row>
    <row r="39">
      <c r="B39" s="1488" t="s">
        <v>14</v>
      </c>
      <c r="C39" s="1496">
        <v>0.98</v>
      </c>
      <c r="D39" s="1479"/>
      <c r="E39" s="1488" t="s">
        <v>9</v>
      </c>
      <c r="F39" s="1497">
        <f>32 * 10^9 * C44/ sqrt(C38 * 10^9) / C48</f>
        <v>22360.67977</v>
      </c>
    </row>
    <row r="40">
      <c r="B40" s="1488" t="s">
        <v>20</v>
      </c>
      <c r="C40" s="1494">
        <v>1.13E8</v>
      </c>
      <c r="D40" s="1479"/>
      <c r="E40" s="1488" t="s">
        <v>11</v>
      </c>
      <c r="F40" s="1497">
        <f>F39*C49*C39 + 1*(0.125*F39*C39 + 0.875*F39*(C39+C39*(1 - C39)*(1 - C50)+C39*(1 - C39)^2*(1 - 2*C50)))</f>
        <v>88038.78845</v>
      </c>
    </row>
    <row r="41">
      <c r="B41" s="1488" t="s">
        <v>21</v>
      </c>
      <c r="C41" s="1492">
        <v>64.0</v>
      </c>
      <c r="D41" s="1479"/>
      <c r="E41" s="1488" t="s">
        <v>13</v>
      </c>
      <c r="F41" s="1497">
        <f>F39*C48</f>
        <v>89442.7191</v>
      </c>
    </row>
    <row r="42">
      <c r="B42" s="1488" t="s">
        <v>22</v>
      </c>
      <c r="C42" s="1492">
        <v>12.0</v>
      </c>
      <c r="D42" s="1479"/>
      <c r="E42" s="1488" t="s">
        <v>15</v>
      </c>
      <c r="F42" s="1497">
        <f>(F40*F36*C39 - F41*F36*(1-C39)) *F38  / 10^9</f>
        <v>113758.5776</v>
      </c>
    </row>
    <row r="43">
      <c r="B43" s="1488" t="s">
        <v>24</v>
      </c>
      <c r="C43" s="1492">
        <v>32.0</v>
      </c>
      <c r="D43" s="1479"/>
      <c r="E43" s="1488" t="s">
        <v>17</v>
      </c>
      <c r="F43" s="1497">
        <f>F42/365</f>
        <v>311.6673359</v>
      </c>
    </row>
    <row r="44">
      <c r="B44" s="1498" t="s">
        <v>26</v>
      </c>
      <c r="C44" s="1499">
        <v>64.0</v>
      </c>
      <c r="D44" s="1479"/>
      <c r="E44" s="1498" t="s">
        <v>19</v>
      </c>
      <c r="F44" s="1500">
        <f>F42/C40</f>
        <v>0.001006713076</v>
      </c>
    </row>
    <row r="45">
      <c r="B45" s="1501"/>
      <c r="C45" s="1502"/>
      <c r="D45" s="1483"/>
      <c r="E45" s="1501"/>
      <c r="F45" s="1503"/>
    </row>
    <row r="46">
      <c r="B46" s="1479"/>
      <c r="C46" s="1479"/>
      <c r="D46" s="1479"/>
      <c r="E46" s="1479"/>
      <c r="F46" s="1479"/>
    </row>
    <row r="47">
      <c r="B47" s="1486" t="s">
        <v>32</v>
      </c>
      <c r="C47" s="1504"/>
      <c r="D47" s="1479"/>
      <c r="E47" s="1505"/>
      <c r="F47" s="1506"/>
    </row>
    <row r="48">
      <c r="B48" s="1488" t="s">
        <v>35</v>
      </c>
      <c r="C48" s="1492">
        <v>4.0</v>
      </c>
      <c r="D48" s="1479"/>
      <c r="E48" s="1501"/>
      <c r="F48" s="1507"/>
    </row>
    <row r="49">
      <c r="B49" s="1488" t="s">
        <v>37</v>
      </c>
      <c r="C49" s="1492">
        <v>3.0</v>
      </c>
      <c r="D49" s="1479"/>
      <c r="E49" s="1501"/>
      <c r="F49" s="1507"/>
    </row>
    <row r="50">
      <c r="B50" s="1498" t="s">
        <v>39</v>
      </c>
      <c r="C50" s="1508">
        <f>1/64</f>
        <v>0.015625</v>
      </c>
      <c r="D50" s="1479"/>
      <c r="E50" s="1501"/>
      <c r="F50" s="1509"/>
      <c r="M50" s="38"/>
    </row>
    <row r="51">
      <c r="B51" s="1501"/>
      <c r="C51" s="1510"/>
      <c r="D51" s="1479"/>
      <c r="E51" s="1501"/>
      <c r="F51" s="1509"/>
    </row>
    <row r="52">
      <c r="B52" s="1501"/>
      <c r="C52" s="1510"/>
      <c r="D52" s="1479"/>
      <c r="E52" s="1501"/>
      <c r="F52" s="1509"/>
    </row>
    <row r="53">
      <c r="B53" s="1475" t="s">
        <v>137</v>
      </c>
      <c r="C53" s="526"/>
      <c r="D53" s="526"/>
      <c r="E53" s="526"/>
      <c r="F53" s="527"/>
    </row>
    <row r="54">
      <c r="B54" s="110"/>
      <c r="F54" s="78"/>
    </row>
    <row r="55">
      <c r="B55" s="110"/>
      <c r="F55" s="78"/>
    </row>
    <row r="56">
      <c r="B56" s="146"/>
      <c r="C56" s="528"/>
      <c r="D56" s="528"/>
      <c r="E56" s="528"/>
      <c r="F56" s="529"/>
    </row>
    <row r="57">
      <c r="B57" s="1479"/>
      <c r="C57" s="1479"/>
      <c r="D57" s="1479"/>
      <c r="E57" s="1501"/>
      <c r="F57" s="1511"/>
    </row>
    <row r="58">
      <c r="B58" s="1512" t="s">
        <v>187</v>
      </c>
      <c r="C58" s="1513"/>
      <c r="D58" s="1479"/>
      <c r="E58" s="1484" t="s">
        <v>41</v>
      </c>
      <c r="F58" s="1514"/>
      <c r="G58" s="52"/>
      <c r="H58" s="52"/>
      <c r="I58" s="52"/>
      <c r="J58" s="52"/>
      <c r="K58" s="52"/>
      <c r="L58" s="52"/>
      <c r="M58" s="52"/>
      <c r="N58" s="52"/>
      <c r="O58" s="52"/>
      <c r="P58" s="52"/>
      <c r="Q58" s="52"/>
      <c r="R58" s="52"/>
      <c r="S58" s="52"/>
      <c r="T58" s="52"/>
      <c r="U58" s="52"/>
      <c r="V58" s="52"/>
      <c r="W58" s="52"/>
      <c r="CL58" s="52"/>
      <c r="CM58" s="52"/>
      <c r="CN58" s="52"/>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c r="DS58" s="52"/>
      <c r="DT58" s="52"/>
      <c r="DU58" s="52"/>
      <c r="DV58" s="52"/>
      <c r="DW58" s="52"/>
    </row>
    <row r="59">
      <c r="B59" s="1488" t="s">
        <v>33</v>
      </c>
      <c r="C59" s="1515" t="s">
        <v>34</v>
      </c>
      <c r="D59" s="1479"/>
      <c r="E59" s="1516" t="s">
        <v>43</v>
      </c>
      <c r="F59" s="1517">
        <f>C37*C67</f>
        <v>32</v>
      </c>
    </row>
    <row r="60">
      <c r="B60" s="1498" t="s">
        <v>36</v>
      </c>
      <c r="C60" s="1518" t="s">
        <v>34</v>
      </c>
      <c r="D60" s="1479"/>
      <c r="E60" s="1516" t="s">
        <v>188</v>
      </c>
      <c r="F60" s="1519">
        <f>(F40*C68-F41*(1-C68))*F38/10^9/C37</f>
        <v>0.2033035181</v>
      </c>
    </row>
    <row r="61">
      <c r="B61" s="1479"/>
      <c r="C61" s="1479"/>
      <c r="D61" s="1479"/>
      <c r="E61" s="1488" t="s">
        <v>189</v>
      </c>
      <c r="F61" s="1520">
        <f>F60*F59</f>
        <v>6.505712579</v>
      </c>
      <c r="I61" s="63"/>
    </row>
    <row r="62">
      <c r="B62" s="1512" t="s">
        <v>190</v>
      </c>
      <c r="C62" s="1513"/>
      <c r="D62" s="1479"/>
      <c r="E62" s="1516" t="s">
        <v>47</v>
      </c>
      <c r="F62" s="1521">
        <f>F59*C36*F60</f>
        <v>0</v>
      </c>
    </row>
    <row r="63">
      <c r="B63" s="1488" t="s">
        <v>191</v>
      </c>
      <c r="C63" s="1515" t="s">
        <v>192</v>
      </c>
      <c r="D63" s="1479"/>
      <c r="E63" s="1516" t="s">
        <v>49</v>
      </c>
      <c r="F63" s="1522">
        <f>F48*365.24/C38</f>
        <v>0</v>
      </c>
    </row>
    <row r="64">
      <c r="B64" s="1498" t="s">
        <v>193</v>
      </c>
      <c r="C64" s="1518" t="s">
        <v>194</v>
      </c>
      <c r="D64" s="1479"/>
      <c r="E64" s="1516" t="s">
        <v>51</v>
      </c>
      <c r="F64" s="1521">
        <f>F63*F59*C36</f>
        <v>0</v>
      </c>
    </row>
    <row r="65">
      <c r="B65" s="1501"/>
      <c r="C65" s="1523"/>
      <c r="D65" s="1524"/>
      <c r="E65" s="1525" t="s">
        <v>53</v>
      </c>
      <c r="F65" s="1526">
        <f>sum(F62+F64)</f>
        <v>0</v>
      </c>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row>
    <row r="66">
      <c r="B66" s="1512" t="s">
        <v>40</v>
      </c>
      <c r="C66" s="1513"/>
      <c r="D66" s="1524"/>
      <c r="E66" s="1527" t="s">
        <v>56</v>
      </c>
      <c r="F66" s="1528" t="str">
        <f>(F65)/((C37*C36)*C67)</f>
        <v>#DIV/0!</v>
      </c>
      <c r="CL66" s="87"/>
      <c r="CM66" s="87"/>
      <c r="CN66" s="87"/>
      <c r="CO66" s="87"/>
      <c r="CP66" s="87"/>
      <c r="CQ66" s="87"/>
      <c r="CR66" s="87"/>
      <c r="CS66" s="87"/>
      <c r="CT66" s="87"/>
      <c r="CU66" s="87"/>
      <c r="CV66" s="87"/>
      <c r="CW66" s="87"/>
      <c r="CX66" s="87"/>
      <c r="CY66" s="87"/>
      <c r="CZ66" s="87"/>
      <c r="DA66" s="87"/>
      <c r="DB66" s="87"/>
      <c r="DC66" s="87"/>
      <c r="DD66" s="87"/>
      <c r="DE66" s="87"/>
      <c r="DF66" s="87"/>
      <c r="DG66" s="87"/>
      <c r="DH66" s="87"/>
      <c r="DI66" s="87"/>
      <c r="DJ66" s="87"/>
      <c r="DK66" s="87"/>
      <c r="DL66" s="87"/>
      <c r="DM66" s="87"/>
      <c r="DN66" s="87"/>
      <c r="DO66" s="87"/>
      <c r="DP66" s="87"/>
      <c r="DQ66" s="87"/>
      <c r="DR66" s="87"/>
      <c r="DS66" s="87"/>
      <c r="DT66" s="87"/>
      <c r="DU66" s="87"/>
      <c r="DV66" s="87"/>
      <c r="DW66" s="87"/>
    </row>
    <row r="67">
      <c r="B67" s="1488" t="s">
        <v>44</v>
      </c>
      <c r="C67" s="1529">
        <v>1.0</v>
      </c>
      <c r="D67" s="1479"/>
      <c r="E67" s="1530" t="s">
        <v>61</v>
      </c>
      <c r="F67" s="1531">
        <f>IF(C63="hardware",C80*8760/1000*C71,0)</f>
        <v>0</v>
      </c>
      <c r="I67" s="9" t="s">
        <v>62</v>
      </c>
      <c r="CL67" s="87"/>
      <c r="CM67" s="87"/>
      <c r="CN67" s="87"/>
      <c r="CO67" s="87"/>
      <c r="CP67" s="87"/>
      <c r="CQ67" s="87"/>
      <c r="CR67" s="87"/>
      <c r="CS67" s="87"/>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row>
    <row r="68">
      <c r="B68" s="1488" t="s">
        <v>42</v>
      </c>
      <c r="C68" s="1532">
        <v>0.95</v>
      </c>
      <c r="D68" s="1479"/>
      <c r="E68" s="1530" t="s">
        <v>65</v>
      </c>
      <c r="F68" s="1533">
        <f>if(C63="hardware",C69/C70*C78, 0)</f>
        <v>0</v>
      </c>
      <c r="CL68" s="87"/>
      <c r="CM68" s="87"/>
      <c r="CN68" s="87"/>
      <c r="CO68" s="87"/>
      <c r="CP68" s="87"/>
      <c r="CQ68" s="87"/>
      <c r="CR68" s="87"/>
      <c r="CS68" s="87"/>
      <c r="CT68" s="87"/>
      <c r="CU68" s="87"/>
      <c r="CV68" s="87"/>
      <c r="CW68" s="87"/>
      <c r="CX68" s="87"/>
      <c r="CY68" s="87"/>
      <c r="CZ68" s="87"/>
      <c r="DA68" s="87"/>
      <c r="DB68" s="87"/>
      <c r="DC68" s="87"/>
      <c r="DD68" s="87"/>
      <c r="DE68" s="87"/>
      <c r="DF68" s="87"/>
      <c r="DG68" s="87"/>
      <c r="DH68" s="87"/>
      <c r="DI68" s="87"/>
      <c r="DJ68" s="87"/>
      <c r="DK68" s="87"/>
      <c r="DL68" s="87"/>
      <c r="DM68" s="87"/>
      <c r="DN68" s="87"/>
      <c r="DO68" s="87"/>
      <c r="DP68" s="87"/>
      <c r="DQ68" s="87"/>
      <c r="DR68" s="87"/>
      <c r="DS68" s="87"/>
      <c r="DT68" s="87"/>
      <c r="DU68" s="87"/>
      <c r="DV68" s="87"/>
      <c r="DW68" s="87"/>
    </row>
    <row r="69">
      <c r="B69" s="1488" t="s">
        <v>46</v>
      </c>
      <c r="C69" s="1489">
        <f>if(C64="recommended requirements",750,250)</f>
        <v>750</v>
      </c>
      <c r="D69" s="1479"/>
      <c r="E69" s="1530" t="s">
        <v>70</v>
      </c>
      <c r="F69" s="1531">
        <f>IF(C59="Yes",0,C74*12)</f>
        <v>0</v>
      </c>
      <c r="CL69" s="115"/>
      <c r="CM69" s="115"/>
      <c r="CN69" s="115"/>
      <c r="CO69" s="115"/>
      <c r="CP69" s="115"/>
      <c r="CQ69" s="115"/>
      <c r="CR69" s="115"/>
      <c r="CS69" s="115"/>
      <c r="CT69" s="115"/>
      <c r="CU69" s="115"/>
      <c r="CV69" s="115"/>
      <c r="CW69" s="115"/>
      <c r="CX69" s="115"/>
      <c r="CY69" s="115"/>
      <c r="CZ69" s="115"/>
      <c r="DA69" s="115"/>
      <c r="DB69" s="115"/>
      <c r="DC69" s="115"/>
      <c r="DD69" s="115"/>
      <c r="DE69" s="115"/>
      <c r="DF69" s="115"/>
      <c r="DG69" s="115"/>
      <c r="DH69" s="115"/>
      <c r="DI69" s="115"/>
      <c r="DJ69" s="115"/>
      <c r="DK69" s="115"/>
      <c r="DL69" s="115"/>
      <c r="DM69" s="115"/>
      <c r="DN69" s="115"/>
      <c r="DO69" s="115"/>
      <c r="DP69" s="115"/>
      <c r="DQ69" s="115"/>
      <c r="DR69" s="115"/>
      <c r="DS69" s="115"/>
      <c r="DT69" s="115"/>
      <c r="DU69" s="115"/>
      <c r="DV69" s="115"/>
      <c r="DW69" s="115"/>
    </row>
    <row r="70">
      <c r="B70" s="1488" t="s">
        <v>48</v>
      </c>
      <c r="C70" s="1529">
        <v>2.5</v>
      </c>
      <c r="D70" s="1479"/>
      <c r="E70" s="1534" t="s">
        <v>72</v>
      </c>
      <c r="F70" s="1535">
        <f>if(C60="yes",0,C75)</f>
        <v>0</v>
      </c>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row>
    <row r="71">
      <c r="B71" s="1488" t="s">
        <v>50</v>
      </c>
      <c r="C71" s="1536">
        <f>average(0.15,0.19,0.22,0.22,0.33,0.1936,0.11,0.2)</f>
        <v>0.2017</v>
      </c>
      <c r="D71" s="1479"/>
      <c r="E71" s="1534" t="s">
        <v>195</v>
      </c>
      <c r="F71" s="1535">
        <f>if(C63="cloud",12*C76*C78,0)</f>
        <v>960</v>
      </c>
      <c r="CL71" s="123"/>
      <c r="CM71" s="123"/>
      <c r="CN71" s="123"/>
      <c r="CO71" s="123"/>
      <c r="CP71" s="123"/>
      <c r="CQ71" s="123"/>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row>
    <row r="72" ht="19.5" customHeight="1">
      <c r="B72" s="1488" t="s">
        <v>52</v>
      </c>
      <c r="C72" s="1492">
        <v>10.0</v>
      </c>
      <c r="D72" s="1479"/>
      <c r="E72" s="1534" t="s">
        <v>77</v>
      </c>
      <c r="F72" s="1535">
        <f>C77*C78</f>
        <v>25</v>
      </c>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row>
    <row r="73">
      <c r="B73" s="1488" t="s">
        <v>55</v>
      </c>
      <c r="C73" s="1492">
        <v>40.0</v>
      </c>
      <c r="D73" s="1479"/>
      <c r="E73" s="1537" t="s">
        <v>79</v>
      </c>
      <c r="F73" s="1538">
        <f>sum(F67:F72)</f>
        <v>985</v>
      </c>
      <c r="X73" s="1476" t="s">
        <v>19</v>
      </c>
      <c r="Y73" s="556"/>
      <c r="Z73" s="556"/>
      <c r="AA73" s="556"/>
      <c r="AB73" s="556"/>
      <c r="AC73" s="556"/>
      <c r="AD73" s="556"/>
      <c r="AE73" s="556"/>
      <c r="AF73" s="556"/>
      <c r="AG73" s="556"/>
      <c r="AH73" s="556"/>
      <c r="AI73" s="556"/>
      <c r="AJ73" s="556"/>
      <c r="AK73" s="556"/>
      <c r="AL73" s="556"/>
      <c r="AM73" s="556"/>
      <c r="AN73" s="556"/>
      <c r="AO73" s="556"/>
      <c r="AP73" s="556"/>
      <c r="AQ73" s="556"/>
      <c r="AR73" s="556"/>
      <c r="AS73" s="556"/>
      <c r="AT73" s="556"/>
      <c r="AU73" s="556"/>
      <c r="AV73" s="556"/>
      <c r="AW73" s="556"/>
      <c r="AX73" s="556"/>
      <c r="AY73" s="556"/>
      <c r="AZ73" s="556"/>
      <c r="BA73" s="556"/>
      <c r="BB73" s="556"/>
      <c r="BC73" s="556"/>
      <c r="BD73" s="556"/>
      <c r="BE73" s="556"/>
      <c r="BF73" s="556"/>
      <c r="BG73" s="556"/>
      <c r="BH73" s="557"/>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row>
    <row r="74" ht="18.0" customHeight="1">
      <c r="B74" s="1488" t="s">
        <v>60</v>
      </c>
      <c r="C74" s="1536">
        <f>average(31.14,36.68,37.15,39.58,67.69,72.68,57.66, 68.78)</f>
        <v>51.42</v>
      </c>
      <c r="D74" s="1479"/>
      <c r="E74" s="1539" t="s">
        <v>81</v>
      </c>
      <c r="F74" s="1540">
        <f>F65-F73</f>
        <v>-985</v>
      </c>
      <c r="X74" s="559"/>
      <c r="BH74" s="560"/>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row>
    <row r="75">
      <c r="B75" s="1488" t="s">
        <v>64</v>
      </c>
      <c r="C75" s="1541">
        <v>90.0</v>
      </c>
      <c r="D75" s="1479"/>
      <c r="E75" s="1542" t="s">
        <v>82</v>
      </c>
      <c r="F75" s="1543" t="str">
        <f>F74/(F59*C36)</f>
        <v>#DIV/0!</v>
      </c>
      <c r="X75" s="559"/>
      <c r="BH75" s="560"/>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row>
    <row r="76">
      <c r="B76" s="1488" t="s">
        <v>69</v>
      </c>
      <c r="C76" s="1489">
        <f>if(C64="recommended requirements",80,40)</f>
        <v>80</v>
      </c>
      <c r="D76" s="1479"/>
      <c r="E76" s="1479"/>
      <c r="F76" s="1479"/>
      <c r="X76" s="574"/>
      <c r="Y76" s="575"/>
      <c r="Z76" s="575"/>
      <c r="AA76" s="575"/>
      <c r="AB76" s="575"/>
      <c r="AC76" s="575"/>
      <c r="AD76" s="575"/>
      <c r="AE76" s="575"/>
      <c r="AF76" s="575"/>
      <c r="AG76" s="575"/>
      <c r="AH76" s="575"/>
      <c r="AI76" s="575"/>
      <c r="AJ76" s="575"/>
      <c r="AK76" s="575"/>
      <c r="AL76" s="575"/>
      <c r="AM76" s="575"/>
      <c r="AN76" s="575"/>
      <c r="AO76" s="575"/>
      <c r="AP76" s="575"/>
      <c r="AQ76" s="575"/>
      <c r="AR76" s="575"/>
      <c r="AS76" s="575"/>
      <c r="AT76" s="575"/>
      <c r="AU76" s="575"/>
      <c r="AV76" s="575"/>
      <c r="AW76" s="575"/>
      <c r="AX76" s="575"/>
      <c r="AY76" s="575"/>
      <c r="AZ76" s="575"/>
      <c r="BA76" s="575"/>
      <c r="BB76" s="575"/>
      <c r="BC76" s="575"/>
      <c r="BD76" s="575"/>
      <c r="BE76" s="575"/>
      <c r="BF76" s="575"/>
      <c r="BG76" s="575"/>
      <c r="BH76" s="576"/>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row>
    <row r="77">
      <c r="B77" s="1488" t="s">
        <v>71</v>
      </c>
      <c r="C77" s="1541">
        <v>25.0</v>
      </c>
      <c r="D77" s="1479"/>
      <c r="E77" s="1479"/>
      <c r="F77" s="1479"/>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row>
    <row r="78">
      <c r="B78" s="1544" t="s">
        <v>147</v>
      </c>
      <c r="C78" s="1545">
        <f>IF(ISNUMBER(SEARCH("No",C63)),(ROUNDUP(C67/C79)),(ROUNDUP(C67/C79)))</f>
        <v>1</v>
      </c>
      <c r="D78" s="1479"/>
      <c r="E78" s="1479"/>
      <c r="F78" s="1479"/>
      <c r="CL78" s="144"/>
      <c r="CM78" s="144"/>
      <c r="CN78" s="144"/>
      <c r="CO78" s="144"/>
      <c r="CP78" s="144"/>
      <c r="CQ78" s="144"/>
      <c r="CR78" s="144"/>
      <c r="CS78" s="144"/>
      <c r="CT78" s="144"/>
      <c r="CU78" s="144"/>
      <c r="CV78" s="144"/>
      <c r="CW78" s="144"/>
      <c r="CX78" s="144"/>
      <c r="CY78" s="144"/>
      <c r="CZ78" s="144"/>
      <c r="DA78" s="144"/>
      <c r="DB78" s="144"/>
      <c r="DC78" s="144"/>
      <c r="DD78" s="144"/>
      <c r="DE78" s="144"/>
      <c r="DF78" s="144"/>
      <c r="DG78" s="144"/>
      <c r="DH78" s="144"/>
      <c r="DI78" s="144"/>
      <c r="DJ78" s="144"/>
      <c r="DK78" s="144"/>
      <c r="DL78" s="144"/>
      <c r="DM78" s="144"/>
      <c r="DN78" s="144"/>
      <c r="DO78" s="144"/>
      <c r="DP78" s="144"/>
      <c r="DQ78" s="144"/>
      <c r="DR78" s="144"/>
      <c r="DS78" s="144"/>
      <c r="DT78" s="144"/>
      <c r="DU78" s="144"/>
      <c r="DV78" s="144"/>
      <c r="DW78" s="144"/>
    </row>
    <row r="79">
      <c r="B79" s="1546" t="s">
        <v>149</v>
      </c>
      <c r="C79" s="1547" t="str">
        <f>IF(ISNUMBER(SEARCH("No",C63)), "16", "1000")</f>
        <v>1000</v>
      </c>
      <c r="D79" s="1479"/>
      <c r="E79" s="1479"/>
      <c r="F79" s="1479"/>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c r="DU79" s="51"/>
      <c r="DV79" s="51"/>
      <c r="DW79" s="51"/>
    </row>
    <row r="80">
      <c r="B80" s="1548" t="s">
        <v>76</v>
      </c>
      <c r="C80" s="1549">
        <f>IF(ISNUMBER(SEARCH("Yes",C63)),"N/A",((C78*C73+1024*(1-(1023/1024)^C67)*C72)))</f>
        <v>50</v>
      </c>
      <c r="D80" s="1479"/>
      <c r="E80" s="1479"/>
      <c r="F80" s="1479"/>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c r="DU80" s="51"/>
      <c r="DV80" s="51"/>
      <c r="DW80" s="51"/>
    </row>
    <row r="81">
      <c r="B81" s="1488" t="s">
        <v>78</v>
      </c>
      <c r="C81" s="1550">
        <f>F59*C36</f>
        <v>0</v>
      </c>
      <c r="D81" s="1479"/>
      <c r="E81" s="1479"/>
      <c r="F81" s="1479"/>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c r="DU81" s="51"/>
      <c r="DV81" s="51"/>
      <c r="DW81" s="51"/>
    </row>
    <row r="82">
      <c r="B82" s="1551"/>
      <c r="C82" s="1552"/>
      <c r="D82" s="610"/>
      <c r="E82" s="610"/>
      <c r="F82" s="610"/>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c r="DU82" s="51"/>
      <c r="DV82" s="51"/>
      <c r="DW82" s="51"/>
    </row>
    <row r="83">
      <c r="B83" s="613" t="s">
        <v>78</v>
      </c>
      <c r="C83" s="1553">
        <f>F63*C37</f>
        <v>0</v>
      </c>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c r="DU83" s="51"/>
      <c r="DV83" s="51"/>
      <c r="DW83" s="51"/>
    </row>
    <row r="84">
      <c r="B84" s="668" t="s">
        <v>80</v>
      </c>
      <c r="C84" s="1554">
        <f>(C71*C80)+C77+(F63*C37)+(C79*C70)</f>
        <v>2535.085</v>
      </c>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c r="DU84" s="51"/>
      <c r="DV84" s="51"/>
      <c r="DW84" s="51"/>
    </row>
    <row r="85">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c r="DU85" s="51"/>
      <c r="DV85" s="51"/>
      <c r="DW85" s="51"/>
    </row>
    <row r="86">
      <c r="B86" s="152"/>
      <c r="C86" s="23"/>
      <c r="X86" s="1134"/>
      <c r="CL86" s="144"/>
      <c r="CM86" s="144"/>
      <c r="CN86" s="144"/>
      <c r="CO86" s="144"/>
      <c r="CP86" s="144"/>
      <c r="CQ86" s="144"/>
      <c r="CR86" s="144"/>
      <c r="CS86" s="144"/>
      <c r="CT86" s="144"/>
      <c r="CU86" s="144"/>
      <c r="CV86" s="144"/>
      <c r="CW86" s="144"/>
      <c r="CX86" s="144"/>
      <c r="CY86" s="144"/>
      <c r="CZ86" s="144"/>
      <c r="DA86" s="144"/>
      <c r="DB86" s="144"/>
      <c r="DC86" s="144"/>
      <c r="DD86" s="144"/>
      <c r="DE86" s="144"/>
      <c r="DF86" s="144"/>
      <c r="DG86" s="144"/>
      <c r="DH86" s="144"/>
      <c r="DI86" s="144"/>
      <c r="DJ86" s="144"/>
      <c r="DK86" s="144"/>
      <c r="DL86" s="144"/>
      <c r="DM86" s="144"/>
      <c r="DN86" s="144"/>
      <c r="DO86" s="144"/>
      <c r="DP86" s="144"/>
      <c r="DQ86" s="144"/>
      <c r="DR86" s="144"/>
      <c r="DS86" s="144"/>
      <c r="DT86" s="144"/>
      <c r="DU86" s="144"/>
      <c r="DV86" s="144"/>
      <c r="DW86" s="144"/>
    </row>
    <row r="87">
      <c r="B87" s="1524"/>
      <c r="C87" s="1524"/>
      <c r="D87" s="1524"/>
      <c r="E87" s="1524"/>
      <c r="F87" s="1524"/>
      <c r="G87" s="1555"/>
      <c r="H87" s="1555"/>
      <c r="I87" s="1555"/>
      <c r="J87" s="1555"/>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c r="DT87" s="51"/>
      <c r="DU87" s="51"/>
      <c r="DV87" s="51"/>
      <c r="DW87" s="51"/>
    </row>
    <row r="88">
      <c r="B88" s="1524"/>
      <c r="C88" s="1524"/>
      <c r="D88" s="1524"/>
      <c r="E88" s="1524"/>
      <c r="F88" s="1524"/>
      <c r="G88" s="1555"/>
      <c r="H88" s="1555"/>
      <c r="I88" s="1555"/>
      <c r="J88" s="1555"/>
      <c r="CL88" s="144"/>
      <c r="CM88" s="144"/>
      <c r="CN88" s="144"/>
      <c r="CO88" s="144"/>
      <c r="CP88" s="144"/>
      <c r="CQ88" s="144"/>
      <c r="CR88" s="144"/>
      <c r="CS88" s="144"/>
      <c r="CT88" s="144"/>
      <c r="CU88" s="144"/>
      <c r="CV88" s="144"/>
      <c r="CW88" s="144"/>
      <c r="CX88" s="144"/>
      <c r="CY88" s="144"/>
      <c r="CZ88" s="144"/>
      <c r="DA88" s="144"/>
      <c r="DB88" s="144"/>
      <c r="DC88" s="144"/>
      <c r="DD88" s="144"/>
      <c r="DE88" s="144"/>
      <c r="DF88" s="144"/>
      <c r="DG88" s="144"/>
      <c r="DH88" s="144"/>
      <c r="DI88" s="144"/>
      <c r="DJ88" s="144"/>
      <c r="DK88" s="144"/>
      <c r="DL88" s="144"/>
      <c r="DM88" s="144"/>
      <c r="DN88" s="144"/>
      <c r="DO88" s="144"/>
      <c r="DP88" s="144"/>
      <c r="DQ88" s="144"/>
      <c r="DR88" s="144"/>
      <c r="DS88" s="144"/>
      <c r="DT88" s="144"/>
      <c r="DU88" s="144"/>
      <c r="DV88" s="144"/>
      <c r="DW88" s="144"/>
    </row>
    <row r="89">
      <c r="B89" s="1524"/>
      <c r="C89" s="1524"/>
      <c r="D89" s="1524"/>
      <c r="E89" s="1524"/>
      <c r="F89" s="1524"/>
      <c r="G89" s="1555"/>
      <c r="H89" s="1555"/>
      <c r="I89" s="1555"/>
      <c r="J89" s="1555"/>
    </row>
    <row r="90">
      <c r="B90" s="1524"/>
      <c r="C90" s="1524"/>
      <c r="D90" s="1524"/>
      <c r="E90" s="1524"/>
      <c r="F90" s="1524"/>
      <c r="G90" s="1555"/>
      <c r="H90" s="1555"/>
      <c r="I90" s="1555"/>
      <c r="J90" s="1555"/>
    </row>
    <row r="91">
      <c r="B91" s="1483"/>
      <c r="C91" s="1483"/>
      <c r="D91" s="1483"/>
      <c r="E91" s="1483"/>
      <c r="F91" s="1483"/>
      <c r="G91" s="23"/>
      <c r="H91" s="23"/>
      <c r="I91" s="23"/>
      <c r="J91" s="23"/>
    </row>
    <row r="92">
      <c r="B92" s="1556"/>
      <c r="C92" s="1557"/>
      <c r="D92" s="1483"/>
      <c r="E92" s="1556"/>
      <c r="F92" s="1557"/>
      <c r="G92" s="23"/>
      <c r="H92" s="23"/>
      <c r="I92" s="23"/>
      <c r="J92" s="23"/>
    </row>
    <row r="93">
      <c r="B93" s="1558"/>
      <c r="C93" s="1559"/>
      <c r="D93" s="1483"/>
      <c r="E93" s="1558"/>
      <c r="F93" s="1560"/>
      <c r="G93" s="23"/>
      <c r="H93" s="23"/>
      <c r="I93" s="23"/>
      <c r="J93" s="23"/>
    </row>
    <row r="94">
      <c r="B94" s="1558"/>
      <c r="C94" s="1559"/>
      <c r="D94" s="1483"/>
      <c r="E94" s="1558"/>
      <c r="F94" s="1561"/>
      <c r="G94" s="23"/>
      <c r="H94" s="23"/>
      <c r="I94" s="23"/>
      <c r="J94" s="23"/>
    </row>
    <row r="95">
      <c r="B95" s="1562"/>
      <c r="C95" s="1563"/>
      <c r="D95" s="1483"/>
      <c r="E95" s="1558"/>
      <c r="F95" s="1564"/>
      <c r="G95" s="23"/>
      <c r="H95" s="23"/>
      <c r="I95" s="23"/>
      <c r="J95" s="23"/>
    </row>
    <row r="96">
      <c r="B96" s="1558"/>
      <c r="C96" s="1565"/>
      <c r="D96" s="1483"/>
      <c r="E96" s="1483"/>
      <c r="F96" s="1483"/>
      <c r="G96" s="23"/>
      <c r="H96" s="23"/>
      <c r="I96" s="23"/>
      <c r="J96" s="23"/>
    </row>
    <row r="97">
      <c r="B97" s="1558"/>
      <c r="C97" s="1559"/>
      <c r="D97" s="1483"/>
      <c r="E97" s="1483"/>
      <c r="F97" s="1483"/>
      <c r="G97" s="23"/>
      <c r="H97" s="23"/>
      <c r="I97" s="23"/>
      <c r="J97" s="23"/>
    </row>
    <row r="98">
      <c r="B98" s="1562"/>
      <c r="C98" s="1563"/>
      <c r="D98" s="1483"/>
      <c r="E98" s="1483"/>
      <c r="F98" s="1483"/>
      <c r="G98" s="23"/>
      <c r="H98" s="23"/>
      <c r="I98" s="23"/>
      <c r="J98" s="23"/>
    </row>
    <row r="99">
      <c r="B99" s="1558"/>
      <c r="C99" s="1566"/>
      <c r="D99" s="1483"/>
      <c r="E99" s="1483"/>
      <c r="F99" s="1483"/>
      <c r="G99" s="23"/>
      <c r="H99" s="23"/>
      <c r="I99" s="23"/>
      <c r="J99" s="23"/>
    </row>
    <row r="100">
      <c r="B100" s="1558"/>
      <c r="C100" s="1567"/>
      <c r="D100" s="1483"/>
      <c r="E100" s="1483"/>
      <c r="F100" s="1483"/>
      <c r="G100" s="23"/>
      <c r="H100" s="23"/>
      <c r="I100" s="23"/>
      <c r="J100" s="23"/>
    </row>
    <row r="101">
      <c r="B101" s="1483"/>
      <c r="C101" s="1483"/>
      <c r="D101" s="1483"/>
      <c r="E101" s="1483"/>
      <c r="F101" s="1483"/>
      <c r="G101" s="23"/>
      <c r="H101" s="23"/>
      <c r="I101" s="23"/>
      <c r="J101" s="23"/>
    </row>
    <row r="102">
      <c r="B102" s="1556"/>
      <c r="C102" s="1557"/>
      <c r="D102" s="1483"/>
      <c r="E102" s="1483"/>
      <c r="F102" s="1483"/>
      <c r="G102" s="23"/>
      <c r="H102" s="23"/>
      <c r="I102" s="23"/>
      <c r="J102" s="23"/>
    </row>
    <row r="103">
      <c r="B103" s="1558"/>
      <c r="C103" s="1567"/>
      <c r="D103" s="1483"/>
      <c r="E103" s="1483"/>
      <c r="F103" s="1483"/>
      <c r="G103" s="23"/>
      <c r="H103" s="23"/>
      <c r="I103" s="23"/>
      <c r="J103" s="23"/>
    </row>
    <row r="104">
      <c r="B104" s="1558"/>
      <c r="C104" s="1567"/>
      <c r="D104" s="1483"/>
      <c r="E104" s="1483"/>
      <c r="F104" s="1483"/>
      <c r="G104" s="23"/>
      <c r="H104" s="23"/>
      <c r="I104" s="23"/>
      <c r="J104" s="23"/>
    </row>
    <row r="105">
      <c r="B105" s="1558"/>
      <c r="C105" s="1559"/>
      <c r="D105" s="1483"/>
      <c r="E105" s="1483"/>
      <c r="F105" s="1483"/>
      <c r="G105" s="23"/>
      <c r="H105" s="23"/>
      <c r="I105" s="23"/>
      <c r="J105" s="23"/>
    </row>
    <row r="106">
      <c r="B106" s="152"/>
      <c r="C106" s="153"/>
      <c r="D106" s="23"/>
      <c r="E106" s="23"/>
      <c r="F106" s="23"/>
      <c r="G106" s="23"/>
      <c r="H106" s="23"/>
      <c r="I106" s="23"/>
      <c r="J106" s="23"/>
    </row>
    <row r="107">
      <c r="B107" s="152"/>
      <c r="C107" s="153"/>
    </row>
    <row r="108">
      <c r="B108" s="152"/>
      <c r="C108" s="153"/>
    </row>
    <row r="109">
      <c r="B109" s="152"/>
      <c r="C109" s="153"/>
      <c r="AA109" s="1136" t="s">
        <v>88</v>
      </c>
      <c r="AB109" s="498"/>
      <c r="AC109" s="498"/>
      <c r="AD109" s="498"/>
      <c r="AE109" s="498"/>
      <c r="AF109" s="498"/>
      <c r="AG109" s="498"/>
      <c r="AH109" s="498"/>
      <c r="AI109" s="498"/>
      <c r="AJ109" s="505"/>
      <c r="AK109" s="1136" t="s">
        <v>151</v>
      </c>
      <c r="AL109" s="498"/>
      <c r="AM109" s="498"/>
      <c r="AN109" s="498"/>
      <c r="AO109" s="498"/>
      <c r="AP109" s="498"/>
      <c r="AQ109" s="498"/>
      <c r="AR109" s="498"/>
      <c r="AS109" s="498"/>
      <c r="AU109" s="1137" t="s">
        <v>54</v>
      </c>
      <c r="AV109" s="80"/>
      <c r="AW109" s="80"/>
      <c r="AX109" s="80"/>
      <c r="AY109" s="80"/>
      <c r="AZ109" s="80"/>
      <c r="BA109" s="80"/>
      <c r="BB109" s="498"/>
      <c r="BC109" s="498"/>
      <c r="BD109" s="498"/>
      <c r="BE109" s="498"/>
      <c r="BF109" s="498"/>
    </row>
    <row r="110">
      <c r="B110" s="152"/>
      <c r="C110" s="153"/>
      <c r="AA110" s="1138" t="s">
        <v>57</v>
      </c>
      <c r="AJ110" s="505"/>
      <c r="AK110" s="1138" t="s">
        <v>57</v>
      </c>
      <c r="AU110" s="1139" t="s">
        <v>58</v>
      </c>
      <c r="AV110" s="80"/>
      <c r="AW110" s="80"/>
      <c r="AX110" s="80"/>
      <c r="AY110" s="1047" t="s">
        <v>59</v>
      </c>
      <c r="AZ110" s="80"/>
      <c r="BA110" s="80"/>
      <c r="BB110" s="498"/>
      <c r="BC110" s="498"/>
      <c r="BD110" s="498"/>
      <c r="BE110" s="498"/>
      <c r="BF110" s="498"/>
    </row>
    <row r="111">
      <c r="B111" s="152"/>
      <c r="C111" s="153"/>
      <c r="AA111" s="498"/>
      <c r="AB111" s="1103" t="str">
        <f>F66</f>
        <v>#DIV/0!</v>
      </c>
      <c r="AC111" s="681">
        <v>64.0</v>
      </c>
      <c r="AD111" s="681">
        <f t="shared" ref="AD111:AI111" si="1">AC111+10</f>
        <v>74</v>
      </c>
      <c r="AE111" s="681">
        <f t="shared" si="1"/>
        <v>84</v>
      </c>
      <c r="AF111" s="681">
        <f t="shared" si="1"/>
        <v>94</v>
      </c>
      <c r="AG111" s="681">
        <f t="shared" si="1"/>
        <v>104</v>
      </c>
      <c r="AH111" s="681">
        <f t="shared" si="1"/>
        <v>114</v>
      </c>
      <c r="AI111" s="681">
        <f t="shared" si="1"/>
        <v>124</v>
      </c>
      <c r="AJ111" s="505"/>
      <c r="AK111" s="498"/>
      <c r="AL111" s="1103">
        <f>F43</f>
        <v>311.6673359</v>
      </c>
      <c r="AM111" s="681">
        <v>64.0</v>
      </c>
      <c r="AN111" s="681">
        <f t="shared" ref="AN111:AS111" si="2">AM111+10</f>
        <v>74</v>
      </c>
      <c r="AO111" s="681">
        <f t="shared" si="2"/>
        <v>84</v>
      </c>
      <c r="AP111" s="681">
        <f t="shared" si="2"/>
        <v>94</v>
      </c>
      <c r="AQ111" s="681">
        <f t="shared" si="2"/>
        <v>104</v>
      </c>
      <c r="AR111" s="681">
        <f t="shared" si="2"/>
        <v>114</v>
      </c>
      <c r="AS111" s="681">
        <f t="shared" si="2"/>
        <v>124</v>
      </c>
      <c r="AU111" s="80"/>
      <c r="AV111" s="683" t="str">
        <f>AB111</f>
        <v>#DIV/0!</v>
      </c>
      <c r="AW111" s="684">
        <f t="shared" ref="AW111:AY111" si="3">AX111-0.05</f>
        <v>0.7</v>
      </c>
      <c r="AX111" s="684">
        <f t="shared" si="3"/>
        <v>0.75</v>
      </c>
      <c r="AY111" s="684">
        <f t="shared" si="3"/>
        <v>0.8</v>
      </c>
      <c r="AZ111" s="684">
        <v>0.85</v>
      </c>
      <c r="BA111" s="1059">
        <v>0.9</v>
      </c>
      <c r="BB111" s="684">
        <f t="shared" ref="BB111:BF111" si="4">BA111+0.02</f>
        <v>0.92</v>
      </c>
      <c r="BC111" s="684">
        <f t="shared" si="4"/>
        <v>0.94</v>
      </c>
      <c r="BD111" s="684">
        <f t="shared" si="4"/>
        <v>0.96</v>
      </c>
      <c r="BE111" s="1059">
        <f t="shared" si="4"/>
        <v>0.98</v>
      </c>
      <c r="BF111" s="684">
        <f t="shared" si="4"/>
        <v>1</v>
      </c>
    </row>
    <row r="112">
      <c r="B112" s="152"/>
      <c r="C112" s="153"/>
      <c r="AA112" s="703" t="s">
        <v>66</v>
      </c>
      <c r="AB112" s="681">
        <v>524288.0</v>
      </c>
      <c r="AC112" s="1140">
        <v>7.982838815136826E-4</v>
      </c>
      <c r="AD112" s="690">
        <v>9.230157380001956E-4</v>
      </c>
      <c r="AE112" s="691">
        <v>0.0010477475944867083</v>
      </c>
      <c r="AF112" s="692">
        <v>0.0011724794509732211</v>
      </c>
      <c r="AG112" s="693">
        <v>0.0012972113074597336</v>
      </c>
      <c r="AH112" s="694">
        <v>0.0014219431639462472</v>
      </c>
      <c r="AI112" s="1141">
        <v>0.0015466750204327596</v>
      </c>
      <c r="AJ112" s="505"/>
      <c r="AK112" s="703" t="s">
        <v>66</v>
      </c>
      <c r="AL112" s="681">
        <v>524288.0</v>
      </c>
      <c r="AM112" s="1142">
        <v>311.6673359428254</v>
      </c>
      <c r="AN112" s="697">
        <v>360.36535718389183</v>
      </c>
      <c r="AO112" s="698">
        <v>409.0633784249583</v>
      </c>
      <c r="AP112" s="699">
        <v>457.76139966602466</v>
      </c>
      <c r="AQ112" s="700">
        <v>506.45942090709116</v>
      </c>
      <c r="AR112" s="701">
        <v>555.1574421481577</v>
      </c>
      <c r="AS112" s="1143">
        <v>603.855463389224</v>
      </c>
      <c r="AU112" s="703" t="s">
        <v>66</v>
      </c>
      <c r="AV112" s="681">
        <v>525288.0</v>
      </c>
      <c r="AW112" s="704">
        <v>2.531394138079573E-4</v>
      </c>
      <c r="AX112" s="705">
        <v>3.837991908217371E-4</v>
      </c>
      <c r="AY112" s="706">
        <v>5.183211403761138E-4</v>
      </c>
      <c r="AZ112" s="1144">
        <v>6.567198701748745E-4</v>
      </c>
      <c r="BA112" s="1145">
        <v>7.990448216769913E-4</v>
      </c>
      <c r="BB112" s="709">
        <v>8.570918515885744E-4</v>
      </c>
      <c r="BC112" s="710">
        <v>9.157871250348404E-4</v>
      </c>
      <c r="BD112" s="711">
        <v>9.751384879258595E-4</v>
      </c>
      <c r="BE112" s="1146">
        <v>0.001035154677915836</v>
      </c>
      <c r="BF112" s="1141">
        <v>0.0010958453244031055</v>
      </c>
    </row>
    <row r="113">
      <c r="B113" s="152"/>
      <c r="C113" s="153"/>
      <c r="AB113" s="681">
        <v>1000000.0</v>
      </c>
      <c r="AC113" s="853">
        <v>0.0011024842693950069</v>
      </c>
      <c r="AD113" s="714">
        <v>0.0012747474364879763</v>
      </c>
      <c r="AE113" s="715">
        <v>0.0014470106035809464</v>
      </c>
      <c r="AF113" s="716">
        <v>0.0016192737706739158</v>
      </c>
      <c r="AG113" s="717">
        <v>0.0017915369377668855</v>
      </c>
      <c r="AH113" s="718">
        <v>0.0019638001048598555</v>
      </c>
      <c r="AI113" s="1147">
        <v>0.002136063271952825</v>
      </c>
      <c r="AJ113" s="505"/>
      <c r="AL113" s="681">
        <v>1000000.0</v>
      </c>
      <c r="AM113" s="1148">
        <v>430.43376312405786</v>
      </c>
      <c r="AN113" s="721">
        <v>497.6890386121918</v>
      </c>
      <c r="AO113" s="722">
        <v>564.944314100326</v>
      </c>
      <c r="AP113" s="723">
        <v>632.19958958846</v>
      </c>
      <c r="AQ113" s="724">
        <v>699.4548650765939</v>
      </c>
      <c r="AR113" s="725">
        <v>766.7101405647279</v>
      </c>
      <c r="AS113" s="1149">
        <v>833.9654160528619</v>
      </c>
      <c r="AV113" s="681">
        <v>1000000.0</v>
      </c>
      <c r="AW113" s="727">
        <v>3.492697957811976E-4</v>
      </c>
      <c r="AX113" s="728">
        <v>5.295479790475963E-4</v>
      </c>
      <c r="AY113" s="729">
        <v>7.151550053978672E-4</v>
      </c>
      <c r="AZ113" s="1150">
        <v>9.061110298511036E-4</v>
      </c>
      <c r="BA113" s="1151">
        <v>0.0011024842693950069</v>
      </c>
      <c r="BB113" s="732">
        <v>0.0011825748170420224</v>
      </c>
      <c r="BC113" s="733">
        <v>0.0012635597804719024</v>
      </c>
      <c r="BD113" s="734">
        <v>0.0013454499851004414</v>
      </c>
      <c r="BE113" s="1152">
        <v>0.0014282574867298286</v>
      </c>
      <c r="BF113" s="1153">
        <v>0.0015119955715486506</v>
      </c>
    </row>
    <row r="114">
      <c r="B114" s="152"/>
      <c r="C114" s="153"/>
      <c r="AB114" s="681">
        <f t="shared" ref="AB114:AB131" si="5">AB113+500000</f>
        <v>1500000</v>
      </c>
      <c r="AC114" s="843">
        <v>0.0013502619547314375</v>
      </c>
      <c r="AD114" s="738">
        <v>0.0015612403851582245</v>
      </c>
      <c r="AE114" s="739">
        <v>0.001772218815585011</v>
      </c>
      <c r="AF114" s="740">
        <v>0.001983197246011799</v>
      </c>
      <c r="AG114" s="741">
        <v>0.002194175676438586</v>
      </c>
      <c r="AH114" s="742">
        <v>0.0024051541068653725</v>
      </c>
      <c r="AI114" s="1154">
        <v>0.0026161325372921606</v>
      </c>
      <c r="AJ114" s="505"/>
      <c r="AL114" s="681">
        <f t="shared" ref="AL114:AL131" si="6">AL113+500000</f>
        <v>1500000</v>
      </c>
      <c r="AM114" s="849">
        <v>527.1715438599718</v>
      </c>
      <c r="AN114" s="745">
        <v>609.5420975880926</v>
      </c>
      <c r="AO114" s="746">
        <v>691.9126513162131</v>
      </c>
      <c r="AP114" s="747">
        <v>774.2832050443337</v>
      </c>
      <c r="AQ114" s="748">
        <v>856.6537587724545</v>
      </c>
      <c r="AR114" s="749">
        <v>939.0243125005748</v>
      </c>
      <c r="AS114" s="1155">
        <v>1021.3948662286956</v>
      </c>
      <c r="AV114" s="681">
        <f t="shared" ref="AV114:AV131" si="7">AV113+500000</f>
        <v>1500000</v>
      </c>
      <c r="AW114" s="751">
        <v>4.277663911150091E-4</v>
      </c>
      <c r="AX114" s="752">
        <v>6.48561171494324E-4</v>
      </c>
      <c r="AY114" s="753">
        <v>8.758824251110619E-4</v>
      </c>
      <c r="AZ114" s="1156">
        <v>0.0011097548367214902</v>
      </c>
      <c r="BA114" s="1157">
        <v>0.0013502619547314375</v>
      </c>
      <c r="BB114" s="756">
        <v>0.0014483524422090634</v>
      </c>
      <c r="BC114" s="757">
        <v>0.0015475383608296444</v>
      </c>
      <c r="BD114" s="758">
        <v>0.0016478329689656554</v>
      </c>
      <c r="BE114" s="1158">
        <v>0.0017492510318989976</v>
      </c>
      <c r="BF114" s="1159">
        <v>0.0018518088218210046</v>
      </c>
    </row>
    <row r="115">
      <c r="B115" s="152"/>
      <c r="C115" s="153"/>
      <c r="AB115" s="681">
        <f t="shared" si="5"/>
        <v>2000000</v>
      </c>
      <c r="AC115" s="1160">
        <v>0.0015591482060814117</v>
      </c>
      <c r="AD115" s="762">
        <v>0.0018027651132816321</v>
      </c>
      <c r="AE115" s="763">
        <v>0.0020463820204818526</v>
      </c>
      <c r="AF115" s="764">
        <v>0.0022899989276820728</v>
      </c>
      <c r="AG115" s="765">
        <v>0.002533615834882293</v>
      </c>
      <c r="AH115" s="766">
        <v>0.002777232742082514</v>
      </c>
      <c r="AI115" s="799">
        <v>0.003020849649282734</v>
      </c>
      <c r="AJ115" s="505"/>
      <c r="AL115" s="681">
        <f t="shared" si="6"/>
        <v>2000000</v>
      </c>
      <c r="AM115" s="1161">
        <v>608.7252655133308</v>
      </c>
      <c r="AN115" s="769">
        <v>703.8385882497888</v>
      </c>
      <c r="AO115" s="770">
        <v>798.9519109862466</v>
      </c>
      <c r="AP115" s="771">
        <v>894.0652337227044</v>
      </c>
      <c r="AQ115" s="772">
        <v>989.1785564591623</v>
      </c>
      <c r="AR115" s="773">
        <v>1084.2918791956206</v>
      </c>
      <c r="AS115" s="1162">
        <v>1179.4052019320784</v>
      </c>
      <c r="AV115" s="681">
        <f t="shared" si="7"/>
        <v>2000000</v>
      </c>
      <c r="AW115" s="740">
        <v>4.939420821210506E-4</v>
      </c>
      <c r="AX115" s="766">
        <v>7.488939338963743E-4</v>
      </c>
      <c r="AY115" s="775">
        <v>0.001011381907832668</v>
      </c>
      <c r="AZ115" s="799">
        <v>0.0012814345074312833</v>
      </c>
      <c r="BA115" s="1163">
        <v>0.0015591482060814117</v>
      </c>
      <c r="BB115" s="778">
        <v>0.0016724133447817099</v>
      </c>
      <c r="BC115" s="779">
        <v>0.001786943378412535</v>
      </c>
      <c r="BD115" s="780">
        <v>0.0019027536164237231</v>
      </c>
      <c r="BE115" s="1164">
        <v>0.002019861108294235</v>
      </c>
      <c r="BF115" s="1165">
        <v>0.002138284643532161</v>
      </c>
    </row>
    <row r="116">
      <c r="B116" s="152"/>
      <c r="C116" s="153"/>
      <c r="AB116" s="681">
        <f t="shared" si="5"/>
        <v>2500000</v>
      </c>
      <c r="AC116" s="895">
        <v>0.0017431806878974432</v>
      </c>
      <c r="AD116" s="784">
        <v>0.0020155526703814187</v>
      </c>
      <c r="AE116" s="785">
        <v>0.0022879246528653943</v>
      </c>
      <c r="AF116" s="763">
        <v>0.0025602966353493696</v>
      </c>
      <c r="AG116" s="786">
        <v>0.002832668617833345</v>
      </c>
      <c r="AH116" s="787">
        <v>0.00310504060031732</v>
      </c>
      <c r="AI116" s="1166">
        <v>0.003377412582801296</v>
      </c>
      <c r="AJ116" s="505"/>
      <c r="AL116" s="681">
        <f t="shared" si="6"/>
        <v>2500000</v>
      </c>
      <c r="AM116" s="900">
        <v>680.5755366547079</v>
      </c>
      <c r="AN116" s="790">
        <v>786.9154642570062</v>
      </c>
      <c r="AO116" s="791">
        <v>893.2553918593044</v>
      </c>
      <c r="AP116" s="770">
        <v>999.5953194616025</v>
      </c>
      <c r="AQ116" s="792">
        <v>1105.9352470639005</v>
      </c>
      <c r="AR116" s="793">
        <v>1212.2751746661988</v>
      </c>
      <c r="AS116" s="1167">
        <v>1318.615102268497</v>
      </c>
      <c r="AV116" s="681">
        <f t="shared" si="7"/>
        <v>2500000</v>
      </c>
      <c r="AW116" s="795">
        <v>5.522440362852266E-4</v>
      </c>
      <c r="AX116" s="714">
        <v>8.372888720647634E-4</v>
      </c>
      <c r="AY116" s="740">
        <v>0.0011307593485636361</v>
      </c>
      <c r="AZ116" s="1168">
        <v>0.0014326873336651545</v>
      </c>
      <c r="BA116" s="1169">
        <v>0.0017431806878974432</v>
      </c>
      <c r="BB116" s="798">
        <v>0.0018698149627048475</v>
      </c>
      <c r="BC116" s="715">
        <v>0.0019978634330367786</v>
      </c>
      <c r="BD116" s="751">
        <v>0.0021273432153785018</v>
      </c>
      <c r="BE116" s="1170">
        <v>0.002258273371626987</v>
      </c>
      <c r="BF116" s="1171">
        <v>0.002390674909090909</v>
      </c>
    </row>
    <row r="117">
      <c r="B117" s="152"/>
      <c r="C117" s="153"/>
      <c r="AB117" s="681">
        <f t="shared" si="5"/>
        <v>3000000</v>
      </c>
      <c r="AC117" s="841">
        <v>0.001909558769137605</v>
      </c>
      <c r="AD117" s="802">
        <v>0.0022079273268153553</v>
      </c>
      <c r="AE117" s="803">
        <v>0.002506295884493106</v>
      </c>
      <c r="AF117" s="804">
        <v>0.0028046644421708573</v>
      </c>
      <c r="AG117" s="763">
        <v>0.0031030329998486083</v>
      </c>
      <c r="AH117" s="786">
        <v>0.0034014015575263585</v>
      </c>
      <c r="AI117" s="1172">
        <v>0.0036997701152041095</v>
      </c>
      <c r="AJ117" s="505"/>
      <c r="AL117" s="681">
        <f t="shared" si="6"/>
        <v>3000000</v>
      </c>
      <c r="AM117" s="847">
        <v>745.533147023935</v>
      </c>
      <c r="AN117" s="807">
        <v>862.0227012464252</v>
      </c>
      <c r="AO117" s="808">
        <v>978.5122554689153</v>
      </c>
      <c r="AP117" s="809">
        <v>1095.001809691405</v>
      </c>
      <c r="AQ117" s="770">
        <v>1211.491363913895</v>
      </c>
      <c r="AR117" s="792">
        <v>1327.9809181363844</v>
      </c>
      <c r="AS117" s="1173">
        <v>1444.4704723588745</v>
      </c>
      <c r="AV117" s="681">
        <f t="shared" si="7"/>
        <v>3000000</v>
      </c>
      <c r="AW117" s="764">
        <v>6.049530318422395E-4</v>
      </c>
      <c r="AX117" s="739">
        <v>9.17204004755856E-4</v>
      </c>
      <c r="AY117" s="795">
        <v>0.0012386848046363008</v>
      </c>
      <c r="AZ117" s="714">
        <v>0.0015694303410006712</v>
      </c>
      <c r="BA117" s="1174">
        <v>0.001909558769137605</v>
      </c>
      <c r="BB117" s="813">
        <v>0.0020482796668682517</v>
      </c>
      <c r="BC117" s="814">
        <v>0.002188549738177912</v>
      </c>
      <c r="BD117" s="766">
        <v>0.002330387733236753</v>
      </c>
      <c r="BE117" s="1175">
        <v>0.0024738145333066943</v>
      </c>
      <c r="BF117" s="1176">
        <v>0.0026188531507414063</v>
      </c>
    </row>
    <row r="118">
      <c r="AB118" s="681">
        <f t="shared" si="5"/>
        <v>3500000</v>
      </c>
      <c r="AC118" s="860">
        <v>0.0020625592051919488</v>
      </c>
      <c r="AD118" s="818">
        <v>0.002384834081003191</v>
      </c>
      <c r="AE118" s="819">
        <v>0.0027071089568144334</v>
      </c>
      <c r="AF118" s="820">
        <v>0.003029383832625674</v>
      </c>
      <c r="AG118" s="821">
        <v>0.003351658708436917</v>
      </c>
      <c r="AH118" s="822">
        <v>0.0036739335842481597</v>
      </c>
      <c r="AI118" s="764">
        <v>0.003996208460059401</v>
      </c>
      <c r="AJ118" s="505"/>
      <c r="AL118" s="681">
        <f t="shared" si="6"/>
        <v>3500000</v>
      </c>
      <c r="AM118" s="864">
        <v>805.2678346550176</v>
      </c>
      <c r="AN118" s="825">
        <v>931.0909338198644</v>
      </c>
      <c r="AO118" s="826">
        <v>1056.9140329847112</v>
      </c>
      <c r="AP118" s="827">
        <v>1182.7371321495575</v>
      </c>
      <c r="AQ118" s="828">
        <v>1308.560231314404</v>
      </c>
      <c r="AR118" s="829">
        <v>1434.3833304792508</v>
      </c>
      <c r="AS118" s="771">
        <v>1560.2064296440974</v>
      </c>
      <c r="AV118" s="681">
        <f t="shared" si="7"/>
        <v>3500000</v>
      </c>
      <c r="AW118" s="831">
        <v>6.534239556808718E-4</v>
      </c>
      <c r="AX118" s="832">
        <v>9.90693553727325E-4</v>
      </c>
      <c r="AY118" s="833">
        <v>0.0013379325043176436</v>
      </c>
      <c r="AZ118" s="856">
        <v>0.0016951785140398622</v>
      </c>
      <c r="BA118" s="1177">
        <v>0.0020625592051919488</v>
      </c>
      <c r="BB118" s="836">
        <v>0.0022123948997990624</v>
      </c>
      <c r="BC118" s="714">
        <v>0.0023639038931165765</v>
      </c>
      <c r="BD118" s="837">
        <v>0.0025171064376429773</v>
      </c>
      <c r="BE118" s="1178">
        <v>0.002672025087718924</v>
      </c>
      <c r="BF118" s="740">
        <v>0.002828684699527248</v>
      </c>
      <c r="CF118" s="52"/>
      <c r="CG118" s="52"/>
      <c r="CH118" s="52"/>
      <c r="CI118" s="52"/>
      <c r="CJ118" s="52"/>
      <c r="CK118" s="52"/>
    </row>
    <row r="119" ht="18.0" customHeight="1">
      <c r="AB119" s="681">
        <f t="shared" si="5"/>
        <v>4000000</v>
      </c>
      <c r="AC119" s="973">
        <v>0.0022049685387900138</v>
      </c>
      <c r="AD119" s="841">
        <v>0.0025494948729759526</v>
      </c>
      <c r="AE119" s="842">
        <v>0.0028940212071618928</v>
      </c>
      <c r="AF119" s="784">
        <v>0.0032385475413478316</v>
      </c>
      <c r="AG119" s="843">
        <v>0.003583073875533771</v>
      </c>
      <c r="AH119" s="844">
        <v>0.003927600209719711</v>
      </c>
      <c r="AI119" s="852">
        <v>0.00427212654390565</v>
      </c>
      <c r="AJ119" s="505"/>
      <c r="AL119" s="681">
        <f t="shared" si="6"/>
        <v>4000000</v>
      </c>
      <c r="AM119" s="978">
        <v>860.8675262481157</v>
      </c>
      <c r="AN119" s="847">
        <v>995.3780772243836</v>
      </c>
      <c r="AO119" s="848">
        <v>1129.888628200652</v>
      </c>
      <c r="AP119" s="790">
        <v>1264.39917917692</v>
      </c>
      <c r="AQ119" s="849">
        <v>1398.9097301531879</v>
      </c>
      <c r="AR119" s="850">
        <v>1533.4202811294558</v>
      </c>
      <c r="AS119" s="1179">
        <v>1667.9308321057238</v>
      </c>
      <c r="AV119" s="681">
        <f t="shared" si="7"/>
        <v>4000000</v>
      </c>
      <c r="AW119" s="763">
        <v>6.985395915623952E-4</v>
      </c>
      <c r="AX119" s="852">
        <v>0.0010590959580951925</v>
      </c>
      <c r="AY119" s="853">
        <v>0.0014303100107957345</v>
      </c>
      <c r="AZ119" s="890">
        <v>0.0018122220597022072</v>
      </c>
      <c r="BA119" s="1180">
        <v>0.0022049685387900138</v>
      </c>
      <c r="BB119" s="856">
        <v>0.002365149634084045</v>
      </c>
      <c r="BC119" s="857">
        <v>0.002527119560943805</v>
      </c>
      <c r="BD119" s="795">
        <v>0.002690899970200883</v>
      </c>
      <c r="BE119" s="1177">
        <v>0.002856514973459657</v>
      </c>
      <c r="BF119" s="836">
        <v>0.003023991143097301</v>
      </c>
    </row>
    <row r="120">
      <c r="AB120" s="681">
        <f t="shared" si="5"/>
        <v>4500000</v>
      </c>
      <c r="AC120" s="907">
        <v>0.002338722309122117</v>
      </c>
      <c r="AD120" s="860">
        <v>0.002704147669922447</v>
      </c>
      <c r="AE120" s="818">
        <v>0.0030695730307227784</v>
      </c>
      <c r="AF120" s="819">
        <v>0.003434998391523109</v>
      </c>
      <c r="AG120" s="861">
        <v>0.0038004237523234395</v>
      </c>
      <c r="AH120" s="804">
        <v>0.004165849113123771</v>
      </c>
      <c r="AI120" s="931">
        <v>0.0045312744739241006</v>
      </c>
      <c r="AJ120" s="505"/>
      <c r="AL120" s="681">
        <f t="shared" si="6"/>
        <v>4500000</v>
      </c>
      <c r="AM120" s="911">
        <v>913.0878982699962</v>
      </c>
      <c r="AN120" s="864">
        <v>1055.757882374683</v>
      </c>
      <c r="AO120" s="825">
        <v>1198.4278664793696</v>
      </c>
      <c r="AP120" s="826">
        <v>1341.097850584057</v>
      </c>
      <c r="AQ120" s="865">
        <v>1483.7678346887435</v>
      </c>
      <c r="AR120" s="809">
        <v>1626.4378187934308</v>
      </c>
      <c r="AS120" s="1181">
        <v>1769.1078028981176</v>
      </c>
      <c r="AV120" s="681">
        <f t="shared" si="7"/>
        <v>4500000</v>
      </c>
      <c r="AW120" s="867">
        <v>7.409131231815758E-4</v>
      </c>
      <c r="AX120" s="868">
        <v>0.0011233409008445613</v>
      </c>
      <c r="AY120" s="869">
        <v>0.0015170728617490018</v>
      </c>
      <c r="AZ120" s="1182">
        <v>0.0019221517611469248</v>
      </c>
      <c r="BA120" s="1183">
        <v>0.002338722309122117</v>
      </c>
      <c r="BB120" s="872">
        <v>0.0025086200171725638</v>
      </c>
      <c r="BC120" s="873">
        <v>0.0026804150676188027</v>
      </c>
      <c r="BD120" s="874">
        <v>0.0028541304246355844</v>
      </c>
      <c r="BE120" s="1184">
        <v>0.0030297916624413518</v>
      </c>
      <c r="BF120" s="1185">
        <v>0.0032074269652982417</v>
      </c>
      <c r="CL120" s="179"/>
      <c r="CM120" s="179"/>
      <c r="CN120" s="179"/>
      <c r="CO120" s="179"/>
      <c r="CP120" s="179"/>
      <c r="CQ120" s="179"/>
      <c r="CR120" s="179"/>
      <c r="CS120" s="179"/>
      <c r="CT120" s="179"/>
      <c r="CU120" s="179"/>
      <c r="CV120" s="179"/>
      <c r="CW120" s="179"/>
      <c r="CX120" s="179"/>
      <c r="CY120" s="179"/>
      <c r="CZ120" s="179"/>
      <c r="DA120" s="179"/>
      <c r="DB120" s="179"/>
      <c r="DC120" s="179"/>
      <c r="DD120" s="179"/>
      <c r="DE120" s="179"/>
      <c r="DF120" s="179"/>
      <c r="DG120" s="179"/>
      <c r="DH120" s="179"/>
      <c r="DI120" s="179"/>
      <c r="DJ120" s="179"/>
      <c r="DK120" s="179"/>
      <c r="DL120" s="179"/>
      <c r="DM120" s="179"/>
      <c r="DN120" s="179"/>
      <c r="DO120" s="179"/>
      <c r="DP120" s="179"/>
      <c r="DQ120" s="179"/>
      <c r="DR120" s="179"/>
      <c r="DS120" s="179"/>
      <c r="DT120" s="179"/>
      <c r="DU120" s="179"/>
      <c r="DV120" s="179"/>
      <c r="DW120" s="179"/>
    </row>
    <row r="121">
      <c r="AB121" s="681">
        <f t="shared" si="5"/>
        <v>5000000</v>
      </c>
      <c r="AC121" s="972">
        <v>0.0024652297704914256</v>
      </c>
      <c r="AD121" s="878">
        <v>0.0028504219221307104</v>
      </c>
      <c r="AE121" s="879">
        <v>0.0032356140737699957</v>
      </c>
      <c r="AF121" s="842">
        <v>0.0036208062254092814</v>
      </c>
      <c r="AG121" s="784">
        <v>0.004005998377048565</v>
      </c>
      <c r="AH121" s="880">
        <v>0.004391190528687852</v>
      </c>
      <c r="AI121" s="821">
        <v>0.004776382680327137</v>
      </c>
      <c r="AJ121" s="505"/>
      <c r="AL121" s="681">
        <f t="shared" si="6"/>
        <v>5000000</v>
      </c>
      <c r="AM121" s="977">
        <v>962.4791541564355</v>
      </c>
      <c r="AN121" s="883">
        <v>1112.8665219933785</v>
      </c>
      <c r="AO121" s="884">
        <v>1263.2538898303217</v>
      </c>
      <c r="AP121" s="848">
        <v>1413.6412576672644</v>
      </c>
      <c r="AQ121" s="790">
        <v>1564.0286255042074</v>
      </c>
      <c r="AR121" s="885">
        <v>1714.415993341151</v>
      </c>
      <c r="AS121" s="828">
        <v>1864.8033611780936</v>
      </c>
      <c r="AV121" s="681">
        <f t="shared" si="7"/>
        <v>5000000</v>
      </c>
      <c r="AW121" s="887">
        <v>7.809910058542267E-4</v>
      </c>
      <c r="AX121" s="844">
        <v>0.0011841052784980592</v>
      </c>
      <c r="AY121" s="763">
        <v>0.0015991352065188593</v>
      </c>
      <c r="AZ121" s="916">
        <v>0.002026125857909409</v>
      </c>
      <c r="BA121" s="713">
        <v>0.0024652297704914256</v>
      </c>
      <c r="BB121" s="853">
        <v>0.002644317679385338</v>
      </c>
      <c r="BC121" s="832">
        <v>0.002825405562769885</v>
      </c>
      <c r="BD121" s="786">
        <v>0.0030085176270106652</v>
      </c>
      <c r="BE121" s="1186">
        <v>0.003193680829700901</v>
      </c>
      <c r="BF121" s="890">
        <v>0.0033809248796614288</v>
      </c>
    </row>
    <row r="122">
      <c r="AB122" s="681">
        <f t="shared" si="5"/>
        <v>5500000</v>
      </c>
      <c r="AC122" s="949">
        <v>0.0025855547960638788</v>
      </c>
      <c r="AD122" s="893">
        <v>0.0029895477329488604</v>
      </c>
      <c r="AE122" s="894">
        <v>0.003393540669833841</v>
      </c>
      <c r="AF122" s="895">
        <v>0.003797533606718823</v>
      </c>
      <c r="AG122" s="819">
        <v>0.004201526543603804</v>
      </c>
      <c r="AH122" s="861">
        <v>0.004605519480488786</v>
      </c>
      <c r="AI122" s="762">
        <v>0.0050095124173737664</v>
      </c>
      <c r="AJ122" s="505"/>
      <c r="AL122" s="681">
        <f t="shared" si="6"/>
        <v>5500000</v>
      </c>
      <c r="AM122" s="953">
        <v>1009.4566530585927</v>
      </c>
      <c r="AN122" s="898">
        <v>1167.1842550989982</v>
      </c>
      <c r="AO122" s="899">
        <v>1324.9118571394033</v>
      </c>
      <c r="AP122" s="900">
        <v>1482.639459179808</v>
      </c>
      <c r="AQ122" s="826">
        <v>1640.3670612202138</v>
      </c>
      <c r="AR122" s="865">
        <v>1798.0946632606187</v>
      </c>
      <c r="AS122" s="769">
        <v>1955.8222653010234</v>
      </c>
      <c r="AV122" s="681">
        <f t="shared" si="7"/>
        <v>5500000</v>
      </c>
      <c r="AW122" s="804">
        <v>8.191102772812199E-4</v>
      </c>
      <c r="AX122" s="821">
        <v>0.0012419000932537459</v>
      </c>
      <c r="AY122" s="902">
        <v>0.0016771871540173827</v>
      </c>
      <c r="AZ122" s="763">
        <v>0.002125018727281727</v>
      </c>
      <c r="BA122" s="1187">
        <v>0.0025855547960638788</v>
      </c>
      <c r="BB122" s="852">
        <v>0.0027733837795121045</v>
      </c>
      <c r="BC122" s="831">
        <v>0.002963310353902222</v>
      </c>
      <c r="BD122" s="853">
        <v>0.0031553599070846547</v>
      </c>
      <c r="BE122" s="713">
        <v>0.003349560712421695</v>
      </c>
      <c r="BF122" s="832">
        <v>0.003545943928787512</v>
      </c>
    </row>
    <row r="123">
      <c r="AB123" s="681">
        <f t="shared" si="5"/>
        <v>6000000</v>
      </c>
      <c r="AC123" s="960">
        <v>0.002700523909462875</v>
      </c>
      <c r="AD123" s="907">
        <v>0.003122480770316449</v>
      </c>
      <c r="AE123" s="860">
        <v>0.003544437631170022</v>
      </c>
      <c r="AF123" s="908">
        <v>0.003966394492023598</v>
      </c>
      <c r="AG123" s="802">
        <v>0.004388351352877172</v>
      </c>
      <c r="AH123" s="784">
        <v>0.004810308213730745</v>
      </c>
      <c r="AI123" s="820">
        <v>0.005232265074584321</v>
      </c>
      <c r="AJ123" s="505"/>
      <c r="AL123" s="681">
        <f t="shared" si="6"/>
        <v>6000000</v>
      </c>
      <c r="AM123" s="964">
        <v>1054.3430877199437</v>
      </c>
      <c r="AN123" s="911">
        <v>1219.0841951761852</v>
      </c>
      <c r="AO123" s="864">
        <v>1383.8253026324262</v>
      </c>
      <c r="AP123" s="912">
        <v>1548.5664100886675</v>
      </c>
      <c r="AQ123" s="807">
        <v>1713.307517544909</v>
      </c>
      <c r="AR123" s="790">
        <v>1878.0486250011495</v>
      </c>
      <c r="AS123" s="827">
        <v>2042.7897324573912</v>
      </c>
      <c r="AV123" s="681">
        <f t="shared" si="7"/>
        <v>6000000</v>
      </c>
      <c r="AW123" s="843">
        <v>8.555327822300182E-4</v>
      </c>
      <c r="AX123" s="804">
        <v>0.001297122342988648</v>
      </c>
      <c r="AY123" s="914">
        <v>0.0017517648502221239</v>
      </c>
      <c r="AZ123" s="902">
        <v>0.0022195096734429804</v>
      </c>
      <c r="BA123" s="1188">
        <v>0.002700523909462875</v>
      </c>
      <c r="BB123" s="763">
        <v>0.002896704884418127</v>
      </c>
      <c r="BC123" s="822">
        <v>0.0030950767216592887</v>
      </c>
      <c r="BD123" s="916">
        <v>0.003295665937931311</v>
      </c>
      <c r="BE123" s="1189">
        <v>0.0034985020637979952</v>
      </c>
      <c r="BF123" s="831">
        <v>0.0037036176436420092</v>
      </c>
    </row>
    <row r="124">
      <c r="AB124" s="681">
        <f t="shared" si="5"/>
        <v>6500000</v>
      </c>
      <c r="AC124" s="1190">
        <v>0.0028107944015371123</v>
      </c>
      <c r="AD124" s="919">
        <v>0.0032499810267772856</v>
      </c>
      <c r="AE124" s="920">
        <v>0.0036891676520174597</v>
      </c>
      <c r="AF124" s="921">
        <v>0.0041283542772576325</v>
      </c>
      <c r="AG124" s="922">
        <v>0.004567540902497806</v>
      </c>
      <c r="AH124" s="819">
        <v>0.005006727527737979</v>
      </c>
      <c r="AI124" s="861">
        <v>0.005445914152978154</v>
      </c>
      <c r="AJ124" s="505"/>
      <c r="AL124" s="681">
        <f t="shared" si="6"/>
        <v>6500000</v>
      </c>
      <c r="AM124" s="1191">
        <v>1097.3950787393728</v>
      </c>
      <c r="AN124" s="925">
        <v>1268.8630597923996</v>
      </c>
      <c r="AO124" s="926">
        <v>1440.3310408454267</v>
      </c>
      <c r="AP124" s="927">
        <v>1611.7990218984535</v>
      </c>
      <c r="AQ124" s="928">
        <v>1783.2670029514804</v>
      </c>
      <c r="AR124" s="826">
        <v>1954.7349840045074</v>
      </c>
      <c r="AS124" s="865">
        <v>2126.2029650575346</v>
      </c>
      <c r="AV124" s="681">
        <f t="shared" si="7"/>
        <v>6500000</v>
      </c>
      <c r="AW124" s="820">
        <v>8.904667520984465E-4</v>
      </c>
      <c r="AX124" s="762">
        <v>0.0013500877392736586</v>
      </c>
      <c r="AY124" s="804">
        <v>0.001823294663883639</v>
      </c>
      <c r="AZ124" s="1192">
        <v>0.002310138911346216</v>
      </c>
      <c r="BA124" s="1193">
        <v>0.0028107944015371123</v>
      </c>
      <c r="BB124" s="931">
        <v>0.003014986034190345</v>
      </c>
      <c r="BC124" s="932">
        <v>0.003221457988608624</v>
      </c>
      <c r="BD124" s="763">
        <v>0.003430237864295136</v>
      </c>
      <c r="BE124" s="1194">
        <v>0.0036413563976351927</v>
      </c>
      <c r="BF124" s="822">
        <v>0.003854847461896222</v>
      </c>
    </row>
    <row r="125">
      <c r="AB125" s="681">
        <f t="shared" si="5"/>
        <v>7000000</v>
      </c>
      <c r="AC125" s="989">
        <v>0.0029168992011799266</v>
      </c>
      <c r="AD125" s="935">
        <v>0.0033726647013642887</v>
      </c>
      <c r="AE125" s="893">
        <v>0.0038284302015486535</v>
      </c>
      <c r="AF125" s="936">
        <v>0.004284195701733015</v>
      </c>
      <c r="AG125" s="818">
        <v>0.0047399612019173795</v>
      </c>
      <c r="AH125" s="937">
        <v>0.005195726702101743</v>
      </c>
      <c r="AI125" s="784">
        <v>0.005651492202286107</v>
      </c>
      <c r="AJ125" s="505"/>
      <c r="AL125" s="681">
        <f t="shared" si="6"/>
        <v>7000000</v>
      </c>
      <c r="AM125" s="992">
        <v>1138.8206931119414</v>
      </c>
      <c r="AN125" s="940">
        <v>1316.7614264106821</v>
      </c>
      <c r="AO125" s="898">
        <v>1494.7021597094233</v>
      </c>
      <c r="AP125" s="941">
        <v>1672.642893008164</v>
      </c>
      <c r="AQ125" s="825">
        <v>1850.5836263069048</v>
      </c>
      <c r="AR125" s="942">
        <v>2028.524359605646</v>
      </c>
      <c r="AS125" s="790">
        <v>2206.465092904386</v>
      </c>
      <c r="AV125" s="681">
        <f t="shared" si="7"/>
        <v>7000000</v>
      </c>
      <c r="AW125" s="944">
        <v>9.240810201033649E-4</v>
      </c>
      <c r="AX125" s="880">
        <v>0.001401052259836782</v>
      </c>
      <c r="AY125" s="762">
        <v>0.0018921222931458112</v>
      </c>
      <c r="AZ125" s="887">
        <v>0.002397344445198644</v>
      </c>
      <c r="BA125" s="1195">
        <v>0.0029168992011799266</v>
      </c>
      <c r="BB125" s="844">
        <v>0.0031287988726208978</v>
      </c>
      <c r="BC125" s="902">
        <v>0.0033430649457920217</v>
      </c>
      <c r="BD125" s="931">
        <v>0.003559726062051326</v>
      </c>
      <c r="BE125" s="1196">
        <v>0.0037788141180532613</v>
      </c>
      <c r="BF125" s="763">
        <v>0.004000364265748697</v>
      </c>
      <c r="CK125" s="23"/>
    </row>
    <row r="126">
      <c r="AB126" s="681">
        <f t="shared" si="5"/>
        <v>7500000</v>
      </c>
      <c r="AC126" s="1197">
        <v>0.0030192775182112373</v>
      </c>
      <c r="AD126" s="949">
        <v>0.0034910396304317437</v>
      </c>
      <c r="AE126" s="950">
        <v>0.00396280174265225</v>
      </c>
      <c r="AF126" s="860">
        <v>0.004434563854872755</v>
      </c>
      <c r="AG126" s="879">
        <v>0.004906325967093263</v>
      </c>
      <c r="AH126" s="842">
        <v>0.005378088079313768</v>
      </c>
      <c r="AI126" s="1160">
        <v>0.005849850191534272</v>
      </c>
      <c r="AJ126" s="505"/>
      <c r="AL126" s="681">
        <f t="shared" si="6"/>
        <v>7500000</v>
      </c>
      <c r="AM126" s="1198">
        <v>1178.7914078744088</v>
      </c>
      <c r="AN126" s="953">
        <v>1362.9775653547854</v>
      </c>
      <c r="AO126" s="954">
        <v>1547.163722835162</v>
      </c>
      <c r="AP126" s="864">
        <v>1731.349880315539</v>
      </c>
      <c r="AQ126" s="884">
        <v>1915.5360377959148</v>
      </c>
      <c r="AR126" s="848">
        <v>2099.722195276291</v>
      </c>
      <c r="AS126" s="1161">
        <v>2283.9083527566677</v>
      </c>
      <c r="AV126" s="681">
        <f t="shared" si="7"/>
        <v>7500000</v>
      </c>
      <c r="AW126" s="803">
        <v>9.565147290229223E-4</v>
      </c>
      <c r="AX126" s="956">
        <v>0.0014502268670282068</v>
      </c>
      <c r="AY126" s="843">
        <v>0.0019585326428457036</v>
      </c>
      <c r="AZ126" s="804">
        <v>0.002481487253268432</v>
      </c>
      <c r="BA126" s="1199">
        <v>0.0030192775182112373</v>
      </c>
      <c r="BB126" s="914">
        <v>0.0032386145161573013</v>
      </c>
      <c r="BC126" s="844">
        <v>0.003460400972603683</v>
      </c>
      <c r="BD126" s="844">
        <v>0.0036846665341725075</v>
      </c>
      <c r="BE126" s="1193">
        <v>0.003911444217037814</v>
      </c>
      <c r="BF126" s="1200">
        <v>0.004140770406925561</v>
      </c>
      <c r="CK126" s="87"/>
    </row>
    <row r="127">
      <c r="AB127" s="681">
        <f t="shared" si="5"/>
        <v>8000000</v>
      </c>
      <c r="AC127" s="1201">
        <v>0.0031182964121628234</v>
      </c>
      <c r="AD127" s="960">
        <v>0.0036055302265632643</v>
      </c>
      <c r="AE127" s="961">
        <v>0.004092764040963705</v>
      </c>
      <c r="AF127" s="878">
        <v>0.0045799978553641455</v>
      </c>
      <c r="AG127" s="921">
        <v>0.005067231669764586</v>
      </c>
      <c r="AH127" s="895">
        <v>0.005554465484165028</v>
      </c>
      <c r="AI127" s="1202">
        <v>0.006041699298565468</v>
      </c>
      <c r="AJ127" s="505"/>
      <c r="AL127" s="681">
        <f t="shared" si="6"/>
        <v>8000000</v>
      </c>
      <c r="AM127" s="1203">
        <v>1217.4505310266616</v>
      </c>
      <c r="AN127" s="964">
        <v>1407.6771764995776</v>
      </c>
      <c r="AO127" s="965">
        <v>1597.9038219724932</v>
      </c>
      <c r="AP127" s="883">
        <v>1788.1304674454088</v>
      </c>
      <c r="AQ127" s="927">
        <v>1978.3571129183247</v>
      </c>
      <c r="AR127" s="900">
        <v>2168.583758391241</v>
      </c>
      <c r="AS127" s="1204">
        <v>2358.810403864157</v>
      </c>
      <c r="AV127" s="681">
        <f t="shared" si="7"/>
        <v>8000000</v>
      </c>
      <c r="AW127" s="967">
        <v>9.878841642421011E-4</v>
      </c>
      <c r="AX127" s="861">
        <v>0.0014977878677927487</v>
      </c>
      <c r="AY127" s="880">
        <v>0.002022763815665336</v>
      </c>
      <c r="AZ127" s="762">
        <v>0.0025628690148625666</v>
      </c>
      <c r="BA127" s="1205">
        <v>0.0031182964121628234</v>
      </c>
      <c r="BB127" s="887">
        <v>0.0033448266895634198</v>
      </c>
      <c r="BC127" s="887">
        <v>0.00357388675682507</v>
      </c>
      <c r="BD127" s="914">
        <v>0.0038055072328474463</v>
      </c>
      <c r="BE127" s="1195">
        <v>0.00403972221658847</v>
      </c>
      <c r="BF127" s="844">
        <v>0.004276569287064322</v>
      </c>
      <c r="CK127" s="87"/>
    </row>
    <row r="128">
      <c r="AB128" s="681">
        <f t="shared" si="5"/>
        <v>8500000</v>
      </c>
      <c r="AC128" s="1206">
        <v>0.003214266369832975</v>
      </c>
      <c r="AD128" s="971">
        <v>0.0037164954901193776</v>
      </c>
      <c r="AE128" s="972">
        <v>0.004218724610405779</v>
      </c>
      <c r="AF128" s="973">
        <v>0.004720953730692181</v>
      </c>
      <c r="AG128" s="894">
        <v>0.005223182850978583</v>
      </c>
      <c r="AH128" s="818">
        <v>0.005725411971264988</v>
      </c>
      <c r="AI128" s="802">
        <v>0.00622764109155139</v>
      </c>
      <c r="AJ128" s="505"/>
      <c r="AL128" s="681">
        <f t="shared" si="6"/>
        <v>8500000</v>
      </c>
      <c r="AM128" s="1207">
        <v>1254.9192833468092</v>
      </c>
      <c r="AN128" s="976">
        <v>1451.0004213697482</v>
      </c>
      <c r="AO128" s="977">
        <v>1647.081559392687</v>
      </c>
      <c r="AP128" s="978">
        <v>1843.162697415626</v>
      </c>
      <c r="AQ128" s="899">
        <v>2039.2438354385647</v>
      </c>
      <c r="AR128" s="825">
        <v>2235.3249734615038</v>
      </c>
      <c r="AS128" s="807">
        <v>2431.406111484442</v>
      </c>
      <c r="AV128" s="681">
        <f t="shared" si="7"/>
        <v>8500000</v>
      </c>
      <c r="AW128" s="980">
        <v>0.0010182876887613024</v>
      </c>
      <c r="AX128" s="981">
        <v>0.0015438843959195401</v>
      </c>
      <c r="AY128" s="982">
        <v>0.002085017216916397</v>
      </c>
      <c r="AZ128" s="1005">
        <v>0.0026417449132252603</v>
      </c>
      <c r="BA128" s="1208">
        <v>0.003214266369832975</v>
      </c>
      <c r="BB128" s="985">
        <v>0.0034477684351137566</v>
      </c>
      <c r="BC128" s="985">
        <v>0.0036838781480964754</v>
      </c>
      <c r="BD128" s="986">
        <v>0.0039226270700205</v>
      </c>
      <c r="BE128" s="1209">
        <v>0.00416405034928714</v>
      </c>
      <c r="BF128" s="1210">
        <v>0.004408186721459653</v>
      </c>
      <c r="CK128" s="87"/>
    </row>
    <row r="129">
      <c r="AA129" s="498"/>
      <c r="AB129" s="681">
        <f t="shared" si="5"/>
        <v>9000000</v>
      </c>
      <c r="AC129" s="1211">
        <v>0.003307452808185021</v>
      </c>
      <c r="AD129" s="989">
        <v>0.003824242309463929</v>
      </c>
      <c r="AE129" s="935">
        <v>0.004341031810742838</v>
      </c>
      <c r="AF129" s="893">
        <v>0.004857821312021747</v>
      </c>
      <c r="AG129" s="860">
        <v>0.005374610813300658</v>
      </c>
      <c r="AH129" s="879">
        <v>0.005891400314579565</v>
      </c>
      <c r="AI129" s="842">
        <v>0.006408189815858476</v>
      </c>
      <c r="AJ129" s="505"/>
      <c r="AK129" s="498"/>
      <c r="AL129" s="681">
        <f t="shared" si="6"/>
        <v>9000000</v>
      </c>
      <c r="AM129" s="1212">
        <v>1291.3012893721734</v>
      </c>
      <c r="AN129" s="992">
        <v>1493.0671158365756</v>
      </c>
      <c r="AO129" s="940">
        <v>1694.8329423009775</v>
      </c>
      <c r="AP129" s="898">
        <v>1896.5987687653794</v>
      </c>
      <c r="AQ129" s="864">
        <v>2098.364595229782</v>
      </c>
      <c r="AR129" s="884">
        <v>2300.130421694184</v>
      </c>
      <c r="AS129" s="848">
        <v>2501.896248158586</v>
      </c>
      <c r="AU129" s="498"/>
      <c r="AV129" s="681">
        <f t="shared" si="7"/>
        <v>9000000</v>
      </c>
      <c r="AW129" s="994">
        <v>0.0010478093873435923</v>
      </c>
      <c r="AX129" s="967">
        <v>0.0015886439371427883</v>
      </c>
      <c r="AY129" s="861">
        <v>0.002145465016193601</v>
      </c>
      <c r="AZ129" s="820">
        <v>0.0027183330895533112</v>
      </c>
      <c r="BA129" s="737">
        <v>0.003307452808185021</v>
      </c>
      <c r="BB129" s="762">
        <v>0.003547724451126066</v>
      </c>
      <c r="BC129" s="785">
        <v>0.0037906793414157073</v>
      </c>
      <c r="BD129" s="804">
        <v>0.004036349955301324</v>
      </c>
      <c r="BE129" s="1205">
        <v>0.004284772460189487</v>
      </c>
      <c r="BF129" s="887">
        <v>0.0045359867146459515</v>
      </c>
      <c r="CK129" s="115"/>
    </row>
    <row r="130">
      <c r="F130" s="191"/>
      <c r="AA130" s="498"/>
      <c r="AB130" s="681">
        <f t="shared" si="5"/>
        <v>9500000</v>
      </c>
      <c r="AC130" s="1213">
        <v>0.003398084734155799</v>
      </c>
      <c r="AD130" s="989">
        <v>0.003929035473867644</v>
      </c>
      <c r="AE130" s="949">
        <v>0.004459986213579487</v>
      </c>
      <c r="AF130" s="907">
        <v>0.004990936953291332</v>
      </c>
      <c r="AG130" s="878">
        <v>0.0055218876930031744</v>
      </c>
      <c r="AH130" s="841">
        <v>0.006052838432715017</v>
      </c>
      <c r="AI130" s="895">
        <v>0.00658378917242686</v>
      </c>
      <c r="AJ130" s="505"/>
      <c r="AK130" s="498"/>
      <c r="AL130" s="681">
        <f t="shared" si="6"/>
        <v>9500000</v>
      </c>
      <c r="AM130" s="1214">
        <v>1326.6859583762866</v>
      </c>
      <c r="AN130" s="992">
        <v>1533.9806393725814</v>
      </c>
      <c r="AO130" s="953">
        <v>1741.2753203688762</v>
      </c>
      <c r="AP130" s="911">
        <v>1948.5700013651713</v>
      </c>
      <c r="AQ130" s="883">
        <v>2155.8646823614663</v>
      </c>
      <c r="AR130" s="847">
        <v>2363.1593633577604</v>
      </c>
      <c r="AS130" s="900">
        <v>2570.454044354056</v>
      </c>
      <c r="AU130" s="498"/>
      <c r="AV130" s="681">
        <f t="shared" si="7"/>
        <v>9500000</v>
      </c>
      <c r="AW130" s="1002">
        <v>0.0010765218099638638</v>
      </c>
      <c r="AX130" s="980">
        <v>0.001632176488642462</v>
      </c>
      <c r="AY130" s="981">
        <v>0.0022042557647839827</v>
      </c>
      <c r="AZ130" s="982">
        <v>0.0027928217603293915</v>
      </c>
      <c r="BA130" s="1215">
        <v>0.003398084734155799</v>
      </c>
      <c r="BB130" s="1005">
        <v>0.0036449403808661573</v>
      </c>
      <c r="BC130" s="1006">
        <v>0.0038945528021647</v>
      </c>
      <c r="BD130" s="1007">
        <v>0.00414695536422378</v>
      </c>
      <c r="BE130" s="1216">
        <v>0.0044021852255213155</v>
      </c>
      <c r="BF130" s="985">
        <v>0.004660283336840791</v>
      </c>
      <c r="CK130" s="14"/>
    </row>
    <row r="131">
      <c r="AA131" s="498"/>
      <c r="AB131" s="681">
        <f t="shared" si="5"/>
        <v>10000000</v>
      </c>
      <c r="AC131" s="1217">
        <v>0.0034863613757948864</v>
      </c>
      <c r="AD131" s="1197">
        <v>0.004031105340762837</v>
      </c>
      <c r="AE131" s="960">
        <v>0.004575849305730789</v>
      </c>
      <c r="AF131" s="961">
        <v>0.005120593270698739</v>
      </c>
      <c r="AG131" s="920">
        <v>0.00566533723566669</v>
      </c>
      <c r="AH131" s="921">
        <v>0.00621008120063464</v>
      </c>
      <c r="AI131" s="818">
        <v>0.006754825165602592</v>
      </c>
      <c r="AJ131" s="508"/>
      <c r="AK131" s="498"/>
      <c r="AL131" s="681">
        <f t="shared" si="6"/>
        <v>10000000</v>
      </c>
      <c r="AM131" s="1218">
        <v>1361.1510733094158</v>
      </c>
      <c r="AN131" s="1198">
        <v>1573.8309285140124</v>
      </c>
      <c r="AO131" s="964">
        <v>1786.5107837186088</v>
      </c>
      <c r="AP131" s="965">
        <v>1999.190638923205</v>
      </c>
      <c r="AQ131" s="926">
        <v>2211.870494127801</v>
      </c>
      <c r="AR131" s="927">
        <v>2424.5503493323977</v>
      </c>
      <c r="AS131" s="825">
        <v>2637.230204536994</v>
      </c>
      <c r="AU131" s="498"/>
      <c r="AV131" s="681">
        <f t="shared" si="7"/>
        <v>10000000</v>
      </c>
      <c r="AW131" s="819">
        <v>0.0011044880725704532</v>
      </c>
      <c r="AX131" s="994">
        <v>0.0016745777441295269</v>
      </c>
      <c r="AY131" s="967">
        <v>0.0022615186971272723</v>
      </c>
      <c r="AZ131" s="861">
        <v>0.002865374667330309</v>
      </c>
      <c r="BA131" s="1219">
        <v>0.0034863613757948864</v>
      </c>
      <c r="BB131" s="880">
        <v>0.003739629925409695</v>
      </c>
      <c r="BC131" s="880">
        <v>0.003995726866073557</v>
      </c>
      <c r="BD131" s="843">
        <v>0.0042546864307570036</v>
      </c>
      <c r="BE131" s="1220">
        <v>0.004516546743253974</v>
      </c>
      <c r="BF131" s="762">
        <v>0.004781349818181818</v>
      </c>
      <c r="CK131" s="123"/>
    </row>
    <row r="132">
      <c r="CK132" s="14"/>
    </row>
    <row r="133">
      <c r="CK133" s="14"/>
    </row>
    <row r="134">
      <c r="CK134" s="14"/>
    </row>
    <row r="135">
      <c r="CK135" s="14"/>
    </row>
    <row r="136">
      <c r="CK136" s="14"/>
    </row>
    <row r="137">
      <c r="X137" s="1476" t="s">
        <v>140</v>
      </c>
      <c r="Y137" s="556"/>
      <c r="Z137" s="556"/>
      <c r="AA137" s="556"/>
      <c r="AB137" s="556"/>
      <c r="AC137" s="556"/>
      <c r="AD137" s="556"/>
      <c r="AE137" s="556"/>
      <c r="AF137" s="556"/>
      <c r="AG137" s="556"/>
      <c r="AH137" s="556"/>
      <c r="AI137" s="556"/>
      <c r="AJ137" s="556"/>
      <c r="AK137" s="556"/>
      <c r="AL137" s="556"/>
      <c r="AM137" s="556"/>
      <c r="AN137" s="556"/>
      <c r="AO137" s="556"/>
      <c r="AP137" s="556"/>
      <c r="AQ137" s="556"/>
      <c r="AR137" s="556"/>
      <c r="AS137" s="556"/>
      <c r="AT137" s="556"/>
      <c r="AU137" s="556"/>
      <c r="AV137" s="556"/>
      <c r="AW137" s="556"/>
      <c r="AX137" s="556"/>
      <c r="AY137" s="556"/>
      <c r="AZ137" s="556"/>
      <c r="BA137" s="556"/>
      <c r="BB137" s="556"/>
      <c r="BC137" s="556"/>
      <c r="BD137" s="556"/>
      <c r="BE137" s="556"/>
      <c r="BF137" s="556"/>
      <c r="BG137" s="556"/>
      <c r="BH137" s="556"/>
      <c r="BI137" s="556"/>
      <c r="BJ137" s="556"/>
      <c r="BK137" s="556"/>
      <c r="BL137" s="556"/>
      <c r="BM137" s="556"/>
      <c r="BN137" s="556"/>
      <c r="BO137" s="556"/>
      <c r="BP137" s="556"/>
      <c r="BQ137" s="556"/>
      <c r="BR137" s="556"/>
      <c r="BS137" s="556"/>
      <c r="BT137" s="556"/>
      <c r="BU137" s="556"/>
      <c r="BV137" s="556"/>
      <c r="BW137" s="556"/>
      <c r="BX137" s="556"/>
      <c r="BY137" s="556"/>
      <c r="BZ137" s="556"/>
      <c r="CA137" s="556"/>
      <c r="CB137" s="557"/>
      <c r="CK137" s="14"/>
    </row>
    <row r="138">
      <c r="X138" s="559"/>
      <c r="CB138" s="560"/>
      <c r="CK138" s="144"/>
    </row>
    <row r="139">
      <c r="X139" s="559"/>
      <c r="CB139" s="560"/>
      <c r="CK139" s="51"/>
    </row>
    <row r="140">
      <c r="X140" s="574"/>
      <c r="Y140" s="575"/>
      <c r="Z140" s="575"/>
      <c r="AA140" s="575"/>
      <c r="AB140" s="575"/>
      <c r="AC140" s="575"/>
      <c r="AD140" s="575"/>
      <c r="AE140" s="575"/>
      <c r="AF140" s="575"/>
      <c r="AG140" s="575"/>
      <c r="AH140" s="575"/>
      <c r="AI140" s="575"/>
      <c r="AJ140" s="575"/>
      <c r="AK140" s="575"/>
      <c r="AL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G140" s="575"/>
      <c r="BH140" s="575"/>
      <c r="BI140" s="575"/>
      <c r="BJ140" s="575"/>
      <c r="BK140" s="575"/>
      <c r="BL140" s="575"/>
      <c r="BM140" s="575"/>
      <c r="BN140" s="575"/>
      <c r="BO140" s="575"/>
      <c r="BP140" s="575"/>
      <c r="BQ140" s="575"/>
      <c r="BR140" s="575"/>
      <c r="BS140" s="575"/>
      <c r="BT140" s="575"/>
      <c r="BU140" s="575"/>
      <c r="BV140" s="575"/>
      <c r="BW140" s="575"/>
      <c r="BX140" s="575"/>
      <c r="BY140" s="575"/>
      <c r="BZ140" s="575"/>
      <c r="CA140" s="575"/>
      <c r="CB140" s="576"/>
      <c r="CK140" s="51"/>
    </row>
    <row r="141">
      <c r="CK141" s="51"/>
    </row>
    <row r="142">
      <c r="CK142" s="51"/>
    </row>
    <row r="143">
      <c r="CK143" s="51"/>
    </row>
    <row r="144">
      <c r="CK144" s="51"/>
    </row>
    <row r="145">
      <c r="CK145" s="51"/>
    </row>
    <row r="146">
      <c r="X146" s="1134"/>
      <c r="CK146" s="144"/>
    </row>
    <row r="147">
      <c r="CK147" s="51"/>
    </row>
    <row r="148">
      <c r="BR148" s="14"/>
      <c r="BS148" s="14"/>
      <c r="CK148" s="144"/>
    </row>
    <row r="149">
      <c r="BR149" s="14"/>
      <c r="BS149" s="14"/>
    </row>
    <row r="150">
      <c r="BR150" s="14"/>
      <c r="BS150" s="14"/>
    </row>
    <row r="151" ht="37.5" customHeight="1">
      <c r="BR151" s="14"/>
      <c r="BS151" s="14"/>
    </row>
    <row r="152">
      <c r="BR152" s="14"/>
      <c r="BS152" s="14"/>
    </row>
    <row r="153">
      <c r="BR153" s="14"/>
      <c r="BS153" s="14"/>
    </row>
    <row r="154">
      <c r="BR154" s="14"/>
      <c r="BS154" s="14"/>
    </row>
    <row r="155">
      <c r="BR155" s="14"/>
      <c r="BS155" s="14"/>
    </row>
    <row r="156">
      <c r="BR156" s="14"/>
      <c r="BS156" s="14"/>
    </row>
    <row r="157">
      <c r="BR157" s="14"/>
      <c r="BS157" s="14"/>
    </row>
    <row r="158">
      <c r="BR158" s="14"/>
      <c r="BS158" s="14"/>
    </row>
    <row r="159">
      <c r="BR159" s="14"/>
      <c r="BS159" s="14"/>
    </row>
    <row r="160">
      <c r="BR160" s="14"/>
      <c r="BS160" s="14"/>
    </row>
    <row r="161">
      <c r="BR161" s="14"/>
      <c r="BS161" s="14"/>
    </row>
    <row r="162">
      <c r="BR162" s="14"/>
      <c r="BS162" s="14"/>
    </row>
    <row r="163">
      <c r="BR163" s="14"/>
      <c r="BS163" s="14"/>
    </row>
    <row r="164">
      <c r="BR164" s="14"/>
      <c r="BS164" s="14"/>
    </row>
    <row r="165">
      <c r="BR165" s="14"/>
      <c r="BS165" s="14"/>
    </row>
    <row r="166">
      <c r="BR166" s="14"/>
      <c r="BS166" s="14"/>
    </row>
    <row r="167">
      <c r="BG167" s="14"/>
      <c r="BH167" s="14"/>
      <c r="BI167" s="14"/>
      <c r="BJ167" s="14"/>
      <c r="BK167" s="14"/>
      <c r="BL167" s="14"/>
      <c r="BM167" s="14"/>
      <c r="BN167" s="14"/>
      <c r="BO167" s="14"/>
      <c r="BP167" s="14"/>
      <c r="BQ167" s="14"/>
      <c r="BR167" s="14"/>
      <c r="BS167" s="14"/>
    </row>
    <row r="168">
      <c r="BG168" s="14"/>
      <c r="BH168" s="14"/>
      <c r="BI168" s="14"/>
      <c r="BJ168" s="14"/>
      <c r="BK168" s="14"/>
      <c r="BL168" s="14"/>
      <c r="BM168" s="14"/>
      <c r="BN168" s="14"/>
      <c r="BO168" s="14"/>
      <c r="BP168" s="14"/>
      <c r="BQ168" s="14"/>
      <c r="BR168" s="14"/>
      <c r="BS168" s="14"/>
    </row>
    <row r="169">
      <c r="BG169" s="14"/>
      <c r="BH169" s="14"/>
      <c r="BI169" s="14"/>
      <c r="BJ169" s="14"/>
      <c r="BK169" s="14"/>
      <c r="BL169" s="14"/>
      <c r="BM169" s="14"/>
      <c r="BN169" s="14"/>
      <c r="BO169" s="14"/>
      <c r="BP169" s="14"/>
      <c r="BQ169" s="14"/>
      <c r="BR169" s="14"/>
      <c r="BS169" s="14"/>
    </row>
    <row r="170">
      <c r="AJ170" s="51"/>
      <c r="AK170" s="51"/>
      <c r="AL170" s="51"/>
      <c r="AM170" s="51"/>
      <c r="AN170" s="51"/>
      <c r="AO170" s="51"/>
      <c r="AP170" s="51"/>
      <c r="AQ170" s="51"/>
      <c r="AR170" s="51"/>
      <c r="AS170" s="51"/>
      <c r="AT170" s="51"/>
      <c r="AU170" s="51"/>
      <c r="AV170" s="51"/>
      <c r="BG170" s="14"/>
      <c r="BH170" s="14"/>
      <c r="BI170" s="14"/>
      <c r="BJ170" s="14"/>
      <c r="BK170" s="14"/>
      <c r="BL170" s="14"/>
      <c r="BM170" s="14"/>
      <c r="BN170" s="14"/>
      <c r="BO170" s="14"/>
      <c r="BP170" s="14"/>
      <c r="BQ170" s="14"/>
      <c r="BR170" s="14"/>
      <c r="BS170" s="14"/>
    </row>
    <row r="171">
      <c r="X171" s="52"/>
      <c r="Y171" s="52"/>
      <c r="Z171" s="52"/>
      <c r="CA171" s="52"/>
      <c r="CB171" s="52"/>
      <c r="CC171" s="52"/>
      <c r="CD171" s="52"/>
      <c r="CE171" s="52"/>
    </row>
    <row r="174">
      <c r="X174" s="1221" t="s">
        <v>54</v>
      </c>
      <c r="Y174" s="1222"/>
      <c r="Z174" s="1222"/>
      <c r="AA174" s="1222"/>
      <c r="AB174" s="1222"/>
      <c r="AC174" s="1222"/>
      <c r="AD174" s="1222"/>
      <c r="AE174" s="1222"/>
      <c r="AF174" s="1222"/>
      <c r="AG174" s="577"/>
      <c r="AI174" s="1136" t="s">
        <v>54</v>
      </c>
      <c r="AJ174" s="1046"/>
      <c r="AK174" s="1046"/>
      <c r="AL174" s="1046"/>
      <c r="AM174" s="1046"/>
      <c r="AN174" s="1046"/>
      <c r="AO174" s="1046"/>
      <c r="AP174" s="1223"/>
      <c r="AQ174" s="1223"/>
      <c r="AR174" s="1223"/>
      <c r="AS174" s="1223"/>
      <c r="AT174" s="1223"/>
      <c r="AU174" s="610"/>
      <c r="AV174" s="1221" t="s">
        <v>54</v>
      </c>
      <c r="AW174" s="1222"/>
      <c r="AX174" s="1222"/>
      <c r="AY174" s="1222"/>
      <c r="AZ174" s="1222"/>
      <c r="BA174" s="1222"/>
      <c r="BB174" s="1222"/>
      <c r="BC174" s="1222"/>
      <c r="BD174" s="1222"/>
      <c r="BE174" s="1222"/>
      <c r="BF174" s="1222"/>
      <c r="BG174" s="1222"/>
      <c r="BH174" s="1222"/>
      <c r="BI174" s="1222"/>
      <c r="BJ174" s="1222"/>
      <c r="BK174" s="1222"/>
      <c r="BL174" s="610"/>
      <c r="BM174" s="1221" t="s">
        <v>54</v>
      </c>
      <c r="BN174" s="1222"/>
      <c r="BO174" s="1222"/>
      <c r="BP174" s="1222"/>
      <c r="BQ174" s="1222"/>
      <c r="BR174" s="1222"/>
      <c r="BS174" s="1222"/>
      <c r="BT174" s="1222"/>
      <c r="BU174" s="1222"/>
      <c r="BV174" s="1222"/>
      <c r="BW174" s="1222"/>
      <c r="BX174" s="1222"/>
      <c r="BY174" s="1222"/>
      <c r="BZ174" s="1222"/>
      <c r="CA174" s="1222"/>
      <c r="CB174" s="1222"/>
    </row>
    <row r="175">
      <c r="X175" s="1052" t="s">
        <v>57</v>
      </c>
      <c r="AG175" s="577"/>
      <c r="AI175" s="1139" t="s">
        <v>58</v>
      </c>
      <c r="AJ175" s="1046"/>
      <c r="AK175" s="1046"/>
      <c r="AL175" s="1046"/>
      <c r="AM175" s="1047" t="s">
        <v>59</v>
      </c>
      <c r="AN175" s="1048"/>
      <c r="AO175" s="1048"/>
      <c r="AP175" s="1049"/>
      <c r="AQ175" s="1049"/>
      <c r="AR175" s="1049"/>
      <c r="AS175" s="1049"/>
      <c r="AT175" s="1223"/>
      <c r="AU175" s="610"/>
      <c r="AV175" s="1224" t="s">
        <v>58</v>
      </c>
      <c r="AW175" s="1052"/>
      <c r="AX175" s="1052" t="s">
        <v>44</v>
      </c>
      <c r="BL175" s="610"/>
      <c r="BM175" s="1224" t="s">
        <v>58</v>
      </c>
      <c r="BN175" s="1052"/>
      <c r="BO175" s="1052" t="s">
        <v>44</v>
      </c>
    </row>
    <row r="176">
      <c r="X176" s="1100"/>
      <c r="Y176" s="1054" t="str">
        <f>F66</f>
        <v>#DIV/0!</v>
      </c>
      <c r="Z176" s="1055">
        <v>64.0</v>
      </c>
      <c r="AA176" s="1056">
        <f t="shared" ref="AA176:AF176" si="8">Z176+10</f>
        <v>74</v>
      </c>
      <c r="AB176" s="1056">
        <f t="shared" si="8"/>
        <v>84</v>
      </c>
      <c r="AC176" s="1056">
        <f t="shared" si="8"/>
        <v>94</v>
      </c>
      <c r="AD176" s="1056">
        <f t="shared" si="8"/>
        <v>104</v>
      </c>
      <c r="AE176" s="1056">
        <f t="shared" si="8"/>
        <v>114</v>
      </c>
      <c r="AF176" s="1056">
        <f t="shared" si="8"/>
        <v>124</v>
      </c>
      <c r="AG176" s="577"/>
      <c r="AI176" s="1046"/>
      <c r="AJ176" s="683" t="str">
        <f>F66</f>
        <v>#DIV/0!</v>
      </c>
      <c r="AK176" s="684">
        <f t="shared" ref="AK176:AM176" si="9">AL176-0.05</f>
        <v>0.7</v>
      </c>
      <c r="AL176" s="684">
        <f t="shared" si="9"/>
        <v>0.75</v>
      </c>
      <c r="AM176" s="684">
        <f t="shared" si="9"/>
        <v>0.8</v>
      </c>
      <c r="AN176" s="684">
        <v>0.85</v>
      </c>
      <c r="AO176" s="1059">
        <v>0.9</v>
      </c>
      <c r="AP176" s="684">
        <f t="shared" ref="AP176:AT176" si="10">AO176+0.02</f>
        <v>0.92</v>
      </c>
      <c r="AQ176" s="684">
        <f t="shared" si="10"/>
        <v>0.94</v>
      </c>
      <c r="AR176" s="684">
        <f t="shared" si="10"/>
        <v>0.96</v>
      </c>
      <c r="AS176" s="1059">
        <f t="shared" si="10"/>
        <v>0.98</v>
      </c>
      <c r="AT176" s="684">
        <f t="shared" si="10"/>
        <v>1</v>
      </c>
      <c r="AU176" s="610"/>
      <c r="AV176" s="1224"/>
      <c r="AW176" s="1052"/>
      <c r="AX176" s="1052"/>
      <c r="AY176" s="1052"/>
      <c r="AZ176" s="1052"/>
      <c r="BA176" s="1052"/>
      <c r="BB176" s="1052"/>
      <c r="BC176" s="1052"/>
      <c r="BD176" s="1052"/>
      <c r="BE176" s="1052"/>
      <c r="BF176" s="1052"/>
      <c r="BG176" s="1052"/>
      <c r="BH176" s="1052"/>
      <c r="BI176" s="1052"/>
      <c r="BJ176" s="1052"/>
      <c r="BK176" s="1052"/>
      <c r="BM176" s="1224" t="s">
        <v>68</v>
      </c>
      <c r="BN176" s="1052"/>
      <c r="BO176" s="1052"/>
      <c r="BP176" s="1052"/>
      <c r="BQ176" s="1052"/>
      <c r="BR176" s="1052"/>
      <c r="BS176" s="1052"/>
      <c r="BT176" s="1052"/>
      <c r="BU176" s="1052"/>
      <c r="BV176" s="1052"/>
      <c r="BW176" s="1052"/>
      <c r="BX176" s="1052"/>
      <c r="BY176" s="1052"/>
      <c r="BZ176" s="1052"/>
      <c r="CA176" s="1052"/>
      <c r="CB176" s="1052"/>
    </row>
    <row r="177">
      <c r="X177" s="1225" t="s">
        <v>66</v>
      </c>
      <c r="Y177" s="1062">
        <v>524288.0</v>
      </c>
      <c r="Z177" s="1063">
        <v>0.20330351810934638</v>
      </c>
      <c r="AA177" s="1064">
        <v>0.23506969281393175</v>
      </c>
      <c r="AB177" s="1064">
        <v>0.2668358675185171</v>
      </c>
      <c r="AC177" s="1064">
        <v>0.2986020422231025</v>
      </c>
      <c r="AD177" s="1064">
        <v>0.3303682169276878</v>
      </c>
      <c r="AE177" s="1064">
        <v>0.3621343916322733</v>
      </c>
      <c r="AF177" s="1064">
        <v>0.39390056633685855</v>
      </c>
      <c r="AG177" s="577"/>
      <c r="AI177" s="1225" t="s">
        <v>66</v>
      </c>
      <c r="AJ177" s="1062">
        <v>525288.0</v>
      </c>
      <c r="AK177" s="704">
        <v>0.15389874605935075</v>
      </c>
      <c r="AL177" s="705">
        <v>0.16299785407304146</v>
      </c>
      <c r="AM177" s="706">
        <v>0.17191999203759448</v>
      </c>
      <c r="AN177" s="1144">
        <v>0.18069980882578818</v>
      </c>
      <c r="AO177" s="1145">
        <v>0.18937195331040127</v>
      </c>
      <c r="AP177" s="709">
        <v>0.19281842420674625</v>
      </c>
      <c r="AQ177" s="710">
        <v>0.19625542888202083</v>
      </c>
      <c r="AR177" s="711">
        <v>0.1996851848640826</v>
      </c>
      <c r="AS177" s="1146">
        <v>0.20310990968078962</v>
      </c>
      <c r="AT177" s="1141">
        <v>0.20653182085999955</v>
      </c>
      <c r="AU177" s="610"/>
      <c r="AV177" s="1224" t="s">
        <v>67</v>
      </c>
      <c r="AW177" s="1052"/>
      <c r="AX177" s="1052"/>
      <c r="AY177" s="1052"/>
      <c r="AZ177" s="1052"/>
      <c r="BA177" s="1052"/>
      <c r="BB177" s="1052"/>
      <c r="BC177" s="1052"/>
      <c r="BD177" s="1052"/>
      <c r="BE177" s="1052"/>
      <c r="BF177" s="1052"/>
      <c r="BG177" s="1052"/>
      <c r="BH177" s="1052"/>
      <c r="BI177" s="1052"/>
      <c r="BJ177" s="1052"/>
      <c r="BK177" s="1052"/>
      <c r="BM177" s="515"/>
      <c r="BN177" s="1052"/>
      <c r="BO177" s="1052"/>
      <c r="BP177" s="1052"/>
      <c r="BQ177" s="1052"/>
      <c r="BR177" s="1052"/>
      <c r="BS177" s="1052"/>
      <c r="BT177" s="1052"/>
      <c r="BU177" s="1052"/>
      <c r="BV177" s="1052"/>
      <c r="BW177" s="1052"/>
      <c r="BX177" s="1052"/>
      <c r="BY177" s="1052"/>
      <c r="BZ177" s="1052"/>
      <c r="CA177" s="1052"/>
      <c r="CB177" s="1052"/>
    </row>
    <row r="178">
      <c r="Y178" s="1062">
        <v>1000000.0</v>
      </c>
      <c r="Z178" s="1063">
        <v>0.14720747140526175</v>
      </c>
      <c r="AA178" s="1064">
        <v>0.17020863881233386</v>
      </c>
      <c r="AB178" s="1064">
        <v>0.19320980621940603</v>
      </c>
      <c r="AC178" s="1064">
        <v>0.2162109736264782</v>
      </c>
      <c r="AD178" s="1064">
        <v>0.23921214103355032</v>
      </c>
      <c r="AE178" s="1064">
        <v>0.2622133084406224</v>
      </c>
      <c r="AF178" s="1064">
        <v>0.28521447584769455</v>
      </c>
      <c r="AG178" s="577"/>
      <c r="AJ178" s="1062">
        <v>1000000.0</v>
      </c>
      <c r="AK178" s="727">
        <v>0.11154081696674724</v>
      </c>
      <c r="AL178" s="728">
        <v>0.11813555517939218</v>
      </c>
      <c r="AM178" s="729">
        <v>0.12460203124328732</v>
      </c>
      <c r="AN178" s="1150">
        <v>0.13096535753702998</v>
      </c>
      <c r="AO178" s="1151">
        <v>0.1372506464392175</v>
      </c>
      <c r="AP178" s="732">
        <v>0.1397485367032629</v>
      </c>
      <c r="AQ178" s="733">
        <v>0.1422395661574652</v>
      </c>
      <c r="AR178" s="734">
        <v>0.1447253419940548</v>
      </c>
      <c r="AS178" s="1152">
        <v>0.14720747140526175</v>
      </c>
      <c r="AT178" s="1153">
        <v>0.1496875615833164</v>
      </c>
      <c r="AU178" s="610"/>
      <c r="AV178" s="1100"/>
      <c r="AW178" s="1054" t="str">
        <f>F66</f>
        <v>#DIV/0!</v>
      </c>
      <c r="AX178" s="1062">
        <v>1.0</v>
      </c>
      <c r="AY178" s="1056">
        <f t="shared" ref="AY178:BB178" si="11">AX178+1</f>
        <v>2</v>
      </c>
      <c r="AZ178" s="1056">
        <f t="shared" si="11"/>
        <v>3</v>
      </c>
      <c r="BA178" s="1056">
        <f t="shared" si="11"/>
        <v>4</v>
      </c>
      <c r="BB178" s="1056">
        <f t="shared" si="11"/>
        <v>5</v>
      </c>
      <c r="BC178" s="1062">
        <v>10.0</v>
      </c>
      <c r="BD178" s="1062">
        <v>15.0</v>
      </c>
      <c r="BE178" s="1062">
        <v>20.0</v>
      </c>
      <c r="BF178" s="1062">
        <v>25.0</v>
      </c>
      <c r="BG178" s="1062">
        <v>30.0</v>
      </c>
      <c r="BH178" s="1062">
        <v>35.0</v>
      </c>
      <c r="BI178" s="1062">
        <v>40.0</v>
      </c>
      <c r="BJ178" s="1062">
        <v>45.0</v>
      </c>
      <c r="BK178" s="1062">
        <v>50.0</v>
      </c>
      <c r="BM178" s="1100"/>
      <c r="BN178" s="1054" t="str">
        <f>Y176</f>
        <v>#DIV/0!</v>
      </c>
      <c r="BO178" s="1062">
        <v>1.0</v>
      </c>
      <c r="BP178" s="1056">
        <f t="shared" ref="BP178:BS178" si="12">BO178+1</f>
        <v>2</v>
      </c>
      <c r="BQ178" s="1056">
        <f t="shared" si="12"/>
        <v>3</v>
      </c>
      <c r="BR178" s="1056">
        <f t="shared" si="12"/>
        <v>4</v>
      </c>
      <c r="BS178" s="1056">
        <f t="shared" si="12"/>
        <v>5</v>
      </c>
      <c r="BT178" s="1062">
        <v>10.0</v>
      </c>
      <c r="BU178" s="1062">
        <v>15.0</v>
      </c>
      <c r="BV178" s="1062">
        <v>20.0</v>
      </c>
      <c r="BW178" s="1062">
        <v>25.0</v>
      </c>
      <c r="BX178" s="1062">
        <v>30.0</v>
      </c>
      <c r="BY178" s="1062">
        <v>35.0</v>
      </c>
      <c r="BZ178" s="1062">
        <v>40.0</v>
      </c>
      <c r="CA178" s="1062">
        <v>45.0</v>
      </c>
      <c r="CB178" s="1062">
        <v>50.0</v>
      </c>
    </row>
    <row r="179">
      <c r="Y179" s="1056">
        <f t="shared" ref="Y179:Y196" si="13">Y178+500000</f>
        <v>1500000</v>
      </c>
      <c r="Z179" s="1063">
        <v>0.12019439708941222</v>
      </c>
      <c r="AA179" s="1064">
        <v>0.13897477163463284</v>
      </c>
      <c r="AB179" s="1064">
        <v>0.15775514617985353</v>
      </c>
      <c r="AC179" s="1064">
        <v>0.17653552072507417</v>
      </c>
      <c r="AD179" s="1064">
        <v>0.19531589527029483</v>
      </c>
      <c r="AE179" s="1064">
        <v>0.2140962698155155</v>
      </c>
      <c r="AF179" s="1064">
        <v>0.23287664436073616</v>
      </c>
      <c r="AG179" s="577"/>
      <c r="AJ179" s="1056">
        <f t="shared" ref="AJ179:AJ196" si="14">AJ178+500000</f>
        <v>1500000</v>
      </c>
      <c r="AK179" s="751">
        <v>0.0910726956872344</v>
      </c>
      <c r="AL179" s="752">
        <v>0.09645727688997244</v>
      </c>
      <c r="AM179" s="753">
        <v>0.10173713248679382</v>
      </c>
      <c r="AN179" s="1156">
        <v>0.10693276664896217</v>
      </c>
      <c r="AO179" s="1157">
        <v>0.11206468354774128</v>
      </c>
      <c r="AP179" s="756">
        <v>0.11410420240786695</v>
      </c>
      <c r="AQ179" s="757">
        <v>0.11613811944021345</v>
      </c>
      <c r="AR179" s="758">
        <v>0.11816774691174156</v>
      </c>
      <c r="AS179" s="1158">
        <v>0.12019439708941222</v>
      </c>
      <c r="AT179" s="1159">
        <v>0.12221938224018629</v>
      </c>
      <c r="AU179" s="610"/>
      <c r="AV179" s="1226" t="s">
        <v>73</v>
      </c>
      <c r="AW179" s="1072">
        <f>AK176</f>
        <v>0.7</v>
      </c>
      <c r="AX179" s="1073">
        <v>0.1203153536984451</v>
      </c>
      <c r="AY179" s="1073">
        <v>0.1203153536984451</v>
      </c>
      <c r="AZ179" s="1073">
        <v>0.12031535369844511</v>
      </c>
      <c r="BA179" s="1073">
        <v>0.1203153536984451</v>
      </c>
      <c r="BB179" s="1073">
        <v>0.12031535369844511</v>
      </c>
      <c r="BC179" s="1073">
        <v>0.12031535369844511</v>
      </c>
      <c r="BD179" s="1073">
        <v>0.12031535369844511</v>
      </c>
      <c r="BE179" s="1073">
        <v>0.12031535369844511</v>
      </c>
      <c r="BF179" s="1073">
        <v>0.1203153536984451</v>
      </c>
      <c r="BG179" s="1073">
        <v>0.12031535369844511</v>
      </c>
      <c r="BH179" s="1073">
        <v>0.12031535369844511</v>
      </c>
      <c r="BI179" s="1073">
        <v>0.12031535369844511</v>
      </c>
      <c r="BJ179" s="1073">
        <v>0.12031535369844512</v>
      </c>
      <c r="BK179" s="1073">
        <v>0.1203153536984451</v>
      </c>
      <c r="BM179" s="1225" t="s">
        <v>66</v>
      </c>
      <c r="BN179" s="1062">
        <v>525288.0</v>
      </c>
      <c r="BO179" s="1073">
        <v>0.20259885081353673</v>
      </c>
      <c r="BP179" s="1073">
        <v>0.20259885081353673</v>
      </c>
      <c r="BQ179" s="1073">
        <v>0.20259885081353673</v>
      </c>
      <c r="BR179" s="1073">
        <v>0.20259885081353673</v>
      </c>
      <c r="BS179" s="1073">
        <v>0.20259885081353673</v>
      </c>
      <c r="BT179" s="1073">
        <v>0.20259885081353673</v>
      </c>
      <c r="BU179" s="1073">
        <v>0.20259885081353673</v>
      </c>
      <c r="BV179" s="1073">
        <v>0.20259885081353673</v>
      </c>
      <c r="BW179" s="1073">
        <v>0.20259885081353673</v>
      </c>
      <c r="BX179" s="1073">
        <v>0.20259885081353673</v>
      </c>
      <c r="BY179" s="1073">
        <v>0.20259885081353673</v>
      </c>
      <c r="BZ179" s="1073">
        <v>0.20259885081353673</v>
      </c>
      <c r="CA179" s="1073">
        <v>0.20259885081353673</v>
      </c>
      <c r="CB179" s="1073">
        <v>0.20259885081353673</v>
      </c>
    </row>
    <row r="180">
      <c r="Y180" s="1056">
        <f t="shared" si="13"/>
        <v>2000000</v>
      </c>
      <c r="Z180" s="1063">
        <v>0.10409140127198538</v>
      </c>
      <c r="AA180" s="1064">
        <v>0.12035568272073309</v>
      </c>
      <c r="AB180" s="1064">
        <v>0.13661996416948077</v>
      </c>
      <c r="AC180" s="1064">
        <v>0.15288424561822847</v>
      </c>
      <c r="AD180" s="1064">
        <v>0.1691485270669762</v>
      </c>
      <c r="AE180" s="1064">
        <v>0.18541280851572392</v>
      </c>
      <c r="AF180" s="1064">
        <v>0.20167708996447165</v>
      </c>
      <c r="AG180" s="577"/>
      <c r="AJ180" s="1056">
        <f t="shared" si="14"/>
        <v>2000000</v>
      </c>
      <c r="AK180" s="740">
        <v>0.0788712680562745</v>
      </c>
      <c r="AL180" s="766">
        <v>0.08353445216658581</v>
      </c>
      <c r="AM180" s="775">
        <v>0.08810694124174653</v>
      </c>
      <c r="AN180" s="799">
        <v>0.09260649241495461</v>
      </c>
      <c r="AO180" s="1163">
        <v>0.09705086281940796</v>
      </c>
      <c r="AP180" s="778">
        <v>0.09881713796377432</v>
      </c>
      <c r="AQ180" s="779">
        <v>0.10057856178297621</v>
      </c>
      <c r="AR180" s="780">
        <v>0.10233627073353833</v>
      </c>
      <c r="AS180" s="1164">
        <v>0.10409140127198536</v>
      </c>
      <c r="AT180" s="1165">
        <v>0.10584508985484198</v>
      </c>
      <c r="AU180" s="610"/>
      <c r="AW180" s="1072">
        <v>0.75</v>
      </c>
      <c r="AX180" s="1075">
        <v>0.12711834680201567</v>
      </c>
      <c r="AY180" s="1075">
        <v>0.12711834680201567</v>
      </c>
      <c r="AZ180" s="1075">
        <v>0.12711834680201567</v>
      </c>
      <c r="BA180" s="1075">
        <v>0.12711834680201567</v>
      </c>
      <c r="BB180" s="1075">
        <v>0.12711834680201567</v>
      </c>
      <c r="BC180" s="1075">
        <v>0.12711834680201567</v>
      </c>
      <c r="BD180" s="1075">
        <v>0.12711834680201567</v>
      </c>
      <c r="BE180" s="1075">
        <v>0.12711834680201567</v>
      </c>
      <c r="BF180" s="1075">
        <v>0.12711834680201567</v>
      </c>
      <c r="BG180" s="1075">
        <v>0.12711834680201567</v>
      </c>
      <c r="BH180" s="1075">
        <v>0.12711834680201567</v>
      </c>
      <c r="BI180" s="1075">
        <v>0.12711834680201567</v>
      </c>
      <c r="BJ180" s="1075">
        <v>0.12711834680201567</v>
      </c>
      <c r="BK180" s="1075">
        <v>0.12711834680201567</v>
      </c>
      <c r="BN180" s="1062">
        <v>1000000.0</v>
      </c>
      <c r="BO180" s="1075">
        <v>0.14683707252267758</v>
      </c>
      <c r="BP180" s="1075">
        <v>0.14683707252267758</v>
      </c>
      <c r="BQ180" s="1075">
        <v>0.14683707252267758</v>
      </c>
      <c r="BR180" s="1075">
        <v>0.14683707252267758</v>
      </c>
      <c r="BS180" s="1075">
        <v>0.14683707252267758</v>
      </c>
      <c r="BT180" s="1075">
        <v>0.14683707252267758</v>
      </c>
      <c r="BU180" s="1075">
        <v>0.14683707252267758</v>
      </c>
      <c r="BV180" s="1075">
        <v>0.14683707252267758</v>
      </c>
      <c r="BW180" s="1075">
        <v>0.14683707252267758</v>
      </c>
      <c r="BX180" s="1075">
        <v>0.14683707252267758</v>
      </c>
      <c r="BY180" s="1075">
        <v>0.14683707252267758</v>
      </c>
      <c r="BZ180" s="1075">
        <v>0.14683707252267758</v>
      </c>
      <c r="CA180" s="1075">
        <v>0.14683707252267758</v>
      </c>
      <c r="CB180" s="1075">
        <v>0.14683707252267758</v>
      </c>
    </row>
    <row r="181">
      <c r="Y181" s="1056">
        <f t="shared" si="13"/>
        <v>2500000</v>
      </c>
      <c r="Z181" s="1063">
        <v>0.09310217964694692</v>
      </c>
      <c r="AA181" s="1064">
        <v>0.10764939521678239</v>
      </c>
      <c r="AB181" s="1064">
        <v>0.12219661078661787</v>
      </c>
      <c r="AC181" s="1064">
        <v>0.1367438263564533</v>
      </c>
      <c r="AD181" s="1064">
        <v>0.15129104192628876</v>
      </c>
      <c r="AE181" s="1064">
        <v>0.16583825749612424</v>
      </c>
      <c r="AF181" s="1064">
        <v>0.1803854730659597</v>
      </c>
      <c r="AG181" s="577"/>
      <c r="AJ181" s="1056">
        <f t="shared" si="14"/>
        <v>2500000</v>
      </c>
      <c r="AK181" s="795">
        <v>0.07054460673817499</v>
      </c>
      <c r="AL181" s="714">
        <v>0.07471548540307617</v>
      </c>
      <c r="AM181" s="740">
        <v>0.07880524396244998</v>
      </c>
      <c r="AN181" s="1168">
        <v>0.08282976487906288</v>
      </c>
      <c r="AO181" s="1169">
        <v>0.08680493061568123</v>
      </c>
      <c r="AP181" s="798">
        <v>0.0883847351315898</v>
      </c>
      <c r="AQ181" s="715">
        <v>0.08996020049035891</v>
      </c>
      <c r="AR181" s="751">
        <v>0.09153234316960557</v>
      </c>
      <c r="AS181" s="1170">
        <v>0.09310217964694695</v>
      </c>
      <c r="AT181" s="1171">
        <v>0.09467072639999999</v>
      </c>
      <c r="AU181" s="610"/>
      <c r="AW181" s="1072">
        <v>0.8</v>
      </c>
      <c r="AX181" s="1073">
        <v>0.13378902737319173</v>
      </c>
      <c r="AY181" s="1073">
        <v>0.13378902737319173</v>
      </c>
      <c r="AZ181" s="1073">
        <v>0.13378902737319173</v>
      </c>
      <c r="BA181" s="1073">
        <v>0.13378902737319173</v>
      </c>
      <c r="BB181" s="1073">
        <v>0.13378902737319173</v>
      </c>
      <c r="BC181" s="1073">
        <v>0.13378902737319173</v>
      </c>
      <c r="BD181" s="1073">
        <v>0.13378902737319173</v>
      </c>
      <c r="BE181" s="1073">
        <v>0.13378902737319173</v>
      </c>
      <c r="BF181" s="1073">
        <v>0.13378902737319173</v>
      </c>
      <c r="BG181" s="1073">
        <v>0.13378902737319173</v>
      </c>
      <c r="BH181" s="1073">
        <v>0.13378902737319173</v>
      </c>
      <c r="BI181" s="1073">
        <v>0.13378902737319173</v>
      </c>
      <c r="BJ181" s="1073">
        <v>0.13378902737319173</v>
      </c>
      <c r="BK181" s="1073">
        <v>0.13378902737319173</v>
      </c>
      <c r="BN181" s="1056">
        <f t="shared" ref="BN181:BN198" si="15">BN180+500000</f>
        <v>1500000</v>
      </c>
      <c r="BO181" s="1073">
        <v>0.1198919676682028</v>
      </c>
      <c r="BP181" s="1073">
        <v>0.1198919676682028</v>
      </c>
      <c r="BQ181" s="1073">
        <v>0.1198919676682028</v>
      </c>
      <c r="BR181" s="1073">
        <v>0.1198919676682028</v>
      </c>
      <c r="BS181" s="1073">
        <v>0.11989196766820279</v>
      </c>
      <c r="BT181" s="1073">
        <v>0.11989196766820279</v>
      </c>
      <c r="BU181" s="1073">
        <v>0.1198919676682028</v>
      </c>
      <c r="BV181" s="1073">
        <v>0.11989196766820279</v>
      </c>
      <c r="BW181" s="1073">
        <v>0.1198919676682028</v>
      </c>
      <c r="BX181" s="1073">
        <v>0.1198919676682028</v>
      </c>
      <c r="BY181" s="1073">
        <v>0.11989196766820281</v>
      </c>
      <c r="BZ181" s="1073">
        <v>0.11989196766820279</v>
      </c>
      <c r="CA181" s="1073">
        <v>0.1198919676682028</v>
      </c>
      <c r="CB181" s="1073">
        <v>0.1198919676682028</v>
      </c>
    </row>
    <row r="182">
      <c r="Y182" s="1056">
        <f t="shared" si="13"/>
        <v>3000000</v>
      </c>
      <c r="Z182" s="1063">
        <v>0.084990273242552</v>
      </c>
      <c r="AA182" s="1064">
        <v>0.09827000343670074</v>
      </c>
      <c r="AB182" s="1064">
        <v>0.11154973363084952</v>
      </c>
      <c r="AC182" s="1064">
        <v>0.12482946382499825</v>
      </c>
      <c r="AD182" s="1064">
        <v>0.138109194019147</v>
      </c>
      <c r="AE182" s="1064">
        <v>0.15138892421329572</v>
      </c>
      <c r="AF182" s="1064">
        <v>0.16466865440744452</v>
      </c>
      <c r="AG182" s="577"/>
      <c r="AJ182" s="1056">
        <f t="shared" si="14"/>
        <v>3000000</v>
      </c>
      <c r="AK182" s="764">
        <v>0.06439812070138227</v>
      </c>
      <c r="AL182" s="739">
        <v>0.06820559458368798</v>
      </c>
      <c r="AM182" s="795">
        <v>0.0719390162798861</v>
      </c>
      <c r="AN182" s="714">
        <v>0.07561288442851984</v>
      </c>
      <c r="AO182" s="1174">
        <v>0.07924169766813237</v>
      </c>
      <c r="AP182" s="813">
        <v>0.0806838552844851</v>
      </c>
      <c r="AQ182" s="814">
        <v>0.08212205181042813</v>
      </c>
      <c r="AR182" s="766">
        <v>0.08355721515882816</v>
      </c>
      <c r="AS182" s="1175">
        <v>0.084990273242552</v>
      </c>
      <c r="AT182" s="1176">
        <v>0.08642215397446641</v>
      </c>
      <c r="AU182" s="610"/>
      <c r="AW182" s="1072">
        <v>0.85</v>
      </c>
      <c r="AX182" s="1073">
        <v>0.14035330081305256</v>
      </c>
      <c r="AY182" s="1073">
        <v>0.14035330081305256</v>
      </c>
      <c r="AZ182" s="1073">
        <v>0.14035330081305256</v>
      </c>
      <c r="BA182" s="1073">
        <v>0.14035330081305256</v>
      </c>
      <c r="BB182" s="1073">
        <v>0.14035330081305256</v>
      </c>
      <c r="BC182" s="1073">
        <v>0.14035330081305256</v>
      </c>
      <c r="BD182" s="1073">
        <v>0.14035330081305256</v>
      </c>
      <c r="BE182" s="1073">
        <v>0.14035330081305256</v>
      </c>
      <c r="BF182" s="1073">
        <v>0.14035330081305256</v>
      </c>
      <c r="BG182" s="1073">
        <v>0.14035330081305256</v>
      </c>
      <c r="BH182" s="1073">
        <v>0.14035330081305256</v>
      </c>
      <c r="BI182" s="1073">
        <v>0.14035330081305256</v>
      </c>
      <c r="BJ182" s="1073">
        <v>0.14035330081305256</v>
      </c>
      <c r="BK182" s="1073">
        <v>0.14035330081305256</v>
      </c>
      <c r="BN182" s="1056">
        <f t="shared" si="15"/>
        <v>2000000</v>
      </c>
      <c r="BO182" s="1073">
        <v>0.10382948971036621</v>
      </c>
      <c r="BP182" s="1073">
        <v>0.10382948971036621</v>
      </c>
      <c r="BQ182" s="1073">
        <v>0.10382948971036621</v>
      </c>
      <c r="BR182" s="1073">
        <v>0.10382948971036621</v>
      </c>
      <c r="BS182" s="1073">
        <v>0.10382948971036621</v>
      </c>
      <c r="BT182" s="1073">
        <v>0.10382948971036621</v>
      </c>
      <c r="BU182" s="1073">
        <v>0.10382948971036621</v>
      </c>
      <c r="BV182" s="1073">
        <v>0.10382948971036621</v>
      </c>
      <c r="BW182" s="1073">
        <v>0.1038294897103662</v>
      </c>
      <c r="BX182" s="1073">
        <v>0.10382948971036621</v>
      </c>
      <c r="BY182" s="1073">
        <v>0.10382948971036621</v>
      </c>
      <c r="BZ182" s="1073">
        <v>0.10382948971036621</v>
      </c>
      <c r="CA182" s="1073">
        <v>0.10382948971036621</v>
      </c>
      <c r="CB182" s="1073">
        <v>0.1038294897103662</v>
      </c>
    </row>
    <row r="183">
      <c r="Y183" s="1056">
        <f t="shared" si="13"/>
        <v>3500000</v>
      </c>
      <c r="Z183" s="1063">
        <v>0.07868570325311587</v>
      </c>
      <c r="AA183" s="1064">
        <v>0.09098034438641524</v>
      </c>
      <c r="AB183" s="1064">
        <v>0.10327498551971463</v>
      </c>
      <c r="AC183" s="1064">
        <v>0.11556962665301396</v>
      </c>
      <c r="AD183" s="1064">
        <v>0.12786426778631332</v>
      </c>
      <c r="AE183" s="1064">
        <v>0.14015890891961272</v>
      </c>
      <c r="AF183" s="1064">
        <v>0.15245355005291203</v>
      </c>
      <c r="AG183" s="577"/>
      <c r="AJ183" s="1056">
        <f t="shared" si="14"/>
        <v>3500000</v>
      </c>
      <c r="AK183" s="831">
        <v>0.05962107453291856</v>
      </c>
      <c r="AL183" s="832">
        <v>0.06314611038251618</v>
      </c>
      <c r="AM183" s="833">
        <v>0.06660258722978335</v>
      </c>
      <c r="AN183" s="856">
        <v>0.07000392820570263</v>
      </c>
      <c r="AO183" s="1177">
        <v>0.07336355644125665</v>
      </c>
      <c r="AP183" s="836">
        <v>0.07469873494951611</v>
      </c>
      <c r="AQ183" s="714">
        <v>0.0760302462006572</v>
      </c>
      <c r="AR183" s="837">
        <v>0.07735894927506283</v>
      </c>
      <c r="AS183" s="1178">
        <v>0.0786857032531159</v>
      </c>
      <c r="AT183" s="740">
        <v>0.08001136721519929</v>
      </c>
      <c r="AU183" s="610"/>
      <c r="AW183" s="1072">
        <v>0.9</v>
      </c>
      <c r="AX183" s="1073">
        <v>0.14683707252267758</v>
      </c>
      <c r="AY183" s="1073">
        <v>0.14683707252267758</v>
      </c>
      <c r="AZ183" s="1073">
        <v>0.14683707252267758</v>
      </c>
      <c r="BA183" s="1073">
        <v>0.14683707252267758</v>
      </c>
      <c r="BB183" s="1073">
        <v>0.14683707252267758</v>
      </c>
      <c r="BC183" s="1073">
        <v>0.14683707252267758</v>
      </c>
      <c r="BD183" s="1073">
        <v>0.14683707252267758</v>
      </c>
      <c r="BE183" s="1073">
        <v>0.14683707252267758</v>
      </c>
      <c r="BF183" s="1073">
        <v>0.14683707252267758</v>
      </c>
      <c r="BG183" s="1073">
        <v>0.14683707252267758</v>
      </c>
      <c r="BH183" s="1073">
        <v>0.14683707252267758</v>
      </c>
      <c r="BI183" s="1073">
        <v>0.14683707252267758</v>
      </c>
      <c r="BJ183" s="1073">
        <v>0.14683707252267758</v>
      </c>
      <c r="BK183" s="1073">
        <v>0.14683707252267758</v>
      </c>
      <c r="BN183" s="1056">
        <f t="shared" si="15"/>
        <v>2500000</v>
      </c>
      <c r="BO183" s="1073">
        <v>0.09286791882459751</v>
      </c>
      <c r="BP183" s="1073">
        <v>0.09286791882459751</v>
      </c>
      <c r="BQ183" s="1073">
        <v>0.09286791882459751</v>
      </c>
      <c r="BR183" s="1073">
        <v>0.09286791882459751</v>
      </c>
      <c r="BS183" s="1073">
        <v>0.09286791882459751</v>
      </c>
      <c r="BT183" s="1073">
        <v>0.09286791882459751</v>
      </c>
      <c r="BU183" s="1073">
        <v>0.09286791882459751</v>
      </c>
      <c r="BV183" s="1073">
        <v>0.09286791882459751</v>
      </c>
      <c r="BW183" s="1073">
        <v>0.09286791882459751</v>
      </c>
      <c r="BX183" s="1073">
        <v>0.09286791882459751</v>
      </c>
      <c r="BY183" s="1073">
        <v>0.09286791882459751</v>
      </c>
      <c r="BZ183" s="1073">
        <v>0.09286791882459751</v>
      </c>
      <c r="CA183" s="1073">
        <v>0.09286791882459751</v>
      </c>
      <c r="CB183" s="1073">
        <v>0.09286791882459751</v>
      </c>
    </row>
    <row r="184">
      <c r="Y184" s="1056">
        <f t="shared" si="13"/>
        <v>4000000</v>
      </c>
      <c r="Z184" s="1063">
        <v>0.07360373570263087</v>
      </c>
      <c r="AA184" s="1064">
        <v>0.08510431940616693</v>
      </c>
      <c r="AB184" s="1064">
        <v>0.09660490310970302</v>
      </c>
      <c r="AC184" s="1064">
        <v>0.1081054868132391</v>
      </c>
      <c r="AD184" s="1064">
        <v>0.11960607051677516</v>
      </c>
      <c r="AE184" s="1064">
        <v>0.1311066542203112</v>
      </c>
      <c r="AF184" s="1064">
        <v>0.14260723792384727</v>
      </c>
      <c r="AG184" s="577"/>
      <c r="AJ184" s="1056">
        <f t="shared" si="14"/>
        <v>4000000</v>
      </c>
      <c r="AK184" s="763">
        <v>0.05577040848337362</v>
      </c>
      <c r="AL184" s="852">
        <v>0.05906777758969609</v>
      </c>
      <c r="AM184" s="853">
        <v>0.06230101562164366</v>
      </c>
      <c r="AN184" s="890">
        <v>0.06548267876851499</v>
      </c>
      <c r="AO184" s="1180">
        <v>0.06862532321960875</v>
      </c>
      <c r="AP184" s="856">
        <v>0.06987426835163145</v>
      </c>
      <c r="AQ184" s="857">
        <v>0.0711197830787326</v>
      </c>
      <c r="AR184" s="795">
        <v>0.0723626709970274</v>
      </c>
      <c r="AS184" s="1177">
        <v>0.07360373570263087</v>
      </c>
      <c r="AT184" s="836">
        <v>0.0748437807916582</v>
      </c>
      <c r="AU184" s="610"/>
      <c r="AW184" s="1072">
        <v>0.92</v>
      </c>
      <c r="AX184" s="1073">
        <v>0.14941384353190332</v>
      </c>
      <c r="AY184" s="1073">
        <v>0.14941384353190332</v>
      </c>
      <c r="AZ184" s="1073">
        <v>0.14941384353190332</v>
      </c>
      <c r="BA184" s="1073">
        <v>0.14941384353190332</v>
      </c>
      <c r="BB184" s="1073">
        <v>0.14941384353190332</v>
      </c>
      <c r="BC184" s="1073">
        <v>0.14941384353190332</v>
      </c>
      <c r="BD184" s="1073">
        <v>0.14941384353190332</v>
      </c>
      <c r="BE184" s="1073">
        <v>0.14941384353190332</v>
      </c>
      <c r="BF184" s="1073">
        <v>0.14941384353190332</v>
      </c>
      <c r="BG184" s="1073">
        <v>0.14941384353190332</v>
      </c>
      <c r="BH184" s="1073">
        <v>0.14941384353190332</v>
      </c>
      <c r="BI184" s="1073">
        <v>0.14941384353190332</v>
      </c>
      <c r="BJ184" s="1073">
        <v>0.14941384353190332</v>
      </c>
      <c r="BK184" s="1073">
        <v>0.14941384353190332</v>
      </c>
      <c r="BN184" s="1056">
        <f t="shared" si="15"/>
        <v>3000000</v>
      </c>
      <c r="BO184" s="1073">
        <v>0.08477642334798449</v>
      </c>
      <c r="BP184" s="1073">
        <v>0.08477642334798449</v>
      </c>
      <c r="BQ184" s="1073">
        <v>0.08477642334798449</v>
      </c>
      <c r="BR184" s="1073">
        <v>0.08477642334798449</v>
      </c>
      <c r="BS184" s="1073">
        <v>0.08477642334798449</v>
      </c>
      <c r="BT184" s="1073">
        <v>0.08477642334798449</v>
      </c>
      <c r="BU184" s="1073">
        <v>0.08477642334798449</v>
      </c>
      <c r="BV184" s="1073">
        <v>0.08477642334798449</v>
      </c>
      <c r="BW184" s="1073">
        <v>0.08477642334798449</v>
      </c>
      <c r="BX184" s="1073">
        <v>0.08477642334798449</v>
      </c>
      <c r="BY184" s="1073">
        <v>0.08477642334798449</v>
      </c>
      <c r="BZ184" s="1073">
        <v>0.08477642334798449</v>
      </c>
      <c r="CA184" s="1073">
        <v>0.08477642334798449</v>
      </c>
      <c r="CB184" s="1073">
        <v>0.08477642334798449</v>
      </c>
    </row>
    <row r="185">
      <c r="Y185" s="1056">
        <f t="shared" si="13"/>
        <v>4500000</v>
      </c>
      <c r="Z185" s="1063">
        <v>0.06939426751465691</v>
      </c>
      <c r="AA185" s="1064">
        <v>0.08023712181382205</v>
      </c>
      <c r="AB185" s="1064">
        <v>0.09107997611298718</v>
      </c>
      <c r="AC185" s="1064">
        <v>0.10192283041215233</v>
      </c>
      <c r="AD185" s="1064">
        <v>0.11276568471131747</v>
      </c>
      <c r="AE185" s="1064">
        <v>0.12360853901048262</v>
      </c>
      <c r="AF185" s="1064">
        <v>0.13445139330964773</v>
      </c>
      <c r="AG185" s="577"/>
      <c r="AJ185" s="1056">
        <f t="shared" si="14"/>
        <v>4500000</v>
      </c>
      <c r="AK185" s="867">
        <v>0.052580845370849644</v>
      </c>
      <c r="AL185" s="868">
        <v>0.055689634777723845</v>
      </c>
      <c r="AM185" s="869">
        <v>0.058737960827831025</v>
      </c>
      <c r="AN185" s="1182">
        <v>0.06173766160996974</v>
      </c>
      <c r="AO185" s="1183">
        <v>0.06470057521293864</v>
      </c>
      <c r="AP185" s="872">
        <v>0.06587809197584954</v>
      </c>
      <c r="AQ185" s="873">
        <v>0.06705237452198413</v>
      </c>
      <c r="AR185" s="874">
        <v>0.06822418048902557</v>
      </c>
      <c r="AS185" s="1184">
        <v>0.06939426751465691</v>
      </c>
      <c r="AT185" s="1185">
        <v>0.0705633932365613</v>
      </c>
      <c r="AU185" s="610"/>
      <c r="AW185" s="1072">
        <v>0.94</v>
      </c>
      <c r="AX185" s="1073">
        <v>0.15198353707413312</v>
      </c>
      <c r="AY185" s="1073">
        <v>0.15198353707413312</v>
      </c>
      <c r="AZ185" s="1073">
        <v>0.15198353707413312</v>
      </c>
      <c r="BA185" s="1073">
        <v>0.15198353707413312</v>
      </c>
      <c r="BB185" s="1073">
        <v>0.15198353707413312</v>
      </c>
      <c r="BC185" s="1073">
        <v>0.15198353707413312</v>
      </c>
      <c r="BD185" s="1073">
        <v>0.15198353707413312</v>
      </c>
      <c r="BE185" s="1073">
        <v>0.15198353707413312</v>
      </c>
      <c r="BF185" s="1073">
        <v>0.15198353707413312</v>
      </c>
      <c r="BG185" s="1073">
        <v>0.15198353707413312</v>
      </c>
      <c r="BH185" s="1073">
        <v>0.15198353707413312</v>
      </c>
      <c r="BI185" s="1073">
        <v>0.15198353707413312</v>
      </c>
      <c r="BJ185" s="1073">
        <v>0.15198353707413312</v>
      </c>
      <c r="BK185" s="1073">
        <v>0.15198353707413312</v>
      </c>
      <c r="BN185" s="1056">
        <f t="shared" si="15"/>
        <v>3500000</v>
      </c>
      <c r="BO185" s="1073">
        <v>0.07848771672239105</v>
      </c>
      <c r="BP185" s="1073">
        <v>0.07848771672239105</v>
      </c>
      <c r="BQ185" s="1073">
        <v>0.07848771672239105</v>
      </c>
      <c r="BR185" s="1073">
        <v>0.07848771672239105</v>
      </c>
      <c r="BS185" s="1073">
        <v>0.07848771672239105</v>
      </c>
      <c r="BT185" s="1073">
        <v>0.07848771672239105</v>
      </c>
      <c r="BU185" s="1073">
        <v>0.07848771672239105</v>
      </c>
      <c r="BV185" s="1073">
        <v>0.07848771672239105</v>
      </c>
      <c r="BW185" s="1073">
        <v>0.07848771672239105</v>
      </c>
      <c r="BX185" s="1073">
        <v>0.07848771672239105</v>
      </c>
      <c r="BY185" s="1073">
        <v>0.07848771672239105</v>
      </c>
      <c r="BZ185" s="1073">
        <v>0.07848771672239105</v>
      </c>
      <c r="CA185" s="1073">
        <v>0.07848771672239105</v>
      </c>
      <c r="CB185" s="1073">
        <v>0.07848771672239105</v>
      </c>
    </row>
    <row r="186">
      <c r="Y186" s="1056">
        <f t="shared" si="13"/>
        <v>5000000</v>
      </c>
      <c r="Z186" s="1063">
        <v>0.06583318257160434</v>
      </c>
      <c r="AA186" s="1064">
        <v>0.0761196173484175</v>
      </c>
      <c r="AB186" s="1064">
        <v>0.0864060521252307</v>
      </c>
      <c r="AC186" s="1064">
        <v>0.09669248690204386</v>
      </c>
      <c r="AD186" s="1064">
        <v>0.10697892167885703</v>
      </c>
      <c r="AE186" s="1064">
        <v>0.11726535645567024</v>
      </c>
      <c r="AF186" s="1064">
        <v>0.12755179123248342</v>
      </c>
      <c r="AG186" s="577"/>
      <c r="AJ186" s="1056">
        <f t="shared" si="14"/>
        <v>5000000</v>
      </c>
      <c r="AK186" s="887">
        <v>0.04988256980070173</v>
      </c>
      <c r="AL186" s="844">
        <v>0.05283182638815965</v>
      </c>
      <c r="AM186" s="763">
        <v>0.05572372239890861</v>
      </c>
      <c r="AN186" s="916">
        <v>0.05856948843007269</v>
      </c>
      <c r="AO186" s="713">
        <v>0.061380355078775956</v>
      </c>
      <c r="AP186" s="853">
        <v>0.06249744556492402</v>
      </c>
      <c r="AQ186" s="832">
        <v>0.06361146780363415</v>
      </c>
      <c r="AR186" s="786">
        <v>0.06472314055312227</v>
      </c>
      <c r="AS186" s="1186">
        <v>0.06583318257160434</v>
      </c>
      <c r="AT186" s="890">
        <v>0.06694231261729629</v>
      </c>
      <c r="AU186" s="610"/>
      <c r="AW186" s="1072">
        <v>0.96</v>
      </c>
      <c r="AX186" s="1073">
        <v>0.154547811095036</v>
      </c>
      <c r="AY186" s="1073">
        <v>0.154547811095036</v>
      </c>
      <c r="AZ186" s="1073">
        <v>0.154547811095036</v>
      </c>
      <c r="BA186" s="1073">
        <v>0.154547811095036</v>
      </c>
      <c r="BB186" s="1073">
        <v>0.154547811095036</v>
      </c>
      <c r="BC186" s="1073">
        <v>0.154547811095036</v>
      </c>
      <c r="BD186" s="1073">
        <v>0.154547811095036</v>
      </c>
      <c r="BE186" s="1073">
        <v>0.154547811095036</v>
      </c>
      <c r="BF186" s="1073">
        <v>0.154547811095036</v>
      </c>
      <c r="BG186" s="1073">
        <v>0.154547811095036</v>
      </c>
      <c r="BH186" s="1073">
        <v>0.15454781109503596</v>
      </c>
      <c r="BI186" s="1073">
        <v>0.154547811095036</v>
      </c>
      <c r="BJ186" s="1073">
        <v>0.154547811095036</v>
      </c>
      <c r="BK186" s="1073">
        <v>0.154547811095036</v>
      </c>
      <c r="BN186" s="1056">
        <f t="shared" si="15"/>
        <v>4000000</v>
      </c>
      <c r="BO186" s="1073">
        <v>0.07341853626133879</v>
      </c>
      <c r="BP186" s="1073">
        <v>0.07341853626133879</v>
      </c>
      <c r="BQ186" s="1073">
        <v>0.07341853626133879</v>
      </c>
      <c r="BR186" s="1073">
        <v>0.07341853626133879</v>
      </c>
      <c r="BS186" s="1073">
        <v>0.07341853626133879</v>
      </c>
      <c r="BT186" s="1073">
        <v>0.07341853626133879</v>
      </c>
      <c r="BU186" s="1073">
        <v>0.07341853626133879</v>
      </c>
      <c r="BV186" s="1073">
        <v>0.07341853626133879</v>
      </c>
      <c r="BW186" s="1073">
        <v>0.07341853626133879</v>
      </c>
      <c r="BX186" s="1073">
        <v>0.07341853626133879</v>
      </c>
      <c r="BY186" s="1073">
        <v>0.07341853626133879</v>
      </c>
      <c r="BZ186" s="1073">
        <v>0.07341853626133879</v>
      </c>
      <c r="CA186" s="1073">
        <v>0.07341853626133879</v>
      </c>
      <c r="CB186" s="1073">
        <v>0.07341853626133879</v>
      </c>
    </row>
    <row r="187">
      <c r="Y187" s="1056">
        <f t="shared" si="13"/>
        <v>5500000</v>
      </c>
      <c r="Z187" s="1063">
        <v>0.06276947671299968</v>
      </c>
      <c r="AA187" s="1064">
        <v>0.07257720744940588</v>
      </c>
      <c r="AB187" s="1064">
        <v>0.08238493818581209</v>
      </c>
      <c r="AC187" s="1064">
        <v>0.09219266892221827</v>
      </c>
      <c r="AD187" s="1064">
        <v>0.10200039965862448</v>
      </c>
      <c r="AE187" s="1064">
        <v>0.11180813039503068</v>
      </c>
      <c r="AF187" s="1064">
        <v>0.12161586113143688</v>
      </c>
      <c r="AG187" s="577"/>
      <c r="AJ187" s="1056">
        <f t="shared" si="14"/>
        <v>5500000</v>
      </c>
      <c r="AK187" s="804">
        <v>0.04756116416040108</v>
      </c>
      <c r="AL187" s="821">
        <v>0.05037316998262831</v>
      </c>
      <c r="AM187" s="902">
        <v>0.053130484640866005</v>
      </c>
      <c r="AN187" s="763">
        <v>0.05584381608932686</v>
      </c>
      <c r="AO187" s="1187">
        <v>0.05852387228222356</v>
      </c>
      <c r="AP187" s="852">
        <v>0.05958897626956792</v>
      </c>
      <c r="AQ187" s="831">
        <v>0.06065115479776565</v>
      </c>
      <c r="AR187" s="853">
        <v>0.06171109317588636</v>
      </c>
      <c r="AS187" s="713">
        <v>0.06276947671299968</v>
      </c>
      <c r="AT187" s="832">
        <v>0.06382699071817523</v>
      </c>
      <c r="AU187" s="610"/>
      <c r="AW187" s="1072">
        <v>0.98</v>
      </c>
      <c r="AX187" s="594">
        <v>0.15710832354028112</v>
      </c>
      <c r="AY187" s="594">
        <v>0.15710832354028112</v>
      </c>
      <c r="AZ187" s="594">
        <v>0.15710832354028112</v>
      </c>
      <c r="BA187" s="594">
        <v>0.15710832354028112</v>
      </c>
      <c r="BB187" s="594">
        <v>0.15710832354028112</v>
      </c>
      <c r="BC187" s="594">
        <v>0.15710832354028112</v>
      </c>
      <c r="BD187" s="594">
        <v>0.15710832354028112</v>
      </c>
      <c r="BE187" s="594">
        <v>0.15710832354028112</v>
      </c>
      <c r="BF187" s="594">
        <v>0.15710832354028112</v>
      </c>
      <c r="BG187" s="594">
        <v>0.15710832354028112</v>
      </c>
      <c r="BH187" s="594">
        <v>0.15710832354028115</v>
      </c>
      <c r="BI187" s="594">
        <v>0.15710832354028112</v>
      </c>
      <c r="BJ187" s="594">
        <v>0.15710832354028112</v>
      </c>
      <c r="BK187" s="594">
        <v>0.15710832354028112</v>
      </c>
      <c r="BN187" s="1056">
        <f t="shared" si="15"/>
        <v>4500000</v>
      </c>
      <c r="BO187" s="594">
        <v>0.06921965980691078</v>
      </c>
      <c r="BP187" s="594">
        <v>0.06921965980691078</v>
      </c>
      <c r="BQ187" s="594">
        <v>0.06921965980691078</v>
      </c>
      <c r="BR187" s="594">
        <v>0.06921965980691078</v>
      </c>
      <c r="BS187" s="594">
        <v>0.06921965980691078</v>
      </c>
      <c r="BT187" s="594">
        <v>0.06921965980691078</v>
      </c>
      <c r="BU187" s="594">
        <v>0.06921965980691078</v>
      </c>
      <c r="BV187" s="594">
        <v>0.06921965980691078</v>
      </c>
      <c r="BW187" s="594">
        <v>0.06921965980691078</v>
      </c>
      <c r="BX187" s="594">
        <v>0.06921965980691078</v>
      </c>
      <c r="BY187" s="594">
        <v>0.06921965980691078</v>
      </c>
      <c r="BZ187" s="594">
        <v>0.06921965980691078</v>
      </c>
      <c r="CA187" s="594">
        <v>0.06921965980691078</v>
      </c>
      <c r="CB187" s="594">
        <v>0.06921965980691078</v>
      </c>
    </row>
    <row r="188">
      <c r="Y188" s="1056">
        <f t="shared" si="13"/>
        <v>6000000</v>
      </c>
      <c r="Z188" s="1063">
        <v>0.06009719854470611</v>
      </c>
      <c r="AA188" s="1064">
        <v>0.06948738581731642</v>
      </c>
      <c r="AB188" s="1064">
        <v>0.07887757308992677</v>
      </c>
      <c r="AC188" s="1064">
        <v>0.08826776036253708</v>
      </c>
      <c r="AD188" s="1064">
        <v>0.09765794763514742</v>
      </c>
      <c r="AE188" s="1064">
        <v>0.10704813490775775</v>
      </c>
      <c r="AF188" s="1064">
        <v>0.11643832218036808</v>
      </c>
      <c r="AG188" s="577"/>
      <c r="AJ188" s="1056">
        <f t="shared" si="14"/>
        <v>6000000</v>
      </c>
      <c r="AK188" s="843">
        <v>0.0455363478436172</v>
      </c>
      <c r="AL188" s="804">
        <v>0.04822863844498622</v>
      </c>
      <c r="AM188" s="914">
        <v>0.05086856624339691</v>
      </c>
      <c r="AN188" s="902">
        <v>0.05346638332448109</v>
      </c>
      <c r="AO188" s="1188">
        <v>0.05603234177387064</v>
      </c>
      <c r="AP188" s="763">
        <v>0.057052101203933475</v>
      </c>
      <c r="AQ188" s="822">
        <v>0.058069059720106724</v>
      </c>
      <c r="AR188" s="916">
        <v>0.05908387345587078</v>
      </c>
      <c r="AS188" s="1189">
        <v>0.06009719854470611</v>
      </c>
      <c r="AT188" s="831">
        <v>0.061109691120093144</v>
      </c>
      <c r="AU188" s="610"/>
      <c r="AW188" s="1072">
        <v>1.0</v>
      </c>
      <c r="AX188" s="577">
        <v>0.1596667323555375</v>
      </c>
      <c r="AY188" s="577">
        <v>0.1596667323555375</v>
      </c>
      <c r="AZ188" s="577">
        <v>0.1596667323555375</v>
      </c>
      <c r="BA188" s="577">
        <v>0.1596667323555375</v>
      </c>
      <c r="BB188" s="577">
        <v>0.15966673235553747</v>
      </c>
      <c r="BC188" s="577">
        <v>0.15966673235553747</v>
      </c>
      <c r="BD188" s="577">
        <v>0.1596667323555375</v>
      </c>
      <c r="BE188" s="577">
        <v>0.15966673235553747</v>
      </c>
      <c r="BF188" s="577">
        <v>0.1596667323555375</v>
      </c>
      <c r="BG188" s="577">
        <v>0.1596667323555375</v>
      </c>
      <c r="BH188" s="577">
        <v>0.1596667323555375</v>
      </c>
      <c r="BI188" s="577">
        <v>0.15966673235553747</v>
      </c>
      <c r="BJ188" s="577">
        <v>0.1596667323555375</v>
      </c>
      <c r="BK188" s="577">
        <v>0.1596667323555375</v>
      </c>
      <c r="BN188" s="1056">
        <f t="shared" si="15"/>
        <v>5000000</v>
      </c>
      <c r="BO188" s="577">
        <v>0.06566753515555472</v>
      </c>
      <c r="BP188" s="577">
        <v>0.06566753515555472</v>
      </c>
      <c r="BQ188" s="577">
        <v>0.06566753515555472</v>
      </c>
      <c r="BR188" s="577">
        <v>0.06566753515555472</v>
      </c>
      <c r="BS188" s="577">
        <v>0.06566753515555472</v>
      </c>
      <c r="BT188" s="577">
        <v>0.06566753515555472</v>
      </c>
      <c r="BU188" s="577">
        <v>0.06566753515555472</v>
      </c>
      <c r="BV188" s="577">
        <v>0.06566753515555472</v>
      </c>
      <c r="BW188" s="577">
        <v>0.06566753515555472</v>
      </c>
      <c r="BX188" s="577">
        <v>0.06566753515555472</v>
      </c>
      <c r="BY188" s="577">
        <v>0.06566753515555472</v>
      </c>
      <c r="BZ188" s="577">
        <v>0.06566753515555472</v>
      </c>
      <c r="CA188" s="577">
        <v>0.06566753515555472</v>
      </c>
      <c r="CB188" s="577">
        <v>0.06566753515555472</v>
      </c>
    </row>
    <row r="189">
      <c r="Y189" s="1056">
        <f t="shared" si="13"/>
        <v>6500000</v>
      </c>
      <c r="Z189" s="1063">
        <v>0.05773952071092935</v>
      </c>
      <c r="AA189" s="1064">
        <v>0.06676132082201204</v>
      </c>
      <c r="AB189" s="1064">
        <v>0.07578312093309476</v>
      </c>
      <c r="AC189" s="1064">
        <v>0.08480492104417746</v>
      </c>
      <c r="AD189" s="1064">
        <v>0.09382672115526018</v>
      </c>
      <c r="AE189" s="1064">
        <v>0.1028485212663429</v>
      </c>
      <c r="AF189" s="1064">
        <v>0.11187032137742563</v>
      </c>
      <c r="AG189" s="577"/>
      <c r="AJ189" s="1056">
        <f t="shared" si="14"/>
        <v>6500000</v>
      </c>
      <c r="AK189" s="820">
        <v>0.04374990786734811</v>
      </c>
      <c r="AL189" s="762">
        <v>0.04633657700837215</v>
      </c>
      <c r="AM189" s="804">
        <v>0.04887293759560153</v>
      </c>
      <c r="AN189" s="1192">
        <v>0.05136883951430552</v>
      </c>
      <c r="AO189" s="1193">
        <v>0.05383413264975339</v>
      </c>
      <c r="AP189" s="931">
        <v>0.05481388581892115</v>
      </c>
      <c r="AQ189" s="932">
        <v>0.05579094795706823</v>
      </c>
      <c r="AR189" s="763">
        <v>0.056765949456851886</v>
      </c>
      <c r="AS189" s="1194">
        <v>0.057739520710929366</v>
      </c>
      <c r="AT189" s="822">
        <v>0.05871229211195784</v>
      </c>
      <c r="AU189" s="610"/>
      <c r="AV189" s="610"/>
      <c r="BN189" s="1056">
        <f t="shared" si="15"/>
        <v>5500000</v>
      </c>
      <c r="BO189" s="577">
        <v>0.06261153809879116</v>
      </c>
      <c r="BP189" s="577">
        <v>0.06261153809879116</v>
      </c>
      <c r="BQ189" s="577">
        <v>0.06261153809879116</v>
      </c>
      <c r="BR189" s="577">
        <v>0.06261153809879116</v>
      </c>
      <c r="BS189" s="577">
        <v>0.06261153809879116</v>
      </c>
      <c r="BT189" s="577">
        <v>0.06261153809879116</v>
      </c>
      <c r="BU189" s="577">
        <v>0.06261153809879116</v>
      </c>
      <c r="BV189" s="577">
        <v>0.06261153809879116</v>
      </c>
      <c r="BW189" s="577">
        <v>0.06261153809879116</v>
      </c>
      <c r="BX189" s="577">
        <v>0.06261153809879116</v>
      </c>
      <c r="BY189" s="577">
        <v>0.06261153809879116</v>
      </c>
      <c r="BZ189" s="577">
        <v>0.06261153809879116</v>
      </c>
      <c r="CA189" s="577">
        <v>0.06261153809879116</v>
      </c>
      <c r="CB189" s="577">
        <v>0.06261153809879116</v>
      </c>
    </row>
    <row r="190">
      <c r="D190" s="213"/>
      <c r="G190" s="214"/>
      <c r="H190" s="214"/>
      <c r="I190" s="214"/>
      <c r="J190" s="214"/>
      <c r="K190" s="214"/>
      <c r="L190" s="214"/>
      <c r="M190" s="214"/>
      <c r="N190" s="214"/>
      <c r="O190" s="214"/>
      <c r="P190" s="214"/>
      <c r="Q190" s="214"/>
      <c r="R190" s="214"/>
      <c r="S190" s="214"/>
      <c r="T190" s="214"/>
      <c r="U190" s="214"/>
      <c r="V190" s="214"/>
      <c r="W190" s="214"/>
      <c r="Y190" s="1056">
        <f t="shared" si="13"/>
        <v>7000000</v>
      </c>
      <c r="Z190" s="1063">
        <v>0.055639194352710634</v>
      </c>
      <c r="AA190" s="1064">
        <v>0.06433281847032166</v>
      </c>
      <c r="AB190" s="1064">
        <v>0.0730264425879327</v>
      </c>
      <c r="AC190" s="1064">
        <v>0.08172006670554374</v>
      </c>
      <c r="AD190" s="1064">
        <v>0.09041369082315477</v>
      </c>
      <c r="AE190" s="1064">
        <v>0.09910731494076581</v>
      </c>
      <c r="AF190" s="1064">
        <v>0.10780093905837683</v>
      </c>
      <c r="AG190" s="577"/>
      <c r="AJ190" s="1056">
        <f t="shared" si="14"/>
        <v>7000000</v>
      </c>
      <c r="AK190" s="944">
        <v>0.042158466103855284</v>
      </c>
      <c r="AL190" s="880">
        <v>0.04465104285703144</v>
      </c>
      <c r="AM190" s="762">
        <v>0.04709514107474837</v>
      </c>
      <c r="AN190" s="887">
        <v>0.04950025234394856</v>
      </c>
      <c r="AO190" s="1195">
        <v>0.051875868251574614</v>
      </c>
      <c r="AP190" s="844">
        <v>0.05281998202885938</v>
      </c>
      <c r="AQ190" s="902">
        <v>0.053761502663767446</v>
      </c>
      <c r="AR190" s="931">
        <v>0.054701037617863074</v>
      </c>
      <c r="AS190" s="1196">
        <v>0.05563919435271064</v>
      </c>
      <c r="AT190" s="763">
        <v>0.056576580329874435</v>
      </c>
      <c r="AU190" s="610"/>
      <c r="AV190" s="610"/>
      <c r="BN190" s="1056">
        <f t="shared" si="15"/>
        <v>6000000</v>
      </c>
      <c r="BO190" s="577">
        <v>0.0599459838341014</v>
      </c>
      <c r="BP190" s="577">
        <v>0.0599459838341014</v>
      </c>
      <c r="BQ190" s="577">
        <v>0.0599459838341014</v>
      </c>
      <c r="BR190" s="577">
        <v>0.0599459838341014</v>
      </c>
      <c r="BS190" s="577">
        <v>0.05994598383410139</v>
      </c>
      <c r="BT190" s="577">
        <v>0.05994598383410139</v>
      </c>
      <c r="BU190" s="577">
        <v>0.0599459838341014</v>
      </c>
      <c r="BV190" s="577">
        <v>0.05994598383410139</v>
      </c>
      <c r="BW190" s="577">
        <v>0.0599459838341014</v>
      </c>
      <c r="BX190" s="577">
        <v>0.0599459838341014</v>
      </c>
      <c r="BY190" s="577">
        <v>0.05994598383410141</v>
      </c>
      <c r="BZ190" s="577">
        <v>0.05994598383410139</v>
      </c>
      <c r="CA190" s="577">
        <v>0.0599459838341014</v>
      </c>
      <c r="CB190" s="577">
        <v>0.0599459838341014</v>
      </c>
    </row>
    <row r="191">
      <c r="D191" s="173"/>
      <c r="E191" s="216"/>
      <c r="F191" s="214"/>
      <c r="G191" s="214"/>
      <c r="H191" s="214"/>
      <c r="I191" s="214"/>
      <c r="J191" s="214"/>
      <c r="K191" s="214"/>
      <c r="L191" s="214"/>
      <c r="M191" s="214"/>
      <c r="N191" s="214"/>
      <c r="O191" s="214"/>
      <c r="P191" s="214"/>
      <c r="Q191" s="214"/>
      <c r="R191" s="214"/>
      <c r="S191" s="214"/>
      <c r="T191" s="214"/>
      <c r="U191" s="214"/>
      <c r="V191" s="214"/>
      <c r="W191" s="214"/>
      <c r="Y191" s="1056">
        <f t="shared" si="13"/>
        <v>7500000</v>
      </c>
      <c r="Z191" s="1063">
        <v>0.053752568481305704</v>
      </c>
      <c r="AA191" s="1064">
        <v>0.062151407306509726</v>
      </c>
      <c r="AB191" s="1064">
        <v>0.07055024613171375</v>
      </c>
      <c r="AC191" s="1064">
        <v>0.07894908495691778</v>
      </c>
      <c r="AD191" s="1064">
        <v>0.08734792378212178</v>
      </c>
      <c r="AE191" s="1064">
        <v>0.09574676260732579</v>
      </c>
      <c r="AF191" s="1064">
        <v>0.10414560143252982</v>
      </c>
      <c r="AG191" s="577"/>
      <c r="AJ191" s="1056">
        <f t="shared" si="14"/>
        <v>7500000</v>
      </c>
      <c r="AK191" s="803">
        <v>0.04072894769016162</v>
      </c>
      <c r="AL191" s="956">
        <v>0.04313700561009956</v>
      </c>
      <c r="AM191" s="843">
        <v>0.04549822881527463</v>
      </c>
      <c r="AN191" s="804">
        <v>0.04782178704984036</v>
      </c>
      <c r="AO191" s="1199">
        <v>0.05011685005795034</v>
      </c>
      <c r="AP191" s="914">
        <v>0.05102895062047713</v>
      </c>
      <c r="AQ191" s="844">
        <v>0.05193854596946141</v>
      </c>
      <c r="AR191" s="844">
        <v>0.052846222968528984</v>
      </c>
      <c r="AS191" s="1193">
        <v>0.053752568481305704</v>
      </c>
      <c r="AT191" s="1200">
        <v>0.054658169371417396</v>
      </c>
      <c r="AU191" s="610"/>
      <c r="AV191" s="610"/>
      <c r="AW191" s="610"/>
      <c r="AX191" s="610"/>
      <c r="AY191" s="610"/>
      <c r="AZ191" s="610"/>
      <c r="BA191" s="610"/>
      <c r="BB191" s="610"/>
      <c r="BC191" s="610"/>
      <c r="BD191" s="610"/>
      <c r="BE191" s="610"/>
      <c r="BF191" s="610"/>
      <c r="BG191" s="610"/>
      <c r="BH191" s="610"/>
      <c r="BI191" s="610"/>
      <c r="BJ191" s="610"/>
      <c r="BK191" s="610"/>
      <c r="BL191" s="610"/>
      <c r="BN191" s="1056">
        <f t="shared" si="15"/>
        <v>6500000</v>
      </c>
      <c r="BO191" s="577">
        <v>0.05759423831630552</v>
      </c>
      <c r="BP191" s="577">
        <v>0.05759423831630552</v>
      </c>
      <c r="BQ191" s="577">
        <v>0.05759423831630552</v>
      </c>
      <c r="BR191" s="577">
        <v>0.05759423831630552</v>
      </c>
      <c r="BS191" s="577">
        <v>0.057594238316305515</v>
      </c>
      <c r="BT191" s="577">
        <v>0.057594238316305515</v>
      </c>
      <c r="BU191" s="577">
        <v>0.05759423831630552</v>
      </c>
      <c r="BV191" s="577">
        <v>0.057594238316305515</v>
      </c>
      <c r="BW191" s="577">
        <v>0.05759423831630552</v>
      </c>
      <c r="BX191" s="577">
        <v>0.05759423831630552</v>
      </c>
      <c r="BY191" s="577">
        <v>0.05759423831630553</v>
      </c>
      <c r="BZ191" s="577">
        <v>0.057594238316305515</v>
      </c>
      <c r="CA191" s="577">
        <v>0.057594238316305515</v>
      </c>
      <c r="CB191" s="577">
        <v>0.05759423831630552</v>
      </c>
    </row>
    <row r="192">
      <c r="D192" s="173"/>
      <c r="E192" s="216"/>
      <c r="F192" s="214"/>
      <c r="G192" s="174"/>
      <c r="H192" s="174"/>
      <c r="I192" s="174"/>
      <c r="J192" s="174"/>
      <c r="K192" s="174"/>
      <c r="L192" s="174"/>
      <c r="M192" s="174"/>
      <c r="N192" s="174"/>
      <c r="O192" s="174"/>
      <c r="P192" s="174"/>
      <c r="Q192" s="174"/>
      <c r="R192" s="174"/>
      <c r="S192" s="174"/>
      <c r="T192" s="174"/>
      <c r="U192" s="174"/>
      <c r="V192" s="174"/>
      <c r="W192" s="174"/>
      <c r="Y192" s="1056">
        <f t="shared" si="13"/>
        <v>8000000</v>
      </c>
      <c r="Z192" s="1063">
        <v>0.05204570063599269</v>
      </c>
      <c r="AA192" s="1064">
        <v>0.060177841360366545</v>
      </c>
      <c r="AB192" s="1064">
        <v>0.06830998208474039</v>
      </c>
      <c r="AC192" s="1064">
        <v>0.07644212280911424</v>
      </c>
      <c r="AD192" s="1064">
        <v>0.0845742635334881</v>
      </c>
      <c r="AE192" s="1064">
        <v>0.09270640425786196</v>
      </c>
      <c r="AF192" s="1064">
        <v>0.10083854498223582</v>
      </c>
      <c r="AG192" s="577"/>
      <c r="AJ192" s="1056">
        <f t="shared" si="14"/>
        <v>8000000</v>
      </c>
      <c r="AK192" s="967">
        <v>0.03943563402813725</v>
      </c>
      <c r="AL192" s="861">
        <v>0.041767226083292905</v>
      </c>
      <c r="AM192" s="880">
        <v>0.04405347062087327</v>
      </c>
      <c r="AN192" s="762">
        <v>0.046303246207477305</v>
      </c>
      <c r="AO192" s="1205">
        <v>0.04852543140970398</v>
      </c>
      <c r="AP192" s="887">
        <v>0.04940856898188716</v>
      </c>
      <c r="AQ192" s="887">
        <v>0.050289280891488104</v>
      </c>
      <c r="AR192" s="914">
        <v>0.05116813536676917</v>
      </c>
      <c r="AS192" s="1195">
        <v>0.05204570063599268</v>
      </c>
      <c r="AT192" s="844">
        <v>0.05292254492742099</v>
      </c>
      <c r="AU192" s="610"/>
      <c r="AV192" s="610"/>
      <c r="AW192" s="610"/>
      <c r="AX192" s="610"/>
      <c r="AY192" s="610"/>
      <c r="AZ192" s="610"/>
      <c r="BA192" s="610"/>
      <c r="BB192" s="610"/>
      <c r="BC192" s="610"/>
      <c r="BD192" s="610"/>
      <c r="BE192" s="610"/>
      <c r="BF192" s="610"/>
      <c r="BG192" s="610"/>
      <c r="BH192" s="610"/>
      <c r="BI192" s="610"/>
      <c r="BJ192" s="610"/>
      <c r="BK192" s="610"/>
      <c r="BL192" s="610"/>
      <c r="BN192" s="1056">
        <f t="shared" si="15"/>
        <v>7000000</v>
      </c>
      <c r="BO192" s="577">
        <v>0.05549919673425152</v>
      </c>
      <c r="BP192" s="577">
        <v>0.05549919673425152</v>
      </c>
      <c r="BQ192" s="577">
        <v>0.05549919673425152</v>
      </c>
      <c r="BR192" s="577">
        <v>0.05549919673425152</v>
      </c>
      <c r="BS192" s="577">
        <v>0.055499196734251514</v>
      </c>
      <c r="BT192" s="577">
        <v>0.055499196734251514</v>
      </c>
      <c r="BU192" s="577">
        <v>0.05549919673425152</v>
      </c>
      <c r="BV192" s="577">
        <v>0.055499196734251514</v>
      </c>
      <c r="BW192" s="577">
        <v>0.05549919673425152</v>
      </c>
      <c r="BX192" s="577">
        <v>0.05549919673425152</v>
      </c>
      <c r="BY192" s="577">
        <v>0.055499196734251514</v>
      </c>
      <c r="BZ192" s="577">
        <v>0.055499196734251514</v>
      </c>
      <c r="CA192" s="577">
        <v>0.05549919673425152</v>
      </c>
      <c r="CB192" s="577">
        <v>0.05549919673425152</v>
      </c>
    </row>
    <row r="193">
      <c r="D193" s="218"/>
      <c r="E193" s="219"/>
      <c r="F193" s="174"/>
      <c r="G193" s="220"/>
      <c r="H193" s="220"/>
      <c r="I193" s="220"/>
      <c r="J193" s="220"/>
      <c r="K193" s="220"/>
      <c r="L193" s="220"/>
      <c r="M193" s="220"/>
      <c r="N193" s="220"/>
      <c r="O193" s="220"/>
      <c r="P193" s="220"/>
      <c r="Q193" s="220"/>
      <c r="R193" s="220"/>
      <c r="S193" s="220"/>
      <c r="T193" s="220"/>
      <c r="U193" s="220"/>
      <c r="V193" s="220"/>
      <c r="W193" s="220"/>
      <c r="Y193" s="1056">
        <f t="shared" si="13"/>
        <v>8500000</v>
      </c>
      <c r="Z193" s="1063">
        <v>0.05049174613681742</v>
      </c>
      <c r="AA193" s="1064">
        <v>0.058381081470695144</v>
      </c>
      <c r="AB193" s="1064">
        <v>0.06627041680457288</v>
      </c>
      <c r="AC193" s="1064">
        <v>0.07415975213845061</v>
      </c>
      <c r="AD193" s="1064">
        <v>0.08204908747232832</v>
      </c>
      <c r="AE193" s="1064">
        <v>0.08993842280620606</v>
      </c>
      <c r="AF193" s="1064">
        <v>0.09782775814008375</v>
      </c>
      <c r="AG193" s="577"/>
      <c r="AJ193" s="1056">
        <f t="shared" si="14"/>
        <v>8500000</v>
      </c>
      <c r="AK193" s="980">
        <v>0.03825818459087339</v>
      </c>
      <c r="AL193" s="981">
        <v>0.040520161136581086</v>
      </c>
      <c r="AM193" s="982">
        <v>0.04273814412821291</v>
      </c>
      <c r="AN193" s="1005">
        <v>0.0449207470405669</v>
      </c>
      <c r="AO193" s="1208">
        <v>0.047076583348441024</v>
      </c>
      <c r="AP193" s="985">
        <v>0.0479333526406911</v>
      </c>
      <c r="AQ193" s="985">
        <v>0.04878776869457913</v>
      </c>
      <c r="AR193" s="986">
        <v>0.04964038277249221</v>
      </c>
      <c r="AS193" s="1209">
        <v>0.05049174613681742</v>
      </c>
      <c r="AT193" s="1210">
        <v>0.05134241004994184</v>
      </c>
      <c r="AU193" s="610"/>
      <c r="AV193" s="610"/>
      <c r="AW193" s="610"/>
      <c r="AX193" s="610"/>
      <c r="AY193" s="610"/>
      <c r="AZ193" s="610"/>
      <c r="BA193" s="610"/>
      <c r="BB193" s="610"/>
      <c r="BC193" s="610"/>
      <c r="BD193" s="610"/>
      <c r="BE193" s="610"/>
      <c r="BF193" s="610"/>
      <c r="BG193" s="610"/>
      <c r="BH193" s="610"/>
      <c r="BI193" s="610"/>
      <c r="BJ193" s="610"/>
      <c r="BK193" s="610"/>
      <c r="BL193" s="610"/>
      <c r="BN193" s="1056">
        <f t="shared" si="15"/>
        <v>7500000</v>
      </c>
      <c r="BO193" s="577">
        <v>0.05361731793246166</v>
      </c>
      <c r="BP193" s="577">
        <v>0.05361731793246166</v>
      </c>
      <c r="BQ193" s="577">
        <v>0.05361731793246166</v>
      </c>
      <c r="BR193" s="577">
        <v>0.05361731793246166</v>
      </c>
      <c r="BS193" s="577">
        <v>0.05361731793246166</v>
      </c>
      <c r="BT193" s="577">
        <v>0.05361731793246166</v>
      </c>
      <c r="BU193" s="577">
        <v>0.05361731793246166</v>
      </c>
      <c r="BV193" s="577">
        <v>0.05361731793246166</v>
      </c>
      <c r="BW193" s="577">
        <v>0.05361731793246167</v>
      </c>
      <c r="BX193" s="577">
        <v>0.05361731793246166</v>
      </c>
      <c r="BY193" s="577">
        <v>0.05361731793246166</v>
      </c>
      <c r="BZ193" s="577">
        <v>0.05361731793246166</v>
      </c>
      <c r="CA193" s="577">
        <v>0.05361731793246166</v>
      </c>
      <c r="CB193" s="577">
        <v>0.05361731793246167</v>
      </c>
    </row>
    <row r="194">
      <c r="E194" s="174"/>
      <c r="F194" s="220"/>
      <c r="G194" s="175"/>
      <c r="H194" s="175"/>
      <c r="I194" s="175"/>
      <c r="J194" s="175"/>
      <c r="K194" s="175"/>
      <c r="L194" s="175"/>
      <c r="M194" s="175"/>
      <c r="N194" s="175"/>
      <c r="O194" s="175"/>
      <c r="P194" s="175"/>
      <c r="Q194" s="175"/>
      <c r="R194" s="175"/>
      <c r="S194" s="175"/>
      <c r="T194" s="175"/>
      <c r="U194" s="175"/>
      <c r="V194" s="175"/>
      <c r="W194" s="175"/>
      <c r="X194" s="1222"/>
      <c r="Y194" s="1056">
        <f t="shared" si="13"/>
        <v>9000000</v>
      </c>
      <c r="Z194" s="1063">
        <v>0.04906915713508724</v>
      </c>
      <c r="AA194" s="1064">
        <v>0.05673621293744463</v>
      </c>
      <c r="AB194" s="1064">
        <v>0.064403268739802</v>
      </c>
      <c r="AC194" s="1064">
        <v>0.07207032454215939</v>
      </c>
      <c r="AD194" s="1064">
        <v>0.07973738034451677</v>
      </c>
      <c r="AE194" s="1064">
        <v>0.08740443614687414</v>
      </c>
      <c r="AF194" s="1064">
        <v>0.09507149194923153</v>
      </c>
      <c r="AG194" s="577"/>
      <c r="AI194" s="1222"/>
      <c r="AJ194" s="1056">
        <f t="shared" si="14"/>
        <v>9000000</v>
      </c>
      <c r="AK194" s="994">
        <v>0.037180272322249075</v>
      </c>
      <c r="AL194" s="967">
        <v>0.03937851839313072</v>
      </c>
      <c r="AM194" s="861">
        <v>0.041534010414429105</v>
      </c>
      <c r="AN194" s="820">
        <v>0.04365511917900999</v>
      </c>
      <c r="AO194" s="737">
        <v>0.045750215479739176</v>
      </c>
      <c r="AP194" s="762">
        <v>0.04658284556775429</v>
      </c>
      <c r="AQ194" s="785">
        <v>0.047413188719155064</v>
      </c>
      <c r="AR194" s="804">
        <v>0.04824178066468492</v>
      </c>
      <c r="AS194" s="1205">
        <v>0.049069157135087256</v>
      </c>
      <c r="AT194" s="887">
        <v>0.04989585386110546</v>
      </c>
      <c r="AU194" s="610"/>
      <c r="AV194" s="610"/>
      <c r="AW194" s="610"/>
      <c r="AX194" s="610"/>
      <c r="AY194" s="610"/>
      <c r="AZ194" s="610"/>
      <c r="BA194" s="610"/>
      <c r="BB194" s="610"/>
      <c r="BC194" s="610"/>
      <c r="BD194" s="610"/>
      <c r="BE194" s="610"/>
      <c r="BF194" s="610"/>
      <c r="BG194" s="610"/>
      <c r="BH194" s="610"/>
      <c r="BI194" s="610"/>
      <c r="BJ194" s="610"/>
      <c r="BK194" s="610"/>
      <c r="BL194" s="610"/>
      <c r="BN194" s="1056">
        <f t="shared" si="15"/>
        <v>8000000</v>
      </c>
      <c r="BO194" s="577">
        <v>0.051914744855183104</v>
      </c>
      <c r="BP194" s="577">
        <v>0.051914744855183104</v>
      </c>
      <c r="BQ194" s="577">
        <v>0.051914744855183104</v>
      </c>
      <c r="BR194" s="577">
        <v>0.051914744855183104</v>
      </c>
      <c r="BS194" s="577">
        <v>0.051914744855183104</v>
      </c>
      <c r="BT194" s="577">
        <v>0.051914744855183104</v>
      </c>
      <c r="BU194" s="577">
        <v>0.051914744855183104</v>
      </c>
      <c r="BV194" s="577">
        <v>0.051914744855183104</v>
      </c>
      <c r="BW194" s="577">
        <v>0.0519147448551831</v>
      </c>
      <c r="BX194" s="577">
        <v>0.051914744855183104</v>
      </c>
      <c r="BY194" s="577">
        <v>0.051914744855183104</v>
      </c>
      <c r="BZ194" s="577">
        <v>0.051914744855183104</v>
      </c>
      <c r="CA194" s="577">
        <v>0.051914744855183104</v>
      </c>
      <c r="CB194" s="577">
        <v>0.0519147448551831</v>
      </c>
    </row>
    <row r="195">
      <c r="E195" s="174"/>
      <c r="F195" s="175"/>
      <c r="G195" s="220"/>
      <c r="H195" s="220"/>
      <c r="I195" s="220"/>
      <c r="J195" s="220"/>
      <c r="K195" s="220"/>
      <c r="L195" s="220"/>
      <c r="M195" s="220"/>
      <c r="N195" s="220"/>
      <c r="O195" s="220"/>
      <c r="P195" s="220"/>
      <c r="Q195" s="220"/>
      <c r="R195" s="220"/>
      <c r="S195" s="220"/>
      <c r="T195" s="220"/>
      <c r="U195" s="220"/>
      <c r="V195" s="220"/>
      <c r="W195" s="220"/>
      <c r="X195" s="1222"/>
      <c r="Y195" s="1056">
        <f t="shared" si="13"/>
        <v>9500000</v>
      </c>
      <c r="Z195" s="1063">
        <v>0.04776041042485529</v>
      </c>
      <c r="AA195" s="1064">
        <v>0.055222974553738924</v>
      </c>
      <c r="AB195" s="1064">
        <v>0.06268553868262257</v>
      </c>
      <c r="AC195" s="1064">
        <v>0.07014810281150621</v>
      </c>
      <c r="AD195" s="1064">
        <v>0.07761066694038987</v>
      </c>
      <c r="AE195" s="1064">
        <v>0.08507323106927348</v>
      </c>
      <c r="AF195" s="1064">
        <v>0.09253579519815715</v>
      </c>
      <c r="AG195" s="577"/>
      <c r="AI195" s="1222"/>
      <c r="AJ195" s="1056">
        <f t="shared" si="14"/>
        <v>9500000</v>
      </c>
      <c r="AK195" s="1002">
        <v>0.036188619684864</v>
      </c>
      <c r="AL195" s="980">
        <v>0.038328235294545224</v>
      </c>
      <c r="AM195" s="981">
        <v>0.040426237168131485</v>
      </c>
      <c r="AN195" s="982">
        <v>0.04249077283711085</v>
      </c>
      <c r="AO195" s="1215">
        <v>0.04452998983297138</v>
      </c>
      <c r="AP195" s="1005">
        <v>0.04534041244989566</v>
      </c>
      <c r="AQ195" s="1006">
        <v>0.04614860912617425</v>
      </c>
      <c r="AR195" s="1007">
        <v>0.04695510130382238</v>
      </c>
      <c r="AS195" s="1216">
        <v>0.047760410424855286</v>
      </c>
      <c r="AT195" s="985">
        <v>0.04856505793128824</v>
      </c>
      <c r="AU195" s="610"/>
      <c r="AV195" s="610"/>
      <c r="AW195" s="610"/>
      <c r="AX195" s="610"/>
      <c r="AY195" s="610"/>
      <c r="AZ195" s="610"/>
      <c r="BA195" s="610"/>
      <c r="BB195" s="610"/>
      <c r="BC195" s="610"/>
      <c r="BD195" s="610"/>
      <c r="BE195" s="610"/>
      <c r="BF195" s="610"/>
      <c r="BG195" s="610"/>
      <c r="BH195" s="610"/>
      <c r="BI195" s="610"/>
      <c r="BJ195" s="610"/>
      <c r="BK195" s="610"/>
      <c r="BL195" s="610"/>
      <c r="BN195" s="1056">
        <f t="shared" si="15"/>
        <v>8500000</v>
      </c>
      <c r="BO195" s="594">
        <v>0.05036470036821433</v>
      </c>
      <c r="BP195" s="594">
        <v>0.05036470036821433</v>
      </c>
      <c r="BQ195" s="594">
        <v>0.05036470036821433</v>
      </c>
      <c r="BR195" s="594">
        <v>0.05036470036821433</v>
      </c>
      <c r="BS195" s="594">
        <v>0.05036470036821433</v>
      </c>
      <c r="BT195" s="594">
        <v>0.05036470036821433</v>
      </c>
      <c r="BU195" s="594">
        <v>0.05036470036821433</v>
      </c>
      <c r="BV195" s="594">
        <v>0.05036470036821433</v>
      </c>
      <c r="BW195" s="594">
        <v>0.05036470036821434</v>
      </c>
      <c r="BX195" s="594">
        <v>0.05036470036821433</v>
      </c>
      <c r="BY195" s="594">
        <v>0.05036470036821433</v>
      </c>
      <c r="BZ195" s="594">
        <v>0.05036470036821433</v>
      </c>
      <c r="CA195" s="594">
        <v>0.05036470036821433</v>
      </c>
      <c r="CB195" s="594">
        <v>0.05036470036821434</v>
      </c>
    </row>
    <row r="196">
      <c r="E196" s="174"/>
      <c r="F196" s="220"/>
      <c r="G196" s="220"/>
      <c r="H196" s="220"/>
      <c r="I196" s="220"/>
      <c r="J196" s="220"/>
      <c r="K196" s="220"/>
      <c r="L196" s="220"/>
      <c r="M196" s="220"/>
      <c r="N196" s="220"/>
      <c r="O196" s="220"/>
      <c r="P196" s="220"/>
      <c r="Q196" s="220"/>
      <c r="R196" s="220"/>
      <c r="S196" s="220"/>
      <c r="T196" s="220"/>
      <c r="U196" s="220"/>
      <c r="V196" s="220"/>
      <c r="W196" s="220"/>
      <c r="X196" s="1222"/>
      <c r="Y196" s="1056">
        <f t="shared" si="13"/>
        <v>10000000</v>
      </c>
      <c r="Z196" s="1091">
        <v>0.04655108982347346</v>
      </c>
      <c r="AA196" s="1064">
        <v>0.053824697608391196</v>
      </c>
      <c r="AB196" s="1064">
        <v>0.06109830539330893</v>
      </c>
      <c r="AC196" s="1064">
        <v>0.06837191317822665</v>
      </c>
      <c r="AD196" s="1064">
        <v>0.07564552096314438</v>
      </c>
      <c r="AE196" s="1064">
        <v>0.08291912874806212</v>
      </c>
      <c r="AF196" s="1064">
        <v>0.09019273653297985</v>
      </c>
      <c r="AG196" s="610"/>
      <c r="AI196" s="1222"/>
      <c r="AJ196" s="1056">
        <f t="shared" si="14"/>
        <v>10000000</v>
      </c>
      <c r="AK196" s="819">
        <v>0.035272303369087495</v>
      </c>
      <c r="AL196" s="994">
        <v>0.037357742701538084</v>
      </c>
      <c r="AM196" s="967">
        <v>0.03940262198122499</v>
      </c>
      <c r="AN196" s="861">
        <v>0.04141488243953144</v>
      </c>
      <c r="AO196" s="1219">
        <v>0.043402465307840615</v>
      </c>
      <c r="AP196" s="880">
        <v>0.0441923675657949</v>
      </c>
      <c r="AQ196" s="880">
        <v>0.044980100245179455</v>
      </c>
      <c r="AR196" s="843">
        <v>0.045766171584802784</v>
      </c>
      <c r="AS196" s="1220">
        <v>0.046551089823473474</v>
      </c>
      <c r="AT196" s="762">
        <v>0.047335363199999994</v>
      </c>
      <c r="AU196" s="610"/>
      <c r="AV196" s="610"/>
      <c r="AW196" s="610"/>
      <c r="AX196" s="610"/>
      <c r="AY196" s="610"/>
      <c r="AZ196" s="610"/>
      <c r="BA196" s="610"/>
      <c r="BB196" s="610"/>
      <c r="BC196" s="610"/>
      <c r="BD196" s="610"/>
      <c r="BE196" s="610"/>
      <c r="BF196" s="610"/>
      <c r="BG196" s="610"/>
      <c r="BH196" s="610"/>
      <c r="BI196" s="610"/>
      <c r="BJ196" s="610"/>
      <c r="BK196" s="610"/>
      <c r="BL196" s="610"/>
      <c r="BM196" s="1227"/>
      <c r="BN196" s="1056">
        <f t="shared" si="15"/>
        <v>9000000</v>
      </c>
      <c r="BO196" s="577">
        <v>0.04894569084089253</v>
      </c>
      <c r="BP196" s="577">
        <v>0.04894569084089253</v>
      </c>
      <c r="BQ196" s="577">
        <v>0.04894569084089253</v>
      </c>
      <c r="BR196" s="577">
        <v>0.04894569084089253</v>
      </c>
      <c r="BS196" s="577">
        <v>0.04894569084089253</v>
      </c>
      <c r="BT196" s="577">
        <v>0.04894569084089253</v>
      </c>
      <c r="BU196" s="577">
        <v>0.04894569084089253</v>
      </c>
      <c r="BV196" s="577">
        <v>0.04894569084089253</v>
      </c>
      <c r="BW196" s="577">
        <v>0.04894569084089253</v>
      </c>
      <c r="BX196" s="577">
        <v>0.04894569084089253</v>
      </c>
      <c r="BY196" s="577">
        <v>0.04894569084089253</v>
      </c>
      <c r="BZ196" s="577">
        <v>0.04894569084089253</v>
      </c>
      <c r="CA196" s="577">
        <v>0.04894569084089253</v>
      </c>
      <c r="CB196" s="577">
        <v>0.04894569084089253</v>
      </c>
    </row>
    <row r="197">
      <c r="E197" s="174"/>
      <c r="F197" s="220"/>
      <c r="G197" s="220"/>
      <c r="H197" s="220"/>
      <c r="I197" s="220"/>
      <c r="J197" s="220"/>
      <c r="K197" s="220"/>
      <c r="L197" s="220"/>
      <c r="M197" s="220"/>
      <c r="N197" s="220"/>
      <c r="O197" s="220"/>
      <c r="P197" s="220"/>
      <c r="Q197" s="220"/>
      <c r="R197" s="220"/>
      <c r="S197" s="220"/>
      <c r="T197" s="220"/>
      <c r="U197" s="220"/>
      <c r="V197" s="220"/>
      <c r="W197" s="220"/>
      <c r="X197" s="610"/>
      <c r="Y197" s="610"/>
      <c r="Z197" s="610"/>
      <c r="AA197" s="610"/>
      <c r="AB197" s="610"/>
      <c r="AC197" s="610"/>
      <c r="AD197" s="610"/>
      <c r="AE197" s="610"/>
      <c r="AF197" s="610"/>
      <c r="AG197" s="610"/>
      <c r="AI197" s="610"/>
      <c r="AJ197" s="610"/>
      <c r="AK197" s="610"/>
      <c r="AL197" s="610"/>
      <c r="AM197" s="610"/>
      <c r="AN197" s="610"/>
      <c r="AO197" s="610"/>
      <c r="AP197" s="610"/>
      <c r="AQ197" s="610"/>
      <c r="AR197" s="610"/>
      <c r="AS197" s="610"/>
      <c r="AT197" s="610"/>
      <c r="AU197" s="610"/>
      <c r="AV197" s="610"/>
      <c r="AW197" s="610"/>
      <c r="AX197" s="610"/>
      <c r="AY197" s="610"/>
      <c r="AZ197" s="610"/>
      <c r="BA197" s="610"/>
      <c r="BB197" s="610"/>
      <c r="BC197" s="610"/>
      <c r="BD197" s="610"/>
      <c r="BE197" s="610"/>
      <c r="BF197" s="610"/>
      <c r="BG197" s="610"/>
      <c r="BH197" s="610"/>
      <c r="BI197" s="610"/>
      <c r="BJ197" s="610"/>
      <c r="BK197" s="610"/>
      <c r="BL197" s="610"/>
      <c r="BM197" s="1227"/>
      <c r="BN197" s="1056">
        <f t="shared" si="15"/>
        <v>9500000</v>
      </c>
      <c r="BO197" s="594">
        <v>0.047640237158619196</v>
      </c>
      <c r="BP197" s="594">
        <v>0.047640237158619196</v>
      </c>
      <c r="BQ197" s="594">
        <v>0.04764023715861919</v>
      </c>
      <c r="BR197" s="594">
        <v>0.047640237158619196</v>
      </c>
      <c r="BS197" s="594">
        <v>0.047640237158619196</v>
      </c>
      <c r="BT197" s="594">
        <v>0.047640237158619196</v>
      </c>
      <c r="BU197" s="594">
        <v>0.047640237158619196</v>
      </c>
      <c r="BV197" s="594">
        <v>0.047640237158619196</v>
      </c>
      <c r="BW197" s="594">
        <v>0.047640237158619196</v>
      </c>
      <c r="BX197" s="594">
        <v>0.047640237158619196</v>
      </c>
      <c r="BY197" s="594">
        <v>0.047640237158619196</v>
      </c>
      <c r="BZ197" s="594">
        <v>0.047640237158619196</v>
      </c>
      <c r="CA197" s="594">
        <v>0.047640237158619196</v>
      </c>
      <c r="CB197" s="594">
        <v>0.047640237158619196</v>
      </c>
    </row>
    <row r="198">
      <c r="E198" s="174"/>
      <c r="F198" s="220"/>
      <c r="G198" s="220"/>
      <c r="H198" s="220"/>
      <c r="I198" s="220"/>
      <c r="J198" s="220"/>
      <c r="K198" s="220"/>
      <c r="L198" s="220"/>
      <c r="M198" s="220"/>
      <c r="N198" s="220"/>
      <c r="O198" s="220"/>
      <c r="P198" s="220"/>
      <c r="Q198" s="220"/>
      <c r="R198" s="220"/>
      <c r="S198" s="220"/>
      <c r="T198" s="220"/>
      <c r="U198" s="220"/>
      <c r="V198" s="220"/>
      <c r="W198" s="220"/>
      <c r="X198" s="610"/>
      <c r="Y198" s="610"/>
      <c r="Z198" s="610"/>
      <c r="AA198" s="610"/>
      <c r="AB198" s="610"/>
      <c r="AC198" s="610"/>
      <c r="AD198" s="610"/>
      <c r="AE198" s="610"/>
      <c r="AF198" s="610"/>
      <c r="AG198" s="610"/>
      <c r="AI198" s="610"/>
      <c r="AJ198" s="610"/>
      <c r="AK198" s="610"/>
      <c r="AL198" s="610"/>
      <c r="AM198" s="610"/>
      <c r="AN198" s="610"/>
      <c r="AO198" s="610"/>
      <c r="AP198" s="610"/>
      <c r="AQ198" s="610"/>
      <c r="AR198" s="610"/>
      <c r="AS198" s="610"/>
      <c r="AT198" s="610"/>
      <c r="AU198" s="610"/>
      <c r="AV198" s="610"/>
      <c r="AW198" s="610"/>
      <c r="AX198" s="610"/>
      <c r="AY198" s="610"/>
      <c r="AZ198" s="610"/>
      <c r="BA198" s="610"/>
      <c r="BB198" s="610"/>
      <c r="BC198" s="610"/>
      <c r="BD198" s="610"/>
      <c r="BE198" s="610"/>
      <c r="BF198" s="610"/>
      <c r="BG198" s="610"/>
      <c r="BH198" s="610"/>
      <c r="BI198" s="610"/>
      <c r="BJ198" s="610"/>
      <c r="BK198" s="610"/>
      <c r="BL198" s="610"/>
      <c r="BM198" s="1222"/>
      <c r="BN198" s="1056">
        <f t="shared" si="15"/>
        <v>10000000</v>
      </c>
      <c r="BO198" s="594">
        <v>0.046433959412298755</v>
      </c>
      <c r="BP198" s="594">
        <v>0.046433959412298755</v>
      </c>
      <c r="BQ198" s="594">
        <v>0.046433959412298755</v>
      </c>
      <c r="BR198" s="594">
        <v>0.046433959412298755</v>
      </c>
      <c r="BS198" s="594">
        <v>0.046433959412298755</v>
      </c>
      <c r="BT198" s="594">
        <v>0.046433959412298755</v>
      </c>
      <c r="BU198" s="594">
        <v>0.046433959412298755</v>
      </c>
      <c r="BV198" s="594">
        <v>0.046433959412298755</v>
      </c>
      <c r="BW198" s="594">
        <v>0.046433959412298755</v>
      </c>
      <c r="BX198" s="594">
        <v>0.046433959412298755</v>
      </c>
      <c r="BY198" s="594">
        <v>0.046433959412298755</v>
      </c>
      <c r="BZ198" s="594">
        <v>0.046433959412298755</v>
      </c>
      <c r="CA198" s="594">
        <v>0.046433959412298755</v>
      </c>
      <c r="CB198" s="594">
        <v>0.046433959412298755</v>
      </c>
    </row>
    <row r="199">
      <c r="E199" s="174"/>
      <c r="F199" s="220"/>
      <c r="G199" s="220"/>
      <c r="H199" s="220"/>
      <c r="I199" s="220"/>
      <c r="J199" s="220"/>
      <c r="K199" s="220"/>
      <c r="L199" s="220"/>
      <c r="M199" s="220"/>
      <c r="N199" s="220"/>
      <c r="O199" s="220"/>
      <c r="P199" s="220"/>
      <c r="Q199" s="220"/>
      <c r="R199" s="220"/>
      <c r="S199" s="220"/>
      <c r="T199" s="220"/>
      <c r="U199" s="220"/>
      <c r="V199" s="220"/>
      <c r="W199" s="220"/>
    </row>
    <row r="200">
      <c r="E200" s="174"/>
      <c r="F200" s="220"/>
      <c r="G200" s="220"/>
      <c r="H200" s="220"/>
      <c r="I200" s="220"/>
      <c r="J200" s="220"/>
      <c r="K200" s="220"/>
      <c r="L200" s="220"/>
      <c r="M200" s="220"/>
      <c r="N200" s="220"/>
      <c r="O200" s="220"/>
      <c r="P200" s="220"/>
      <c r="Q200" s="220"/>
      <c r="R200" s="220"/>
      <c r="S200" s="220"/>
      <c r="T200" s="220"/>
      <c r="U200" s="220"/>
      <c r="V200" s="220"/>
      <c r="W200" s="220"/>
    </row>
    <row r="201">
      <c r="E201" s="174"/>
      <c r="F201" s="220"/>
      <c r="G201" s="175"/>
      <c r="H201" s="175"/>
      <c r="I201" s="175"/>
      <c r="J201" s="175"/>
      <c r="K201" s="175"/>
      <c r="L201" s="175"/>
      <c r="M201" s="175"/>
      <c r="N201" s="175"/>
      <c r="O201" s="175"/>
      <c r="P201" s="175"/>
      <c r="Q201" s="175"/>
      <c r="R201" s="175"/>
      <c r="S201" s="175"/>
      <c r="T201" s="175"/>
      <c r="U201" s="175"/>
      <c r="V201" s="175"/>
      <c r="W201" s="175"/>
    </row>
    <row r="202">
      <c r="E202" s="174"/>
      <c r="F202" s="175"/>
      <c r="G202" s="220"/>
      <c r="H202" s="220"/>
      <c r="I202" s="220"/>
      <c r="J202" s="220"/>
      <c r="K202" s="220"/>
      <c r="L202" s="220"/>
      <c r="M202" s="220"/>
      <c r="N202" s="220"/>
      <c r="O202" s="220"/>
      <c r="P202" s="220"/>
      <c r="Q202" s="220"/>
      <c r="R202" s="220"/>
      <c r="S202" s="220"/>
      <c r="T202" s="220"/>
      <c r="U202" s="220"/>
      <c r="V202" s="220"/>
      <c r="W202" s="220"/>
    </row>
    <row r="203">
      <c r="E203" s="174"/>
      <c r="F203" s="220"/>
      <c r="G203" s="220"/>
      <c r="H203" s="220"/>
      <c r="I203" s="220"/>
      <c r="J203" s="220"/>
      <c r="K203" s="220"/>
      <c r="L203" s="220"/>
      <c r="M203" s="220"/>
      <c r="N203" s="220"/>
      <c r="O203" s="220"/>
      <c r="P203" s="220"/>
      <c r="Q203" s="220"/>
      <c r="R203" s="220"/>
      <c r="S203" s="220"/>
      <c r="T203" s="220"/>
      <c r="U203" s="220"/>
      <c r="V203" s="220"/>
      <c r="W203" s="220"/>
    </row>
    <row r="204">
      <c r="E204" s="174"/>
      <c r="F204" s="220"/>
      <c r="G204" s="220"/>
      <c r="H204" s="220"/>
      <c r="I204" s="220"/>
      <c r="J204" s="220"/>
      <c r="K204" s="220"/>
      <c r="L204" s="220"/>
      <c r="M204" s="220"/>
      <c r="N204" s="220"/>
      <c r="O204" s="220"/>
      <c r="P204" s="220"/>
      <c r="Q204" s="220"/>
      <c r="R204" s="220"/>
      <c r="S204" s="220"/>
      <c r="T204" s="220"/>
      <c r="U204" s="220"/>
      <c r="V204" s="220"/>
      <c r="W204" s="220"/>
      <c r="X204" s="1476" t="s">
        <v>196</v>
      </c>
      <c r="Y204" s="556"/>
      <c r="Z204" s="556"/>
      <c r="AA204" s="556"/>
      <c r="AB204" s="556"/>
      <c r="AC204" s="556"/>
      <c r="AD204" s="556"/>
      <c r="AE204" s="556"/>
      <c r="AF204" s="556"/>
      <c r="AG204" s="556"/>
      <c r="AH204" s="556"/>
      <c r="AI204" s="556"/>
      <c r="AJ204" s="556"/>
      <c r="AK204" s="556"/>
      <c r="AL204" s="556"/>
      <c r="AM204" s="556"/>
      <c r="AN204" s="556"/>
      <c r="AO204" s="556"/>
      <c r="AP204" s="556"/>
      <c r="AQ204" s="556"/>
      <c r="AR204" s="556"/>
      <c r="AS204" s="556"/>
      <c r="AT204" s="556"/>
      <c r="AU204" s="556"/>
      <c r="AV204" s="556"/>
      <c r="AW204" s="556"/>
      <c r="AX204" s="556"/>
      <c r="AY204" s="556"/>
      <c r="AZ204" s="556"/>
      <c r="BA204" s="556"/>
      <c r="BB204" s="556"/>
      <c r="BC204" s="556"/>
      <c r="BD204" s="556"/>
      <c r="BE204" s="556"/>
      <c r="BF204" s="556"/>
      <c r="BG204" s="556"/>
      <c r="BH204" s="556"/>
      <c r="BI204" s="556"/>
      <c r="BJ204" s="556"/>
      <c r="BK204" s="556"/>
      <c r="BL204" s="556"/>
      <c r="BM204" s="556"/>
      <c r="BN204" s="556"/>
      <c r="BO204" s="556"/>
      <c r="BP204" s="556"/>
      <c r="BQ204" s="556"/>
      <c r="BR204" s="556"/>
      <c r="BS204" s="556"/>
      <c r="BT204" s="556"/>
      <c r="BU204" s="556"/>
      <c r="BV204" s="556"/>
      <c r="BW204" s="556"/>
      <c r="BX204" s="556"/>
      <c r="BY204" s="556"/>
      <c r="BZ204" s="556"/>
      <c r="CA204" s="556"/>
      <c r="CB204" s="557"/>
    </row>
    <row r="205">
      <c r="E205" s="174"/>
      <c r="F205" s="220"/>
      <c r="G205" s="220"/>
      <c r="H205" s="220"/>
      <c r="I205" s="220"/>
      <c r="J205" s="220"/>
      <c r="K205" s="220"/>
      <c r="L205" s="220"/>
      <c r="M205" s="220"/>
      <c r="N205" s="220"/>
      <c r="O205" s="220"/>
      <c r="P205" s="220"/>
      <c r="Q205" s="220"/>
      <c r="R205" s="220"/>
      <c r="S205" s="220"/>
      <c r="T205" s="220"/>
      <c r="U205" s="220"/>
      <c r="V205" s="220"/>
      <c r="W205" s="220"/>
      <c r="X205" s="559"/>
      <c r="CB205" s="560"/>
    </row>
    <row r="206">
      <c r="E206" s="174"/>
      <c r="F206" s="220"/>
      <c r="G206" s="220"/>
      <c r="H206" s="220"/>
      <c r="I206" s="220"/>
      <c r="J206" s="220"/>
      <c r="K206" s="220"/>
      <c r="L206" s="220"/>
      <c r="M206" s="220"/>
      <c r="N206" s="220"/>
      <c r="O206" s="220"/>
      <c r="P206" s="220"/>
      <c r="Q206" s="220"/>
      <c r="R206" s="220"/>
      <c r="S206" s="220"/>
      <c r="T206" s="220"/>
      <c r="U206" s="220"/>
      <c r="V206" s="220"/>
      <c r="W206" s="220"/>
      <c r="X206" s="559"/>
      <c r="CB206" s="560"/>
    </row>
    <row r="207">
      <c r="E207" s="174"/>
      <c r="F207" s="220"/>
      <c r="G207" s="220"/>
      <c r="H207" s="220"/>
      <c r="I207" s="220"/>
      <c r="J207" s="220"/>
      <c r="K207" s="220"/>
      <c r="L207" s="220"/>
      <c r="M207" s="220"/>
      <c r="N207" s="220"/>
      <c r="O207" s="220"/>
      <c r="P207" s="220"/>
      <c r="Q207" s="220"/>
      <c r="R207" s="220"/>
      <c r="S207" s="220"/>
      <c r="T207" s="220"/>
      <c r="U207" s="220"/>
      <c r="V207" s="220"/>
      <c r="W207" s="220"/>
      <c r="X207" s="574"/>
      <c r="Y207" s="575"/>
      <c r="Z207" s="575"/>
      <c r="AA207" s="575"/>
      <c r="AB207" s="575"/>
      <c r="AC207" s="575"/>
      <c r="AD207" s="575"/>
      <c r="AE207" s="575"/>
      <c r="AF207" s="575"/>
      <c r="AG207" s="575"/>
      <c r="AH207" s="575"/>
      <c r="AI207" s="575"/>
      <c r="AJ207" s="575"/>
      <c r="AK207" s="575"/>
      <c r="AL207" s="575"/>
      <c r="AM207" s="575"/>
      <c r="AN207" s="575"/>
      <c r="AO207" s="575"/>
      <c r="AP207" s="575"/>
      <c r="AQ207" s="575"/>
      <c r="AR207" s="575"/>
      <c r="AS207" s="575"/>
      <c r="AT207" s="575"/>
      <c r="AU207" s="575"/>
      <c r="AV207" s="575"/>
      <c r="AW207" s="575"/>
      <c r="AX207" s="575"/>
      <c r="AY207" s="575"/>
      <c r="AZ207" s="575"/>
      <c r="BA207" s="575"/>
      <c r="BB207" s="575"/>
      <c r="BC207" s="575"/>
      <c r="BD207" s="575"/>
      <c r="BE207" s="575"/>
      <c r="BF207" s="575"/>
      <c r="BG207" s="575"/>
      <c r="BH207" s="575"/>
      <c r="BI207" s="575"/>
      <c r="BJ207" s="575"/>
      <c r="BK207" s="575"/>
      <c r="BL207" s="575"/>
      <c r="BM207" s="575"/>
      <c r="BN207" s="575"/>
      <c r="BO207" s="575"/>
      <c r="BP207" s="575"/>
      <c r="BQ207" s="575"/>
      <c r="BR207" s="575"/>
      <c r="BS207" s="575"/>
      <c r="BT207" s="575"/>
      <c r="BU207" s="575"/>
      <c r="BV207" s="575"/>
      <c r="BW207" s="575"/>
      <c r="BX207" s="575"/>
      <c r="BY207" s="575"/>
      <c r="BZ207" s="575"/>
      <c r="CA207" s="575"/>
      <c r="CB207" s="576"/>
    </row>
    <row r="208">
      <c r="E208" s="174"/>
      <c r="F208" s="220"/>
      <c r="G208" s="220"/>
      <c r="H208" s="220"/>
      <c r="I208" s="220"/>
      <c r="J208" s="220"/>
      <c r="K208" s="220"/>
      <c r="L208" s="220"/>
      <c r="M208" s="220"/>
      <c r="N208" s="220"/>
      <c r="O208" s="220"/>
      <c r="P208" s="220"/>
      <c r="Q208" s="220"/>
      <c r="R208" s="220"/>
      <c r="S208" s="220"/>
      <c r="T208" s="220"/>
      <c r="U208" s="220"/>
      <c r="V208" s="220"/>
      <c r="W208" s="220"/>
    </row>
    <row r="209">
      <c r="E209" s="174"/>
      <c r="F209" s="220"/>
      <c r="G209" s="220"/>
      <c r="H209" s="220"/>
      <c r="I209" s="220"/>
      <c r="J209" s="220"/>
      <c r="K209" s="220"/>
      <c r="L209" s="220"/>
      <c r="M209" s="220"/>
      <c r="N209" s="220"/>
      <c r="O209" s="220"/>
      <c r="P209" s="220"/>
      <c r="Q209" s="220"/>
      <c r="R209" s="220"/>
      <c r="S209" s="220"/>
      <c r="T209" s="220"/>
      <c r="U209" s="220"/>
    </row>
    <row r="210">
      <c r="E210" s="174"/>
      <c r="F210" s="220"/>
      <c r="G210" s="220"/>
      <c r="H210" s="220"/>
      <c r="I210" s="220"/>
      <c r="J210" s="220"/>
      <c r="K210" s="220"/>
      <c r="L210" s="220"/>
      <c r="M210" s="220"/>
      <c r="N210" s="220"/>
      <c r="O210" s="220"/>
      <c r="P210" s="220"/>
      <c r="Q210" s="220"/>
      <c r="R210" s="220"/>
      <c r="S210" s="220"/>
      <c r="T210" s="220"/>
      <c r="U210" s="220"/>
    </row>
    <row r="211">
      <c r="E211" s="174"/>
      <c r="F211" s="220"/>
      <c r="G211" s="220"/>
      <c r="H211" s="220"/>
      <c r="I211" s="220"/>
      <c r="J211" s="220"/>
      <c r="K211" s="220"/>
      <c r="L211" s="220"/>
      <c r="M211" s="220"/>
      <c r="N211" s="220"/>
      <c r="O211" s="220"/>
      <c r="P211" s="220"/>
      <c r="Q211" s="220"/>
      <c r="R211" s="220"/>
      <c r="S211" s="220"/>
      <c r="T211" s="220"/>
      <c r="U211" s="220"/>
    </row>
    <row r="212">
      <c r="E212" s="174"/>
      <c r="F212" s="220"/>
      <c r="G212" s="220"/>
      <c r="H212" s="220"/>
      <c r="I212" s="220"/>
      <c r="J212" s="220"/>
      <c r="K212" s="220"/>
      <c r="L212" s="220"/>
      <c r="M212" s="220"/>
      <c r="N212" s="220"/>
      <c r="O212" s="220"/>
      <c r="P212" s="220"/>
      <c r="Q212" s="220"/>
      <c r="R212" s="220"/>
      <c r="S212" s="220"/>
      <c r="T212" s="220"/>
      <c r="U212" s="220"/>
    </row>
    <row r="213">
      <c r="E213" s="174"/>
      <c r="F213" s="220"/>
      <c r="G213" s="220"/>
      <c r="H213" s="220"/>
      <c r="I213" s="220"/>
      <c r="J213" s="220"/>
      <c r="K213" s="220"/>
      <c r="L213" s="220"/>
      <c r="M213" s="220"/>
      <c r="N213" s="220"/>
      <c r="O213" s="220"/>
      <c r="P213" s="220"/>
      <c r="Q213" s="220"/>
      <c r="R213" s="220"/>
      <c r="S213" s="220"/>
      <c r="T213" s="220"/>
      <c r="U213" s="220"/>
    </row>
    <row r="214">
      <c r="E214" s="174"/>
      <c r="F214" s="220"/>
      <c r="G214" s="220"/>
      <c r="H214" s="220"/>
      <c r="I214" s="220"/>
      <c r="J214" s="220"/>
      <c r="K214" s="220"/>
      <c r="L214" s="220"/>
      <c r="M214" s="220"/>
      <c r="N214" s="220"/>
      <c r="O214" s="220"/>
      <c r="P214" s="220"/>
      <c r="Q214" s="220"/>
      <c r="R214" s="220"/>
      <c r="S214" s="220"/>
      <c r="T214" s="220"/>
      <c r="U214" s="220"/>
    </row>
    <row r="215">
      <c r="E215" s="174"/>
      <c r="F215" s="220"/>
      <c r="G215" s="220"/>
      <c r="H215" s="220"/>
      <c r="I215" s="220"/>
      <c r="J215" s="220"/>
      <c r="K215" s="220"/>
      <c r="L215" s="220"/>
      <c r="M215" s="220"/>
      <c r="N215" s="220"/>
      <c r="O215" s="220"/>
      <c r="P215" s="220"/>
      <c r="Q215" s="220"/>
      <c r="R215" s="220"/>
      <c r="S215" s="220"/>
      <c r="T215" s="220"/>
      <c r="U215" s="220"/>
    </row>
    <row r="216">
      <c r="E216" s="174"/>
      <c r="F216" s="220"/>
      <c r="G216" s="220"/>
      <c r="H216" s="220"/>
      <c r="I216" s="220"/>
      <c r="J216" s="220"/>
      <c r="K216" s="220"/>
      <c r="L216" s="220"/>
      <c r="M216" s="220"/>
      <c r="N216" s="220"/>
      <c r="O216" s="220"/>
      <c r="P216" s="220"/>
      <c r="Q216" s="220"/>
      <c r="R216" s="220"/>
      <c r="S216" s="220"/>
      <c r="T216" s="220"/>
      <c r="U216" s="220"/>
    </row>
    <row r="217">
      <c r="E217" s="174"/>
      <c r="F217" s="220"/>
      <c r="G217" s="220"/>
      <c r="H217" s="220"/>
      <c r="I217" s="220"/>
      <c r="J217" s="220"/>
      <c r="K217" s="220"/>
      <c r="L217" s="220"/>
      <c r="M217" s="220"/>
      <c r="N217" s="220"/>
      <c r="O217" s="220"/>
      <c r="P217" s="220"/>
      <c r="Q217" s="220"/>
      <c r="R217" s="220"/>
      <c r="S217" s="220"/>
      <c r="T217" s="220"/>
      <c r="U217" s="220"/>
    </row>
    <row r="218">
      <c r="E218" s="174"/>
      <c r="F218" s="220"/>
      <c r="G218" s="220"/>
      <c r="H218" s="220"/>
      <c r="I218" s="220"/>
      <c r="J218" s="220"/>
      <c r="K218" s="220"/>
      <c r="L218" s="220"/>
      <c r="M218" s="220"/>
      <c r="N218" s="220"/>
      <c r="O218" s="220"/>
      <c r="P218" s="220"/>
      <c r="Q218" s="220"/>
      <c r="R218" s="220"/>
      <c r="S218" s="220"/>
      <c r="T218" s="220"/>
      <c r="U218" s="220"/>
      <c r="V218" s="220"/>
      <c r="W218" s="220"/>
    </row>
    <row r="219">
      <c r="E219" s="174"/>
      <c r="F219" s="220"/>
      <c r="G219" s="220"/>
      <c r="H219" s="220"/>
      <c r="I219" s="220"/>
      <c r="J219" s="220"/>
      <c r="K219" s="220"/>
      <c r="L219" s="220"/>
      <c r="M219" s="220"/>
      <c r="N219" s="220"/>
      <c r="O219" s="220"/>
      <c r="P219" s="220"/>
      <c r="Q219" s="220"/>
      <c r="R219" s="220"/>
      <c r="S219" s="220"/>
      <c r="T219" s="220"/>
      <c r="U219" s="220"/>
      <c r="V219" s="220"/>
      <c r="W219" s="220"/>
    </row>
    <row r="220">
      <c r="E220" s="174"/>
      <c r="F220" s="220"/>
      <c r="G220" s="220"/>
      <c r="H220" s="220"/>
      <c r="I220" s="220"/>
      <c r="J220" s="220"/>
      <c r="K220" s="220"/>
      <c r="L220" s="220"/>
      <c r="M220" s="220"/>
      <c r="N220" s="220"/>
      <c r="O220" s="220"/>
      <c r="P220" s="220"/>
      <c r="Q220" s="220"/>
      <c r="R220" s="220"/>
      <c r="S220" s="220"/>
      <c r="T220" s="220"/>
      <c r="U220" s="220"/>
      <c r="V220" s="220"/>
      <c r="W220" s="220"/>
    </row>
    <row r="221">
      <c r="E221" s="174"/>
      <c r="F221" s="220"/>
      <c r="G221" s="220"/>
      <c r="H221" s="220"/>
      <c r="I221" s="220"/>
      <c r="J221" s="220"/>
      <c r="K221" s="220"/>
      <c r="L221" s="220"/>
      <c r="M221" s="220"/>
      <c r="N221" s="220"/>
      <c r="O221" s="220"/>
      <c r="P221" s="220"/>
      <c r="Q221" s="220"/>
      <c r="R221" s="220"/>
      <c r="S221" s="220"/>
      <c r="T221" s="220"/>
      <c r="U221" s="220"/>
      <c r="V221" s="220"/>
      <c r="W221" s="220"/>
    </row>
    <row r="222">
      <c r="E222" s="174"/>
      <c r="F222" s="220"/>
      <c r="G222" s="220"/>
      <c r="H222" s="220"/>
      <c r="I222" s="220"/>
      <c r="J222" s="220"/>
      <c r="K222" s="220"/>
      <c r="L222" s="220"/>
      <c r="M222" s="220"/>
      <c r="N222" s="220"/>
      <c r="O222" s="220"/>
      <c r="P222" s="220"/>
      <c r="Q222" s="220"/>
      <c r="R222" s="220"/>
      <c r="S222" s="220"/>
      <c r="T222" s="220"/>
      <c r="U222" s="220"/>
      <c r="V222" s="220"/>
      <c r="W222" s="220"/>
    </row>
    <row r="223">
      <c r="E223" s="174"/>
      <c r="F223" s="220"/>
      <c r="G223" s="220"/>
      <c r="H223" s="220"/>
      <c r="I223" s="220"/>
      <c r="J223" s="220"/>
      <c r="K223" s="220"/>
      <c r="L223" s="220"/>
      <c r="M223" s="220"/>
      <c r="N223" s="220"/>
      <c r="O223" s="220"/>
      <c r="P223" s="220"/>
      <c r="Q223" s="220"/>
      <c r="R223" s="220"/>
      <c r="S223" s="220"/>
      <c r="T223" s="220"/>
      <c r="U223" s="220"/>
      <c r="V223" s="220"/>
      <c r="W223" s="220"/>
      <c r="X223" s="1134"/>
    </row>
    <row r="224">
      <c r="E224" s="174"/>
      <c r="F224" s="220"/>
      <c r="G224" s="220"/>
      <c r="H224" s="220"/>
      <c r="I224" s="220"/>
      <c r="J224" s="220"/>
      <c r="K224" s="220"/>
      <c r="L224" s="220"/>
      <c r="M224" s="220"/>
      <c r="N224" s="220"/>
      <c r="O224" s="220"/>
      <c r="P224" s="220"/>
      <c r="Q224" s="220"/>
      <c r="R224" s="220"/>
      <c r="S224" s="220"/>
      <c r="T224" s="220"/>
      <c r="U224" s="220"/>
      <c r="V224" s="220"/>
      <c r="W224" s="220"/>
    </row>
    <row r="225">
      <c r="E225" s="174"/>
      <c r="F225" s="220"/>
      <c r="G225" s="220"/>
      <c r="H225" s="220"/>
      <c r="I225" s="220"/>
      <c r="J225" s="220"/>
      <c r="K225" s="220"/>
      <c r="L225" s="220"/>
      <c r="M225" s="220"/>
      <c r="N225" s="220"/>
      <c r="O225" s="220"/>
      <c r="P225" s="220"/>
      <c r="Q225" s="220"/>
      <c r="R225" s="220"/>
      <c r="S225" s="220"/>
      <c r="T225" s="220"/>
      <c r="U225" s="220"/>
      <c r="V225" s="220"/>
      <c r="W225" s="220"/>
    </row>
    <row r="226">
      <c r="E226" s="174"/>
      <c r="F226" s="220"/>
      <c r="G226" s="220"/>
      <c r="H226" s="220"/>
      <c r="I226" s="220"/>
      <c r="J226" s="220"/>
      <c r="K226" s="220"/>
      <c r="L226" s="220"/>
      <c r="M226" s="220"/>
      <c r="N226" s="220"/>
      <c r="O226" s="220"/>
      <c r="P226" s="220"/>
      <c r="Q226" s="220"/>
      <c r="R226" s="220"/>
      <c r="S226" s="220"/>
      <c r="T226" s="220"/>
      <c r="U226" s="220"/>
      <c r="V226" s="220"/>
      <c r="W226" s="220"/>
    </row>
    <row r="227">
      <c r="E227" s="174"/>
      <c r="F227" s="220"/>
      <c r="G227" s="220"/>
      <c r="H227" s="220"/>
      <c r="I227" s="220"/>
      <c r="J227" s="220"/>
      <c r="K227" s="220"/>
      <c r="L227" s="220"/>
      <c r="M227" s="220"/>
      <c r="N227" s="220"/>
      <c r="O227" s="220"/>
      <c r="P227" s="220"/>
      <c r="Q227" s="220"/>
      <c r="R227" s="220"/>
      <c r="S227" s="220"/>
      <c r="T227" s="220"/>
      <c r="U227" s="220"/>
      <c r="V227" s="220"/>
      <c r="W227" s="220"/>
    </row>
    <row r="228">
      <c r="E228" s="174"/>
      <c r="F228" s="220"/>
      <c r="G228" s="220"/>
      <c r="H228" s="220"/>
      <c r="I228" s="220"/>
      <c r="J228" s="220"/>
      <c r="K228" s="220"/>
      <c r="L228" s="220"/>
      <c r="M228" s="220"/>
      <c r="N228" s="220"/>
      <c r="O228" s="220"/>
      <c r="P228" s="220"/>
      <c r="Q228" s="220"/>
      <c r="R228" s="220"/>
      <c r="S228" s="220"/>
      <c r="T228" s="220"/>
      <c r="U228" s="220"/>
      <c r="V228" s="220"/>
      <c r="W228" s="220"/>
    </row>
    <row r="229">
      <c r="E229" s="174"/>
      <c r="F229" s="220"/>
      <c r="G229" s="220"/>
      <c r="H229" s="220"/>
      <c r="I229" s="220"/>
      <c r="J229" s="220"/>
      <c r="K229" s="220"/>
      <c r="L229" s="220"/>
      <c r="M229" s="220"/>
      <c r="N229" s="220"/>
      <c r="O229" s="220"/>
      <c r="P229" s="220"/>
      <c r="Q229" s="220"/>
      <c r="R229" s="220"/>
      <c r="S229" s="220"/>
      <c r="T229" s="220"/>
      <c r="U229" s="220"/>
      <c r="V229" s="220"/>
      <c r="W229" s="220"/>
    </row>
    <row r="230">
      <c r="E230" s="174"/>
      <c r="F230" s="220"/>
      <c r="G230" s="220"/>
      <c r="H230" s="220"/>
      <c r="I230" s="220"/>
      <c r="J230" s="220"/>
      <c r="K230" s="220"/>
      <c r="L230" s="220"/>
      <c r="M230" s="220"/>
      <c r="N230" s="220"/>
      <c r="O230" s="220"/>
      <c r="P230" s="220"/>
      <c r="Q230" s="220"/>
      <c r="R230" s="220"/>
      <c r="S230" s="220"/>
      <c r="T230" s="220"/>
      <c r="U230" s="220"/>
      <c r="V230" s="220"/>
      <c r="W230" s="220"/>
      <c r="BS230" s="171"/>
    </row>
    <row r="231">
      <c r="E231" s="174"/>
      <c r="F231" s="220"/>
      <c r="G231" s="175"/>
      <c r="H231" s="175"/>
      <c r="I231" s="175"/>
      <c r="J231" s="175"/>
      <c r="K231" s="175"/>
      <c r="L231" s="175"/>
      <c r="M231" s="175"/>
      <c r="N231" s="175"/>
      <c r="O231" s="175"/>
      <c r="P231" s="175"/>
      <c r="Q231" s="175"/>
      <c r="R231" s="175"/>
      <c r="S231" s="175"/>
      <c r="T231" s="175"/>
      <c r="U231" s="175"/>
      <c r="V231" s="175"/>
      <c r="W231" s="175"/>
      <c r="BS231" s="172"/>
    </row>
    <row r="232">
      <c r="E232" s="174"/>
      <c r="F232" s="175"/>
      <c r="BS232" s="173"/>
    </row>
    <row r="233">
      <c r="BS233" s="174"/>
    </row>
    <row r="234">
      <c r="BS234" s="175"/>
    </row>
    <row r="235">
      <c r="BS235" s="175"/>
      <c r="CZ235" s="38"/>
    </row>
    <row r="236">
      <c r="BC236" s="176"/>
      <c r="BD236" s="177"/>
      <c r="BE236" s="51"/>
      <c r="BF236" s="51"/>
      <c r="BG236" s="51"/>
      <c r="BH236" s="51"/>
      <c r="BI236" s="51"/>
      <c r="BJ236" s="51"/>
      <c r="BK236" s="51"/>
      <c r="BL236" s="51"/>
      <c r="BM236" s="51"/>
      <c r="BN236" s="51"/>
      <c r="BO236" s="51"/>
      <c r="BP236" s="51"/>
      <c r="BQ236" s="51"/>
      <c r="BR236" s="51"/>
      <c r="BS236" s="175"/>
      <c r="CG236" s="580"/>
      <c r="CH236" s="569"/>
      <c r="CI236" s="569"/>
      <c r="CJ236" s="569"/>
      <c r="CK236" s="569"/>
      <c r="CL236" s="569"/>
      <c r="CM236" s="569"/>
      <c r="CN236" s="569"/>
      <c r="CO236" s="569"/>
      <c r="CP236" s="569"/>
      <c r="CQ236" s="569"/>
      <c r="CR236" s="569"/>
      <c r="CS236" s="569"/>
      <c r="CT236" s="569"/>
      <c r="CU236" s="569"/>
      <c r="CV236" s="569"/>
    </row>
    <row r="237">
      <c r="BC237" s="176"/>
      <c r="BD237" s="177"/>
      <c r="BE237" s="51"/>
      <c r="BF237" s="51"/>
      <c r="BG237" s="51"/>
      <c r="BH237" s="51"/>
      <c r="BI237" s="51"/>
      <c r="BJ237" s="51"/>
      <c r="BK237" s="51"/>
      <c r="BL237" s="51"/>
      <c r="BM237" s="51"/>
      <c r="BN237" s="51"/>
      <c r="BO237" s="51"/>
      <c r="BP237" s="51"/>
      <c r="BQ237" s="51"/>
      <c r="BR237" s="51"/>
      <c r="BS237" s="175"/>
      <c r="CG237" s="584"/>
      <c r="CH237" s="581"/>
      <c r="CI237" s="581"/>
    </row>
    <row r="238">
      <c r="BC238" s="176"/>
      <c r="BD238" s="177"/>
      <c r="BE238" s="51"/>
      <c r="BF238" s="51"/>
      <c r="BG238" s="51"/>
      <c r="BH238" s="51"/>
      <c r="BI238" s="51"/>
      <c r="BJ238" s="51"/>
      <c r="BK238" s="51"/>
      <c r="BL238" s="51"/>
      <c r="BM238" s="51"/>
      <c r="BN238" s="51"/>
      <c r="BO238" s="51"/>
      <c r="BP238" s="51"/>
      <c r="BQ238" s="51"/>
      <c r="BR238" s="51"/>
      <c r="BS238" s="175"/>
      <c r="CG238" s="584"/>
      <c r="CH238" s="581"/>
      <c r="CI238" s="581"/>
      <c r="CJ238" s="581"/>
      <c r="CK238" s="581"/>
      <c r="CL238" s="581"/>
      <c r="CM238" s="581"/>
      <c r="CN238" s="581"/>
      <c r="CO238" s="581"/>
      <c r="CP238" s="581"/>
      <c r="CQ238" s="581"/>
      <c r="CR238" s="581"/>
      <c r="CS238" s="581"/>
      <c r="CT238" s="581"/>
      <c r="CU238" s="581"/>
      <c r="CV238" s="581"/>
    </row>
    <row r="239">
      <c r="BC239" s="176"/>
      <c r="BD239" s="177"/>
      <c r="BE239" s="51"/>
      <c r="BF239" s="51"/>
      <c r="BG239" s="51"/>
      <c r="BH239" s="51"/>
      <c r="BI239" s="51"/>
      <c r="BJ239" s="51"/>
      <c r="BK239" s="51"/>
      <c r="BL239" s="51"/>
      <c r="BM239" s="51"/>
      <c r="BN239" s="51"/>
      <c r="BO239" s="51"/>
      <c r="BP239" s="51"/>
      <c r="BQ239" s="51"/>
      <c r="BR239" s="51"/>
      <c r="BS239" s="175"/>
      <c r="BZ239" s="23"/>
      <c r="CG239" s="584"/>
      <c r="CH239" s="581"/>
      <c r="CI239" s="581"/>
      <c r="CJ239" s="581"/>
      <c r="CK239" s="581"/>
      <c r="CL239" s="581"/>
      <c r="CM239" s="581"/>
      <c r="CN239" s="581"/>
      <c r="CO239" s="581"/>
      <c r="CP239" s="581"/>
      <c r="CQ239" s="581"/>
      <c r="CR239" s="581"/>
      <c r="CS239" s="581"/>
      <c r="CT239" s="581"/>
      <c r="CU239" s="581"/>
      <c r="CV239" s="581"/>
    </row>
    <row r="240">
      <c r="X240" s="1221" t="s">
        <v>84</v>
      </c>
      <c r="Y240" s="1222"/>
      <c r="Z240" s="1222"/>
      <c r="AA240" s="1222"/>
      <c r="AB240" s="1222"/>
      <c r="AC240" s="1222"/>
      <c r="AD240" s="1222"/>
      <c r="AE240" s="1222"/>
      <c r="AF240" s="1222"/>
      <c r="AG240" s="610"/>
      <c r="AH240" s="1221" t="s">
        <v>84</v>
      </c>
      <c r="AI240" s="1222"/>
      <c r="AJ240" s="1222"/>
      <c r="AK240" s="1222"/>
      <c r="AL240" s="1222"/>
      <c r="AM240" s="1222"/>
      <c r="AN240" s="1222"/>
      <c r="AO240" s="1222"/>
      <c r="AP240" s="1222"/>
      <c r="AQ240" s="1222"/>
      <c r="AR240" s="1222"/>
      <c r="AS240" s="1222"/>
      <c r="AT240" s="610"/>
      <c r="AU240" s="538"/>
      <c r="AV240" s="578"/>
      <c r="AW240" s="578"/>
      <c r="AX240" s="578"/>
      <c r="AY240" s="578"/>
      <c r="AZ240" s="578"/>
      <c r="BA240" s="578"/>
      <c r="BB240" s="579"/>
      <c r="BC240" s="579"/>
      <c r="BD240" s="579"/>
      <c r="BE240" s="579"/>
      <c r="BF240" s="579"/>
      <c r="BH240" s="1221" t="s">
        <v>84</v>
      </c>
      <c r="BI240" s="1222"/>
      <c r="BJ240" s="1222"/>
      <c r="BK240" s="1222"/>
      <c r="BL240" s="1222"/>
      <c r="BM240" s="1222"/>
      <c r="BN240" s="1222"/>
      <c r="BO240" s="1222"/>
      <c r="BP240" s="1222"/>
      <c r="BQ240" s="1222"/>
      <c r="BR240" s="1222"/>
      <c r="BS240" s="1222"/>
      <c r="BT240" s="1222"/>
      <c r="BU240" s="1222"/>
      <c r="BV240" s="1222"/>
      <c r="BW240" s="1222"/>
      <c r="BY240" s="1221" t="s">
        <v>84</v>
      </c>
      <c r="BZ240" s="1222"/>
      <c r="CA240" s="1222"/>
      <c r="CB240" s="1222"/>
      <c r="CC240" s="1222"/>
      <c r="CD240" s="1222"/>
      <c r="CE240" s="1222"/>
      <c r="CF240" s="1222"/>
      <c r="CG240" s="1222"/>
      <c r="CH240" s="1222"/>
      <c r="CI240" s="1222"/>
      <c r="CJ240" s="1222"/>
      <c r="CK240" s="1222"/>
      <c r="CL240" s="1222"/>
      <c r="CM240" s="1222"/>
      <c r="CN240" s="1222"/>
      <c r="CP240" s="610"/>
      <c r="DH240" s="1568"/>
      <c r="DI240" s="1569"/>
      <c r="DJ240" s="1569"/>
      <c r="DK240" s="1569"/>
      <c r="DL240" s="1569"/>
      <c r="DM240" s="535"/>
      <c r="DN240" s="535"/>
      <c r="DO240" s="535"/>
      <c r="DP240" s="535"/>
      <c r="DQ240" s="535"/>
      <c r="DR240" s="535"/>
      <c r="DS240" s="535"/>
      <c r="DT240" s="535"/>
      <c r="DU240" s="535"/>
      <c r="DV240" s="535"/>
      <c r="DW240" s="535"/>
    </row>
    <row r="241">
      <c r="X241" s="1052" t="s">
        <v>57</v>
      </c>
      <c r="AG241" s="610"/>
      <c r="AH241" s="1224" t="s">
        <v>58</v>
      </c>
      <c r="AI241" s="1100"/>
      <c r="AJ241" s="1100"/>
      <c r="AK241" s="1100"/>
      <c r="AL241" s="1101" t="s">
        <v>59</v>
      </c>
      <c r="AM241" s="1101"/>
      <c r="AN241" s="1101"/>
      <c r="AO241" s="1101"/>
      <c r="AP241" s="1101"/>
      <c r="AQ241" s="1101"/>
      <c r="AR241" s="1101"/>
      <c r="AS241" s="1101"/>
      <c r="AT241" s="610"/>
      <c r="AU241" s="541"/>
      <c r="AV241" s="578"/>
      <c r="AW241" s="578"/>
      <c r="AX241" s="578"/>
      <c r="AY241" s="542"/>
      <c r="AZ241" s="582"/>
      <c r="BA241" s="582"/>
      <c r="BB241" s="583"/>
      <c r="BC241" s="583"/>
      <c r="BD241" s="583"/>
      <c r="BE241" s="583"/>
      <c r="BF241" s="579"/>
      <c r="BH241" s="1224" t="s">
        <v>58</v>
      </c>
      <c r="BI241" s="1052"/>
      <c r="BJ241" s="1052" t="s">
        <v>44</v>
      </c>
      <c r="BY241" s="1224" t="s">
        <v>58</v>
      </c>
      <c r="BZ241" s="1052"/>
      <c r="CA241" s="1052" t="s">
        <v>44</v>
      </c>
      <c r="CP241" s="610"/>
      <c r="DH241" s="1570"/>
      <c r="DI241" s="535"/>
      <c r="DJ241" s="535"/>
    </row>
    <row r="242">
      <c r="X242" s="1100"/>
      <c r="Y242" s="1103" t="str">
        <f>$F$75</f>
        <v>#DIV/0!</v>
      </c>
      <c r="Z242" s="681">
        <v>64.0</v>
      </c>
      <c r="AA242" s="681">
        <f t="shared" ref="AA242:AF242" si="16">Z242+10</f>
        <v>74</v>
      </c>
      <c r="AB242" s="681">
        <f t="shared" si="16"/>
        <v>84</v>
      </c>
      <c r="AC242" s="681">
        <f t="shared" si="16"/>
        <v>94</v>
      </c>
      <c r="AD242" s="681">
        <f t="shared" si="16"/>
        <v>104</v>
      </c>
      <c r="AE242" s="681">
        <f t="shared" si="16"/>
        <v>114</v>
      </c>
      <c r="AF242" s="681">
        <f t="shared" si="16"/>
        <v>124</v>
      </c>
      <c r="AG242" s="610"/>
      <c r="AH242" s="1100"/>
      <c r="AI242" s="683" t="str">
        <f>$F$75</f>
        <v>#DIV/0!</v>
      </c>
      <c r="AJ242" s="684">
        <f t="shared" ref="AJ242:AL242" si="17">AK242-0.05</f>
        <v>0.7</v>
      </c>
      <c r="AK242" s="684">
        <f t="shared" si="17"/>
        <v>0.75</v>
      </c>
      <c r="AL242" s="684">
        <f t="shared" si="17"/>
        <v>0.8</v>
      </c>
      <c r="AM242" s="684">
        <v>0.85</v>
      </c>
      <c r="AN242" s="684">
        <v>0.9</v>
      </c>
      <c r="AO242" s="684">
        <f t="shared" ref="AO242:AS242" si="18">AN242+0.02</f>
        <v>0.92</v>
      </c>
      <c r="AP242" s="684">
        <f t="shared" si="18"/>
        <v>0.94</v>
      </c>
      <c r="AQ242" s="684">
        <f t="shared" si="18"/>
        <v>0.96</v>
      </c>
      <c r="AR242" s="684">
        <f t="shared" si="18"/>
        <v>0.98</v>
      </c>
      <c r="AS242" s="684">
        <f t="shared" si="18"/>
        <v>1</v>
      </c>
      <c r="AT242" s="610"/>
      <c r="AU242" s="578"/>
      <c r="AV242" s="545"/>
      <c r="AW242" s="546"/>
      <c r="AX242" s="546"/>
      <c r="AY242" s="546"/>
      <c r="AZ242" s="546"/>
      <c r="BA242" s="546"/>
      <c r="BB242" s="546"/>
      <c r="BC242" s="546"/>
      <c r="BD242" s="546"/>
      <c r="BE242" s="546"/>
      <c r="BF242" s="546"/>
      <c r="BH242" s="1224" t="s">
        <v>63</v>
      </c>
      <c r="BI242" s="1052"/>
      <c r="BJ242" s="1052"/>
      <c r="BK242" s="1052"/>
      <c r="BL242" s="1052"/>
      <c r="BM242" s="1052"/>
      <c r="BN242" s="1052"/>
      <c r="BO242" s="1052"/>
      <c r="BP242" s="1052"/>
      <c r="BQ242" s="1052"/>
      <c r="BR242" s="1052"/>
      <c r="BS242" s="1052"/>
      <c r="BT242" s="1052"/>
      <c r="BU242" s="1052"/>
      <c r="BV242" s="1052"/>
      <c r="BW242" s="1052"/>
      <c r="BY242" s="1224" t="s">
        <v>63</v>
      </c>
      <c r="BZ242" s="1052"/>
      <c r="CA242" s="1052"/>
      <c r="CB242" s="1052"/>
      <c r="CC242" s="1052"/>
      <c r="CD242" s="1052"/>
      <c r="CE242" s="1052"/>
      <c r="CF242" s="1052"/>
      <c r="CG242" s="1052"/>
      <c r="CH242" s="1052"/>
      <c r="CI242" s="1052"/>
      <c r="CJ242" s="1052"/>
      <c r="CK242" s="1052"/>
      <c r="CL242" s="1052"/>
      <c r="CM242" s="1052"/>
      <c r="CN242" s="1052"/>
      <c r="CP242" s="610"/>
      <c r="DH242" s="1570"/>
      <c r="DI242" s="1569"/>
      <c r="DJ242" s="535"/>
      <c r="DK242" s="535"/>
      <c r="DL242" s="535"/>
      <c r="DM242" s="535"/>
      <c r="DN242" s="535"/>
      <c r="DO242" s="535"/>
      <c r="DP242" s="535"/>
      <c r="DQ242" s="535"/>
      <c r="DR242" s="535"/>
      <c r="DS242" s="535"/>
      <c r="DT242" s="535"/>
      <c r="DU242" s="535"/>
      <c r="DV242" s="535"/>
      <c r="DW242" s="535"/>
    </row>
    <row r="243">
      <c r="X243" s="1225" t="s">
        <v>66</v>
      </c>
      <c r="Y243" s="1062">
        <v>524288.0</v>
      </c>
      <c r="Z243" s="590">
        <v>0.16539875475390206</v>
      </c>
      <c r="AA243" s="590">
        <v>0.1963612210589266</v>
      </c>
      <c r="AB243" s="590">
        <v>0.2273236873639511</v>
      </c>
      <c r="AC243" s="590">
        <v>0.25828615366897567</v>
      </c>
      <c r="AD243" s="590">
        <v>0.2892486199740002</v>
      </c>
      <c r="AE243" s="590">
        <v>0.3202110862790248</v>
      </c>
      <c r="AF243" s="590">
        <v>0.35117355258404925</v>
      </c>
      <c r="AG243" s="610"/>
      <c r="AH243" s="1225" t="s">
        <v>66</v>
      </c>
      <c r="AI243" s="1062">
        <v>524288.0</v>
      </c>
      <c r="AJ243" s="704">
        <v>0.12128441582415604</v>
      </c>
      <c r="AK243" s="705">
        <v>0.1303921972896078</v>
      </c>
      <c r="AL243" s="706">
        <v>0.13932284001453119</v>
      </c>
      <c r="AM243" s="1144">
        <v>0.14811102589970318</v>
      </c>
      <c r="AN243" s="1234">
        <v>0.15679143684590108</v>
      </c>
      <c r="AO243" s="709">
        <v>0.16024119298724165</v>
      </c>
      <c r="AP243" s="710">
        <v>0.16368147388412035</v>
      </c>
      <c r="AQ243" s="711">
        <v>0.16711449917818702</v>
      </c>
      <c r="AR243" s="712">
        <v>0.17054248851109147</v>
      </c>
      <c r="AS243" s="1141">
        <v>0.17396766152448315</v>
      </c>
      <c r="AT243" s="610"/>
      <c r="AU243" s="588"/>
      <c r="AV243" s="586"/>
      <c r="AW243" s="550"/>
      <c r="AX243" s="550"/>
      <c r="AY243" s="550"/>
      <c r="AZ243" s="550"/>
      <c r="BA243" s="550"/>
      <c r="BB243" s="550"/>
      <c r="BC243" s="550"/>
      <c r="BD243" s="550"/>
      <c r="BE243" s="550"/>
      <c r="BF243" s="550"/>
      <c r="BH243" s="1224" t="s">
        <v>197</v>
      </c>
      <c r="BI243" s="1052"/>
      <c r="BJ243" s="1052"/>
      <c r="BK243" s="1052"/>
      <c r="BL243" s="1052"/>
      <c r="BM243" s="1052"/>
      <c r="BN243" s="1052"/>
      <c r="BO243" s="1052"/>
      <c r="BP243" s="1052"/>
      <c r="BQ243" s="1052"/>
      <c r="BR243" s="1052"/>
      <c r="BS243" s="1052"/>
      <c r="BT243" s="1052"/>
      <c r="BU243" s="1052"/>
      <c r="BV243" s="1052"/>
      <c r="BW243" s="1052"/>
      <c r="BY243" s="1224" t="s">
        <v>197</v>
      </c>
      <c r="BZ243" s="1052"/>
      <c r="CA243" s="1052"/>
      <c r="CB243" s="1052"/>
      <c r="CC243" s="1052"/>
      <c r="CD243" s="1052"/>
      <c r="CE243" s="1052"/>
      <c r="CF243" s="1052"/>
      <c r="CG243" s="1052"/>
      <c r="CH243" s="1052"/>
      <c r="CI243" s="1052"/>
      <c r="CJ243" s="1052"/>
      <c r="CK243" s="1052"/>
      <c r="CL243" s="1052"/>
      <c r="CM243" s="1052"/>
      <c r="CN243" s="1052"/>
      <c r="CP243" s="610"/>
      <c r="DH243" s="1570"/>
      <c r="DI243" s="1569"/>
      <c r="DJ243" s="535"/>
      <c r="DK243" s="535"/>
      <c r="DL243" s="535"/>
      <c r="DM243" s="535"/>
      <c r="DN243" s="535"/>
      <c r="DO243" s="535"/>
      <c r="DP243" s="535"/>
      <c r="DQ243" s="535"/>
      <c r="DR243" s="535"/>
      <c r="DS243" s="535"/>
      <c r="DT243" s="535"/>
      <c r="DU243" s="535"/>
      <c r="DV243" s="535"/>
      <c r="DW243" s="535"/>
    </row>
    <row r="244">
      <c r="Y244" s="1062">
        <v>1000000.0</v>
      </c>
      <c r="Z244" s="591">
        <v>0.11072198073019211</v>
      </c>
      <c r="AA244" s="591">
        <v>0.13314120109401203</v>
      </c>
      <c r="AB244" s="591">
        <v>0.15556042145783192</v>
      </c>
      <c r="AC244" s="591">
        <v>0.17797964182165174</v>
      </c>
      <c r="AD244" s="591">
        <v>0.20039886218547157</v>
      </c>
      <c r="AE244" s="591">
        <v>0.22281808254929156</v>
      </c>
      <c r="AF244" s="591">
        <v>0.24523730291311133</v>
      </c>
      <c r="AG244" s="610"/>
      <c r="AI244" s="1077">
        <v>1000000.0</v>
      </c>
      <c r="AJ244" s="1571">
        <v>0.07877978736849219</v>
      </c>
      <c r="AK244" s="1572">
        <v>0.08537452558113712</v>
      </c>
      <c r="AL244" s="1573">
        <v>0.09184100164503228</v>
      </c>
      <c r="AM244" s="1574">
        <v>0.09820432793877494</v>
      </c>
      <c r="AN244" s="1575">
        <v>0.10448961684096243</v>
      </c>
      <c r="AO244" s="1576">
        <v>0.10698750710500786</v>
      </c>
      <c r="AP244" s="1577">
        <v>0.10947853655921014</v>
      </c>
      <c r="AQ244" s="1578">
        <v>0.11196431239579974</v>
      </c>
      <c r="AR244" s="1579">
        <v>0.11444644180700671</v>
      </c>
      <c r="AS244" s="1580">
        <v>0.11692653198506135</v>
      </c>
      <c r="AT244" s="610"/>
      <c r="AV244" s="586"/>
      <c r="AW244" s="554"/>
      <c r="AX244" s="554"/>
      <c r="AY244" s="554"/>
      <c r="AZ244" s="554"/>
      <c r="BA244" s="554"/>
      <c r="BB244" s="554"/>
      <c r="BC244" s="554"/>
      <c r="BD244" s="554"/>
      <c r="BE244" s="554"/>
      <c r="BF244" s="554"/>
      <c r="BH244" s="1100"/>
      <c r="BI244" s="1054">
        <f>F74</f>
        <v>-985</v>
      </c>
      <c r="BJ244" s="1062">
        <v>1.0</v>
      </c>
      <c r="BK244" s="1056">
        <f t="shared" ref="BK244:BN244" si="19">BJ244+1</f>
        <v>2</v>
      </c>
      <c r="BL244" s="1056">
        <f t="shared" si="19"/>
        <v>3</v>
      </c>
      <c r="BM244" s="1056">
        <f t="shared" si="19"/>
        <v>4</v>
      </c>
      <c r="BN244" s="1056">
        <f t="shared" si="19"/>
        <v>5</v>
      </c>
      <c r="BO244" s="1062">
        <v>10.0</v>
      </c>
      <c r="BP244" s="1062">
        <v>15.0</v>
      </c>
      <c r="BQ244" s="1062">
        <v>20.0</v>
      </c>
      <c r="BR244" s="1062">
        <v>25.0</v>
      </c>
      <c r="BS244" s="1062">
        <v>30.0</v>
      </c>
      <c r="BT244" s="1062">
        <v>35.0</v>
      </c>
      <c r="BU244" s="1062">
        <v>40.0</v>
      </c>
      <c r="BV244" s="1062">
        <v>45.0</v>
      </c>
      <c r="BW244" s="1062">
        <v>50.0</v>
      </c>
      <c r="BY244" s="1100"/>
      <c r="BZ244" s="1054" t="str">
        <f>$F$75</f>
        <v>#DIV/0!</v>
      </c>
      <c r="CA244" s="1062">
        <v>1.0</v>
      </c>
      <c r="CB244" s="1056">
        <f t="shared" ref="CB244:CE244" si="20">CA244+1</f>
        <v>2</v>
      </c>
      <c r="CC244" s="1056">
        <f t="shared" si="20"/>
        <v>3</v>
      </c>
      <c r="CD244" s="1056">
        <f t="shared" si="20"/>
        <v>4</v>
      </c>
      <c r="CE244" s="1056">
        <f t="shared" si="20"/>
        <v>5</v>
      </c>
      <c r="CF244" s="1062">
        <v>10.0</v>
      </c>
      <c r="CG244" s="1062">
        <v>15.0</v>
      </c>
      <c r="CH244" s="1062">
        <v>20.0</v>
      </c>
      <c r="CI244" s="1062">
        <v>25.0</v>
      </c>
      <c r="CJ244" s="1062">
        <v>30.0</v>
      </c>
      <c r="CK244" s="1062">
        <v>35.0</v>
      </c>
      <c r="CL244" s="1062">
        <v>40.0</v>
      </c>
      <c r="CM244" s="1062">
        <v>45.0</v>
      </c>
      <c r="CN244" s="1062">
        <v>50.0</v>
      </c>
      <c r="CP244" s="610"/>
      <c r="DH244" s="535"/>
      <c r="DI244" s="544"/>
      <c r="DJ244" s="543"/>
      <c r="DK244" s="543"/>
      <c r="DL244" s="543"/>
      <c r="DM244" s="543"/>
      <c r="DN244" s="543"/>
      <c r="DO244" s="543"/>
      <c r="DP244" s="543"/>
      <c r="DQ244" s="543"/>
      <c r="DR244" s="543"/>
      <c r="DS244" s="543"/>
      <c r="DT244" s="543"/>
      <c r="DU244" s="543"/>
      <c r="DV244" s="543"/>
      <c r="DW244" s="543"/>
    </row>
    <row r="245">
      <c r="Y245" s="1056">
        <f t="shared" ref="Y245:Y262" si="21">Y244+500000</f>
        <v>1500000</v>
      </c>
      <c r="Z245" s="590">
        <v>0.08439235775613968</v>
      </c>
      <c r="AA245" s="590">
        <v>0.10269757453026383</v>
      </c>
      <c r="AB245" s="590">
        <v>0.12100279130438803</v>
      </c>
      <c r="AC245" s="590">
        <v>0.1393080080785122</v>
      </c>
      <c r="AD245" s="590">
        <v>0.15761322485263637</v>
      </c>
      <c r="AE245" s="590">
        <v>0.1759184416267606</v>
      </c>
      <c r="AF245" s="590">
        <v>0.1942236584008848</v>
      </c>
      <c r="AG245" s="610"/>
      <c r="AI245" s="1056">
        <f t="shared" ref="AI245:AI262" si="22">AI244+500000</f>
        <v>1500000</v>
      </c>
      <c r="AJ245" s="751">
        <v>0.05831166608897934</v>
      </c>
      <c r="AK245" s="752">
        <v>0.0636962472917174</v>
      </c>
      <c r="AL245" s="753">
        <v>0.06897610288853877</v>
      </c>
      <c r="AM245" s="1156">
        <v>0.07417173705070712</v>
      </c>
      <c r="AN245" s="1154">
        <v>0.07930365394948621</v>
      </c>
      <c r="AO245" s="756">
        <v>0.08134317280961191</v>
      </c>
      <c r="AP245" s="757">
        <v>0.08337708984195841</v>
      </c>
      <c r="AQ245" s="758">
        <v>0.08540671731348651</v>
      </c>
      <c r="AR245" s="759">
        <v>0.08743336749115717</v>
      </c>
      <c r="AS245" s="1159">
        <v>0.08945835264193124</v>
      </c>
      <c r="AT245" s="610"/>
      <c r="AV245" s="587"/>
      <c r="AW245" s="550"/>
      <c r="AX245" s="550"/>
      <c r="AY245" s="550"/>
      <c r="AZ245" s="550"/>
      <c r="BA245" s="550"/>
      <c r="BB245" s="550"/>
      <c r="BC245" s="550"/>
      <c r="BD245" s="550"/>
      <c r="BE245" s="550"/>
      <c r="BF245" s="550"/>
      <c r="BH245" s="1225" t="s">
        <v>66</v>
      </c>
      <c r="BI245" s="1062">
        <v>524288.0</v>
      </c>
      <c r="BJ245" s="1266">
        <v>2086.829472779792</v>
      </c>
      <c r="BK245" s="1266">
        <v>4569.351880364271</v>
      </c>
      <c r="BL245" s="1266">
        <v>7051.891525903044</v>
      </c>
      <c r="BM245" s="1266">
        <v>9534.448392562168</v>
      </c>
      <c r="BN245" s="1266">
        <v>12017.022463524145</v>
      </c>
      <c r="BO245" s="1266">
        <v>24430.150295413037</v>
      </c>
      <c r="BP245" s="1266">
        <v>36843.705721672784</v>
      </c>
      <c r="BQ245" s="1266">
        <v>49257.686658514125</v>
      </c>
      <c r="BR245" s="1266">
        <v>61672.09103230269</v>
      </c>
      <c r="BS245" s="1266">
        <v>74086.91677950954</v>
      </c>
      <c r="BT245" s="1266">
        <v>86502.16184666188</v>
      </c>
      <c r="BU245" s="1266">
        <v>98917.8241902941</v>
      </c>
      <c r="BV245" s="1266">
        <v>111333.90177689893</v>
      </c>
      <c r="BW245" s="1266">
        <v>123750.39258287902</v>
      </c>
      <c r="BY245" s="1225" t="s">
        <v>66</v>
      </c>
      <c r="BZ245" s="1062">
        <v>524288.0</v>
      </c>
      <c r="CA245" s="1073">
        <v>0.16539875475390206</v>
      </c>
      <c r="CB245" s="1073">
        <v>0.18107974822636638</v>
      </c>
      <c r="CC245" s="1073">
        <v>0.18630720146805158</v>
      </c>
      <c r="CD245" s="1073">
        <v>0.1889212693184842</v>
      </c>
      <c r="CE245" s="1073">
        <v>0.19048998274583015</v>
      </c>
      <c r="CF245" s="1073">
        <v>0.1936294503225265</v>
      </c>
      <c r="CG245" s="1073">
        <v>0.194678198877663</v>
      </c>
      <c r="CH245" s="1073">
        <v>0.19520425941951994</v>
      </c>
      <c r="CI245" s="1073">
        <v>0.19552123818194778</v>
      </c>
      <c r="CJ245" s="1073">
        <v>0.19573367060292798</v>
      </c>
      <c r="CK245" s="1073">
        <v>0.19588635760722503</v>
      </c>
      <c r="CL245" s="1073">
        <v>0.19600169967704997</v>
      </c>
      <c r="CM245" s="1073">
        <v>0.19609214154228197</v>
      </c>
      <c r="CN245" s="1073">
        <v>0.19616515005655724</v>
      </c>
      <c r="CP245" s="610"/>
      <c r="DH245" s="551"/>
      <c r="DI245" s="543"/>
      <c r="DJ245" s="1581"/>
      <c r="DK245" s="1581"/>
      <c r="DL245" s="1581"/>
      <c r="DM245" s="1581"/>
      <c r="DN245" s="1581"/>
      <c r="DO245" s="1581"/>
      <c r="DP245" s="1581"/>
      <c r="DQ245" s="1581"/>
      <c r="DR245" s="1581"/>
      <c r="DS245" s="1581"/>
      <c r="DT245" s="1581"/>
      <c r="DU245" s="1581"/>
      <c r="DV245" s="1581"/>
      <c r="DW245" s="1581"/>
    </row>
    <row r="246">
      <c r="Y246" s="1056">
        <f t="shared" si="21"/>
        <v>2000000</v>
      </c>
      <c r="Z246" s="590">
        <v>0.06869677999004939</v>
      </c>
      <c r="AA246" s="590">
        <v>0.08454956273822195</v>
      </c>
      <c r="AB246" s="590">
        <v>0.1004023454863945</v>
      </c>
      <c r="AC246" s="590">
        <v>0.11625512823456707</v>
      </c>
      <c r="AD246" s="590">
        <v>0.13210791098273966</v>
      </c>
      <c r="AE246" s="590">
        <v>0.14796069373091225</v>
      </c>
      <c r="AF246" s="590">
        <v>0.1638134764790848</v>
      </c>
      <c r="AG246" s="610"/>
      <c r="AI246" s="1056">
        <f t="shared" si="22"/>
        <v>2000000</v>
      </c>
      <c r="AJ246" s="740">
        <v>0.04611023845801945</v>
      </c>
      <c r="AK246" s="766">
        <v>0.05077342256833076</v>
      </c>
      <c r="AL246" s="775">
        <v>0.05534591164349148</v>
      </c>
      <c r="AM246" s="799">
        <v>0.059845462816699564</v>
      </c>
      <c r="AN246" s="752">
        <v>0.06428983322115293</v>
      </c>
      <c r="AO246" s="778">
        <v>0.06605610836551928</v>
      </c>
      <c r="AP246" s="779">
        <v>0.06781753218472117</v>
      </c>
      <c r="AQ246" s="780">
        <v>0.06957524113528328</v>
      </c>
      <c r="AR246" s="781">
        <v>0.07133037167373033</v>
      </c>
      <c r="AS246" s="1165">
        <v>0.07308406025658692</v>
      </c>
      <c r="AT246" s="610"/>
      <c r="AV246" s="587"/>
      <c r="AW246" s="550"/>
      <c r="AX246" s="550"/>
      <c r="AY246" s="550"/>
      <c r="AZ246" s="550"/>
      <c r="BA246" s="550"/>
      <c r="BB246" s="550"/>
      <c r="BC246" s="550"/>
      <c r="BD246" s="550"/>
      <c r="BE246" s="550"/>
      <c r="BF246" s="550"/>
      <c r="BI246" s="1062">
        <v>1000000.0</v>
      </c>
      <c r="BJ246" s="1281">
        <v>1396.9748019936046</v>
      </c>
      <c r="BK246" s="1281">
        <v>3189.642538791897</v>
      </c>
      <c r="BL246" s="1281">
        <v>4982.327513544482</v>
      </c>
      <c r="BM246" s="1281">
        <v>6775.029709417418</v>
      </c>
      <c r="BN246" s="1281">
        <v>8567.749109593207</v>
      </c>
      <c r="BO246" s="1281">
        <v>17531.603587551162</v>
      </c>
      <c r="BP246" s="1281">
        <v>26495.885659879972</v>
      </c>
      <c r="BQ246" s="1281">
        <v>35460.593242790375</v>
      </c>
      <c r="BR246" s="1281">
        <v>44425.72426264801</v>
      </c>
      <c r="BS246" s="1281">
        <v>53391.276655923924</v>
      </c>
      <c r="BT246" s="1281">
        <v>62357.24836914533</v>
      </c>
      <c r="BU246" s="1281">
        <v>71323.6373588466</v>
      </c>
      <c r="BV246" s="1281">
        <v>80290.4415915205</v>
      </c>
      <c r="BW246" s="1281">
        <v>89257.65904356966</v>
      </c>
      <c r="BZ246" s="1062">
        <v>1000000.0</v>
      </c>
      <c r="CA246" s="1075">
        <v>0.11072198073019211</v>
      </c>
      <c r="CB246" s="1075">
        <v>0.12640297420265648</v>
      </c>
      <c r="CC246" s="1075">
        <v>0.13163042744434164</v>
      </c>
      <c r="CD246" s="1075">
        <v>0.13424449529477422</v>
      </c>
      <c r="CE246" s="1075">
        <v>0.1358132087221202</v>
      </c>
      <c r="CF246" s="1075">
        <v>0.13895267629881655</v>
      </c>
      <c r="CG246" s="1075">
        <v>0.14000142485395306</v>
      </c>
      <c r="CH246" s="1075">
        <v>0.14052748539581</v>
      </c>
      <c r="CI246" s="1075">
        <v>0.14084446415823781</v>
      </c>
      <c r="CJ246" s="1075">
        <v>0.14105689657921805</v>
      </c>
      <c r="CK246" s="1075">
        <v>0.1412095835835151</v>
      </c>
      <c r="CL246" s="1075">
        <v>0.14132492565334004</v>
      </c>
      <c r="CM246" s="1075">
        <v>0.14141536751857203</v>
      </c>
      <c r="CN246" s="1075">
        <v>0.1414883760328473</v>
      </c>
      <c r="CP246" s="610"/>
      <c r="DI246" s="543"/>
      <c r="DJ246" s="1437"/>
      <c r="DK246" s="1437"/>
      <c r="DL246" s="1437"/>
      <c r="DM246" s="1437"/>
      <c r="DN246" s="1437"/>
      <c r="DO246" s="1437"/>
      <c r="DP246" s="1437"/>
      <c r="DQ246" s="1437"/>
      <c r="DR246" s="1437"/>
      <c r="DS246" s="1437"/>
      <c r="DT246" s="1437"/>
      <c r="DU246" s="1437"/>
      <c r="DV246" s="1437"/>
      <c r="DW246" s="1437"/>
    </row>
    <row r="247">
      <c r="Y247" s="1056">
        <f t="shared" si="21"/>
        <v>2500000</v>
      </c>
      <c r="Z247" s="590">
        <v>0.05798559403681643</v>
      </c>
      <c r="AA247" s="590">
        <v>0.07216475397979635</v>
      </c>
      <c r="AB247" s="590">
        <v>0.08634391392277625</v>
      </c>
      <c r="AC247" s="590">
        <v>0.1005230738657562</v>
      </c>
      <c r="AD247" s="590">
        <v>0.11470223380873606</v>
      </c>
      <c r="AE247" s="590">
        <v>0.12888139375171603</v>
      </c>
      <c r="AF247" s="590">
        <v>0.14306055369469595</v>
      </c>
      <c r="AG247" s="610"/>
      <c r="AI247" s="1056">
        <f t="shared" si="22"/>
        <v>2500000</v>
      </c>
      <c r="AJ247" s="795">
        <v>0.037783577139919935</v>
      </c>
      <c r="AK247" s="714">
        <v>0.04195445580482112</v>
      </c>
      <c r="AL247" s="740">
        <v>0.046044214364194924</v>
      </c>
      <c r="AM247" s="1168">
        <v>0.05006873528080784</v>
      </c>
      <c r="AN247" s="1287">
        <v>0.05404390101742618</v>
      </c>
      <c r="AO247" s="798">
        <v>0.055623705533334754</v>
      </c>
      <c r="AP247" s="715">
        <v>0.057199170892103864</v>
      </c>
      <c r="AQ247" s="751">
        <v>0.05877131357135053</v>
      </c>
      <c r="AR247" s="799">
        <v>0.060341150048691894</v>
      </c>
      <c r="AS247" s="1171">
        <v>0.06190969680174493</v>
      </c>
      <c r="AT247" s="610"/>
      <c r="AV247" s="587"/>
      <c r="AW247" s="550"/>
      <c r="AX247" s="550"/>
      <c r="AY247" s="550"/>
      <c r="AZ247" s="550"/>
      <c r="BA247" s="550"/>
      <c r="BB247" s="550"/>
      <c r="BC247" s="550"/>
      <c r="BD247" s="550"/>
      <c r="BE247" s="550"/>
      <c r="BF247" s="550"/>
      <c r="BI247" s="1056">
        <f t="shared" ref="BI247:BI264" si="23">BI246+500000</f>
        <v>1500000</v>
      </c>
      <c r="BJ247" s="1266">
        <v>1064.775002114904</v>
      </c>
      <c r="BK247" s="1266">
        <v>2525.2429390344955</v>
      </c>
      <c r="BL247" s="1266">
        <v>3985.728113908379</v>
      </c>
      <c r="BM247" s="1266">
        <v>5446.230509902615</v>
      </c>
      <c r="BN247" s="1266">
        <v>6906.750110199703</v>
      </c>
      <c r="BO247" s="1266">
        <v>14209.605588764154</v>
      </c>
      <c r="BP247" s="1266">
        <v>21512.888661699457</v>
      </c>
      <c r="BQ247" s="1266">
        <v>28816.597245216355</v>
      </c>
      <c r="BR247" s="1266">
        <v>36120.729265680486</v>
      </c>
      <c r="BS247" s="1266">
        <v>43425.282659562894</v>
      </c>
      <c r="BT247" s="1266">
        <v>50730.2553733908</v>
      </c>
      <c r="BU247" s="1266">
        <v>58035.64536369857</v>
      </c>
      <c r="BV247" s="1266">
        <v>65341.45059697896</v>
      </c>
      <c r="BW247" s="1266">
        <v>72647.66904963461</v>
      </c>
      <c r="BZ247" s="1056">
        <f t="shared" ref="BZ247:BZ264" si="24">BZ246+500000</f>
        <v>1500000</v>
      </c>
      <c r="CA247" s="1073">
        <v>0.08439235775613968</v>
      </c>
      <c r="CB247" s="1073">
        <v>0.10007335122860403</v>
      </c>
      <c r="CC247" s="1073">
        <v>0.10530080447028918</v>
      </c>
      <c r="CD247" s="1073">
        <v>0.10791487232072178</v>
      </c>
      <c r="CE247" s="1073">
        <v>0.10948358574806774</v>
      </c>
      <c r="CF247" s="1073">
        <v>0.11262305332476409</v>
      </c>
      <c r="CG247" s="1073">
        <v>0.11367180187990059</v>
      </c>
      <c r="CH247" s="1073">
        <v>0.11419786242175753</v>
      </c>
      <c r="CI247" s="1073">
        <v>0.11451484118418537</v>
      </c>
      <c r="CJ247" s="1073">
        <v>0.11472727360516558</v>
      </c>
      <c r="CK247" s="1073">
        <v>0.11487996060946264</v>
      </c>
      <c r="CL247" s="1073">
        <v>0.11499530267928759</v>
      </c>
      <c r="CM247" s="1073">
        <v>0.11508574454451956</v>
      </c>
      <c r="CN247" s="1073">
        <v>0.11515875305879485</v>
      </c>
      <c r="CP247" s="610"/>
      <c r="DI247" s="543"/>
      <c r="DJ247" s="1581"/>
      <c r="DK247" s="1581"/>
      <c r="DL247" s="1581"/>
      <c r="DM247" s="1581"/>
      <c r="DN247" s="1581"/>
      <c r="DO247" s="1581"/>
      <c r="DP247" s="1581"/>
      <c r="DQ247" s="1581"/>
      <c r="DR247" s="1581"/>
      <c r="DS247" s="1581"/>
      <c r="DT247" s="1581"/>
      <c r="DU247" s="1581"/>
      <c r="DV247" s="1581"/>
      <c r="DW247" s="1581"/>
    </row>
    <row r="248">
      <c r="Y248" s="1056">
        <f t="shared" si="21"/>
        <v>3000000</v>
      </c>
      <c r="Z248" s="590">
        <v>0.05007892503901177</v>
      </c>
      <c r="AA248" s="590">
        <v>0.06302266795108474</v>
      </c>
      <c r="AB248" s="590">
        <v>0.07596641086315765</v>
      </c>
      <c r="AC248" s="590">
        <v>0.08891015377523062</v>
      </c>
      <c r="AD248" s="590">
        <v>0.10185389668730356</v>
      </c>
      <c r="AE248" s="590">
        <v>0.11479763959937647</v>
      </c>
      <c r="AF248" s="590">
        <v>0.12774138251144945</v>
      </c>
      <c r="AG248" s="610"/>
      <c r="AI248" s="1056">
        <f t="shared" si="22"/>
        <v>3000000</v>
      </c>
      <c r="AJ248" s="764">
        <v>0.03163709110312723</v>
      </c>
      <c r="AK248" s="739">
        <v>0.035444564985432934</v>
      </c>
      <c r="AL248" s="795">
        <v>0.03917798668163105</v>
      </c>
      <c r="AM248" s="714">
        <v>0.04285185483026478</v>
      </c>
      <c r="AN248" s="740">
        <v>0.046480668069877315</v>
      </c>
      <c r="AO248" s="813">
        <v>0.047922825686230054</v>
      </c>
      <c r="AP248" s="814">
        <v>0.04936102221217308</v>
      </c>
      <c r="AQ248" s="766">
        <v>0.050796185560573116</v>
      </c>
      <c r="AR248" s="815">
        <v>0.05222924364429695</v>
      </c>
      <c r="AS248" s="1176">
        <v>0.05366112437621135</v>
      </c>
      <c r="AT248" s="610"/>
      <c r="AV248" s="587"/>
      <c r="AW248" s="550"/>
      <c r="AX248" s="550"/>
      <c r="AY248" s="550"/>
      <c r="AZ248" s="550"/>
      <c r="BA248" s="550"/>
      <c r="BB248" s="550"/>
      <c r="BC248" s="550"/>
      <c r="BD248" s="550"/>
      <c r="BE248" s="550"/>
      <c r="BF248" s="550"/>
      <c r="BI248" s="1056">
        <f t="shared" si="23"/>
        <v>2000000</v>
      </c>
      <c r="BJ248" s="1266">
        <v>866.7445252632534</v>
      </c>
      <c r="BK248" s="1266">
        <v>2129.1819853311945</v>
      </c>
      <c r="BL248" s="1266">
        <v>3391.636683353428</v>
      </c>
      <c r="BM248" s="1266">
        <v>4654.108602496013</v>
      </c>
      <c r="BN248" s="1266">
        <v>5916.597725941451</v>
      </c>
      <c r="BO248" s="1266">
        <v>12229.30082024765</v>
      </c>
      <c r="BP248" s="1266">
        <v>18542.431508924703</v>
      </c>
      <c r="BQ248" s="1266">
        <v>24855.987708183347</v>
      </c>
      <c r="BR248" s="1266">
        <v>31169.96734438923</v>
      </c>
      <c r="BS248" s="1266">
        <v>37484.368354013386</v>
      </c>
      <c r="BT248" s="1266">
        <v>43799.18868358304</v>
      </c>
      <c r="BU248" s="1266">
        <v>50114.42628963255</v>
      </c>
      <c r="BV248" s="1266">
        <v>56430.0791386547</v>
      </c>
      <c r="BW248" s="1266">
        <v>62746.1452070521</v>
      </c>
      <c r="BZ248" s="1056">
        <f t="shared" si="24"/>
        <v>2000000</v>
      </c>
      <c r="CA248" s="1073">
        <v>0.06869677999004939</v>
      </c>
      <c r="CB248" s="1073">
        <v>0.08437777346251374</v>
      </c>
      <c r="CC248" s="1073">
        <v>0.0896052267041989</v>
      </c>
      <c r="CD248" s="1073">
        <v>0.0922192945546315</v>
      </c>
      <c r="CE248" s="1073">
        <v>0.09378800798197746</v>
      </c>
      <c r="CF248" s="1073">
        <v>0.09692747555867381</v>
      </c>
      <c r="CG248" s="1073">
        <v>0.09797622411381032</v>
      </c>
      <c r="CH248" s="1073">
        <v>0.09850228465566725</v>
      </c>
      <c r="CI248" s="1073">
        <v>0.0988192634180951</v>
      </c>
      <c r="CJ248" s="1073">
        <v>0.09903169583907531</v>
      </c>
      <c r="CK248" s="1073">
        <v>0.09918438284337237</v>
      </c>
      <c r="CL248" s="1073">
        <v>0.0992997249131973</v>
      </c>
      <c r="CM248" s="1073">
        <v>0.09939016677842928</v>
      </c>
      <c r="CN248" s="1073">
        <v>0.09946317529270458</v>
      </c>
      <c r="CP248" s="610"/>
      <c r="DI248" s="543"/>
      <c r="DJ248" s="1581"/>
      <c r="DK248" s="1581"/>
      <c r="DL248" s="1581"/>
      <c r="DM248" s="1581"/>
      <c r="DN248" s="1581"/>
      <c r="DO248" s="1581"/>
      <c r="DP248" s="1581"/>
      <c r="DQ248" s="1581"/>
      <c r="DR248" s="1581"/>
      <c r="DS248" s="1581"/>
      <c r="DT248" s="1581"/>
      <c r="DU248" s="1581"/>
      <c r="DV248" s="1581"/>
      <c r="DW248" s="1581"/>
    </row>
    <row r="249">
      <c r="Y249" s="1056">
        <f t="shared" si="21"/>
        <v>3500000</v>
      </c>
      <c r="Z249" s="590">
        <v>0.04393386546917295</v>
      </c>
      <c r="AA249" s="590">
        <v>0.05591744282345856</v>
      </c>
      <c r="AB249" s="590">
        <v>0.06790102017774426</v>
      </c>
      <c r="AC249" s="590">
        <v>0.07988459753202984</v>
      </c>
      <c r="AD249" s="590">
        <v>0.09186817488631548</v>
      </c>
      <c r="AE249" s="590">
        <v>0.1038517522406011</v>
      </c>
      <c r="AF249" s="590">
        <v>0.1158353295948867</v>
      </c>
      <c r="AG249" s="610"/>
      <c r="AI249" s="1056">
        <f t="shared" si="22"/>
        <v>3500000</v>
      </c>
      <c r="AJ249" s="831">
        <v>0.02686004493466351</v>
      </c>
      <c r="AK249" s="832">
        <v>0.030385080784261127</v>
      </c>
      <c r="AL249" s="833">
        <v>0.0338415576315283</v>
      </c>
      <c r="AM249" s="856">
        <v>0.037242898607447575</v>
      </c>
      <c r="AN249" s="787">
        <v>0.040602526843001606</v>
      </c>
      <c r="AO249" s="836">
        <v>0.04193770535126106</v>
      </c>
      <c r="AP249" s="714">
        <v>0.04326921660240214</v>
      </c>
      <c r="AQ249" s="837">
        <v>0.04459791967680778</v>
      </c>
      <c r="AR249" s="838">
        <v>0.04592467365486085</v>
      </c>
      <c r="AS249" s="740">
        <v>0.04725033761694424</v>
      </c>
      <c r="AT249" s="610"/>
      <c r="AV249" s="587"/>
      <c r="AW249" s="550"/>
      <c r="AX249" s="550"/>
      <c r="AY249" s="550"/>
      <c r="AZ249" s="550"/>
      <c r="BA249" s="550"/>
      <c r="BB249" s="550"/>
      <c r="BC249" s="550"/>
      <c r="BD249" s="550"/>
      <c r="BE249" s="550"/>
      <c r="BF249" s="550"/>
      <c r="BI249" s="1056">
        <f t="shared" si="23"/>
        <v>2500000</v>
      </c>
      <c r="BJ249" s="1266">
        <v>731.6019205387514</v>
      </c>
      <c r="BK249" s="1266">
        <v>1858.8967758821905</v>
      </c>
      <c r="BL249" s="1266">
        <v>2986.2088691799217</v>
      </c>
      <c r="BM249" s="1266">
        <v>4113.538183598005</v>
      </c>
      <c r="BN249" s="1266">
        <v>5240.884702318941</v>
      </c>
      <c r="BO249" s="1266">
        <v>10877.87477300263</v>
      </c>
      <c r="BP249" s="1266">
        <v>16515.292438057168</v>
      </c>
      <c r="BQ249" s="1266">
        <v>22153.135613693306</v>
      </c>
      <c r="BR249" s="1266">
        <v>27791.402226276678</v>
      </c>
      <c r="BS249" s="1266">
        <v>33430.090212278315</v>
      </c>
      <c r="BT249" s="1266">
        <v>39069.19751822546</v>
      </c>
      <c r="BU249" s="1266">
        <v>44708.72210065247</v>
      </c>
      <c r="BV249" s="1266">
        <v>50348.6619260521</v>
      </c>
      <c r="BW249" s="1266">
        <v>55989.01497082699</v>
      </c>
      <c r="BZ249" s="1056">
        <f t="shared" si="24"/>
        <v>2500000</v>
      </c>
      <c r="CA249" s="1073">
        <v>0.05798559403681643</v>
      </c>
      <c r="CB249" s="1073">
        <v>0.07366658750928079</v>
      </c>
      <c r="CC249" s="1073">
        <v>0.07889404075096594</v>
      </c>
      <c r="CD249" s="1073">
        <v>0.08150810860139854</v>
      </c>
      <c r="CE249" s="1073">
        <v>0.0830768220287445</v>
      </c>
      <c r="CF249" s="1073">
        <v>0.08621628960544085</v>
      </c>
      <c r="CG249" s="1073">
        <v>0.08726503816057735</v>
      </c>
      <c r="CH249" s="1073">
        <v>0.08779109870243429</v>
      </c>
      <c r="CI249" s="1073">
        <v>0.08810807746486214</v>
      </c>
      <c r="CJ249" s="1073">
        <v>0.08832050988584232</v>
      </c>
      <c r="CK249" s="1073">
        <v>0.0884731968901394</v>
      </c>
      <c r="CL249" s="1073">
        <v>0.08858853895996435</v>
      </c>
      <c r="CM249" s="1073">
        <v>0.08867898082519632</v>
      </c>
      <c r="CN249" s="1073">
        <v>0.08875198933947162</v>
      </c>
      <c r="CP249" s="610"/>
      <c r="DI249" s="543"/>
      <c r="DJ249" s="1581"/>
      <c r="DK249" s="1581"/>
      <c r="DL249" s="1581"/>
      <c r="DM249" s="1581"/>
      <c r="DN249" s="1581"/>
      <c r="DO249" s="1581"/>
      <c r="DP249" s="1581"/>
      <c r="DQ249" s="1581"/>
      <c r="DR249" s="1581"/>
      <c r="DS249" s="1581"/>
      <c r="DT249" s="1581"/>
      <c r="DU249" s="1581"/>
      <c r="DV249" s="1581"/>
      <c r="DW249" s="1581"/>
    </row>
    <row r="250">
      <c r="Y250" s="1056">
        <f t="shared" si="21"/>
        <v>4000000</v>
      </c>
      <c r="Z250" s="590">
        <v>0.038980475565968536</v>
      </c>
      <c r="AA250" s="590">
        <v>0.050190085747878484</v>
      </c>
      <c r="AB250" s="590">
        <v>0.061399695929788424</v>
      </c>
      <c r="AC250" s="590">
        <v>0.07260930611169834</v>
      </c>
      <c r="AD250" s="590">
        <v>0.08381891629360826</v>
      </c>
      <c r="AE250" s="590">
        <v>0.09502852647551825</v>
      </c>
      <c r="AF250" s="590">
        <v>0.10623813665742814</v>
      </c>
      <c r="AG250" s="610"/>
      <c r="AI250" s="1056">
        <f t="shared" si="22"/>
        <v>4000000</v>
      </c>
      <c r="AJ250" s="763">
        <v>0.023009378885118566</v>
      </c>
      <c r="AK250" s="852">
        <v>0.02630674799144104</v>
      </c>
      <c r="AL250" s="853">
        <v>0.02953998602338861</v>
      </c>
      <c r="AM250" s="890">
        <v>0.03272164917025994</v>
      </c>
      <c r="AN250" s="739">
        <v>0.035864293621353696</v>
      </c>
      <c r="AO250" s="856">
        <v>0.0371132387533764</v>
      </c>
      <c r="AP250" s="857">
        <v>0.03835875348047754</v>
      </c>
      <c r="AQ250" s="795">
        <v>0.03960164139877234</v>
      </c>
      <c r="AR250" s="787">
        <v>0.04084270610437583</v>
      </c>
      <c r="AS250" s="836">
        <v>0.04208275119340315</v>
      </c>
      <c r="AT250" s="610"/>
      <c r="AV250" s="587"/>
      <c r="AW250" s="550"/>
      <c r="AX250" s="550"/>
      <c r="AY250" s="550"/>
      <c r="AZ250" s="550"/>
      <c r="BA250" s="550"/>
      <c r="BB250" s="550"/>
      <c r="BC250" s="550"/>
      <c r="BD250" s="550"/>
      <c r="BE250" s="550"/>
      <c r="BF250" s="550"/>
      <c r="BI250" s="1056">
        <f t="shared" si="23"/>
        <v>3000000</v>
      </c>
      <c r="BJ250" s="1266">
        <v>631.8437940602099</v>
      </c>
      <c r="BK250" s="1266">
        <v>1659.3805229251075</v>
      </c>
      <c r="BL250" s="1266">
        <v>2686.934489744297</v>
      </c>
      <c r="BM250" s="1266">
        <v>3714.505677683839</v>
      </c>
      <c r="BN250" s="1266">
        <v>4742.094069926233</v>
      </c>
      <c r="BO250" s="1266">
        <v>9880.293508217213</v>
      </c>
      <c r="BP250" s="1266">
        <v>15018.920540879048</v>
      </c>
      <c r="BQ250" s="1266">
        <v>20157.973084122474</v>
      </c>
      <c r="BR250" s="1266">
        <v>25297.44906431314</v>
      </c>
      <c r="BS250" s="1266">
        <v>30437.346417922072</v>
      </c>
      <c r="BT250" s="1266">
        <v>35577.66309147651</v>
      </c>
      <c r="BU250" s="1266">
        <v>40718.397041510805</v>
      </c>
      <c r="BV250" s="1266">
        <v>45859.54623451773</v>
      </c>
      <c r="BW250" s="1266">
        <v>51001.10864689991</v>
      </c>
      <c r="BZ250" s="1056">
        <f t="shared" si="24"/>
        <v>3000000</v>
      </c>
      <c r="CA250" s="1073">
        <v>0.05007892503901177</v>
      </c>
      <c r="CB250" s="1073">
        <v>0.06575991851147613</v>
      </c>
      <c r="CC250" s="1073">
        <v>0.07098737175316128</v>
      </c>
      <c r="CD250" s="1073">
        <v>0.07360143960359389</v>
      </c>
      <c r="CE250" s="1073">
        <v>0.07517015303093984</v>
      </c>
      <c r="CF250" s="1073">
        <v>0.07830962060763619</v>
      </c>
      <c r="CG250" s="1073">
        <v>0.0793583691627727</v>
      </c>
      <c r="CH250" s="1073">
        <v>0.07988442970462963</v>
      </c>
      <c r="CI250" s="1073">
        <v>0.08020140846705748</v>
      </c>
      <c r="CJ250" s="1073">
        <v>0.08041384088803767</v>
      </c>
      <c r="CK250" s="1073">
        <v>0.08056652789233475</v>
      </c>
      <c r="CL250" s="1073">
        <v>0.08068186996215967</v>
      </c>
      <c r="CM250" s="1073">
        <v>0.08077231182739165</v>
      </c>
      <c r="CN250" s="1073">
        <v>0.08084532034166696</v>
      </c>
      <c r="CP250" s="610"/>
      <c r="DI250" s="543"/>
      <c r="DJ250" s="1581"/>
      <c r="DK250" s="1581"/>
      <c r="DL250" s="1581"/>
      <c r="DM250" s="1581"/>
      <c r="DN250" s="1581"/>
      <c r="DO250" s="1581"/>
      <c r="DP250" s="1581"/>
      <c r="DQ250" s="1581"/>
      <c r="DR250" s="1581"/>
      <c r="DS250" s="1581"/>
      <c r="DT250" s="1581"/>
      <c r="DU250" s="1581"/>
      <c r="DV250" s="1581"/>
      <c r="DW250" s="1581"/>
    </row>
    <row r="251">
      <c r="Y251" s="1056">
        <f t="shared" si="21"/>
        <v>4500000</v>
      </c>
      <c r="Z251" s="591">
        <v>0.034877510127281235</v>
      </c>
      <c r="AA251" s="591">
        <v>0.04544603195939629</v>
      </c>
      <c r="AB251" s="591">
        <v>0.05601455379151133</v>
      </c>
      <c r="AC251" s="591">
        <v>0.06658307562362639</v>
      </c>
      <c r="AD251" s="591">
        <v>0.07715159745574142</v>
      </c>
      <c r="AE251" s="591">
        <v>0.08772011928785645</v>
      </c>
      <c r="AF251" s="591">
        <v>0.0982886411199715</v>
      </c>
      <c r="AG251" s="610"/>
      <c r="AI251" s="1056">
        <f t="shared" si="22"/>
        <v>4500000</v>
      </c>
      <c r="AJ251" s="867">
        <v>0.019819815772594594</v>
      </c>
      <c r="AK251" s="868">
        <v>0.022928605179468795</v>
      </c>
      <c r="AL251" s="869">
        <v>0.025976931229575975</v>
      </c>
      <c r="AM251" s="1182">
        <v>0.028976632011714694</v>
      </c>
      <c r="AN251" s="1333">
        <v>0.03193954561468358</v>
      </c>
      <c r="AO251" s="872">
        <v>0.033117062377594486</v>
      </c>
      <c r="AP251" s="873">
        <v>0.03429134492372908</v>
      </c>
      <c r="AQ251" s="874">
        <v>0.03546315089077052</v>
      </c>
      <c r="AR251" s="875">
        <v>0.03663323791640186</v>
      </c>
      <c r="AS251" s="1185">
        <v>0.03780236363830625</v>
      </c>
      <c r="AT251" s="610"/>
      <c r="AV251" s="587"/>
      <c r="AW251" s="554"/>
      <c r="AX251" s="554"/>
      <c r="AY251" s="554"/>
      <c r="AZ251" s="554"/>
      <c r="BA251" s="554"/>
      <c r="BB251" s="554"/>
      <c r="BC251" s="554"/>
      <c r="BD251" s="554"/>
      <c r="BE251" s="554"/>
      <c r="BF251" s="554"/>
      <c r="BI251" s="1056">
        <f t="shared" si="23"/>
        <v>3500000</v>
      </c>
      <c r="BJ251" s="1266">
        <v>554.3118232699363</v>
      </c>
      <c r="BK251" s="1266">
        <v>1504.3165813445603</v>
      </c>
      <c r="BL251" s="1266">
        <v>2454.3385773734767</v>
      </c>
      <c r="BM251" s="1266">
        <v>3404.377794522745</v>
      </c>
      <c r="BN251" s="1266">
        <v>4354.434215974866</v>
      </c>
      <c r="BO251" s="1266">
        <v>9104.97380031448</v>
      </c>
      <c r="BP251" s="1266">
        <v>13855.940979024947</v>
      </c>
      <c r="BQ251" s="1266">
        <v>18607.333668317006</v>
      </c>
      <c r="BR251" s="1266">
        <v>23359.149794556302</v>
      </c>
      <c r="BS251" s="1266">
        <v>28111.38729421387</v>
      </c>
      <c r="BT251" s="1266">
        <v>32864.04411381694</v>
      </c>
      <c r="BU251" s="1266">
        <v>37617.11820989987</v>
      </c>
      <c r="BV251" s="1266">
        <v>42370.60754895543</v>
      </c>
      <c r="BW251" s="1266">
        <v>47124.51010738624</v>
      </c>
      <c r="BZ251" s="1056">
        <f t="shared" si="24"/>
        <v>3500000</v>
      </c>
      <c r="CA251" s="1073">
        <v>0.04393386546917295</v>
      </c>
      <c r="CB251" s="1073">
        <v>0.0596148589416373</v>
      </c>
      <c r="CC251" s="1073">
        <v>0.06484231218332247</v>
      </c>
      <c r="CD251" s="1073">
        <v>0.06745638003375506</v>
      </c>
      <c r="CE251" s="1073">
        <v>0.06902509346110103</v>
      </c>
      <c r="CF251" s="1073">
        <v>0.07216456103779738</v>
      </c>
      <c r="CG251" s="1073">
        <v>0.07321330959293389</v>
      </c>
      <c r="CH251" s="1073">
        <v>0.07373937013479082</v>
      </c>
      <c r="CI251" s="1073">
        <v>0.07405634889721867</v>
      </c>
      <c r="CJ251" s="1073">
        <v>0.07426878131819886</v>
      </c>
      <c r="CK251" s="1073">
        <v>0.07442146832249594</v>
      </c>
      <c r="CL251" s="1073">
        <v>0.07453681039232088</v>
      </c>
      <c r="CM251" s="1073">
        <v>0.07462725225755285</v>
      </c>
      <c r="CN251" s="1073">
        <v>0.07470026077182813</v>
      </c>
      <c r="CP251" s="610"/>
      <c r="DI251" s="543"/>
      <c r="DJ251" s="1581"/>
      <c r="DK251" s="1581"/>
      <c r="DL251" s="1581"/>
      <c r="DM251" s="1581"/>
      <c r="DN251" s="1581"/>
      <c r="DO251" s="1581"/>
      <c r="DP251" s="1581"/>
      <c r="DQ251" s="1581"/>
      <c r="DR251" s="1581"/>
      <c r="DS251" s="1581"/>
      <c r="DT251" s="1581"/>
      <c r="DU251" s="1581"/>
      <c r="DV251" s="1581"/>
      <c r="DW251" s="1581"/>
    </row>
    <row r="252">
      <c r="Y252" s="1056">
        <f t="shared" si="21"/>
        <v>5000000</v>
      </c>
      <c r="Z252" s="590">
        <v>0.0314065233438874</v>
      </c>
      <c r="AA252" s="590">
        <v>0.04143270349109715</v>
      </c>
      <c r="AB252" s="590">
        <v>0.05145888363830693</v>
      </c>
      <c r="AC252" s="590">
        <v>0.06148506378551667</v>
      </c>
      <c r="AD252" s="590">
        <v>0.07151124393272645</v>
      </c>
      <c r="AE252" s="590">
        <v>0.08153742407993624</v>
      </c>
      <c r="AF252" s="590">
        <v>0.09156360422714599</v>
      </c>
      <c r="AG252" s="610"/>
      <c r="AI252" s="1056">
        <f t="shared" si="22"/>
        <v>5000000</v>
      </c>
      <c r="AJ252" s="887">
        <v>0.017121540202446682</v>
      </c>
      <c r="AK252" s="844">
        <v>0.020070796789904602</v>
      </c>
      <c r="AL252" s="763">
        <v>0.02296269280065356</v>
      </c>
      <c r="AM252" s="916">
        <v>0.025808458831817635</v>
      </c>
      <c r="AN252" s="853">
        <v>0.028619325480520902</v>
      </c>
      <c r="AO252" s="853">
        <v>0.02973641596666897</v>
      </c>
      <c r="AP252" s="832">
        <v>0.0308504382053791</v>
      </c>
      <c r="AQ252" s="786">
        <v>0.03196211095486722</v>
      </c>
      <c r="AR252" s="890">
        <v>0.033072152973349284</v>
      </c>
      <c r="AS252" s="890">
        <v>0.034181283019041234</v>
      </c>
      <c r="AT252" s="610"/>
      <c r="AV252" s="587"/>
      <c r="AW252" s="550"/>
      <c r="AX252" s="550"/>
      <c r="AY252" s="550"/>
      <c r="AZ252" s="550"/>
      <c r="BA252" s="550"/>
      <c r="BB252" s="550"/>
      <c r="BC252" s="550"/>
      <c r="BD252" s="550"/>
      <c r="BE252" s="550"/>
      <c r="BF252" s="550"/>
      <c r="BI252" s="1056">
        <f t="shared" si="23"/>
        <v>4000000</v>
      </c>
      <c r="BJ252" s="1266">
        <v>491.81510099680236</v>
      </c>
      <c r="BK252" s="1266">
        <v>1379.3231367982921</v>
      </c>
      <c r="BL252" s="1266">
        <v>2266.8484105540747</v>
      </c>
      <c r="BM252" s="1266">
        <v>3154.3909054302094</v>
      </c>
      <c r="BN252" s="1266">
        <v>4041.950604609196</v>
      </c>
      <c r="BO252" s="1266">
        <v>8480.006577583139</v>
      </c>
      <c r="BP252" s="1266">
        <v>12918.490144927937</v>
      </c>
      <c r="BQ252" s="1266">
        <v>17357.399222854325</v>
      </c>
      <c r="BR252" s="1266">
        <v>21796.73173772795</v>
      </c>
      <c r="BS252" s="1266">
        <v>26236.48562601985</v>
      </c>
      <c r="BT252" s="1266">
        <v>30676.658834257247</v>
      </c>
      <c r="BU252" s="1266">
        <v>35117.24931897451</v>
      </c>
      <c r="BV252" s="1266">
        <v>39558.255046664395</v>
      </c>
      <c r="BW252" s="1266">
        <v>43999.673993729535</v>
      </c>
      <c r="BZ252" s="1056">
        <f t="shared" si="24"/>
        <v>4000000</v>
      </c>
      <c r="CA252" s="1073">
        <v>0.038980475565968536</v>
      </c>
      <c r="CB252" s="1073">
        <v>0.05466146903843288</v>
      </c>
      <c r="CC252" s="1073">
        <v>0.05988892228011805</v>
      </c>
      <c r="CD252" s="1073">
        <v>0.06250299013055066</v>
      </c>
      <c r="CE252" s="1073">
        <v>0.06407170355789661</v>
      </c>
      <c r="CF252" s="1073">
        <v>0.06721117113459296</v>
      </c>
      <c r="CG252" s="1073">
        <v>0.06825991968972947</v>
      </c>
      <c r="CH252" s="1073">
        <v>0.0687859802315864</v>
      </c>
      <c r="CI252" s="1073">
        <v>0.06910295899401425</v>
      </c>
      <c r="CJ252" s="1073">
        <v>0.06931539141499445</v>
      </c>
      <c r="CK252" s="1073">
        <v>0.0694680784192915</v>
      </c>
      <c r="CL252" s="1073">
        <v>0.06958342048911645</v>
      </c>
      <c r="CM252" s="1073">
        <v>0.06967386235434843</v>
      </c>
      <c r="CN252" s="1073">
        <v>0.06974687086862372</v>
      </c>
      <c r="CP252" s="610"/>
      <c r="DI252" s="543"/>
      <c r="DJ252" s="1581"/>
      <c r="DK252" s="1581"/>
      <c r="DL252" s="1581"/>
      <c r="DM252" s="1581"/>
      <c r="DN252" s="1581"/>
      <c r="DO252" s="1581"/>
      <c r="DP252" s="1581"/>
      <c r="DQ252" s="1581"/>
      <c r="DR252" s="1581"/>
      <c r="DS252" s="1581"/>
      <c r="DT252" s="1581"/>
      <c r="DU252" s="1581"/>
      <c r="DV252" s="1581"/>
      <c r="DW252" s="1581"/>
    </row>
    <row r="253">
      <c r="Y253" s="1056">
        <f t="shared" si="21"/>
        <v>5500000</v>
      </c>
      <c r="Z253" s="590">
        <v>0.028420331575513734</v>
      </c>
      <c r="AA253" s="590">
        <v>0.0379799192589151</v>
      </c>
      <c r="AB253" s="590">
        <v>0.04753950694231646</v>
      </c>
      <c r="AC253" s="590">
        <v>0.05709909462571783</v>
      </c>
      <c r="AD253" s="590">
        <v>0.06665868230911921</v>
      </c>
      <c r="AE253" s="590">
        <v>0.07621826999252057</v>
      </c>
      <c r="AF253" s="590">
        <v>0.08577785767592196</v>
      </c>
      <c r="AG253" s="610"/>
      <c r="AI253" s="1056">
        <f t="shared" si="22"/>
        <v>5500000</v>
      </c>
      <c r="AJ253" s="804">
        <v>0.014800134562146029</v>
      </c>
      <c r="AK253" s="821">
        <v>0.017612140384373254</v>
      </c>
      <c r="AL253" s="902">
        <v>0.020369455042610958</v>
      </c>
      <c r="AM253" s="763">
        <v>0.023082786491071813</v>
      </c>
      <c r="AN253" s="822">
        <v>0.025762842683968522</v>
      </c>
      <c r="AO253" s="852">
        <v>0.02682794667131287</v>
      </c>
      <c r="AP253" s="831">
        <v>0.027890125199510597</v>
      </c>
      <c r="AQ253" s="853">
        <v>0.028950063577631316</v>
      </c>
      <c r="AR253" s="853">
        <v>0.030008447114744628</v>
      </c>
      <c r="AS253" s="832">
        <v>0.031065961119920178</v>
      </c>
      <c r="AT253" s="610"/>
      <c r="AV253" s="587"/>
      <c r="AW253" s="550"/>
      <c r="AX253" s="550"/>
      <c r="AY253" s="550"/>
      <c r="AZ253" s="550"/>
      <c r="BA253" s="550"/>
      <c r="BB253" s="550"/>
      <c r="BC253" s="550"/>
      <c r="BD253" s="550"/>
      <c r="BE253" s="550"/>
      <c r="BF253" s="550"/>
      <c r="BI253" s="1056">
        <f t="shared" si="23"/>
        <v>4500000</v>
      </c>
      <c r="BJ253" s="1359">
        <v>440.0481501755022</v>
      </c>
      <c r="BK253" s="1359">
        <v>1275.789235155692</v>
      </c>
      <c r="BL253" s="1359">
        <v>2111.547558090174</v>
      </c>
      <c r="BM253" s="1359">
        <v>2947.3231021450083</v>
      </c>
      <c r="BN253" s="1359">
        <v>3783.1158505026956</v>
      </c>
      <c r="BO253" s="1359">
        <v>7962.337069370138</v>
      </c>
      <c r="BP253" s="1359">
        <v>12141.985882608433</v>
      </c>
      <c r="BQ253" s="1359">
        <v>16322.060206428323</v>
      </c>
      <c r="BR253" s="1359">
        <v>20502.557967195447</v>
      </c>
      <c r="BS253" s="1359">
        <v>24683.477101380842</v>
      </c>
      <c r="BT253" s="1359">
        <v>28864.81555551174</v>
      </c>
      <c r="BU253" s="1359">
        <v>33046.571286122504</v>
      </c>
      <c r="BV253" s="1359">
        <v>37228.74225970588</v>
      </c>
      <c r="BW253" s="1359">
        <v>41411.32645266453</v>
      </c>
      <c r="BZ253" s="1056">
        <f t="shared" si="24"/>
        <v>4500000</v>
      </c>
      <c r="CA253" s="594">
        <v>0.034877510127281235</v>
      </c>
      <c r="CB253" s="594">
        <v>0.050558503599745584</v>
      </c>
      <c r="CC253" s="594">
        <v>0.05578595684143074</v>
      </c>
      <c r="CD253" s="594">
        <v>0.058400024691863346</v>
      </c>
      <c r="CE253" s="594">
        <v>0.05996873811920932</v>
      </c>
      <c r="CF253" s="594">
        <v>0.06310820569590565</v>
      </c>
      <c r="CG253" s="594">
        <v>0.06415695425104216</v>
      </c>
      <c r="CH253" s="594">
        <v>0.0646830147928991</v>
      </c>
      <c r="CI253" s="594">
        <v>0.06499999355532694</v>
      </c>
      <c r="CJ253" s="594">
        <v>0.06521242597630714</v>
      </c>
      <c r="CK253" s="594">
        <v>0.06536511298060421</v>
      </c>
      <c r="CL253" s="594">
        <v>0.06548045505042915</v>
      </c>
      <c r="CM253" s="594">
        <v>0.06557089691566112</v>
      </c>
      <c r="CN253" s="594">
        <v>0.06564390542993642</v>
      </c>
      <c r="CP253" s="610"/>
      <c r="DI253" s="543"/>
      <c r="DJ253" s="1437"/>
      <c r="DK253" s="1437"/>
      <c r="DL253" s="1437"/>
      <c r="DM253" s="1437"/>
      <c r="DN253" s="1437"/>
      <c r="DO253" s="1437"/>
      <c r="DP253" s="1437"/>
      <c r="DQ253" s="1437"/>
      <c r="DR253" s="1437"/>
      <c r="DS253" s="1437"/>
      <c r="DT253" s="1437"/>
      <c r="DU253" s="1437"/>
      <c r="DV253" s="1437"/>
      <c r="DW253" s="1437"/>
    </row>
    <row r="254">
      <c r="Y254" s="1056">
        <f t="shared" si="21"/>
        <v>6000000</v>
      </c>
      <c r="Z254" s="590">
        <v>0.025815664078942313</v>
      </c>
      <c r="AA254" s="590">
        <v>0.034968272466004396</v>
      </c>
      <c r="AB254" s="590">
        <v>0.04412088085306649</v>
      </c>
      <c r="AC254" s="590">
        <v>0.05327348924012858</v>
      </c>
      <c r="AD254" s="590">
        <v>0.06242609762719065</v>
      </c>
      <c r="AE254" s="590">
        <v>0.07157870601425277</v>
      </c>
      <c r="AF254" s="590">
        <v>0.08073131440131487</v>
      </c>
      <c r="AG254" s="610"/>
      <c r="AI254" s="1056">
        <f t="shared" si="22"/>
        <v>6000000</v>
      </c>
      <c r="AJ254" s="843">
        <v>0.012775318245362146</v>
      </c>
      <c r="AK254" s="804">
        <v>0.015467608846731172</v>
      </c>
      <c r="AL254" s="914">
        <v>0.01810753664514186</v>
      </c>
      <c r="AM254" s="902">
        <v>0.020705353726226037</v>
      </c>
      <c r="AN254" s="763">
        <v>0.023271312175615583</v>
      </c>
      <c r="AO254" s="763">
        <v>0.024291071605678432</v>
      </c>
      <c r="AP254" s="822">
        <v>0.025308030121851677</v>
      </c>
      <c r="AQ254" s="916">
        <v>0.026322843857615727</v>
      </c>
      <c r="AR254" s="852">
        <v>0.027336168946451064</v>
      </c>
      <c r="AS254" s="831">
        <v>0.02834866152183809</v>
      </c>
      <c r="AT254" s="610"/>
      <c r="AV254" s="587"/>
      <c r="AW254" s="550"/>
      <c r="AX254" s="550"/>
      <c r="AY254" s="550"/>
      <c r="AZ254" s="550"/>
      <c r="BA254" s="550"/>
      <c r="BB254" s="550"/>
      <c r="BC254" s="550"/>
      <c r="BD254" s="550"/>
      <c r="BE254" s="550"/>
      <c r="BF254" s="550"/>
      <c r="BI254" s="1056">
        <f t="shared" si="23"/>
        <v>5000000</v>
      </c>
      <c r="BJ254" s="1369">
        <v>396.25484876889357</v>
      </c>
      <c r="BK254" s="1369">
        <v>1188.2026323424748</v>
      </c>
      <c r="BL254" s="1369">
        <v>1980.167653870348</v>
      </c>
      <c r="BM254" s="1369">
        <v>2772.1498965185738</v>
      </c>
      <c r="BN254" s="1369">
        <v>3564.149343469652</v>
      </c>
      <c r="BO254" s="1369">
        <v>7524.40405530405</v>
      </c>
      <c r="BP254" s="1369">
        <v>11485.086361509304</v>
      </c>
      <c r="BQ254" s="1369">
        <v>15446.19417829615</v>
      </c>
      <c r="BR254" s="1369">
        <v>19407.72543203023</v>
      </c>
      <c r="BS254" s="1369">
        <v>23369.678059182585</v>
      </c>
      <c r="BT254" s="1369">
        <v>27332.05000628044</v>
      </c>
      <c r="BU254" s="1369">
        <v>31294.839229858153</v>
      </c>
      <c r="BV254" s="1369">
        <v>35258.043696408495</v>
      </c>
      <c r="BW254" s="1369">
        <v>39221.661382334096</v>
      </c>
      <c r="BZ254" s="1056">
        <f t="shared" si="24"/>
        <v>5000000</v>
      </c>
      <c r="CA254" s="577">
        <v>0.0314065233438874</v>
      </c>
      <c r="CB254" s="577">
        <v>0.04708751681635175</v>
      </c>
      <c r="CC254" s="577">
        <v>0.05231497005803691</v>
      </c>
      <c r="CD254" s="577">
        <v>0.054929037908469515</v>
      </c>
      <c r="CE254" s="577">
        <v>0.05649775133581548</v>
      </c>
      <c r="CF254" s="577">
        <v>0.059637218912511815</v>
      </c>
      <c r="CG254" s="577">
        <v>0.06068596746764833</v>
      </c>
      <c r="CH254" s="577">
        <v>0.061212028009505266</v>
      </c>
      <c r="CI254" s="577">
        <v>0.06152900677193311</v>
      </c>
      <c r="CJ254" s="577">
        <v>0.06174143919291331</v>
      </c>
      <c r="CK254" s="577">
        <v>0.061894126197210374</v>
      </c>
      <c r="CL254" s="577">
        <v>0.062009468267035316</v>
      </c>
      <c r="CM254" s="577">
        <v>0.06209991013226729</v>
      </c>
      <c r="CN254" s="577">
        <v>0.062172918646542584</v>
      </c>
      <c r="CP254" s="610"/>
      <c r="DI254" s="543"/>
      <c r="DJ254" s="1581"/>
      <c r="DK254" s="1581"/>
      <c r="DL254" s="1581"/>
      <c r="DM254" s="1581"/>
      <c r="DN254" s="1581"/>
      <c r="DO254" s="1581"/>
      <c r="DP254" s="1581"/>
      <c r="DQ254" s="1581"/>
      <c r="DR254" s="1581"/>
      <c r="DS254" s="1581"/>
      <c r="DT254" s="1581"/>
      <c r="DU254" s="1581"/>
      <c r="DV254" s="1581"/>
      <c r="DW254" s="1581"/>
    </row>
    <row r="255">
      <c r="Y255" s="1056">
        <f t="shared" si="21"/>
        <v>6500000</v>
      </c>
      <c r="Z255" s="590">
        <v>0.02351763728895935</v>
      </c>
      <c r="AA255" s="590">
        <v>0.03231117899008658</v>
      </c>
      <c r="AB255" s="590">
        <v>0.04110472069121385</v>
      </c>
      <c r="AC255" s="590">
        <v>0.0498982623923411</v>
      </c>
      <c r="AD255" s="590">
        <v>0.05869180409346835</v>
      </c>
      <c r="AE255" s="590">
        <v>0.06748534579459561</v>
      </c>
      <c r="AF255" s="590">
        <v>0.07627888749572287</v>
      </c>
      <c r="AG255" s="610"/>
      <c r="AI255" s="1056">
        <f t="shared" si="22"/>
        <v>6500000</v>
      </c>
      <c r="AJ255" s="820">
        <v>0.010988878269093057</v>
      </c>
      <c r="AK255" s="762">
        <v>0.013575547410117099</v>
      </c>
      <c r="AL255" s="804">
        <v>0.016111907997346492</v>
      </c>
      <c r="AM255" s="1192">
        <v>0.01860780991605047</v>
      </c>
      <c r="AN255" s="902">
        <v>0.021073103051498343</v>
      </c>
      <c r="AO255" s="931">
        <v>0.022052856220666103</v>
      </c>
      <c r="AP255" s="932">
        <v>0.023029918358813184</v>
      </c>
      <c r="AQ255" s="763">
        <v>0.024004919858596836</v>
      </c>
      <c r="AR255" s="738">
        <v>0.024978491112674313</v>
      </c>
      <c r="AS255" s="822">
        <v>0.025951262513702788</v>
      </c>
      <c r="AT255" s="610"/>
      <c r="AV255" s="587"/>
      <c r="AW255" s="550"/>
      <c r="AX255" s="550"/>
      <c r="AY255" s="550"/>
      <c r="AZ255" s="550"/>
      <c r="BA255" s="550"/>
      <c r="BB255" s="550"/>
      <c r="BC255" s="550"/>
      <c r="BD255" s="550"/>
      <c r="BE255" s="550"/>
      <c r="BF255" s="550"/>
      <c r="BI255" s="1056">
        <f t="shared" si="23"/>
        <v>5500000</v>
      </c>
      <c r="BJ255" s="1369">
        <v>358.57818667499373</v>
      </c>
      <c r="BK255" s="1369">
        <v>1112.8493081546749</v>
      </c>
      <c r="BL255" s="1369">
        <v>1867.1376675886488</v>
      </c>
      <c r="BM255" s="1369">
        <v>2621.443248142975</v>
      </c>
      <c r="BN255" s="1369">
        <v>3375.766033000153</v>
      </c>
      <c r="BO255" s="1369">
        <v>7147.637434365053</v>
      </c>
      <c r="BP255" s="1369">
        <v>10919.936430100806</v>
      </c>
      <c r="BQ255" s="1369">
        <v>14692.660936418153</v>
      </c>
      <c r="BR255" s="1369">
        <v>18465.808879682736</v>
      </c>
      <c r="BS255" s="1369">
        <v>22239.37819636559</v>
      </c>
      <c r="BT255" s="1369">
        <v>26013.366832993946</v>
      </c>
      <c r="BU255" s="1369">
        <v>29787.772746102164</v>
      </c>
      <c r="BV255" s="1369">
        <v>33562.593902183005</v>
      </c>
      <c r="BW255" s="1369">
        <v>37337.828277639106</v>
      </c>
      <c r="BZ255" s="1056">
        <f t="shared" si="24"/>
        <v>5500000</v>
      </c>
      <c r="CA255" s="577">
        <v>0.028420331575513734</v>
      </c>
      <c r="CB255" s="577">
        <v>0.04410132504797808</v>
      </c>
      <c r="CC255" s="577">
        <v>0.04932877828966325</v>
      </c>
      <c r="CD255" s="577">
        <v>0.05194284614009585</v>
      </c>
      <c r="CE255" s="577">
        <v>0.053511559567441816</v>
      </c>
      <c r="CF255" s="577">
        <v>0.05665102714413816</v>
      </c>
      <c r="CG255" s="577">
        <v>0.05769977569927466</v>
      </c>
      <c r="CH255" s="577">
        <v>0.0582258362411316</v>
      </c>
      <c r="CI255" s="577">
        <v>0.05854281500355945</v>
      </c>
      <c r="CJ255" s="577">
        <v>0.05875524742453964</v>
      </c>
      <c r="CK255" s="577">
        <v>0.05890793442883671</v>
      </c>
      <c r="CL255" s="577">
        <v>0.05902327649866165</v>
      </c>
      <c r="CM255" s="577">
        <v>0.059113718363893626</v>
      </c>
      <c r="CN255" s="577">
        <v>0.05918672687816892</v>
      </c>
      <c r="CP255" s="610"/>
      <c r="DI255" s="543"/>
      <c r="DJ255" s="1581"/>
      <c r="DK255" s="1581"/>
      <c r="DL255" s="1581"/>
      <c r="DM255" s="1581"/>
      <c r="DN255" s="1581"/>
      <c r="DO255" s="1581"/>
      <c r="DP255" s="1581"/>
      <c r="DQ255" s="1581"/>
      <c r="DR255" s="1581"/>
      <c r="DS255" s="1581"/>
      <c r="DT255" s="1581"/>
      <c r="DU255" s="1581"/>
      <c r="DV255" s="1581"/>
      <c r="DW255" s="1581"/>
    </row>
    <row r="256">
      <c r="Y256" s="1056">
        <f t="shared" si="21"/>
        <v>7000000</v>
      </c>
      <c r="Z256" s="590">
        <v>0.021470450786314002</v>
      </c>
      <c r="AA256" s="590">
        <v>0.02994411959640288</v>
      </c>
      <c r="AB256" s="590">
        <v>0.03841778840649183</v>
      </c>
      <c r="AC256" s="590">
        <v>0.046891457216580744</v>
      </c>
      <c r="AD256" s="590">
        <v>0.05536512602666964</v>
      </c>
      <c r="AE256" s="590">
        <v>0.06383879483675857</v>
      </c>
      <c r="AF256" s="590">
        <v>0.07231246364684746</v>
      </c>
      <c r="AG256" s="610"/>
      <c r="AI256" s="1056">
        <f t="shared" si="22"/>
        <v>7000000</v>
      </c>
      <c r="AJ256" s="944">
        <v>0.009397436505600229</v>
      </c>
      <c r="AK256" s="880">
        <v>0.011890013258776389</v>
      </c>
      <c r="AL256" s="762">
        <v>0.01433411147649331</v>
      </c>
      <c r="AM256" s="887">
        <v>0.016739222745693505</v>
      </c>
      <c r="AN256" s="844">
        <v>0.019114838653319564</v>
      </c>
      <c r="AO256" s="844">
        <v>0.020058952430604335</v>
      </c>
      <c r="AP256" s="902">
        <v>0.0210004730655124</v>
      </c>
      <c r="AQ256" s="931">
        <v>0.021940008019608024</v>
      </c>
      <c r="AR256" s="932">
        <v>0.022878164754455595</v>
      </c>
      <c r="AS256" s="763">
        <v>0.02381555073161938</v>
      </c>
      <c r="AT256" s="610"/>
      <c r="AV256" s="587"/>
      <c r="AW256" s="550"/>
      <c r="AX256" s="550"/>
      <c r="AY256" s="550"/>
      <c r="AZ256" s="550"/>
      <c r="BA256" s="550"/>
      <c r="BB256" s="550"/>
      <c r="BC256" s="550"/>
      <c r="BD256" s="550"/>
      <c r="BE256" s="550"/>
      <c r="BF256" s="550"/>
      <c r="BI256" s="1056">
        <f t="shared" si="23"/>
        <v>6000000</v>
      </c>
      <c r="BJ256" s="1369">
        <v>325.71520105745196</v>
      </c>
      <c r="BK256" s="1369">
        <v>1047.1233369195916</v>
      </c>
      <c r="BL256" s="1369">
        <v>1768.548710736023</v>
      </c>
      <c r="BM256" s="1369">
        <v>2489.9913056728074</v>
      </c>
      <c r="BN256" s="1369">
        <v>3211.451104912444</v>
      </c>
      <c r="BO256" s="1369">
        <v>6819.007578189634</v>
      </c>
      <c r="BP256" s="1369">
        <v>10426.99164583768</v>
      </c>
      <c r="BQ256" s="1369">
        <v>14035.401224067316</v>
      </c>
      <c r="BR256" s="1369">
        <v>17644.23423924419</v>
      </c>
      <c r="BS256" s="1369">
        <v>21253.488627839335</v>
      </c>
      <c r="BT256" s="1369">
        <v>24863.16233637998</v>
      </c>
      <c r="BU256" s="1369">
        <v>28473.253321400487</v>
      </c>
      <c r="BV256" s="1369">
        <v>32083.759549393624</v>
      </c>
      <c r="BW256" s="1369">
        <v>35694.67899676201</v>
      </c>
      <c r="BZ256" s="1056">
        <f t="shared" si="24"/>
        <v>6000000</v>
      </c>
      <c r="CA256" s="577">
        <v>0.025815664078942313</v>
      </c>
      <c r="CB256" s="577">
        <v>0.04149665755140666</v>
      </c>
      <c r="CC256" s="577">
        <v>0.046724110793091814</v>
      </c>
      <c r="CD256" s="577">
        <v>0.049338178643524425</v>
      </c>
      <c r="CE256" s="577">
        <v>0.05090689207087039</v>
      </c>
      <c r="CF256" s="577">
        <v>0.054046359647566725</v>
      </c>
      <c r="CG256" s="577">
        <v>0.05509510820270324</v>
      </c>
      <c r="CH256" s="577">
        <v>0.05562116874456017</v>
      </c>
      <c r="CI256" s="577">
        <v>0.05593814750698802</v>
      </c>
      <c r="CJ256" s="577">
        <v>0.056150579927968215</v>
      </c>
      <c r="CK256" s="577">
        <v>0.05630326693226528</v>
      </c>
      <c r="CL256" s="577">
        <v>0.05641860900209022</v>
      </c>
      <c r="CM256" s="577">
        <v>0.0565090508673222</v>
      </c>
      <c r="CN256" s="577">
        <v>0.05658205938159749</v>
      </c>
      <c r="CP256" s="610"/>
      <c r="DI256" s="543"/>
      <c r="DJ256" s="1581"/>
      <c r="DK256" s="1581"/>
      <c r="DL256" s="1581"/>
      <c r="DM256" s="1581"/>
      <c r="DN256" s="1581"/>
      <c r="DO256" s="1581"/>
      <c r="DP256" s="1581"/>
      <c r="DQ256" s="1581"/>
      <c r="DR256" s="1581"/>
      <c r="DS256" s="1581"/>
      <c r="DT256" s="1581"/>
      <c r="DU256" s="1581"/>
      <c r="DV256" s="1581"/>
      <c r="DW256" s="1581"/>
    </row>
    <row r="257">
      <c r="Y257" s="1056">
        <f t="shared" si="21"/>
        <v>7500000</v>
      </c>
      <c r="Z257" s="590">
        <v>0.019631557985503104</v>
      </c>
      <c r="AA257" s="590">
        <v>0.027817899795465326</v>
      </c>
      <c r="AB257" s="590">
        <v>0.03600424160542754</v>
      </c>
      <c r="AC257" s="590">
        <v>0.04419058341538976</v>
      </c>
      <c r="AD257" s="590">
        <v>0.05237692522535199</v>
      </c>
      <c r="AE257" s="590">
        <v>0.06056326703531417</v>
      </c>
      <c r="AF257" s="590">
        <v>0.06874960884527641</v>
      </c>
      <c r="AG257" s="610"/>
      <c r="AI257" s="1056">
        <f t="shared" si="22"/>
        <v>7500000</v>
      </c>
      <c r="AJ257" s="803">
        <v>0.00796791809190656</v>
      </c>
      <c r="AK257" s="956">
        <v>0.010375976011844507</v>
      </c>
      <c r="AL257" s="843">
        <v>0.012737199217019582</v>
      </c>
      <c r="AM257" s="804">
        <v>0.01506075745158531</v>
      </c>
      <c r="AN257" s="887">
        <v>0.017355820459695297</v>
      </c>
      <c r="AO257" s="914">
        <v>0.01826792102222208</v>
      </c>
      <c r="AP257" s="844">
        <v>0.019177516371206356</v>
      </c>
      <c r="AQ257" s="844">
        <v>0.02008519337027394</v>
      </c>
      <c r="AR257" s="902">
        <v>0.020991538883050657</v>
      </c>
      <c r="AS257" s="1200">
        <v>0.02189713977316235</v>
      </c>
      <c r="AT257" s="610"/>
      <c r="AV257" s="587"/>
      <c r="AW257" s="550"/>
      <c r="AX257" s="550"/>
      <c r="AY257" s="550"/>
      <c r="AZ257" s="550"/>
      <c r="BA257" s="550"/>
      <c r="BB257" s="550"/>
      <c r="BC257" s="550"/>
      <c r="BD257" s="550"/>
      <c r="BE257" s="550"/>
      <c r="BF257" s="550"/>
      <c r="BI257" s="1056">
        <f t="shared" si="23"/>
        <v>6500000</v>
      </c>
      <c r="BJ257" s="1369">
        <v>296.72108896930854</v>
      </c>
      <c r="BK257" s="1369">
        <v>989.1351127433046</v>
      </c>
      <c r="BL257" s="1369">
        <v>1681.5663744715928</v>
      </c>
      <c r="BM257" s="1369">
        <v>2374.014857320234</v>
      </c>
      <c r="BN257" s="1369">
        <v>3066.4805444717267</v>
      </c>
      <c r="BO257" s="1369">
        <v>6529.0664573081995</v>
      </c>
      <c r="BP257" s="1369">
        <v>9992.079964515528</v>
      </c>
      <c r="BQ257" s="1369">
        <v>13455.518982304447</v>
      </c>
      <c r="BR257" s="1369">
        <v>16919.381437040603</v>
      </c>
      <c r="BS257" s="1369">
        <v>20383.66526519503</v>
      </c>
      <c r="BT257" s="1369">
        <v>23848.36841329496</v>
      </c>
      <c r="BU257" s="1369">
        <v>27313.48883787475</v>
      </c>
      <c r="BV257" s="1369">
        <v>30779.02450542717</v>
      </c>
      <c r="BW257" s="1369">
        <v>34244.97339235484</v>
      </c>
      <c r="BZ257" s="1056">
        <f t="shared" si="24"/>
        <v>6500000</v>
      </c>
      <c r="CA257" s="577">
        <v>0.02351763728895935</v>
      </c>
      <c r="CB257" s="577">
        <v>0.0391986307614237</v>
      </c>
      <c r="CC257" s="577">
        <v>0.04442608400310886</v>
      </c>
      <c r="CD257" s="577">
        <v>0.04704015185354147</v>
      </c>
      <c r="CE257" s="577">
        <v>0.048608865280887426</v>
      </c>
      <c r="CF257" s="577">
        <v>0.05174833285758376</v>
      </c>
      <c r="CG257" s="577">
        <v>0.05279708141272028</v>
      </c>
      <c r="CH257" s="577">
        <v>0.053323141954577206</v>
      </c>
      <c r="CI257" s="577">
        <v>0.05364012071700506</v>
      </c>
      <c r="CJ257" s="577">
        <v>0.05385255313798525</v>
      </c>
      <c r="CK257" s="577">
        <v>0.05400524014228232</v>
      </c>
      <c r="CL257" s="577">
        <v>0.054120582212107256</v>
      </c>
      <c r="CM257" s="577">
        <v>0.054211024077339236</v>
      </c>
      <c r="CN257" s="577">
        <v>0.054284032591614524</v>
      </c>
      <c r="CP257" s="610"/>
      <c r="DI257" s="543"/>
      <c r="DJ257" s="1581"/>
      <c r="DK257" s="1581"/>
      <c r="DL257" s="1581"/>
      <c r="DM257" s="1581"/>
      <c r="DN257" s="1581"/>
      <c r="DO257" s="1581"/>
      <c r="DP257" s="1581"/>
      <c r="DQ257" s="1581"/>
      <c r="DR257" s="1581"/>
      <c r="DS257" s="1581"/>
      <c r="DT257" s="1581"/>
      <c r="DU257" s="1581"/>
      <c r="DV257" s="1581"/>
      <c r="DW257" s="1581"/>
    </row>
    <row r="258">
      <c r="Y258" s="1056">
        <f t="shared" si="21"/>
        <v>8000000</v>
      </c>
      <c r="Z258" s="590">
        <v>0.017967875195897168</v>
      </c>
      <c r="AA258" s="590">
        <v>0.025894266569983455</v>
      </c>
      <c r="AB258" s="590">
        <v>0.03382065794406973</v>
      </c>
      <c r="AC258" s="590">
        <v>0.04174704931815601</v>
      </c>
      <c r="AD258" s="590">
        <v>0.0496734406922423</v>
      </c>
      <c r="AE258" s="590">
        <v>0.05759983206632859</v>
      </c>
      <c r="AF258" s="590">
        <v>0.06552622344041488</v>
      </c>
      <c r="AG258" s="610"/>
      <c r="AI258" s="1056">
        <f t="shared" si="22"/>
        <v>8000000</v>
      </c>
      <c r="AJ258" s="967">
        <v>0.0066746044298821965</v>
      </c>
      <c r="AK258" s="861">
        <v>0.009006196485037856</v>
      </c>
      <c r="AL258" s="880">
        <v>0.011292441022618213</v>
      </c>
      <c r="AM258" s="762">
        <v>0.013542216609222257</v>
      </c>
      <c r="AN258" s="804">
        <v>0.01576440181144894</v>
      </c>
      <c r="AO258" s="887">
        <v>0.016647539383632115</v>
      </c>
      <c r="AP258" s="887">
        <v>0.017528251293233058</v>
      </c>
      <c r="AQ258" s="914">
        <v>0.018407105768514113</v>
      </c>
      <c r="AR258" s="844">
        <v>0.01928467103773764</v>
      </c>
      <c r="AS258" s="844">
        <v>0.020161515329165935</v>
      </c>
      <c r="AT258" s="610"/>
      <c r="AV258" s="587"/>
      <c r="AW258" s="550"/>
      <c r="AX258" s="550"/>
      <c r="AY258" s="550"/>
      <c r="AZ258" s="550"/>
      <c r="BA258" s="550"/>
      <c r="BB258" s="550"/>
      <c r="BC258" s="550"/>
      <c r="BD258" s="550"/>
      <c r="BE258" s="550"/>
      <c r="BF258" s="550"/>
      <c r="BI258" s="1056">
        <f t="shared" si="23"/>
        <v>7000000</v>
      </c>
      <c r="BJ258" s="1369">
        <v>270.8918187528923</v>
      </c>
      <c r="BK258" s="1369">
        <v>937.4765723104721</v>
      </c>
      <c r="BL258" s="1369">
        <v>1604.078563822344</v>
      </c>
      <c r="BM258" s="1369">
        <v>2270.697776454569</v>
      </c>
      <c r="BN258" s="1369">
        <v>2937.3341933896454</v>
      </c>
      <c r="BO258" s="1369">
        <v>6270.773755144037</v>
      </c>
      <c r="BP258" s="1369">
        <v>9604.640911269284</v>
      </c>
      <c r="BQ258" s="1369">
        <v>12938.933577976122</v>
      </c>
      <c r="BR258" s="1369">
        <v>16273.649681630197</v>
      </c>
      <c r="BS258" s="1369">
        <v>19608.787158702544</v>
      </c>
      <c r="BT258" s="1369">
        <v>22944.343955720393</v>
      </c>
      <c r="BU258" s="1369">
        <v>26280.3180292181</v>
      </c>
      <c r="BV258" s="1369">
        <v>29616.70734568844</v>
      </c>
      <c r="BW258" s="1369">
        <v>32953.50988153403</v>
      </c>
      <c r="BZ258" s="1056">
        <f t="shared" si="24"/>
        <v>7000000</v>
      </c>
      <c r="CA258" s="577">
        <v>0.021470450786314002</v>
      </c>
      <c r="CB258" s="577">
        <v>0.03715144425877835</v>
      </c>
      <c r="CC258" s="577">
        <v>0.0423788975004635</v>
      </c>
      <c r="CD258" s="577">
        <v>0.04499296535089612</v>
      </c>
      <c r="CE258" s="577">
        <v>0.04656167877824208</v>
      </c>
      <c r="CF258" s="577">
        <v>0.049701146354938414</v>
      </c>
      <c r="CG258" s="577">
        <v>0.05074989491007492</v>
      </c>
      <c r="CH258" s="577">
        <v>0.05127595545193186</v>
      </c>
      <c r="CI258" s="577">
        <v>0.05159293421435971</v>
      </c>
      <c r="CJ258" s="577">
        <v>0.051805366635339904</v>
      </c>
      <c r="CK258" s="577">
        <v>0.05195805363963697</v>
      </c>
      <c r="CL258" s="577">
        <v>0.05207339570946191</v>
      </c>
      <c r="CM258" s="577">
        <v>0.05216383757469389</v>
      </c>
      <c r="CN258" s="577">
        <v>0.05223684608896918</v>
      </c>
      <c r="CP258" s="610"/>
      <c r="DI258" s="543"/>
      <c r="DJ258" s="1581"/>
      <c r="DK258" s="1581"/>
      <c r="DL258" s="1581"/>
      <c r="DM258" s="1581"/>
      <c r="DN258" s="1581"/>
      <c r="DO258" s="1581"/>
      <c r="DP258" s="1581"/>
      <c r="DQ258" s="1581"/>
      <c r="DR258" s="1581"/>
      <c r="DS258" s="1581"/>
      <c r="DT258" s="1581"/>
      <c r="DU258" s="1581"/>
      <c r="DV258" s="1581"/>
      <c r="DW258" s="1581"/>
    </row>
    <row r="259">
      <c r="Y259" s="1056">
        <f t="shared" si="21"/>
        <v>8500000</v>
      </c>
      <c r="Z259" s="591">
        <v>0.016453236928378297</v>
      </c>
      <c r="AA259" s="591">
        <v>0.024142966073164754</v>
      </c>
      <c r="AB259" s="591">
        <v>0.03183269521795121</v>
      </c>
      <c r="AC259" s="591">
        <v>0.03952242436273768</v>
      </c>
      <c r="AD259" s="591">
        <v>0.04721215350752413</v>
      </c>
      <c r="AE259" s="591">
        <v>0.05490188265231059</v>
      </c>
      <c r="AF259" s="591">
        <v>0.06259161179709703</v>
      </c>
      <c r="AG259" s="610"/>
      <c r="AI259" s="1056">
        <f t="shared" si="22"/>
        <v>8500000</v>
      </c>
      <c r="AJ259" s="980">
        <v>0.005497154992618341</v>
      </c>
      <c r="AK259" s="981">
        <v>0.00775913153832603</v>
      </c>
      <c r="AL259" s="982">
        <v>0.009977114529957865</v>
      </c>
      <c r="AM259" s="1005">
        <v>0.012159717442311849</v>
      </c>
      <c r="AN259" s="1007">
        <v>0.01431555375018598</v>
      </c>
      <c r="AO259" s="985">
        <v>0.015172323042436053</v>
      </c>
      <c r="AP259" s="985">
        <v>0.016026739096324075</v>
      </c>
      <c r="AQ259" s="986">
        <v>0.016879353174237166</v>
      </c>
      <c r="AR259" s="986">
        <v>0.01773071653856237</v>
      </c>
      <c r="AS259" s="1210">
        <v>0.018581380451686797</v>
      </c>
      <c r="AT259" s="610"/>
      <c r="AV259" s="587"/>
      <c r="AW259" s="554"/>
      <c r="AX259" s="554"/>
      <c r="AY259" s="554"/>
      <c r="AZ259" s="554"/>
      <c r="BA259" s="554"/>
      <c r="BB259" s="554"/>
      <c r="BC259" s="554"/>
      <c r="BD259" s="554"/>
      <c r="BE259" s="554"/>
      <c r="BF259" s="554"/>
      <c r="BI259" s="1056">
        <f t="shared" si="23"/>
        <v>7500000</v>
      </c>
      <c r="BJ259" s="1369">
        <v>247.69058184077323</v>
      </c>
      <c r="BK259" s="1369">
        <v>891.074098486234</v>
      </c>
      <c r="BL259" s="1369">
        <v>1534.474853085987</v>
      </c>
      <c r="BM259" s="1369">
        <v>2177.8928288060924</v>
      </c>
      <c r="BN259" s="1369">
        <v>2821.3280088290508</v>
      </c>
      <c r="BO259" s="1369">
        <v>6038.7613860228485</v>
      </c>
      <c r="BP259" s="1369">
        <v>9256.6223575875</v>
      </c>
      <c r="BQ259" s="1369">
        <v>12474.908839733744</v>
      </c>
      <c r="BR259" s="1369">
        <v>15693.61875882722</v>
      </c>
      <c r="BS259" s="1369">
        <v>18912.750051338975</v>
      </c>
      <c r="BT259" s="1369">
        <v>22132.300663796228</v>
      </c>
      <c r="BU259" s="1369">
        <v>25352.268552733345</v>
      </c>
      <c r="BV259" s="1369">
        <v>28572.651684643086</v>
      </c>
      <c r="BW259" s="1369">
        <v>31793.44803592808</v>
      </c>
      <c r="BZ259" s="1056">
        <f t="shared" si="24"/>
        <v>7500000</v>
      </c>
      <c r="CA259" s="577">
        <v>0.019631557985503104</v>
      </c>
      <c r="CB259" s="577">
        <v>0.03531255145796745</v>
      </c>
      <c r="CC259" s="577">
        <v>0.04054000469965261</v>
      </c>
      <c r="CD259" s="577">
        <v>0.043154072550085215</v>
      </c>
      <c r="CE259" s="577">
        <v>0.044722785977431186</v>
      </c>
      <c r="CF259" s="577">
        <v>0.04786225355412753</v>
      </c>
      <c r="CG259" s="577">
        <v>0.04891100210926404</v>
      </c>
      <c r="CH259" s="577">
        <v>0.04943706265112097</v>
      </c>
      <c r="CI259" s="577">
        <v>0.04975404141354881</v>
      </c>
      <c r="CJ259" s="577">
        <v>0.04996647383452901</v>
      </c>
      <c r="CK259" s="577">
        <v>0.05011916083882608</v>
      </c>
      <c r="CL259" s="577">
        <v>0.05023450290865103</v>
      </c>
      <c r="CM259" s="577">
        <v>0.050324944773883</v>
      </c>
      <c r="CN259" s="577">
        <v>0.050397953288158284</v>
      </c>
      <c r="CP259" s="610"/>
      <c r="DI259" s="543"/>
      <c r="DJ259" s="1581"/>
      <c r="DK259" s="1581"/>
      <c r="DL259" s="1581"/>
      <c r="DM259" s="1581"/>
      <c r="DN259" s="1581"/>
      <c r="DO259" s="1581"/>
      <c r="DP259" s="1581"/>
      <c r="DQ259" s="1581"/>
      <c r="DR259" s="1581"/>
      <c r="DS259" s="1581"/>
      <c r="DT259" s="1581"/>
      <c r="DU259" s="1581"/>
      <c r="DV259" s="1581"/>
      <c r="DW259" s="1581"/>
    </row>
    <row r="260">
      <c r="X260" s="1222"/>
      <c r="Y260" s="1056">
        <f t="shared" si="21"/>
        <v>9000000</v>
      </c>
      <c r="Z260" s="590">
        <v>0.015066640511227341</v>
      </c>
      <c r="AA260" s="590">
        <v>0.02253971396583395</v>
      </c>
      <c r="AB260" s="590">
        <v>0.0300127874204406</v>
      </c>
      <c r="AC260" s="590">
        <v>0.03748586087504721</v>
      </c>
      <c r="AD260" s="590">
        <v>0.04495893432965383</v>
      </c>
      <c r="AE260" s="590">
        <v>0.05243200778426046</v>
      </c>
      <c r="AF260" s="590">
        <v>0.059905081238867085</v>
      </c>
      <c r="AG260" s="610"/>
      <c r="AH260" s="1406"/>
      <c r="AI260" s="1056">
        <f t="shared" si="22"/>
        <v>9000000</v>
      </c>
      <c r="AJ260" s="994">
        <v>0.004419242723994024</v>
      </c>
      <c r="AK260" s="967">
        <v>0.006617488794875667</v>
      </c>
      <c r="AL260" s="861">
        <v>0.008772980816174053</v>
      </c>
      <c r="AM260" s="820">
        <v>0.010894089580754936</v>
      </c>
      <c r="AN260" s="843">
        <v>0.012989185881484124</v>
      </c>
      <c r="AO260" s="762">
        <v>0.01382181596949924</v>
      </c>
      <c r="AP260" s="785">
        <v>0.01465215912090001</v>
      </c>
      <c r="AQ260" s="804">
        <v>0.015480751066429883</v>
      </c>
      <c r="AR260" s="804">
        <v>0.016308127536832202</v>
      </c>
      <c r="AS260" s="887">
        <v>0.017134824262850415</v>
      </c>
      <c r="AT260" s="610"/>
      <c r="AU260" s="569"/>
      <c r="AV260" s="587"/>
      <c r="AW260" s="550"/>
      <c r="AX260" s="550"/>
      <c r="AY260" s="550"/>
      <c r="AZ260" s="550"/>
      <c r="BA260" s="550"/>
      <c r="BB260" s="550"/>
      <c r="BC260" s="550"/>
      <c r="BD260" s="550"/>
      <c r="BE260" s="550"/>
      <c r="BF260" s="550"/>
      <c r="BI260" s="1056">
        <f t="shared" si="23"/>
        <v>8000000</v>
      </c>
      <c r="BJ260" s="1369">
        <v>226.6999626316267</v>
      </c>
      <c r="BK260" s="1369">
        <v>849.0928600679409</v>
      </c>
      <c r="BL260" s="1369">
        <v>1471.5029954585475</v>
      </c>
      <c r="BM260" s="1369">
        <v>2093.930351969507</v>
      </c>
      <c r="BN260" s="1369">
        <v>2716.374912783318</v>
      </c>
      <c r="BO260" s="1369">
        <v>5828.855193931382</v>
      </c>
      <c r="BP260" s="1369">
        <v>8941.763069450302</v>
      </c>
      <c r="BQ260" s="1369">
        <v>12055.096455550813</v>
      </c>
      <c r="BR260" s="1369">
        <v>15168.853278598559</v>
      </c>
      <c r="BS260" s="1369">
        <v>18283.03147506458</v>
      </c>
      <c r="BT260" s="1369">
        <v>21397.6289914761</v>
      </c>
      <c r="BU260" s="1369">
        <v>24512.64378436748</v>
      </c>
      <c r="BV260" s="1369">
        <v>27628.073820231493</v>
      </c>
      <c r="BW260" s="1369">
        <v>30743.91707547076</v>
      </c>
      <c r="BZ260" s="1056">
        <f t="shared" si="24"/>
        <v>8000000</v>
      </c>
      <c r="CA260" s="577">
        <v>0.017967875195897168</v>
      </c>
      <c r="CB260" s="577">
        <v>0.03364886866836152</v>
      </c>
      <c r="CC260" s="577">
        <v>0.038876321910046675</v>
      </c>
      <c r="CD260" s="577">
        <v>0.041490389760479286</v>
      </c>
      <c r="CE260" s="577">
        <v>0.04305910318782525</v>
      </c>
      <c r="CF260" s="577">
        <v>0.046198570764521586</v>
      </c>
      <c r="CG260" s="577">
        <v>0.0472473193196581</v>
      </c>
      <c r="CH260" s="577">
        <v>0.04777337986151503</v>
      </c>
      <c r="CI260" s="577">
        <v>0.04809035862394288</v>
      </c>
      <c r="CJ260" s="577">
        <v>0.048302791044923084</v>
      </c>
      <c r="CK260" s="577">
        <v>0.048455478049220145</v>
      </c>
      <c r="CL260" s="577">
        <v>0.04857082011904508</v>
      </c>
      <c r="CM260" s="577">
        <v>0.04866126198427707</v>
      </c>
      <c r="CN260" s="577">
        <v>0.04873427049855236</v>
      </c>
      <c r="CP260" s="610"/>
      <c r="DI260" s="543"/>
      <c r="DJ260" s="1581"/>
      <c r="DK260" s="1581"/>
      <c r="DL260" s="1581"/>
      <c r="DM260" s="1581"/>
      <c r="DN260" s="1581"/>
      <c r="DO260" s="1581"/>
      <c r="DP260" s="1581"/>
      <c r="DQ260" s="1581"/>
      <c r="DR260" s="1581"/>
      <c r="DS260" s="1581"/>
      <c r="DT260" s="1581"/>
      <c r="DU260" s="1581"/>
      <c r="DV260" s="1581"/>
      <c r="DW260" s="1581"/>
    </row>
    <row r="261">
      <c r="X261" s="1222"/>
      <c r="Y261" s="1056">
        <f t="shared" si="21"/>
        <v>9500000</v>
      </c>
      <c r="Z261" s="591">
        <v>0.013791006088946105</v>
      </c>
      <c r="AA261" s="591">
        <v>0.02106476166507129</v>
      </c>
      <c r="AB261" s="591">
        <v>0.028338517241196466</v>
      </c>
      <c r="AC261" s="591">
        <v>0.03561227281732166</v>
      </c>
      <c r="AD261" s="591">
        <v>0.042886028393446844</v>
      </c>
      <c r="AE261" s="591">
        <v>0.05015978396957198</v>
      </c>
      <c r="AF261" s="591">
        <v>0.057433539545697194</v>
      </c>
      <c r="AG261" s="610"/>
      <c r="AH261" s="1222"/>
      <c r="AI261" s="1056">
        <f t="shared" si="22"/>
        <v>9500000</v>
      </c>
      <c r="AJ261" s="1002">
        <v>0.0034275900866089478</v>
      </c>
      <c r="AK261" s="980">
        <v>0.005567205696290175</v>
      </c>
      <c r="AL261" s="981">
        <v>0.007665207569876433</v>
      </c>
      <c r="AM261" s="982">
        <v>0.009729743238855799</v>
      </c>
      <c r="AN261" s="1413">
        <v>0.011768960234716332</v>
      </c>
      <c r="AO261" s="1005">
        <v>0.012579382851640605</v>
      </c>
      <c r="AP261" s="1006">
        <v>0.013387579527919198</v>
      </c>
      <c r="AQ261" s="1007">
        <v>0.014194071705567335</v>
      </c>
      <c r="AR261" s="1008">
        <v>0.014999380826600238</v>
      </c>
      <c r="AS261" s="985">
        <v>0.015804028333033196</v>
      </c>
      <c r="AT261" s="610"/>
      <c r="AU261" s="569"/>
      <c r="AV261" s="587"/>
      <c r="AW261" s="554"/>
      <c r="AX261" s="554"/>
      <c r="AY261" s="554"/>
      <c r="AZ261" s="554"/>
      <c r="BA261" s="554"/>
      <c r="BB261" s="554"/>
      <c r="BC261" s="554"/>
      <c r="BD261" s="554"/>
      <c r="BE261" s="554"/>
      <c r="BF261" s="554"/>
      <c r="BI261" s="1056">
        <f t="shared" si="23"/>
        <v>8500000</v>
      </c>
      <c r="BJ261" s="1359">
        <v>207.58983219587185</v>
      </c>
      <c r="BK261" s="1359">
        <v>810.8725991964312</v>
      </c>
      <c r="BL261" s="1359">
        <v>1414.1726041512827</v>
      </c>
      <c r="BM261" s="1359">
        <v>2017.4898302264871</v>
      </c>
      <c r="BN261" s="1359">
        <v>2620.8242606045433</v>
      </c>
      <c r="BO261" s="1359">
        <v>5637.753889573833</v>
      </c>
      <c r="BP261" s="1359">
        <v>8655.111112913977</v>
      </c>
      <c r="BQ261" s="1359">
        <v>11672.893846835714</v>
      </c>
      <c r="BR261" s="1359">
        <v>14691.100017704684</v>
      </c>
      <c r="BS261" s="1359">
        <v>17709.72756199193</v>
      </c>
      <c r="BT261" s="1359">
        <v>20728.774426224678</v>
      </c>
      <c r="BU261" s="1359">
        <v>23748.23856693728</v>
      </c>
      <c r="BV261" s="1359">
        <v>26768.11795062252</v>
      </c>
      <c r="BW261" s="1359">
        <v>29788.41055368301</v>
      </c>
      <c r="BZ261" s="1056">
        <f t="shared" si="24"/>
        <v>8500000</v>
      </c>
      <c r="CA261" s="594">
        <v>0.016453236928378297</v>
      </c>
      <c r="CB261" s="594">
        <v>0.032134230400842644</v>
      </c>
      <c r="CC261" s="594">
        <v>0.0373616836425278</v>
      </c>
      <c r="CD261" s="594">
        <v>0.03997575149296041</v>
      </c>
      <c r="CE261" s="594">
        <v>0.041544464920306376</v>
      </c>
      <c r="CF261" s="594">
        <v>0.044683932497002705</v>
      </c>
      <c r="CG261" s="594">
        <v>0.04573268105213922</v>
      </c>
      <c r="CH261" s="594">
        <v>0.04625874159399616</v>
      </c>
      <c r="CI261" s="594">
        <v>0.046575720356424</v>
      </c>
      <c r="CJ261" s="594">
        <v>0.0467881527774042</v>
      </c>
      <c r="CK261" s="594">
        <v>0.04694083978170127</v>
      </c>
      <c r="CL261" s="594">
        <v>0.047056181851526206</v>
      </c>
      <c r="CM261" s="594">
        <v>0.047146623716758186</v>
      </c>
      <c r="CN261" s="594">
        <v>0.04721963223103348</v>
      </c>
      <c r="CP261" s="610"/>
      <c r="DI261" s="543"/>
      <c r="DJ261" s="1437"/>
      <c r="DK261" s="1437"/>
      <c r="DL261" s="1437"/>
      <c r="DM261" s="1437"/>
      <c r="DN261" s="1437"/>
      <c r="DO261" s="1437"/>
      <c r="DP261" s="1437"/>
      <c r="DQ261" s="1437"/>
      <c r="DR261" s="1437"/>
      <c r="DS261" s="1437"/>
      <c r="DT261" s="1437"/>
      <c r="DU261" s="1437"/>
      <c r="DV261" s="1437"/>
      <c r="DW261" s="1437"/>
    </row>
    <row r="262">
      <c r="X262" s="1222"/>
      <c r="Y262" s="1056">
        <f t="shared" si="21"/>
        <v>10000000</v>
      </c>
      <c r="Z262" s="591">
        <v>0.012612282219280692</v>
      </c>
      <c r="AA262" s="591">
        <v>0.019701862190770653</v>
      </c>
      <c r="AB262" s="591">
        <v>0.026791442162260606</v>
      </c>
      <c r="AC262" s="591">
        <v>0.03388102213375057</v>
      </c>
      <c r="AD262" s="591">
        <v>0.04097060210524051</v>
      </c>
      <c r="AE262" s="591">
        <v>0.04806018207673049</v>
      </c>
      <c r="AF262" s="591">
        <v>0.055149762048220446</v>
      </c>
      <c r="AG262" s="610"/>
      <c r="AH262" s="1222"/>
      <c r="AI262" s="1056">
        <f t="shared" si="22"/>
        <v>10000000</v>
      </c>
      <c r="AJ262" s="819">
        <v>0.0025112737708324435</v>
      </c>
      <c r="AK262" s="994">
        <v>0.004596713103283034</v>
      </c>
      <c r="AL262" s="967">
        <v>0.006641592382969937</v>
      </c>
      <c r="AM262" s="861">
        <v>0.008653852841276392</v>
      </c>
      <c r="AN262" s="956">
        <v>0.010641435709585563</v>
      </c>
      <c r="AO262" s="880">
        <v>0.01143133796753985</v>
      </c>
      <c r="AP262" s="880">
        <v>0.012219070646924408</v>
      </c>
      <c r="AQ262" s="843">
        <v>0.01300514198654774</v>
      </c>
      <c r="AR262" s="762">
        <v>0.013790060225218422</v>
      </c>
      <c r="AS262" s="762">
        <v>0.014574333601744939</v>
      </c>
      <c r="AT262" s="610"/>
      <c r="AU262" s="569"/>
      <c r="AV262" s="587"/>
      <c r="AW262" s="550"/>
      <c r="AX262" s="550"/>
      <c r="AY262" s="550"/>
      <c r="AZ262" s="550"/>
      <c r="BA262" s="550"/>
      <c r="BB262" s="550"/>
      <c r="BC262" s="550"/>
      <c r="BD262" s="550"/>
      <c r="BE262" s="550"/>
      <c r="BF262" s="550"/>
      <c r="BH262" s="1227"/>
      <c r="BI262" s="1056">
        <f t="shared" si="23"/>
        <v>9000000</v>
      </c>
      <c r="BJ262" s="1369">
        <v>190.0952006645349</v>
      </c>
      <c r="BK262" s="1369">
        <v>775.8833361337573</v>
      </c>
      <c r="BL262" s="1369">
        <v>1361.688709557272</v>
      </c>
      <c r="BM262" s="1369">
        <v>1947.5113041011393</v>
      </c>
      <c r="BN262" s="1369">
        <v>2533.3511029478586</v>
      </c>
      <c r="BO262" s="1369">
        <v>5462.807574260463</v>
      </c>
      <c r="BP262" s="1369">
        <v>8392.691639943923</v>
      </c>
      <c r="BQ262" s="1369">
        <v>11323.001216208975</v>
      </c>
      <c r="BR262" s="1369">
        <v>14253.734229421261</v>
      </c>
      <c r="BS262" s="1369">
        <v>17184.888616051823</v>
      </c>
      <c r="BT262" s="1369">
        <v>20116.462322627885</v>
      </c>
      <c r="BU262" s="1369">
        <v>23048.453305683805</v>
      </c>
      <c r="BV262" s="1369">
        <v>25980.859531712358</v>
      </c>
      <c r="BW262" s="1369">
        <v>28913.678977116164</v>
      </c>
      <c r="BY262" s="1227"/>
      <c r="BZ262" s="1056">
        <f t="shared" si="24"/>
        <v>9000000</v>
      </c>
      <c r="CA262" s="577">
        <v>0.015066640511227341</v>
      </c>
      <c r="CB262" s="577">
        <v>0.030747633983691687</v>
      </c>
      <c r="CC262" s="577">
        <v>0.03597508722537685</v>
      </c>
      <c r="CD262" s="577">
        <v>0.038589155075809456</v>
      </c>
      <c r="CE262" s="577">
        <v>0.04015786850315542</v>
      </c>
      <c r="CF262" s="577">
        <v>0.043297336079851756</v>
      </c>
      <c r="CG262" s="577">
        <v>0.044346084634988264</v>
      </c>
      <c r="CH262" s="577">
        <v>0.0448721451768452</v>
      </c>
      <c r="CI262" s="577">
        <v>0.045189123939273046</v>
      </c>
      <c r="CJ262" s="577">
        <v>0.04540155636025325</v>
      </c>
      <c r="CK262" s="577">
        <v>0.045554243364550315</v>
      </c>
      <c r="CL262" s="577">
        <v>0.04566958543437525</v>
      </c>
      <c r="CM262" s="577">
        <v>0.04576002729960723</v>
      </c>
      <c r="CN262" s="577">
        <v>0.045833035813882525</v>
      </c>
      <c r="CP262" s="610"/>
      <c r="DH262" s="573"/>
      <c r="DI262" s="543"/>
      <c r="DJ262" s="1581"/>
      <c r="DK262" s="1581"/>
      <c r="DL262" s="1581"/>
      <c r="DM262" s="1581"/>
      <c r="DN262" s="1581"/>
      <c r="DO262" s="1581"/>
      <c r="DP262" s="1581"/>
      <c r="DQ262" s="1581"/>
      <c r="DR262" s="1581"/>
      <c r="DS262" s="1581"/>
      <c r="DT262" s="1581"/>
      <c r="DU262" s="1581"/>
      <c r="DV262" s="1581"/>
      <c r="DW262" s="1581"/>
    </row>
    <row r="263">
      <c r="X263" s="610"/>
      <c r="Y263" s="610"/>
      <c r="Z263" s="610"/>
      <c r="AA263" s="610"/>
      <c r="AB263" s="610"/>
      <c r="AC263" s="610"/>
      <c r="AD263" s="610"/>
      <c r="AE263" s="610"/>
      <c r="AF263" s="610"/>
      <c r="AG263" s="610"/>
      <c r="AH263" s="610"/>
      <c r="AI263" s="610"/>
      <c r="AJ263" s="610"/>
      <c r="AK263" s="610"/>
      <c r="AL263" s="610"/>
      <c r="AM263" s="610"/>
      <c r="AN263" s="610"/>
      <c r="AO263" s="610"/>
      <c r="AP263" s="610"/>
      <c r="AQ263" s="610"/>
      <c r="AR263" s="610"/>
      <c r="AS263" s="610"/>
      <c r="AT263" s="610"/>
      <c r="BH263" s="1227"/>
      <c r="BI263" s="1056">
        <f t="shared" si="23"/>
        <v>9500000</v>
      </c>
      <c r="BJ263" s="1359">
        <v>174.00057218398945</v>
      </c>
      <c r="BK263" s="1359">
        <v>743.6940791726664</v>
      </c>
      <c r="BL263" s="1359">
        <v>1313.4048241156356</v>
      </c>
      <c r="BM263" s="1359">
        <v>1883.1327901789575</v>
      </c>
      <c r="BN263" s="1359">
        <v>2452.8779605451314</v>
      </c>
      <c r="BO263" s="1359">
        <v>5301.86128945501</v>
      </c>
      <c r="BP263" s="1359">
        <v>8151.272212735741</v>
      </c>
      <c r="BQ263" s="1359">
        <v>11001.108646598066</v>
      </c>
      <c r="BR263" s="1359">
        <v>13851.368517407625</v>
      </c>
      <c r="BS263" s="1359">
        <v>16702.04976163546</v>
      </c>
      <c r="BT263" s="1359">
        <v>19553.150325808794</v>
      </c>
      <c r="BU263" s="1359">
        <v>22404.66816646199</v>
      </c>
      <c r="BV263" s="1359">
        <v>25256.601250087813</v>
      </c>
      <c r="BW263" s="1359">
        <v>28108.94755308889</v>
      </c>
      <c r="BY263" s="1227"/>
      <c r="BZ263" s="1056">
        <f t="shared" si="24"/>
        <v>9500000</v>
      </c>
      <c r="CA263" s="594">
        <v>0.013791006088946105</v>
      </c>
      <c r="CB263" s="594">
        <v>0.029471999561410455</v>
      </c>
      <c r="CC263" s="594">
        <v>0.034699452803095616</v>
      </c>
      <c r="CD263" s="594">
        <v>0.03731352065352822</v>
      </c>
      <c r="CE263" s="594">
        <v>0.038882234080874184</v>
      </c>
      <c r="CF263" s="594">
        <v>0.04202170165757053</v>
      </c>
      <c r="CG263" s="594">
        <v>0.04307045021270703</v>
      </c>
      <c r="CH263" s="594">
        <v>0.043596510754563965</v>
      </c>
      <c r="CI263" s="594">
        <v>0.04391348951699181</v>
      </c>
      <c r="CJ263" s="594">
        <v>0.04412592193797201</v>
      </c>
      <c r="CK263" s="594">
        <v>0.04427860894226908</v>
      </c>
      <c r="CL263" s="594">
        <v>0.04439395101209402</v>
      </c>
      <c r="CM263" s="594">
        <v>0.044484392877325994</v>
      </c>
      <c r="CN263" s="594">
        <v>0.04455740139160129</v>
      </c>
      <c r="CP263" s="610"/>
      <c r="DH263" s="573"/>
      <c r="DI263" s="543"/>
      <c r="DJ263" s="1437"/>
      <c r="DK263" s="1437"/>
      <c r="DL263" s="1437"/>
      <c r="DM263" s="1437"/>
      <c r="DN263" s="1437"/>
      <c r="DO263" s="1437"/>
      <c r="DP263" s="1437"/>
      <c r="DQ263" s="1437"/>
      <c r="DR263" s="1437"/>
      <c r="DS263" s="1437"/>
      <c r="DT263" s="1437"/>
      <c r="DU263" s="1437"/>
      <c r="DV263" s="1437"/>
      <c r="DW263" s="1437"/>
    </row>
    <row r="264">
      <c r="X264" s="610"/>
      <c r="Y264" s="610"/>
      <c r="Z264" s="610"/>
      <c r="AA264" s="610"/>
      <c r="AB264" s="610"/>
      <c r="AC264" s="610"/>
      <c r="AD264" s="610"/>
      <c r="AE264" s="610"/>
      <c r="AF264" s="610"/>
      <c r="AG264" s="610"/>
      <c r="AH264" s="610"/>
      <c r="AI264" s="610"/>
      <c r="AJ264" s="610"/>
      <c r="AK264" s="610"/>
      <c r="AL264" s="610"/>
      <c r="AM264" s="610"/>
      <c r="AN264" s="610"/>
      <c r="AO264" s="610"/>
      <c r="AP264" s="610"/>
      <c r="AQ264" s="610"/>
      <c r="AR264" s="610"/>
      <c r="AS264" s="610"/>
      <c r="AT264" s="610"/>
      <c r="BH264" s="1222"/>
      <c r="BI264" s="1056">
        <f t="shared" si="23"/>
        <v>10000000</v>
      </c>
      <c r="BJ264" s="1359">
        <v>159.1286602693757</v>
      </c>
      <c r="BK264" s="1359">
        <v>713.9502553434389</v>
      </c>
      <c r="BL264" s="1359">
        <v>1268.7890883717944</v>
      </c>
      <c r="BM264" s="1359">
        <v>1823.6451425205025</v>
      </c>
      <c r="BN264" s="1359">
        <v>2378.518400972063</v>
      </c>
      <c r="BO264" s="1359">
        <v>5153.142170308873</v>
      </c>
      <c r="BP264" s="1359">
        <v>7928.193534016535</v>
      </c>
      <c r="BQ264" s="1359">
        <v>10703.670408305792</v>
      </c>
      <c r="BR264" s="1359">
        <v>13479.570719542282</v>
      </c>
      <c r="BS264" s="1359">
        <v>16255.892404197048</v>
      </c>
      <c r="BT264" s="1359">
        <v>19032.633408797312</v>
      </c>
      <c r="BU264" s="1359">
        <v>21809.791689877442</v>
      </c>
      <c r="BV264" s="1359">
        <v>24587.365213930192</v>
      </c>
      <c r="BW264" s="1359">
        <v>27365.3519573582</v>
      </c>
      <c r="BY264" s="1222"/>
      <c r="BZ264" s="1056">
        <f t="shared" si="24"/>
        <v>10000000</v>
      </c>
      <c r="CA264" s="594">
        <v>0.012612282219280692</v>
      </c>
      <c r="CB264" s="594">
        <v>0.02829327569174504</v>
      </c>
      <c r="CC264" s="594">
        <v>0.0335207289334302</v>
      </c>
      <c r="CD264" s="594">
        <v>0.036134796783862805</v>
      </c>
      <c r="CE264" s="594">
        <v>0.03770351021120877</v>
      </c>
      <c r="CF264" s="594">
        <v>0.04084297778790511</v>
      </c>
      <c r="CG264" s="594">
        <v>0.04189172634304161</v>
      </c>
      <c r="CH264" s="594">
        <v>0.04241778688489855</v>
      </c>
      <c r="CI264" s="594">
        <v>0.0427347656473264</v>
      </c>
      <c r="CJ264" s="594">
        <v>0.042947198068306595</v>
      </c>
      <c r="CK264" s="594">
        <v>0.043099885072603664</v>
      </c>
      <c r="CL264" s="594">
        <v>0.04321522714242861</v>
      </c>
      <c r="CM264" s="594">
        <v>0.04330566900766058</v>
      </c>
      <c r="CN264" s="594">
        <v>0.043378677521935874</v>
      </c>
      <c r="CP264" s="610"/>
      <c r="DH264" s="535"/>
      <c r="DI264" s="543"/>
      <c r="DJ264" s="1437"/>
      <c r="DK264" s="1437"/>
      <c r="DL264" s="1437"/>
      <c r="DM264" s="1437"/>
      <c r="DN264" s="1437"/>
      <c r="DO264" s="1437"/>
      <c r="DP264" s="1437"/>
      <c r="DQ264" s="1437"/>
      <c r="DR264" s="1437"/>
      <c r="DS264" s="1437"/>
      <c r="DT264" s="1437"/>
      <c r="DU264" s="1437"/>
      <c r="DV264" s="1437"/>
      <c r="DW264" s="1437"/>
    </row>
    <row r="271">
      <c r="X271" s="1476" t="s">
        <v>198</v>
      </c>
      <c r="Y271" s="556"/>
      <c r="Z271" s="556"/>
      <c r="AA271" s="556"/>
      <c r="AB271" s="556"/>
      <c r="AC271" s="556"/>
      <c r="AD271" s="556"/>
      <c r="AE271" s="556"/>
      <c r="AF271" s="556"/>
      <c r="AG271" s="556"/>
      <c r="AH271" s="556"/>
      <c r="AI271" s="556"/>
      <c r="AJ271" s="556"/>
      <c r="AK271" s="556"/>
      <c r="AL271" s="556"/>
      <c r="AM271" s="556"/>
      <c r="AN271" s="556"/>
      <c r="AO271" s="556"/>
      <c r="AP271" s="556"/>
      <c r="AQ271" s="556"/>
      <c r="AR271" s="556"/>
      <c r="AS271" s="556"/>
      <c r="AT271" s="556"/>
      <c r="AU271" s="556"/>
      <c r="AV271" s="556"/>
      <c r="AW271" s="556"/>
      <c r="AX271" s="556"/>
      <c r="AY271" s="556"/>
      <c r="AZ271" s="556"/>
      <c r="BA271" s="556"/>
      <c r="BB271" s="556"/>
      <c r="BC271" s="556"/>
      <c r="BD271" s="556"/>
      <c r="BE271" s="556"/>
      <c r="BF271" s="556"/>
      <c r="BG271" s="556"/>
      <c r="BH271" s="556"/>
      <c r="BI271" s="556"/>
      <c r="BJ271" s="556"/>
      <c r="BK271" s="556"/>
      <c r="BL271" s="556"/>
      <c r="BM271" s="556"/>
      <c r="BN271" s="556"/>
      <c r="BO271" s="556"/>
      <c r="BP271" s="556"/>
      <c r="BQ271" s="556"/>
      <c r="BR271" s="556"/>
      <c r="BS271" s="556"/>
      <c r="BT271" s="556"/>
      <c r="BU271" s="556"/>
      <c r="BV271" s="556"/>
      <c r="BW271" s="556"/>
      <c r="BX271" s="556"/>
      <c r="BY271" s="556"/>
      <c r="BZ271" s="556"/>
      <c r="CA271" s="556"/>
      <c r="CB271" s="557"/>
    </row>
    <row r="272">
      <c r="X272" s="559"/>
      <c r="CB272" s="560"/>
    </row>
    <row r="273">
      <c r="X273" s="559"/>
      <c r="CB273" s="560"/>
    </row>
    <row r="274">
      <c r="X274" s="574"/>
      <c r="Y274" s="575"/>
      <c r="Z274" s="575"/>
      <c r="AA274" s="575"/>
      <c r="AB274" s="575"/>
      <c r="AC274" s="575"/>
      <c r="AD274" s="575"/>
      <c r="AE274" s="575"/>
      <c r="AF274" s="575"/>
      <c r="AG274" s="575"/>
      <c r="AH274" s="575"/>
      <c r="AI274" s="575"/>
      <c r="AJ274" s="575"/>
      <c r="AK274" s="575"/>
      <c r="AL274" s="575"/>
      <c r="AM274" s="575"/>
      <c r="AN274" s="575"/>
      <c r="AO274" s="575"/>
      <c r="AP274" s="575"/>
      <c r="AQ274" s="575"/>
      <c r="AR274" s="575"/>
      <c r="AS274" s="575"/>
      <c r="AT274" s="575"/>
      <c r="AU274" s="575"/>
      <c r="AV274" s="575"/>
      <c r="AW274" s="575"/>
      <c r="AX274" s="575"/>
      <c r="AY274" s="575"/>
      <c r="AZ274" s="575"/>
      <c r="BA274" s="575"/>
      <c r="BB274" s="575"/>
      <c r="BC274" s="575"/>
      <c r="BD274" s="575"/>
      <c r="BE274" s="575"/>
      <c r="BF274" s="575"/>
      <c r="BG274" s="575"/>
      <c r="BH274" s="575"/>
      <c r="BI274" s="575"/>
      <c r="BJ274" s="575"/>
      <c r="BK274" s="575"/>
      <c r="BL274" s="575"/>
      <c r="BM274" s="575"/>
      <c r="BN274" s="575"/>
      <c r="BO274" s="575"/>
      <c r="BP274" s="575"/>
      <c r="BQ274" s="575"/>
      <c r="BR274" s="575"/>
      <c r="BS274" s="575"/>
      <c r="BT274" s="575"/>
      <c r="BU274" s="575"/>
      <c r="BV274" s="575"/>
      <c r="BW274" s="575"/>
      <c r="BX274" s="575"/>
      <c r="BY274" s="575"/>
      <c r="BZ274" s="575"/>
      <c r="CA274" s="575"/>
      <c r="CB274" s="576"/>
    </row>
    <row r="279">
      <c r="BT279" s="171"/>
      <c r="BU279" s="23"/>
    </row>
    <row r="280">
      <c r="BT280" s="171"/>
      <c r="BU280" s="23"/>
    </row>
    <row r="281">
      <c r="X281" s="1134"/>
      <c r="BT281" s="171"/>
      <c r="BU281" s="23"/>
    </row>
    <row r="282">
      <c r="BT282" s="171"/>
      <c r="BU282" s="23"/>
    </row>
    <row r="283">
      <c r="BN283" s="171"/>
      <c r="BO283" s="171"/>
      <c r="BP283" s="171"/>
      <c r="BQ283" s="171"/>
      <c r="BR283" s="171"/>
      <c r="BT283" s="171"/>
      <c r="BU283" s="23"/>
    </row>
    <row r="284">
      <c r="BN284" s="172"/>
      <c r="BO284" s="172"/>
      <c r="BP284" s="172"/>
      <c r="BQ284" s="172"/>
      <c r="BR284" s="172"/>
      <c r="BT284" s="171"/>
      <c r="BU284" s="23"/>
    </row>
    <row r="285">
      <c r="BN285" s="173"/>
      <c r="BO285" s="173"/>
      <c r="BP285" s="173"/>
      <c r="BQ285" s="173"/>
      <c r="BR285" s="173"/>
      <c r="BT285" s="171"/>
      <c r="BU285" s="23"/>
    </row>
    <row r="286">
      <c r="BN286" s="174"/>
      <c r="BO286" s="174"/>
      <c r="BP286" s="174"/>
      <c r="BQ286" s="174"/>
      <c r="BR286" s="174"/>
      <c r="BT286" s="171"/>
      <c r="BU286" s="23"/>
    </row>
    <row r="287">
      <c r="BN287" s="175"/>
      <c r="BO287" s="175"/>
      <c r="BP287" s="175"/>
      <c r="BQ287" s="175"/>
      <c r="BR287" s="175"/>
      <c r="BT287" s="171"/>
      <c r="BU287" s="23"/>
    </row>
    <row r="288">
      <c r="BN288" s="175"/>
      <c r="BO288" s="175"/>
      <c r="BP288" s="175"/>
      <c r="BQ288" s="175"/>
      <c r="BR288" s="175"/>
      <c r="BT288" s="171"/>
      <c r="BU288" s="23"/>
    </row>
    <row r="289">
      <c r="BN289" s="175"/>
      <c r="BO289" s="175"/>
      <c r="BP289" s="175"/>
      <c r="BQ289" s="175"/>
      <c r="BR289" s="175"/>
      <c r="BT289" s="171"/>
      <c r="BU289" s="23"/>
    </row>
    <row r="290">
      <c r="BN290" s="175"/>
      <c r="BO290" s="175"/>
      <c r="BP290" s="175"/>
      <c r="BQ290" s="175"/>
      <c r="BR290" s="175"/>
      <c r="BT290" s="171"/>
      <c r="BU290" s="23"/>
    </row>
    <row r="291">
      <c r="BN291" s="175"/>
      <c r="BO291" s="175"/>
      <c r="BP291" s="175"/>
      <c r="BQ291" s="175"/>
      <c r="BR291" s="175"/>
      <c r="BT291" s="171"/>
      <c r="BU291" s="23"/>
    </row>
    <row r="292">
      <c r="BN292" s="175"/>
      <c r="BO292" s="175"/>
      <c r="BP292" s="175"/>
      <c r="BQ292" s="175"/>
      <c r="BR292" s="175"/>
    </row>
    <row r="293">
      <c r="BN293" s="175"/>
      <c r="BO293" s="175"/>
      <c r="BP293" s="175"/>
      <c r="BQ293" s="175"/>
      <c r="BR293" s="175"/>
    </row>
    <row r="294">
      <c r="BN294" s="175"/>
      <c r="BO294" s="175"/>
      <c r="BP294" s="175"/>
      <c r="BQ294" s="175"/>
      <c r="BR294" s="175"/>
    </row>
    <row r="295">
      <c r="BN295" s="175"/>
      <c r="BO295" s="175"/>
      <c r="BP295" s="175"/>
      <c r="BQ295" s="175"/>
      <c r="BR295" s="175"/>
    </row>
    <row r="296">
      <c r="BN296" s="175"/>
      <c r="BO296" s="175"/>
      <c r="BP296" s="175"/>
      <c r="BQ296" s="175"/>
      <c r="BR296" s="175"/>
    </row>
    <row r="297">
      <c r="BN297" s="175"/>
      <c r="BO297" s="175"/>
      <c r="BP297" s="175"/>
      <c r="BQ297" s="175"/>
      <c r="BR297" s="175"/>
    </row>
    <row r="298">
      <c r="BN298" s="175"/>
      <c r="BO298" s="175"/>
      <c r="BP298" s="175"/>
      <c r="BQ298" s="175"/>
      <c r="BR298" s="175"/>
    </row>
    <row r="299">
      <c r="BN299" s="175"/>
      <c r="BO299" s="175"/>
      <c r="BP299" s="175"/>
      <c r="BQ299" s="175"/>
      <c r="BR299" s="175"/>
    </row>
    <row r="300">
      <c r="BN300" s="175"/>
      <c r="BO300" s="175"/>
      <c r="BP300" s="175"/>
      <c r="BQ300" s="175"/>
      <c r="BR300" s="175"/>
    </row>
    <row r="301">
      <c r="BN301" s="175"/>
      <c r="BO301" s="175"/>
      <c r="BP301" s="175"/>
      <c r="BQ301" s="175"/>
      <c r="BR301" s="175"/>
    </row>
    <row r="302">
      <c r="BN302" s="175"/>
      <c r="BO302" s="175"/>
      <c r="BP302" s="175"/>
      <c r="BQ302" s="175"/>
      <c r="BR302" s="175"/>
    </row>
    <row r="303">
      <c r="BN303" s="175"/>
      <c r="BO303" s="175"/>
      <c r="BP303" s="175"/>
      <c r="BQ303" s="175"/>
      <c r="BR303" s="175"/>
    </row>
    <row r="308">
      <c r="X308" s="1221" t="s">
        <v>86</v>
      </c>
      <c r="Y308" s="1222"/>
      <c r="Z308" s="1222"/>
      <c r="AA308" s="1222"/>
      <c r="AB308" s="1222"/>
      <c r="AC308" s="1222"/>
      <c r="AD308" s="1222"/>
      <c r="AE308" s="1222"/>
      <c r="AF308" s="1222"/>
      <c r="AG308" s="610"/>
      <c r="AH308" s="1221" t="s">
        <v>86</v>
      </c>
      <c r="AI308" s="1222"/>
      <c r="AJ308" s="1222"/>
      <c r="AK308" s="1222"/>
      <c r="AL308" s="1222"/>
      <c r="AM308" s="1222"/>
      <c r="AN308" s="1222"/>
      <c r="AO308" s="1222"/>
      <c r="AP308" s="1222"/>
      <c r="AQ308" s="1222"/>
      <c r="AR308" s="1222"/>
      <c r="AS308" s="1222"/>
      <c r="AT308" s="610"/>
      <c r="AU308" s="538"/>
      <c r="AV308" s="578"/>
      <c r="AW308" s="578"/>
      <c r="AX308" s="578"/>
      <c r="AY308" s="578"/>
      <c r="AZ308" s="578"/>
      <c r="BA308" s="578"/>
      <c r="BB308" s="579"/>
      <c r="BC308" s="579"/>
      <c r="BD308" s="579"/>
      <c r="BE308" s="579"/>
      <c r="BF308" s="579"/>
      <c r="BL308" s="1221" t="s">
        <v>158</v>
      </c>
      <c r="BM308" s="1222"/>
      <c r="BN308" s="1222"/>
      <c r="BO308" s="1222"/>
      <c r="BP308" s="1222"/>
      <c r="BQ308" s="1222"/>
      <c r="BR308" s="1222"/>
      <c r="BS308" s="1222"/>
      <c r="BT308" s="1222"/>
      <c r="BU308" s="1222"/>
      <c r="BV308" s="1222"/>
      <c r="BW308" s="1222"/>
      <c r="BX308" s="1222"/>
      <c r="BY308" s="1222"/>
      <c r="BZ308" s="1222"/>
      <c r="CA308" s="1222"/>
      <c r="CB308" s="610"/>
      <c r="CC308" s="1221" t="s">
        <v>86</v>
      </c>
      <c r="CD308" s="1222"/>
      <c r="CE308" s="1222"/>
      <c r="CF308" s="1222"/>
      <c r="CG308" s="1222"/>
      <c r="CH308" s="1222"/>
      <c r="CI308" s="1222"/>
      <c r="CJ308" s="1222"/>
      <c r="CK308" s="1222"/>
      <c r="CL308" s="1222"/>
      <c r="CM308" s="1222"/>
      <c r="CN308" s="1222"/>
      <c r="CO308" s="1222"/>
      <c r="CP308" s="1222"/>
      <c r="CQ308" s="1222"/>
      <c r="CR308" s="1222"/>
      <c r="CT308" s="1568"/>
      <c r="CU308" s="1569"/>
      <c r="CV308" s="1569"/>
      <c r="CW308" s="1569"/>
      <c r="CX308" s="1569"/>
      <c r="CY308" s="535"/>
      <c r="CZ308" s="535"/>
      <c r="DA308" s="535"/>
      <c r="DB308" s="535"/>
      <c r="DC308" s="535"/>
      <c r="DD308" s="535"/>
      <c r="DE308" s="535"/>
      <c r="DF308" s="535"/>
      <c r="DG308" s="535"/>
      <c r="DH308" s="535"/>
      <c r="DI308" s="535"/>
    </row>
    <row r="309">
      <c r="X309" s="1052" t="s">
        <v>57</v>
      </c>
      <c r="AG309" s="569"/>
      <c r="AH309" s="1224" t="s">
        <v>58</v>
      </c>
      <c r="AI309" s="1100"/>
      <c r="AJ309" s="1100"/>
      <c r="AK309" s="1100"/>
      <c r="AL309" s="1101" t="s">
        <v>59</v>
      </c>
      <c r="AM309" s="1101"/>
      <c r="AN309" s="1101"/>
      <c r="AO309" s="1101"/>
      <c r="AP309" s="1101"/>
      <c r="AQ309" s="1101"/>
      <c r="AR309" s="1101"/>
      <c r="AS309" s="1101"/>
      <c r="AT309" s="610"/>
      <c r="AU309" s="541"/>
      <c r="AV309" s="578"/>
      <c r="AW309" s="578"/>
      <c r="AX309" s="578"/>
      <c r="AY309" s="542"/>
      <c r="AZ309" s="582"/>
      <c r="BA309" s="582"/>
      <c r="BB309" s="583"/>
      <c r="BC309" s="583"/>
      <c r="BD309" s="583"/>
      <c r="BE309" s="583"/>
      <c r="BF309" s="579"/>
      <c r="BL309" s="1224" t="s">
        <v>58</v>
      </c>
      <c r="BM309" s="1052"/>
      <c r="BN309" s="1052" t="s">
        <v>44</v>
      </c>
      <c r="CB309" s="610"/>
      <c r="CC309" s="1224" t="s">
        <v>58</v>
      </c>
      <c r="CD309" s="1052"/>
      <c r="CE309" s="1052" t="s">
        <v>44</v>
      </c>
      <c r="CT309" s="1570"/>
      <c r="CU309" s="535"/>
      <c r="CV309" s="535"/>
    </row>
    <row r="310">
      <c r="X310" s="1100"/>
      <c r="Y310" s="1103" t="str">
        <f>$F$75</f>
        <v>#DIV/0!</v>
      </c>
      <c r="Z310" s="681">
        <v>64.0</v>
      </c>
      <c r="AA310" s="681">
        <f t="shared" ref="AA310:AF310" si="25">Z310+10</f>
        <v>74</v>
      </c>
      <c r="AB310" s="681">
        <f t="shared" si="25"/>
        <v>84</v>
      </c>
      <c r="AC310" s="681">
        <f t="shared" si="25"/>
        <v>94</v>
      </c>
      <c r="AD310" s="681">
        <f t="shared" si="25"/>
        <v>104</v>
      </c>
      <c r="AE310" s="681">
        <f t="shared" si="25"/>
        <v>114</v>
      </c>
      <c r="AF310" s="681">
        <f t="shared" si="25"/>
        <v>124</v>
      </c>
      <c r="AG310" s="596"/>
      <c r="AH310" s="1100"/>
      <c r="AI310" s="683" t="str">
        <f>$F$75</f>
        <v>#DIV/0!</v>
      </c>
      <c r="AJ310" s="684">
        <f t="shared" ref="AJ310:AL310" si="26">AK310-0.05</f>
        <v>0.7</v>
      </c>
      <c r="AK310" s="684">
        <f t="shared" si="26"/>
        <v>0.75</v>
      </c>
      <c r="AL310" s="684">
        <f t="shared" si="26"/>
        <v>0.8</v>
      </c>
      <c r="AM310" s="684">
        <v>0.85</v>
      </c>
      <c r="AN310" s="684">
        <v>0.9</v>
      </c>
      <c r="AO310" s="684">
        <f t="shared" ref="AO310:AS310" si="27">AN310+0.02</f>
        <v>0.92</v>
      </c>
      <c r="AP310" s="684">
        <f t="shared" si="27"/>
        <v>0.94</v>
      </c>
      <c r="AQ310" s="684">
        <f t="shared" si="27"/>
        <v>0.96</v>
      </c>
      <c r="AR310" s="684">
        <f t="shared" si="27"/>
        <v>0.98</v>
      </c>
      <c r="AS310" s="684">
        <f t="shared" si="27"/>
        <v>1</v>
      </c>
      <c r="AT310" s="610"/>
      <c r="AU310" s="1582"/>
      <c r="AV310" s="1583"/>
      <c r="AW310" s="546"/>
      <c r="AX310" s="546"/>
      <c r="AY310" s="546"/>
      <c r="AZ310" s="546"/>
      <c r="BA310" s="546"/>
      <c r="BB310" s="546"/>
      <c r="BC310" s="546"/>
      <c r="BD310" s="546"/>
      <c r="BE310" s="546"/>
      <c r="BF310" s="546"/>
      <c r="BL310" s="1224" t="s">
        <v>159</v>
      </c>
      <c r="BM310" s="1052"/>
      <c r="BN310" s="1052"/>
      <c r="BO310" s="1052"/>
      <c r="BP310" s="1052"/>
      <c r="BQ310" s="1052"/>
      <c r="BR310" s="1052"/>
      <c r="BS310" s="1052"/>
      <c r="BT310" s="1052"/>
      <c r="BU310" s="1052"/>
      <c r="BV310" s="1052"/>
      <c r="BW310" s="1052"/>
      <c r="BX310" s="1052"/>
      <c r="BY310" s="1052"/>
      <c r="BZ310" s="1052"/>
      <c r="CA310" s="1052"/>
      <c r="CB310" s="610"/>
      <c r="CC310" s="1224" t="s">
        <v>159</v>
      </c>
      <c r="CD310" s="1052"/>
      <c r="CE310" s="1052"/>
      <c r="CF310" s="1052"/>
      <c r="CG310" s="1052"/>
      <c r="CH310" s="1052"/>
      <c r="CI310" s="1052"/>
      <c r="CJ310" s="1052"/>
      <c r="CK310" s="1052"/>
      <c r="CL310" s="1052"/>
      <c r="CM310" s="1052"/>
      <c r="CN310" s="1052"/>
      <c r="CO310" s="1052"/>
      <c r="CP310" s="1052"/>
      <c r="CQ310" s="1052"/>
      <c r="CR310" s="1052"/>
      <c r="CT310" s="1570"/>
      <c r="CU310" s="1569"/>
      <c r="CV310" s="535"/>
      <c r="CW310" s="535"/>
      <c r="CX310" s="535"/>
      <c r="CY310" s="535"/>
      <c r="CZ310" s="535"/>
      <c r="DA310" s="535"/>
      <c r="DB310" s="535"/>
      <c r="DC310" s="535"/>
      <c r="DD310" s="535"/>
      <c r="DE310" s="535"/>
      <c r="DF310" s="535"/>
      <c r="DG310" s="535"/>
      <c r="DH310" s="535"/>
      <c r="DI310" s="535"/>
    </row>
    <row r="311">
      <c r="X311" s="1225" t="s">
        <v>66</v>
      </c>
      <c r="Y311" s="1062">
        <v>524288.0</v>
      </c>
      <c r="Z311" s="704">
        <v>0.1221360495105952</v>
      </c>
      <c r="AA311" s="705">
        <v>0.15309851581561973</v>
      </c>
      <c r="AB311" s="706">
        <v>0.18406098212064423</v>
      </c>
      <c r="AC311" s="1144">
        <v>0.2150234484256688</v>
      </c>
      <c r="AD311" s="1234">
        <v>0.2459859147306933</v>
      </c>
      <c r="AE311" s="709">
        <v>0.2769483810357179</v>
      </c>
      <c r="AF311" s="710">
        <v>0.30791084734074237</v>
      </c>
      <c r="AG311" s="587"/>
      <c r="AH311" s="1225" t="s">
        <v>66</v>
      </c>
      <c r="AI311" s="1062">
        <v>524288.0</v>
      </c>
      <c r="AJ311" s="704"/>
      <c r="AK311" s="705"/>
      <c r="AL311" s="706"/>
      <c r="AM311" s="1144"/>
      <c r="AN311" s="1234"/>
      <c r="AO311" s="709"/>
      <c r="AP311" s="710"/>
      <c r="AQ311" s="711"/>
      <c r="AR311" s="712"/>
      <c r="AS311" s="1141"/>
      <c r="AT311" s="610"/>
      <c r="AU311" s="588"/>
      <c r="AV311" s="586"/>
      <c r="AW311" s="1581"/>
      <c r="AX311" s="1581"/>
      <c r="AY311" s="1581"/>
      <c r="AZ311" s="1581"/>
      <c r="BA311" s="1581"/>
      <c r="BB311" s="1581"/>
      <c r="BC311" s="1581"/>
      <c r="BD311" s="1581"/>
      <c r="BE311" s="1581"/>
      <c r="BF311" s="1581"/>
      <c r="BL311" s="1224" t="s">
        <v>68</v>
      </c>
      <c r="BM311" s="1052"/>
      <c r="BN311" s="1052"/>
      <c r="BO311" s="1052"/>
      <c r="BP311" s="1052"/>
      <c r="BQ311" s="1052"/>
      <c r="BR311" s="1052"/>
      <c r="BS311" s="1052"/>
      <c r="BT311" s="1052"/>
      <c r="BU311" s="1052"/>
      <c r="BV311" s="1052"/>
      <c r="BW311" s="1052"/>
      <c r="BX311" s="1052"/>
      <c r="BY311" s="1052"/>
      <c r="BZ311" s="1052"/>
      <c r="CA311" s="1052"/>
      <c r="CB311" s="610"/>
      <c r="CC311" s="1224" t="s">
        <v>68</v>
      </c>
      <c r="CD311" s="1052"/>
      <c r="CE311" s="1052"/>
      <c r="CF311" s="1052"/>
      <c r="CG311" s="1052"/>
      <c r="CH311" s="1052"/>
      <c r="CI311" s="1052"/>
      <c r="CJ311" s="1052"/>
      <c r="CK311" s="1052"/>
      <c r="CL311" s="1052"/>
      <c r="CM311" s="1052"/>
      <c r="CN311" s="1052"/>
      <c r="CO311" s="1052"/>
      <c r="CP311" s="1052"/>
      <c r="CQ311" s="1052"/>
      <c r="CR311" s="1052"/>
      <c r="CT311" s="1570"/>
      <c r="CU311" s="1569"/>
      <c r="CV311" s="535"/>
      <c r="CW311" s="535"/>
      <c r="CX311" s="535"/>
      <c r="CY311" s="535"/>
      <c r="CZ311" s="535"/>
      <c r="DA311" s="535"/>
      <c r="DB311" s="535"/>
      <c r="DC311" s="535"/>
      <c r="DD311" s="535"/>
      <c r="DE311" s="535"/>
      <c r="DF311" s="535"/>
      <c r="DG311" s="535"/>
      <c r="DH311" s="535"/>
      <c r="DI311" s="535"/>
    </row>
    <row r="312">
      <c r="Y312" s="1062">
        <v>1000000.0</v>
      </c>
      <c r="Z312" s="727">
        <v>0.06745927548688527</v>
      </c>
      <c r="AA312" s="728">
        <v>0.08987849585070516</v>
      </c>
      <c r="AB312" s="729">
        <v>0.11229771621452503</v>
      </c>
      <c r="AC312" s="1150">
        <v>0.1347169365783449</v>
      </c>
      <c r="AD312" s="1245">
        <v>0.1571361569421647</v>
      </c>
      <c r="AE312" s="732">
        <v>0.17955537730598467</v>
      </c>
      <c r="AF312" s="733">
        <v>0.20197459766980444</v>
      </c>
      <c r="AG312" s="577"/>
      <c r="AI312" s="1062">
        <v>1000000.0</v>
      </c>
      <c r="AJ312" s="727"/>
      <c r="AK312" s="728"/>
      <c r="AL312" s="729"/>
      <c r="AM312" s="1150"/>
      <c r="AN312" s="1245"/>
      <c r="AO312" s="732"/>
      <c r="AP312" s="733"/>
      <c r="AQ312" s="734"/>
      <c r="AR312" s="735"/>
      <c r="AS312" s="1153"/>
      <c r="AT312" s="610"/>
      <c r="AV312" s="586"/>
      <c r="AW312" s="1437"/>
      <c r="AX312" s="1437"/>
      <c r="AY312" s="1437"/>
      <c r="AZ312" s="1437"/>
      <c r="BA312" s="1437"/>
      <c r="BB312" s="1437"/>
      <c r="BC312" s="1437"/>
      <c r="BD312" s="1437"/>
      <c r="BE312" s="1437"/>
      <c r="BF312" s="1437"/>
      <c r="BL312" s="1100"/>
      <c r="BM312" s="1054">
        <f>F74</f>
        <v>-985</v>
      </c>
      <c r="BN312" s="1062">
        <v>50.0</v>
      </c>
      <c r="BO312" s="1062">
        <v>100.0</v>
      </c>
      <c r="BP312" s="1062">
        <v>250.0</v>
      </c>
      <c r="BQ312" s="1062">
        <v>500.0</v>
      </c>
      <c r="BR312" s="1062">
        <f t="shared" ref="BR312:CA312" si="28">BQ312+250</f>
        <v>750</v>
      </c>
      <c r="BS312" s="1062">
        <f t="shared" si="28"/>
        <v>1000</v>
      </c>
      <c r="BT312" s="1062">
        <f t="shared" si="28"/>
        <v>1250</v>
      </c>
      <c r="BU312" s="1062">
        <f t="shared" si="28"/>
        <v>1500</v>
      </c>
      <c r="BV312" s="1062">
        <f t="shared" si="28"/>
        <v>1750</v>
      </c>
      <c r="BW312" s="1062">
        <f t="shared" si="28"/>
        <v>2000</v>
      </c>
      <c r="BX312" s="1062">
        <f t="shared" si="28"/>
        <v>2250</v>
      </c>
      <c r="BY312" s="1062">
        <f t="shared" si="28"/>
        <v>2500</v>
      </c>
      <c r="BZ312" s="1062">
        <f t="shared" si="28"/>
        <v>2750</v>
      </c>
      <c r="CA312" s="1062">
        <f t="shared" si="28"/>
        <v>3000</v>
      </c>
      <c r="CB312" s="610"/>
      <c r="CC312" s="1100"/>
      <c r="CD312" s="1054" t="str">
        <f>$F$78</f>
        <v/>
      </c>
      <c r="CE312" s="1062">
        <v>50.0</v>
      </c>
      <c r="CF312" s="1062">
        <v>100.0</v>
      </c>
      <c r="CG312" s="1062">
        <v>250.0</v>
      </c>
      <c r="CH312" s="1062">
        <v>500.0</v>
      </c>
      <c r="CI312" s="1062">
        <f t="shared" ref="CI312:CR312" si="29">CH312+250</f>
        <v>750</v>
      </c>
      <c r="CJ312" s="1062">
        <f t="shared" si="29"/>
        <v>1000</v>
      </c>
      <c r="CK312" s="1062">
        <f t="shared" si="29"/>
        <v>1250</v>
      </c>
      <c r="CL312" s="1062">
        <f t="shared" si="29"/>
        <v>1500</v>
      </c>
      <c r="CM312" s="1062">
        <f t="shared" si="29"/>
        <v>1750</v>
      </c>
      <c r="CN312" s="1062">
        <f t="shared" si="29"/>
        <v>2000</v>
      </c>
      <c r="CO312" s="1062">
        <f t="shared" si="29"/>
        <v>2250</v>
      </c>
      <c r="CP312" s="1062">
        <f t="shared" si="29"/>
        <v>2500</v>
      </c>
      <c r="CQ312" s="1062">
        <f t="shared" si="29"/>
        <v>2750</v>
      </c>
      <c r="CR312" s="1062">
        <f t="shared" si="29"/>
        <v>3000</v>
      </c>
      <c r="CT312" s="535"/>
      <c r="CU312" s="1583"/>
      <c r="CV312" s="543"/>
      <c r="CW312" s="543"/>
      <c r="CX312" s="543"/>
      <c r="CY312" s="543"/>
      <c r="CZ312" s="543"/>
      <c r="DA312" s="543"/>
      <c r="DB312" s="543"/>
      <c r="DC312" s="543"/>
      <c r="DD312" s="543"/>
      <c r="DE312" s="543"/>
      <c r="DF312" s="543"/>
      <c r="DG312" s="543"/>
      <c r="DH312" s="543"/>
      <c r="DI312" s="543"/>
    </row>
    <row r="313">
      <c r="Y313" s="1056">
        <f t="shared" ref="Y313:Y330" si="30">Y312+500000</f>
        <v>1500000</v>
      </c>
      <c r="Z313" s="751">
        <v>0.04112965251283281</v>
      </c>
      <c r="AA313" s="752">
        <v>0.05943486928695699</v>
      </c>
      <c r="AB313" s="753">
        <v>0.07774008606108115</v>
      </c>
      <c r="AC313" s="1156">
        <v>0.09604530283520536</v>
      </c>
      <c r="AD313" s="1154">
        <v>0.11435051960932952</v>
      </c>
      <c r="AE313" s="756">
        <v>0.13265573638345374</v>
      </c>
      <c r="AF313" s="757">
        <v>0.1509609531575779</v>
      </c>
      <c r="AG313" s="594"/>
      <c r="AI313" s="1056">
        <f t="shared" ref="AI313:AI330" si="31">AI312+500000</f>
        <v>1500000</v>
      </c>
      <c r="AJ313" s="751"/>
      <c r="AK313" s="752"/>
      <c r="AL313" s="753"/>
      <c r="AM313" s="1156"/>
      <c r="AN313" s="1154"/>
      <c r="AO313" s="756"/>
      <c r="AP313" s="757"/>
      <c r="AQ313" s="758"/>
      <c r="AR313" s="759"/>
      <c r="AS313" s="1159"/>
      <c r="AT313" s="610"/>
      <c r="AV313" s="587"/>
      <c r="AW313" s="1581"/>
      <c r="AX313" s="1581"/>
      <c r="AY313" s="1581"/>
      <c r="AZ313" s="1581"/>
      <c r="BA313" s="1581"/>
      <c r="BB313" s="1581"/>
      <c r="BC313" s="1581"/>
      <c r="BD313" s="1581"/>
      <c r="BE313" s="1581"/>
      <c r="BF313" s="1581"/>
      <c r="BL313" s="1225" t="s">
        <v>66</v>
      </c>
      <c r="BM313" s="1062">
        <v>524288.0</v>
      </c>
      <c r="BN313" s="1266">
        <v>127387.66413815183</v>
      </c>
      <c r="BO313" s="1266">
        <v>255760.32827630366</v>
      </c>
      <c r="BP313" s="1266">
        <v>640878.3206907591</v>
      </c>
      <c r="BQ313" s="1266">
        <v>1282741.6413815182</v>
      </c>
      <c r="BR313" s="1266">
        <v>1924604.9620722774</v>
      </c>
      <c r="BS313" s="1266">
        <v>2566468.2827630364</v>
      </c>
      <c r="BT313" s="1266">
        <v>3207346.603453796</v>
      </c>
      <c r="BU313" s="1266">
        <v>3849209.924144555</v>
      </c>
      <c r="BV313" s="1266">
        <v>4491073.244835314</v>
      </c>
      <c r="BW313" s="1266">
        <v>5132936.565526073</v>
      </c>
      <c r="BX313" s="1266">
        <v>5773814.886216832</v>
      </c>
      <c r="BY313" s="1266">
        <v>6415678.206907592</v>
      </c>
      <c r="BZ313" s="1266">
        <v>7057541.52759835</v>
      </c>
      <c r="CA313" s="1266">
        <v>7699404.84828911</v>
      </c>
      <c r="CB313" s="610"/>
      <c r="CC313" s="1225" t="s">
        <v>66</v>
      </c>
      <c r="CD313" s="1062">
        <v>524288.0</v>
      </c>
      <c r="CE313" s="1073"/>
      <c r="CF313" s="1073"/>
      <c r="CG313" s="1073"/>
      <c r="CH313" s="1073"/>
      <c r="CI313" s="1073"/>
      <c r="CJ313" s="1073"/>
      <c r="CK313" s="1073"/>
      <c r="CL313" s="1073"/>
      <c r="CM313" s="1073"/>
      <c r="CN313" s="1073"/>
      <c r="CO313" s="1073"/>
      <c r="CP313" s="1073"/>
      <c r="CQ313" s="1073"/>
      <c r="CR313" s="1073"/>
      <c r="CT313" s="551"/>
      <c r="CU313" s="543"/>
      <c r="CV313" s="1581"/>
      <c r="CW313" s="1581"/>
      <c r="CX313" s="1581"/>
      <c r="CY313" s="1581"/>
      <c r="CZ313" s="1581"/>
      <c r="DA313" s="1581"/>
      <c r="DB313" s="1581"/>
      <c r="DC313" s="1581"/>
      <c r="DD313" s="1581"/>
      <c r="DE313" s="1581"/>
      <c r="DF313" s="1581"/>
      <c r="DG313" s="1581"/>
      <c r="DH313" s="1581"/>
      <c r="DI313" s="1581"/>
    </row>
    <row r="314">
      <c r="Y314" s="1056">
        <f t="shared" si="30"/>
        <v>2000000</v>
      </c>
      <c r="Z314" s="740">
        <v>0.025434074746742533</v>
      </c>
      <c r="AA314" s="766">
        <v>0.041286857494915105</v>
      </c>
      <c r="AB314" s="775">
        <v>0.05713964024308767</v>
      </c>
      <c r="AC314" s="799">
        <v>0.07299242299126021</v>
      </c>
      <c r="AD314" s="752">
        <v>0.08884520573943279</v>
      </c>
      <c r="AE314" s="778">
        <v>0.10469798848760538</v>
      </c>
      <c r="AF314" s="779">
        <v>0.12055077123577798</v>
      </c>
      <c r="AG314" s="577"/>
      <c r="AI314" s="1056">
        <f t="shared" si="31"/>
        <v>2000000</v>
      </c>
      <c r="AJ314" s="740"/>
      <c r="AK314" s="766"/>
      <c r="AL314" s="775"/>
      <c r="AM314" s="799"/>
      <c r="AN314" s="752"/>
      <c r="AO314" s="778"/>
      <c r="AP314" s="779"/>
      <c r="AQ314" s="780"/>
      <c r="AR314" s="781"/>
      <c r="AS314" s="1165"/>
      <c r="AT314" s="610"/>
      <c r="AV314" s="587"/>
      <c r="AW314" s="1581"/>
      <c r="AX314" s="1581"/>
      <c r="AY314" s="1581"/>
      <c r="AZ314" s="1581"/>
      <c r="BA314" s="1581"/>
      <c r="BB314" s="1581"/>
      <c r="BC314" s="1581"/>
      <c r="BD314" s="1581"/>
      <c r="BE314" s="1581"/>
      <c r="BF314" s="1581"/>
      <c r="BM314" s="1062">
        <v>1000000.0</v>
      </c>
      <c r="BN314" s="1281">
        <v>91966.73768301596</v>
      </c>
      <c r="BO314" s="1281">
        <v>184918.47536603193</v>
      </c>
      <c r="BP314" s="1281">
        <v>463773.68841507984</v>
      </c>
      <c r="BQ314" s="1281">
        <v>928532.3768301597</v>
      </c>
      <c r="BR314" s="1281">
        <v>1393291.0652452395</v>
      </c>
      <c r="BS314" s="1281">
        <v>1858049.7536603194</v>
      </c>
      <c r="BT314" s="1281">
        <v>2321823.442075399</v>
      </c>
      <c r="BU314" s="1281">
        <v>2786582.130490479</v>
      </c>
      <c r="BV314" s="1281">
        <v>3251340.818905559</v>
      </c>
      <c r="BW314" s="1281">
        <v>3716099.5073206387</v>
      </c>
      <c r="BX314" s="1281">
        <v>4179873.1957357186</v>
      </c>
      <c r="BY314" s="1281">
        <v>4644631.884150798</v>
      </c>
      <c r="BZ314" s="1281">
        <v>5109390.572565878</v>
      </c>
      <c r="CA314" s="1281">
        <v>5574149.260980958</v>
      </c>
      <c r="CB314" s="610"/>
      <c r="CD314" s="1062">
        <v>1000000.0</v>
      </c>
      <c r="CE314" s="1075"/>
      <c r="CF314" s="1075"/>
      <c r="CG314" s="1075"/>
      <c r="CH314" s="1075"/>
      <c r="CI314" s="1075"/>
      <c r="CJ314" s="1075"/>
      <c r="CK314" s="1075"/>
      <c r="CL314" s="1075"/>
      <c r="CM314" s="1075"/>
      <c r="CN314" s="1075"/>
      <c r="CO314" s="1075"/>
      <c r="CP314" s="1075"/>
      <c r="CQ314" s="1075"/>
      <c r="CR314" s="1075"/>
      <c r="CU314" s="543"/>
      <c r="CV314" s="1437"/>
      <c r="CW314" s="1437"/>
      <c r="CX314" s="1437"/>
      <c r="CY314" s="1437"/>
      <c r="CZ314" s="1437"/>
      <c r="DA314" s="1437"/>
      <c r="DB314" s="1437"/>
      <c r="DC314" s="1437"/>
      <c r="DD314" s="1437"/>
      <c r="DE314" s="1437"/>
      <c r="DF314" s="1437"/>
      <c r="DG314" s="1437"/>
      <c r="DH314" s="1437"/>
      <c r="DI314" s="1437"/>
    </row>
    <row r="315">
      <c r="Y315" s="1056">
        <f t="shared" si="30"/>
        <v>2500000</v>
      </c>
      <c r="Z315" s="795">
        <v>0.014722888793509572</v>
      </c>
      <c r="AA315" s="714">
        <v>0.028902048736489504</v>
      </c>
      <c r="AB315" s="740">
        <v>0.04308120867946941</v>
      </c>
      <c r="AC315" s="1168">
        <v>0.05726036862244932</v>
      </c>
      <c r="AD315" s="1287">
        <v>0.07143952856542922</v>
      </c>
      <c r="AE315" s="798">
        <v>0.08561868850840919</v>
      </c>
      <c r="AF315" s="715">
        <v>0.09979784845138909</v>
      </c>
      <c r="AG315" s="577"/>
      <c r="AI315" s="1056">
        <f t="shared" si="31"/>
        <v>2500000</v>
      </c>
      <c r="AJ315" s="795"/>
      <c r="AK315" s="714"/>
      <c r="AL315" s="740"/>
      <c r="AM315" s="1168"/>
      <c r="AN315" s="1287"/>
      <c r="AO315" s="798"/>
      <c r="AP315" s="715"/>
      <c r="AQ315" s="751"/>
      <c r="AR315" s="799"/>
      <c r="AS315" s="1171"/>
      <c r="AT315" s="610"/>
      <c r="AV315" s="587"/>
      <c r="AW315" s="1581"/>
      <c r="AX315" s="1581"/>
      <c r="AY315" s="1581"/>
      <c r="AZ315" s="1581"/>
      <c r="BA315" s="1581"/>
      <c r="BB315" s="1581"/>
      <c r="BC315" s="1581"/>
      <c r="BD315" s="1581"/>
      <c r="BE315" s="1581"/>
      <c r="BF315" s="1581"/>
      <c r="BM315" s="1056">
        <f t="shared" ref="BM315:BM332" si="32">BM314+500000</f>
        <v>1500000</v>
      </c>
      <c r="BN315" s="1266">
        <v>74909.77600947341</v>
      </c>
      <c r="BO315" s="1266">
        <v>150804.55201894682</v>
      </c>
      <c r="BP315" s="1266">
        <v>378488.880047367</v>
      </c>
      <c r="BQ315" s="1266">
        <v>757962.760094734</v>
      </c>
      <c r="BR315" s="1266">
        <v>1137436.640142101</v>
      </c>
      <c r="BS315" s="1266">
        <v>1516910.520189468</v>
      </c>
      <c r="BT315" s="1266">
        <v>1895399.400236835</v>
      </c>
      <c r="BU315" s="1266">
        <v>2274873.280284202</v>
      </c>
      <c r="BV315" s="1266">
        <v>2654347.160331569</v>
      </c>
      <c r="BW315" s="1266">
        <v>3033821.040378936</v>
      </c>
      <c r="BX315" s="1266">
        <v>3412309.920426303</v>
      </c>
      <c r="BY315" s="1266">
        <v>3791783.80047367</v>
      </c>
      <c r="BZ315" s="1266">
        <v>4171257.6805210374</v>
      </c>
      <c r="CA315" s="1266">
        <v>4550731.560568404</v>
      </c>
      <c r="CB315" s="610"/>
      <c r="CD315" s="1056">
        <f t="shared" ref="CD315:CD332" si="33">CD314+500000</f>
        <v>1500000</v>
      </c>
      <c r="CE315" s="1073"/>
      <c r="CF315" s="1073"/>
      <c r="CG315" s="1073"/>
      <c r="CH315" s="1073"/>
      <c r="CI315" s="1073"/>
      <c r="CJ315" s="1073"/>
      <c r="CK315" s="1073"/>
      <c r="CL315" s="1073"/>
      <c r="CM315" s="1073"/>
      <c r="CN315" s="1073"/>
      <c r="CO315" s="1073"/>
      <c r="CP315" s="1073"/>
      <c r="CQ315" s="1073"/>
      <c r="CR315" s="1073"/>
      <c r="CU315" s="543"/>
      <c r="CV315" s="1581"/>
      <c r="CW315" s="1581"/>
      <c r="CX315" s="1581"/>
      <c r="CY315" s="1581"/>
      <c r="CZ315" s="1581"/>
      <c r="DA315" s="1581"/>
      <c r="DB315" s="1581"/>
      <c r="DC315" s="1581"/>
      <c r="DD315" s="1581"/>
      <c r="DE315" s="1581"/>
      <c r="DF315" s="1581"/>
      <c r="DG315" s="1581"/>
      <c r="DH315" s="1581"/>
      <c r="DI315" s="1581"/>
    </row>
    <row r="316">
      <c r="Y316" s="1056">
        <f t="shared" si="30"/>
        <v>3000000</v>
      </c>
      <c r="Z316" s="764">
        <v>0.006816219795704902</v>
      </c>
      <c r="AA316" s="739">
        <v>0.01975996270777789</v>
      </c>
      <c r="AB316" s="795">
        <v>0.032703705619850795</v>
      </c>
      <c r="AC316" s="714">
        <v>0.04564744853192375</v>
      </c>
      <c r="AD316" s="740">
        <v>0.05859119144399669</v>
      </c>
      <c r="AE316" s="813">
        <v>0.07153493435606963</v>
      </c>
      <c r="AF316" s="814">
        <v>0.08447867726814261</v>
      </c>
      <c r="AG316" s="577"/>
      <c r="AI316" s="1056">
        <f t="shared" si="31"/>
        <v>3000000</v>
      </c>
      <c r="AJ316" s="764"/>
      <c r="AK316" s="739"/>
      <c r="AL316" s="795"/>
      <c r="AM316" s="714"/>
      <c r="AN316" s="740"/>
      <c r="AO316" s="813"/>
      <c r="AP316" s="814"/>
      <c r="AQ316" s="766"/>
      <c r="AR316" s="815"/>
      <c r="AS316" s="1176"/>
      <c r="AT316" s="610"/>
      <c r="AV316" s="587"/>
      <c r="AW316" s="1581"/>
      <c r="AX316" s="1581"/>
      <c r="AY316" s="1581"/>
      <c r="AZ316" s="1581"/>
      <c r="BA316" s="1581"/>
      <c r="BB316" s="1581"/>
      <c r="BC316" s="1581"/>
      <c r="BD316" s="1581"/>
      <c r="BE316" s="1581"/>
      <c r="BF316" s="1581"/>
      <c r="BM316" s="1056">
        <f t="shared" si="32"/>
        <v>2000000</v>
      </c>
      <c r="BN316" s="1266">
        <v>64741.80403873374</v>
      </c>
      <c r="BO316" s="1266">
        <v>130468.60807746748</v>
      </c>
      <c r="BP316" s="1266">
        <v>327649.02019366866</v>
      </c>
      <c r="BQ316" s="1266">
        <v>656283.0403873373</v>
      </c>
      <c r="BR316" s="1266">
        <v>984917.0605810061</v>
      </c>
      <c r="BS316" s="1266">
        <v>1313551.0807746747</v>
      </c>
      <c r="BT316" s="1266">
        <v>1641200.1009683434</v>
      </c>
      <c r="BU316" s="1266">
        <v>1969834.1211620122</v>
      </c>
      <c r="BV316" s="1266">
        <v>2298468.141355681</v>
      </c>
      <c r="BW316" s="1266">
        <v>2627102.1615493493</v>
      </c>
      <c r="BX316" s="1266">
        <v>2954751.1817430183</v>
      </c>
      <c r="BY316" s="1266">
        <v>3283385.201936687</v>
      </c>
      <c r="BZ316" s="1266">
        <v>3612019.2221303554</v>
      </c>
      <c r="CA316" s="1266">
        <v>3940653.2423240244</v>
      </c>
      <c r="CB316" s="610"/>
      <c r="CD316" s="1056">
        <f t="shared" si="33"/>
        <v>2000000</v>
      </c>
      <c r="CE316" s="1073"/>
      <c r="CF316" s="1073"/>
      <c r="CG316" s="1073"/>
      <c r="CH316" s="1073"/>
      <c r="CI316" s="1073"/>
      <c r="CJ316" s="1073"/>
      <c r="CK316" s="1073"/>
      <c r="CL316" s="1073"/>
      <c r="CM316" s="1073"/>
      <c r="CN316" s="1073"/>
      <c r="CO316" s="1073"/>
      <c r="CP316" s="1073"/>
      <c r="CQ316" s="1073"/>
      <c r="CR316" s="1073"/>
      <c r="CU316" s="543"/>
      <c r="CV316" s="1581"/>
      <c r="CW316" s="1581"/>
      <c r="CX316" s="1581"/>
      <c r="CY316" s="1581"/>
      <c r="CZ316" s="1581"/>
      <c r="DA316" s="1581"/>
      <c r="DB316" s="1581"/>
      <c r="DC316" s="1581"/>
      <c r="DD316" s="1581"/>
      <c r="DE316" s="1581"/>
      <c r="DF316" s="1581"/>
      <c r="DG316" s="1581"/>
      <c r="DH316" s="1581"/>
      <c r="DI316" s="1581"/>
    </row>
    <row r="317">
      <c r="Y317" s="1056">
        <f t="shared" si="30"/>
        <v>3500000</v>
      </c>
      <c r="Z317" s="831">
        <v>6.711602258660946E-4</v>
      </c>
      <c r="AA317" s="832">
        <v>0.012654737580151712</v>
      </c>
      <c r="AB317" s="833">
        <v>0.02463831493443739</v>
      </c>
      <c r="AC317" s="856">
        <v>0.036621892288722965</v>
      </c>
      <c r="AD317" s="787">
        <v>0.0486054696430086</v>
      </c>
      <c r="AE317" s="836">
        <v>0.06058904699729427</v>
      </c>
      <c r="AF317" s="714">
        <v>0.07257262435157985</v>
      </c>
      <c r="AG317" s="577"/>
      <c r="AI317" s="1056">
        <f t="shared" si="31"/>
        <v>3500000</v>
      </c>
      <c r="AJ317" s="831"/>
      <c r="AK317" s="832"/>
      <c r="AL317" s="833"/>
      <c r="AM317" s="856"/>
      <c r="AN317" s="787"/>
      <c r="AO317" s="836"/>
      <c r="AP317" s="714"/>
      <c r="AQ317" s="837"/>
      <c r="AR317" s="838"/>
      <c r="AS317" s="740"/>
      <c r="AT317" s="610"/>
      <c r="AV317" s="587"/>
      <c r="AW317" s="1581"/>
      <c r="AX317" s="1581"/>
      <c r="AY317" s="1581"/>
      <c r="AZ317" s="1581"/>
      <c r="BA317" s="1581"/>
      <c r="BB317" s="1581"/>
      <c r="BC317" s="1581"/>
      <c r="BD317" s="1581"/>
      <c r="BE317" s="1581"/>
      <c r="BF317" s="1581"/>
      <c r="BM317" s="1056">
        <f t="shared" si="32"/>
        <v>2500000</v>
      </c>
      <c r="BN317" s="1266">
        <v>57802.84070976655</v>
      </c>
      <c r="BO317" s="1266">
        <v>116590.6814195331</v>
      </c>
      <c r="BP317" s="1266">
        <v>292954.20354883274</v>
      </c>
      <c r="BQ317" s="1266">
        <v>586893.4070976655</v>
      </c>
      <c r="BR317" s="1266">
        <v>880832.6106464982</v>
      </c>
      <c r="BS317" s="1266">
        <v>1174771.814195331</v>
      </c>
      <c r="BT317" s="1266">
        <v>1467726.0177441637</v>
      </c>
      <c r="BU317" s="1266">
        <v>1761665.2212929963</v>
      </c>
      <c r="BV317" s="1266">
        <v>2055604.424841829</v>
      </c>
      <c r="BW317" s="1266">
        <v>2349543.628390662</v>
      </c>
      <c r="BX317" s="1266">
        <v>2642497.8319394947</v>
      </c>
      <c r="BY317" s="1266">
        <v>2936437.0354883275</v>
      </c>
      <c r="BZ317" s="1266">
        <v>3230376.23903716</v>
      </c>
      <c r="CA317" s="1266">
        <v>3524315.4425859926</v>
      </c>
      <c r="CB317" s="610"/>
      <c r="CD317" s="1056">
        <f t="shared" si="33"/>
        <v>2500000</v>
      </c>
      <c r="CE317" s="1073"/>
      <c r="CF317" s="1073"/>
      <c r="CG317" s="1073"/>
      <c r="CH317" s="1073"/>
      <c r="CI317" s="1073"/>
      <c r="CJ317" s="1073"/>
      <c r="CK317" s="1073"/>
      <c r="CL317" s="1073"/>
      <c r="CM317" s="1073"/>
      <c r="CN317" s="1073"/>
      <c r="CO317" s="1073"/>
      <c r="CP317" s="1073"/>
      <c r="CQ317" s="1073"/>
      <c r="CR317" s="1073"/>
      <c r="CU317" s="543"/>
      <c r="CV317" s="1581"/>
      <c r="CW317" s="1581"/>
      <c r="CX317" s="1581"/>
      <c r="CY317" s="1581"/>
      <c r="CZ317" s="1581"/>
      <c r="DA317" s="1581"/>
      <c r="DB317" s="1581"/>
      <c r="DC317" s="1581"/>
      <c r="DD317" s="1581"/>
      <c r="DE317" s="1581"/>
      <c r="DF317" s="1581"/>
      <c r="DG317" s="1581"/>
      <c r="DH317" s="1581"/>
      <c r="DI317" s="1581"/>
    </row>
    <row r="318">
      <c r="Y318" s="1056">
        <f t="shared" si="30"/>
        <v>4000000</v>
      </c>
      <c r="Z318" s="763">
        <v>-0.00428222967733832</v>
      </c>
      <c r="AA318" s="852">
        <v>0.006927380504571624</v>
      </c>
      <c r="AB318" s="853">
        <v>0.01813699068648156</v>
      </c>
      <c r="AC318" s="890">
        <v>0.029346600868391498</v>
      </c>
      <c r="AD318" s="739">
        <v>0.0405562110503014</v>
      </c>
      <c r="AE318" s="856">
        <v>0.051765821232211386</v>
      </c>
      <c r="AF318" s="857">
        <v>0.06297543141412126</v>
      </c>
      <c r="AG318" s="577"/>
      <c r="AI318" s="1056">
        <f t="shared" si="31"/>
        <v>4000000</v>
      </c>
      <c r="AJ318" s="763"/>
      <c r="AK318" s="852"/>
      <c r="AL318" s="853"/>
      <c r="AM318" s="890"/>
      <c r="AN318" s="739"/>
      <c r="AO318" s="856"/>
      <c r="AP318" s="857"/>
      <c r="AQ318" s="795"/>
      <c r="AR318" s="787"/>
      <c r="AS318" s="836"/>
      <c r="AT318" s="610"/>
      <c r="AV318" s="587"/>
      <c r="AW318" s="1581"/>
      <c r="AX318" s="1581"/>
      <c r="AY318" s="1581"/>
      <c r="AZ318" s="1581"/>
      <c r="BA318" s="1581"/>
      <c r="BB318" s="1581"/>
      <c r="BC318" s="1581"/>
      <c r="BD318" s="1581"/>
      <c r="BE318" s="1581"/>
      <c r="BF318" s="1581"/>
      <c r="BM318" s="1056">
        <f t="shared" si="32"/>
        <v>3000000</v>
      </c>
      <c r="BN318" s="1266">
        <v>52680.71077293274</v>
      </c>
      <c r="BO318" s="1266">
        <v>106346.42154586548</v>
      </c>
      <c r="BP318" s="1266">
        <v>267343.5538646637</v>
      </c>
      <c r="BQ318" s="1266">
        <v>535672.1077293274</v>
      </c>
      <c r="BR318" s="1266">
        <v>804000.6615939911</v>
      </c>
      <c r="BS318" s="1266">
        <v>1072329.2154586548</v>
      </c>
      <c r="BT318" s="1266">
        <v>1339672.7693233185</v>
      </c>
      <c r="BU318" s="1266">
        <v>1608001.3231879822</v>
      </c>
      <c r="BV318" s="1266">
        <v>1876329.877052646</v>
      </c>
      <c r="BW318" s="1266">
        <v>2144658.4309173096</v>
      </c>
      <c r="BX318" s="1266">
        <v>2412001.984781973</v>
      </c>
      <c r="BY318" s="1266">
        <v>2680330.538646637</v>
      </c>
      <c r="BZ318" s="1266">
        <v>2948659.0925113005</v>
      </c>
      <c r="CA318" s="1266">
        <v>3216987.6463759644</v>
      </c>
      <c r="CB318" s="610"/>
      <c r="CD318" s="1056">
        <f t="shared" si="33"/>
        <v>3000000</v>
      </c>
      <c r="CE318" s="1073"/>
      <c r="CF318" s="1073"/>
      <c r="CG318" s="1073"/>
      <c r="CH318" s="1073"/>
      <c r="CI318" s="1073"/>
      <c r="CJ318" s="1073"/>
      <c r="CK318" s="1073"/>
      <c r="CL318" s="1073"/>
      <c r="CM318" s="1073"/>
      <c r="CN318" s="1073"/>
      <c r="CO318" s="1073"/>
      <c r="CP318" s="1073"/>
      <c r="CQ318" s="1073"/>
      <c r="CR318" s="1073"/>
      <c r="CU318" s="543"/>
      <c r="CV318" s="1581"/>
      <c r="CW318" s="1581"/>
      <c r="CX318" s="1581"/>
      <c r="CY318" s="1581"/>
      <c r="CZ318" s="1581"/>
      <c r="DA318" s="1581"/>
      <c r="DB318" s="1581"/>
      <c r="DC318" s="1581"/>
      <c r="DD318" s="1581"/>
      <c r="DE318" s="1581"/>
      <c r="DF318" s="1581"/>
      <c r="DG318" s="1581"/>
      <c r="DH318" s="1581"/>
      <c r="DI318" s="1581"/>
    </row>
    <row r="319">
      <c r="Y319" s="1056">
        <f t="shared" si="30"/>
        <v>4500000</v>
      </c>
      <c r="Z319" s="867">
        <v>-0.008385195116025625</v>
      </c>
      <c r="AA319" s="868">
        <v>0.002183326716089427</v>
      </c>
      <c r="AB319" s="869">
        <v>0.012751848548204462</v>
      </c>
      <c r="AC319" s="1182">
        <v>0.02332037038031954</v>
      </c>
      <c r="AD319" s="1333">
        <v>0.03388889221243457</v>
      </c>
      <c r="AE319" s="872">
        <v>0.044457414044549594</v>
      </c>
      <c r="AF319" s="873">
        <v>0.05502593587666465</v>
      </c>
      <c r="AG319" s="577"/>
      <c r="AI319" s="1056">
        <f t="shared" si="31"/>
        <v>4500000</v>
      </c>
      <c r="AJ319" s="867"/>
      <c r="AK319" s="868"/>
      <c r="AL319" s="869"/>
      <c r="AM319" s="1182"/>
      <c r="AN319" s="1333"/>
      <c r="AO319" s="872"/>
      <c r="AP319" s="873"/>
      <c r="AQ319" s="874"/>
      <c r="AR319" s="875"/>
      <c r="AS319" s="1185"/>
      <c r="AT319" s="610"/>
      <c r="AV319" s="587"/>
      <c r="AW319" s="1437"/>
      <c r="AX319" s="1437"/>
      <c r="AY319" s="1437"/>
      <c r="AZ319" s="1437"/>
      <c r="BA319" s="1437"/>
      <c r="BB319" s="1437"/>
      <c r="BC319" s="1437"/>
      <c r="BD319" s="1437"/>
      <c r="BE319" s="1437"/>
      <c r="BF319" s="1437"/>
      <c r="BM319" s="1056">
        <f t="shared" si="32"/>
        <v>3500000</v>
      </c>
      <c r="BN319" s="1266">
        <v>48699.79370216148</v>
      </c>
      <c r="BO319" s="1266">
        <v>98384.58740432296</v>
      </c>
      <c r="BP319" s="1266">
        <v>247438.9685108074</v>
      </c>
      <c r="BQ319" s="1266">
        <v>495862.9370216148</v>
      </c>
      <c r="BR319" s="1266">
        <v>744286.9055324222</v>
      </c>
      <c r="BS319" s="1266">
        <v>992710.8740432296</v>
      </c>
      <c r="BT319" s="1266">
        <v>1240149.842554037</v>
      </c>
      <c r="BU319" s="1266">
        <v>1488573.8110648445</v>
      </c>
      <c r="BV319" s="1266">
        <v>1736997.7795756517</v>
      </c>
      <c r="BW319" s="1266">
        <v>1985421.7480864592</v>
      </c>
      <c r="BX319" s="1266">
        <v>2232860.7165972665</v>
      </c>
      <c r="BY319" s="1266">
        <v>2481284.685108074</v>
      </c>
      <c r="BZ319" s="1266">
        <v>2729708.6536188815</v>
      </c>
      <c r="CA319" s="1266">
        <v>2978132.622129689</v>
      </c>
      <c r="CB319" s="610"/>
      <c r="CD319" s="1056">
        <f t="shared" si="33"/>
        <v>3500000</v>
      </c>
      <c r="CE319" s="1073"/>
      <c r="CF319" s="1073"/>
      <c r="CG319" s="1073"/>
      <c r="CH319" s="1073"/>
      <c r="CI319" s="1073"/>
      <c r="CJ319" s="1073"/>
      <c r="CK319" s="1073"/>
      <c r="CL319" s="1073"/>
      <c r="CM319" s="1073"/>
      <c r="CN319" s="1073"/>
      <c r="CO319" s="1073"/>
      <c r="CP319" s="1073"/>
      <c r="CQ319" s="1073"/>
      <c r="CR319" s="1073"/>
      <c r="CU319" s="543"/>
      <c r="CV319" s="1581"/>
      <c r="CW319" s="1581"/>
      <c r="CX319" s="1581"/>
      <c r="CY319" s="1581"/>
      <c r="CZ319" s="1581"/>
      <c r="DA319" s="1581"/>
      <c r="DB319" s="1581"/>
      <c r="DC319" s="1581"/>
      <c r="DD319" s="1581"/>
      <c r="DE319" s="1581"/>
      <c r="DF319" s="1581"/>
      <c r="DG319" s="1581"/>
      <c r="DH319" s="1581"/>
      <c r="DI319" s="1581"/>
    </row>
    <row r="320">
      <c r="Y320" s="1056">
        <f t="shared" si="30"/>
        <v>5000000</v>
      </c>
      <c r="Z320" s="887">
        <v>-0.011856181899419454</v>
      </c>
      <c r="AA320" s="844">
        <v>-0.001830001752209707</v>
      </c>
      <c r="AB320" s="763">
        <v>0.008196178395000085</v>
      </c>
      <c r="AC320" s="916">
        <v>0.018222358542209816</v>
      </c>
      <c r="AD320" s="853">
        <v>0.02824853868941958</v>
      </c>
      <c r="AE320" s="853">
        <v>0.03827471883662936</v>
      </c>
      <c r="AF320" s="832">
        <v>0.04830089898383913</v>
      </c>
      <c r="AG320" s="594"/>
      <c r="AI320" s="1056">
        <f t="shared" si="31"/>
        <v>5000000</v>
      </c>
      <c r="AJ320" s="887"/>
      <c r="AK320" s="844"/>
      <c r="AL320" s="763"/>
      <c r="AM320" s="916"/>
      <c r="AN320" s="853"/>
      <c r="AO320" s="853"/>
      <c r="AP320" s="832"/>
      <c r="AQ320" s="786"/>
      <c r="AR320" s="890"/>
      <c r="AS320" s="890"/>
      <c r="AT320" s="610"/>
      <c r="AV320" s="587"/>
      <c r="AW320" s="1581"/>
      <c r="AX320" s="1581"/>
      <c r="AY320" s="1581"/>
      <c r="AZ320" s="1581"/>
      <c r="BA320" s="1581"/>
      <c r="BB320" s="1581"/>
      <c r="BC320" s="1581"/>
      <c r="BD320" s="1581"/>
      <c r="BE320" s="1581"/>
      <c r="BF320" s="1581"/>
      <c r="BM320" s="1056">
        <f t="shared" si="32"/>
        <v>4000000</v>
      </c>
      <c r="BN320" s="1266">
        <v>45490.86884150798</v>
      </c>
      <c r="BO320" s="1266">
        <v>91966.73768301596</v>
      </c>
      <c r="BP320" s="1266">
        <v>231394.34420753992</v>
      </c>
      <c r="BQ320" s="1266">
        <v>463773.68841507984</v>
      </c>
      <c r="BR320" s="1266">
        <v>696153.0326226198</v>
      </c>
      <c r="BS320" s="1266">
        <v>928532.3768301597</v>
      </c>
      <c r="BT320" s="1266">
        <v>1159926.7210376996</v>
      </c>
      <c r="BU320" s="1266">
        <v>1392306.0652452395</v>
      </c>
      <c r="BV320" s="1266">
        <v>1624685.4094527795</v>
      </c>
      <c r="BW320" s="1266">
        <v>1857064.7536603194</v>
      </c>
      <c r="BX320" s="1266">
        <v>2088459.0978678593</v>
      </c>
      <c r="BY320" s="1266">
        <v>2320838.442075399</v>
      </c>
      <c r="BZ320" s="1266">
        <v>2553217.786282939</v>
      </c>
      <c r="CA320" s="1266">
        <v>2785597.130490479</v>
      </c>
      <c r="CB320" s="610"/>
      <c r="CD320" s="1056">
        <f t="shared" si="33"/>
        <v>4000000</v>
      </c>
      <c r="CE320" s="1073"/>
      <c r="CF320" s="1073"/>
      <c r="CG320" s="1073"/>
      <c r="CH320" s="1073"/>
      <c r="CI320" s="1073"/>
      <c r="CJ320" s="1073"/>
      <c r="CK320" s="1073"/>
      <c r="CL320" s="1073"/>
      <c r="CM320" s="1073"/>
      <c r="CN320" s="1073"/>
      <c r="CO320" s="1073"/>
      <c r="CP320" s="1073"/>
      <c r="CQ320" s="1073"/>
      <c r="CR320" s="1073"/>
      <c r="CU320" s="543"/>
      <c r="CV320" s="1581"/>
      <c r="CW320" s="1581"/>
      <c r="CX320" s="1581"/>
      <c r="CY320" s="1581"/>
      <c r="CZ320" s="1581"/>
      <c r="DA320" s="1581"/>
      <c r="DB320" s="1581"/>
      <c r="DC320" s="1581"/>
      <c r="DD320" s="1581"/>
      <c r="DE320" s="1581"/>
      <c r="DF320" s="1581"/>
      <c r="DG320" s="1581"/>
      <c r="DH320" s="1581"/>
      <c r="DI320" s="1581"/>
    </row>
    <row r="321">
      <c r="Y321" s="1056">
        <f t="shared" si="30"/>
        <v>5500000</v>
      </c>
      <c r="Z321" s="804">
        <v>-0.014842373667793125</v>
      </c>
      <c r="AA321" s="821">
        <v>-0.005282785984391753</v>
      </c>
      <c r="AB321" s="902">
        <v>0.004276801699009601</v>
      </c>
      <c r="AC321" s="763">
        <v>0.013836389382410974</v>
      </c>
      <c r="AD321" s="822">
        <v>0.023395977065812364</v>
      </c>
      <c r="AE321" s="852">
        <v>0.03295556474921372</v>
      </c>
      <c r="AF321" s="831">
        <v>0.042515152432615104</v>
      </c>
      <c r="AG321" s="577"/>
      <c r="AI321" s="1056">
        <f t="shared" si="31"/>
        <v>5500000</v>
      </c>
      <c r="AJ321" s="804"/>
      <c r="AK321" s="821"/>
      <c r="AL321" s="902"/>
      <c r="AM321" s="763"/>
      <c r="AN321" s="822"/>
      <c r="AO321" s="852"/>
      <c r="AP321" s="831"/>
      <c r="AQ321" s="853"/>
      <c r="AR321" s="853"/>
      <c r="AS321" s="832"/>
      <c r="AT321" s="610"/>
      <c r="AV321" s="587"/>
      <c r="AW321" s="1581"/>
      <c r="AX321" s="1581"/>
      <c r="AY321" s="1581"/>
      <c r="AZ321" s="1581"/>
      <c r="BA321" s="1581"/>
      <c r="BB321" s="1581"/>
      <c r="BC321" s="1581"/>
      <c r="BD321" s="1581"/>
      <c r="BE321" s="1581"/>
      <c r="BF321" s="1581"/>
      <c r="BM321" s="1056">
        <f t="shared" si="32"/>
        <v>4500000</v>
      </c>
      <c r="BN321" s="1359">
        <v>42832.86935915582</v>
      </c>
      <c r="BO321" s="1359">
        <v>86650.73871831164</v>
      </c>
      <c r="BP321" s="1359">
        <v>218104.34679577907</v>
      </c>
      <c r="BQ321" s="1359">
        <v>437193.69359155814</v>
      </c>
      <c r="BR321" s="1359">
        <v>656283.0403873372</v>
      </c>
      <c r="BS321" s="1359">
        <v>875372.3871831163</v>
      </c>
      <c r="BT321" s="1359">
        <v>1093476.7339788955</v>
      </c>
      <c r="BU321" s="1359">
        <v>1312566.0807746744</v>
      </c>
      <c r="BV321" s="1359">
        <v>1531655.4275704536</v>
      </c>
      <c r="BW321" s="1359">
        <v>1750744.7743662326</v>
      </c>
      <c r="BX321" s="1359">
        <v>1968849.1211620118</v>
      </c>
      <c r="BY321" s="1359">
        <v>2187938.467957791</v>
      </c>
      <c r="BZ321" s="1359">
        <v>2407027.8147535697</v>
      </c>
      <c r="CA321" s="1359">
        <v>2626117.161549349</v>
      </c>
      <c r="CB321" s="610"/>
      <c r="CD321" s="1056">
        <f t="shared" si="33"/>
        <v>4500000</v>
      </c>
      <c r="CE321" s="594"/>
      <c r="CF321" s="594"/>
      <c r="CG321" s="594"/>
      <c r="CH321" s="594"/>
      <c r="CI321" s="594"/>
      <c r="CJ321" s="594"/>
      <c r="CK321" s="594"/>
      <c r="CL321" s="594"/>
      <c r="CM321" s="594"/>
      <c r="CN321" s="594"/>
      <c r="CO321" s="594"/>
      <c r="CP321" s="594"/>
      <c r="CQ321" s="594"/>
      <c r="CR321" s="594"/>
      <c r="CU321" s="543"/>
      <c r="CV321" s="1437"/>
      <c r="CW321" s="1437"/>
      <c r="CX321" s="1437"/>
      <c r="CY321" s="1437"/>
      <c r="CZ321" s="1437"/>
      <c r="DA321" s="1437"/>
      <c r="DB321" s="1437"/>
      <c r="DC321" s="1437"/>
      <c r="DD321" s="1437"/>
      <c r="DE321" s="1437"/>
      <c r="DF321" s="1437"/>
      <c r="DG321" s="1437"/>
      <c r="DH321" s="1437"/>
      <c r="DI321" s="1437"/>
    </row>
    <row r="322">
      <c r="Y322" s="1056">
        <f t="shared" si="30"/>
        <v>6000000</v>
      </c>
      <c r="Z322" s="843">
        <v>-0.01744704116436455</v>
      </c>
      <c r="AA322" s="804">
        <v>-0.00829443277730246</v>
      </c>
      <c r="AB322" s="914">
        <v>8.581756097596222E-4</v>
      </c>
      <c r="AC322" s="902">
        <v>0.01001078399682173</v>
      </c>
      <c r="AD322" s="763">
        <v>0.019163392383883805</v>
      </c>
      <c r="AE322" s="763">
        <v>0.028316000770945912</v>
      </c>
      <c r="AF322" s="822">
        <v>0.037468609158008</v>
      </c>
      <c r="AG322" s="577"/>
      <c r="AI322" s="1056">
        <f t="shared" si="31"/>
        <v>6000000</v>
      </c>
      <c r="AJ322" s="843"/>
      <c r="AK322" s="804"/>
      <c r="AL322" s="914"/>
      <c r="AM322" s="902"/>
      <c r="AN322" s="763"/>
      <c r="AO322" s="763"/>
      <c r="AP322" s="822"/>
      <c r="AQ322" s="916"/>
      <c r="AR322" s="852"/>
      <c r="AS322" s="831"/>
      <c r="AT322" s="610"/>
      <c r="AV322" s="587"/>
      <c r="AW322" s="1581"/>
      <c r="AX322" s="1581"/>
      <c r="AY322" s="1581"/>
      <c r="AZ322" s="1581"/>
      <c r="BA322" s="1581"/>
      <c r="BB322" s="1581"/>
      <c r="BC322" s="1581"/>
      <c r="BD322" s="1581"/>
      <c r="BE322" s="1581"/>
      <c r="BF322" s="1581"/>
      <c r="BM322" s="1056">
        <f t="shared" si="32"/>
        <v>5000000</v>
      </c>
      <c r="BN322" s="1369">
        <v>40584.28081719049</v>
      </c>
      <c r="BO322" s="1369">
        <v>82153.56163438098</v>
      </c>
      <c r="BP322" s="1369">
        <v>206861.40408595244</v>
      </c>
      <c r="BQ322" s="1369">
        <v>414707.8081719049</v>
      </c>
      <c r="BR322" s="1369">
        <v>622554.2122578573</v>
      </c>
      <c r="BS322" s="1369">
        <v>830400.6163438098</v>
      </c>
      <c r="BT322" s="1369">
        <v>1037262.0204297623</v>
      </c>
      <c r="BU322" s="1369">
        <v>1245108.4245157146</v>
      </c>
      <c r="BV322" s="1369">
        <v>1452954.8286016672</v>
      </c>
      <c r="BW322" s="1369">
        <v>1660801.2326876195</v>
      </c>
      <c r="BX322" s="1369">
        <v>1867662.636773572</v>
      </c>
      <c r="BY322" s="1369">
        <v>2075509.0408595246</v>
      </c>
      <c r="BZ322" s="1369">
        <v>2283355.444945477</v>
      </c>
      <c r="CA322" s="1369">
        <v>2491201.8490314293</v>
      </c>
      <c r="CB322" s="610"/>
      <c r="CD322" s="1056">
        <f t="shared" si="33"/>
        <v>5000000</v>
      </c>
      <c r="CE322" s="577"/>
      <c r="CF322" s="577"/>
      <c r="CG322" s="577"/>
      <c r="CH322" s="577"/>
      <c r="CI322" s="577"/>
      <c r="CJ322" s="577"/>
      <c r="CK322" s="577"/>
      <c r="CL322" s="577"/>
      <c r="CM322" s="577"/>
      <c r="CN322" s="577"/>
      <c r="CO322" s="577"/>
      <c r="CP322" s="577"/>
      <c r="CQ322" s="577"/>
      <c r="CR322" s="577"/>
      <c r="CU322" s="543"/>
      <c r="CV322" s="1581"/>
      <c r="CW322" s="1581"/>
      <c r="CX322" s="1581"/>
      <c r="CY322" s="1581"/>
      <c r="CZ322" s="1581"/>
      <c r="DA322" s="1581"/>
      <c r="DB322" s="1581"/>
      <c r="DC322" s="1581"/>
      <c r="DD322" s="1581"/>
      <c r="DE322" s="1581"/>
      <c r="DF322" s="1581"/>
      <c r="DG322" s="1581"/>
      <c r="DH322" s="1581"/>
      <c r="DI322" s="1581"/>
    </row>
    <row r="323">
      <c r="Y323" s="1056">
        <f t="shared" si="30"/>
        <v>6500000</v>
      </c>
      <c r="Z323" s="820">
        <v>-0.019745067954347516</v>
      </c>
      <c r="AA323" s="762">
        <v>-0.01095152625322028</v>
      </c>
      <c r="AB323" s="804">
        <v>-0.0021579845520930084</v>
      </c>
      <c r="AC323" s="1192">
        <v>0.006635557149034253</v>
      </c>
      <c r="AD323" s="902">
        <v>0.015429098850161497</v>
      </c>
      <c r="AE323" s="931">
        <v>0.024222640551288758</v>
      </c>
      <c r="AF323" s="932">
        <v>0.033016182252416024</v>
      </c>
      <c r="AG323" s="577"/>
      <c r="AI323" s="1056">
        <f t="shared" si="31"/>
        <v>6500000</v>
      </c>
      <c r="AJ323" s="820"/>
      <c r="AK323" s="762"/>
      <c r="AL323" s="804"/>
      <c r="AM323" s="1192"/>
      <c r="AN323" s="902"/>
      <c r="AO323" s="931"/>
      <c r="AP323" s="932"/>
      <c r="AQ323" s="763"/>
      <c r="AR323" s="738"/>
      <c r="AS323" s="822"/>
      <c r="AT323" s="610"/>
      <c r="AV323" s="587"/>
      <c r="AW323" s="1581"/>
      <c r="AX323" s="1581"/>
      <c r="AY323" s="1581"/>
      <c r="AZ323" s="1581"/>
      <c r="BA323" s="1581"/>
      <c r="BB323" s="1581"/>
      <c r="BC323" s="1581"/>
      <c r="BD323" s="1581"/>
      <c r="BE323" s="1581"/>
      <c r="BF323" s="1581"/>
      <c r="BM323" s="1056">
        <f t="shared" si="32"/>
        <v>5500000</v>
      </c>
      <c r="BN323" s="1369">
        <v>38649.75412103559</v>
      </c>
      <c r="BO323" s="1369">
        <v>78284.50824207118</v>
      </c>
      <c r="BP323" s="1369">
        <v>197188.77060517797</v>
      </c>
      <c r="BQ323" s="1369">
        <v>395362.54121035594</v>
      </c>
      <c r="BR323" s="1369">
        <v>593536.3118155339</v>
      </c>
      <c r="BS323" s="1369">
        <v>791710.0824207119</v>
      </c>
      <c r="BT323" s="1369">
        <v>988898.8530258897</v>
      </c>
      <c r="BU323" s="1369">
        <v>1187072.6236310678</v>
      </c>
      <c r="BV323" s="1369">
        <v>1385246.3942362457</v>
      </c>
      <c r="BW323" s="1369">
        <v>1583420.1648414237</v>
      </c>
      <c r="BX323" s="1369">
        <v>1780608.9354466016</v>
      </c>
      <c r="BY323" s="1369">
        <v>1978782.7060517794</v>
      </c>
      <c r="BZ323" s="1369">
        <v>2176956.4766569575</v>
      </c>
      <c r="CA323" s="1369">
        <v>2375130.2472621356</v>
      </c>
      <c r="CB323" s="610"/>
      <c r="CD323" s="1056">
        <f t="shared" si="33"/>
        <v>5500000</v>
      </c>
      <c r="CE323" s="577"/>
      <c r="CF323" s="577"/>
      <c r="CG323" s="577"/>
      <c r="CH323" s="577"/>
      <c r="CI323" s="577"/>
      <c r="CJ323" s="577"/>
      <c r="CK323" s="577"/>
      <c r="CL323" s="577"/>
      <c r="CM323" s="577"/>
      <c r="CN323" s="577"/>
      <c r="CO323" s="577"/>
      <c r="CP323" s="577"/>
      <c r="CQ323" s="577"/>
      <c r="CR323" s="577"/>
      <c r="CU323" s="543"/>
      <c r="CV323" s="1581"/>
      <c r="CW323" s="1581"/>
      <c r="CX323" s="1581"/>
      <c r="CY323" s="1581"/>
      <c r="CZ323" s="1581"/>
      <c r="DA323" s="1581"/>
      <c r="DB323" s="1581"/>
      <c r="DC323" s="1581"/>
      <c r="DD323" s="1581"/>
      <c r="DE323" s="1581"/>
      <c r="DF323" s="1581"/>
      <c r="DG323" s="1581"/>
      <c r="DH323" s="1581"/>
      <c r="DI323" s="1581"/>
    </row>
    <row r="324">
      <c r="Y324" s="1056">
        <f t="shared" si="30"/>
        <v>7000000</v>
      </c>
      <c r="Z324" s="944">
        <v>-0.021792254456992854</v>
      </c>
      <c r="AA324" s="880">
        <v>-0.013318585646903981</v>
      </c>
      <c r="AB324" s="762">
        <v>-0.004844916836815036</v>
      </c>
      <c r="AC324" s="887">
        <v>0.003628751973273891</v>
      </c>
      <c r="AD324" s="844">
        <v>0.012102420783362784</v>
      </c>
      <c r="AE324" s="844">
        <v>0.02057608959345171</v>
      </c>
      <c r="AF324" s="902">
        <v>0.029049758403540602</v>
      </c>
      <c r="AG324" s="577"/>
      <c r="AI324" s="1056">
        <f t="shared" si="31"/>
        <v>7000000</v>
      </c>
      <c r="AJ324" s="944"/>
      <c r="AK324" s="880"/>
      <c r="AL324" s="762"/>
      <c r="AM324" s="887"/>
      <c r="AN324" s="844"/>
      <c r="AO324" s="844"/>
      <c r="AP324" s="902"/>
      <c r="AQ324" s="931"/>
      <c r="AR324" s="932"/>
      <c r="AS324" s="763"/>
      <c r="AT324" s="610"/>
      <c r="AV324" s="587"/>
      <c r="AW324" s="1581"/>
      <c r="AX324" s="1581"/>
      <c r="AY324" s="1581"/>
      <c r="AZ324" s="1581"/>
      <c r="BA324" s="1581"/>
      <c r="BB324" s="1581"/>
      <c r="BC324" s="1581"/>
      <c r="BD324" s="1581"/>
      <c r="BE324" s="1581"/>
      <c r="BF324" s="1581"/>
      <c r="BM324" s="1056">
        <f t="shared" si="32"/>
        <v>6000000</v>
      </c>
      <c r="BN324" s="1369">
        <v>36962.388004736706</v>
      </c>
      <c r="BO324" s="1369">
        <v>74909.77600947341</v>
      </c>
      <c r="BP324" s="1369">
        <v>188751.9400236835</v>
      </c>
      <c r="BQ324" s="1369">
        <v>378488.880047367</v>
      </c>
      <c r="BR324" s="1369">
        <v>568225.8200710505</v>
      </c>
      <c r="BS324" s="1369">
        <v>757962.760094734</v>
      </c>
      <c r="BT324" s="1369">
        <v>946714.7001184175</v>
      </c>
      <c r="BU324" s="1369">
        <v>1136451.640142101</v>
      </c>
      <c r="BV324" s="1369">
        <v>1326188.5801657846</v>
      </c>
      <c r="BW324" s="1369">
        <v>1515925.520189468</v>
      </c>
      <c r="BX324" s="1369">
        <v>1704677.4602131515</v>
      </c>
      <c r="BY324" s="1369">
        <v>1894414.400236835</v>
      </c>
      <c r="BZ324" s="1369">
        <v>2084151.3402605187</v>
      </c>
      <c r="CA324" s="1369">
        <v>2273888.280284202</v>
      </c>
      <c r="CB324" s="610"/>
      <c r="CD324" s="1056">
        <f t="shared" si="33"/>
        <v>6000000</v>
      </c>
      <c r="CE324" s="577"/>
      <c r="CF324" s="577"/>
      <c r="CG324" s="577"/>
      <c r="CH324" s="577"/>
      <c r="CI324" s="577"/>
      <c r="CJ324" s="577"/>
      <c r="CK324" s="577"/>
      <c r="CL324" s="577"/>
      <c r="CM324" s="577"/>
      <c r="CN324" s="577"/>
      <c r="CO324" s="577"/>
      <c r="CP324" s="577"/>
      <c r="CQ324" s="577"/>
      <c r="CR324" s="577"/>
      <c r="CU324" s="543"/>
      <c r="CV324" s="1581"/>
      <c r="CW324" s="1581"/>
      <c r="CX324" s="1581"/>
      <c r="CY324" s="1581"/>
      <c r="CZ324" s="1581"/>
      <c r="DA324" s="1581"/>
      <c r="DB324" s="1581"/>
      <c r="DC324" s="1581"/>
      <c r="DD324" s="1581"/>
      <c r="DE324" s="1581"/>
      <c r="DF324" s="1581"/>
      <c r="DG324" s="1581"/>
      <c r="DH324" s="1581"/>
      <c r="DI324" s="1581"/>
    </row>
    <row r="325">
      <c r="Y325" s="1056">
        <f t="shared" si="30"/>
        <v>7500000</v>
      </c>
      <c r="Z325" s="803">
        <v>-0.02363114725780375</v>
      </c>
      <c r="AA325" s="956">
        <v>-0.015444805447841525</v>
      </c>
      <c r="AB325" s="843">
        <v>-0.007258463637879319</v>
      </c>
      <c r="AC325" s="804">
        <v>9.27878172082905E-4</v>
      </c>
      <c r="AD325" s="887">
        <v>0.00911421998204512</v>
      </c>
      <c r="AE325" s="914">
        <v>0.01730056179200731</v>
      </c>
      <c r="AF325" s="844">
        <v>0.025486903601969552</v>
      </c>
      <c r="AG325" s="577"/>
      <c r="AI325" s="1056">
        <f t="shared" si="31"/>
        <v>7500000</v>
      </c>
      <c r="AJ325" s="803"/>
      <c r="AK325" s="956"/>
      <c r="AL325" s="843"/>
      <c r="AM325" s="804"/>
      <c r="AN325" s="887"/>
      <c r="AO325" s="914"/>
      <c r="AP325" s="844"/>
      <c r="AQ325" s="844"/>
      <c r="AR325" s="902"/>
      <c r="AS325" s="1200"/>
      <c r="AT325" s="610"/>
      <c r="AV325" s="587"/>
      <c r="AW325" s="1581"/>
      <c r="AX325" s="1581"/>
      <c r="AY325" s="1581"/>
      <c r="AZ325" s="1581"/>
      <c r="BA325" s="1581"/>
      <c r="BB325" s="1581"/>
      <c r="BC325" s="1581"/>
      <c r="BD325" s="1581"/>
      <c r="BE325" s="1581"/>
      <c r="BF325" s="1581"/>
      <c r="BM325" s="1056">
        <f t="shared" si="32"/>
        <v>6500000</v>
      </c>
      <c r="BN325" s="1369">
        <v>35473.67109754278</v>
      </c>
      <c r="BO325" s="1369">
        <v>71932.34219508556</v>
      </c>
      <c r="BP325" s="1369">
        <v>181308.3554877139</v>
      </c>
      <c r="BQ325" s="1369">
        <v>363601.7109754278</v>
      </c>
      <c r="BR325" s="1369">
        <v>545895.0664631417</v>
      </c>
      <c r="BS325" s="1369">
        <v>728188.4219508556</v>
      </c>
      <c r="BT325" s="1369">
        <v>909496.7774385695</v>
      </c>
      <c r="BU325" s="1369">
        <v>1091790.1329262834</v>
      </c>
      <c r="BV325" s="1369">
        <v>1274083.4884139972</v>
      </c>
      <c r="BW325" s="1369">
        <v>1456376.8439017113</v>
      </c>
      <c r="BX325" s="1369">
        <v>1637685.199389425</v>
      </c>
      <c r="BY325" s="1369">
        <v>1819978.554877139</v>
      </c>
      <c r="BZ325" s="1369">
        <v>2002271.910364853</v>
      </c>
      <c r="CA325" s="1369">
        <v>2184565.265852567</v>
      </c>
      <c r="CB325" s="610"/>
      <c r="CD325" s="1056">
        <f t="shared" si="33"/>
        <v>6500000</v>
      </c>
      <c r="CE325" s="577"/>
      <c r="CF325" s="577"/>
      <c r="CG325" s="577"/>
      <c r="CH325" s="577"/>
      <c r="CI325" s="577"/>
      <c r="CJ325" s="577"/>
      <c r="CK325" s="577"/>
      <c r="CL325" s="577"/>
      <c r="CM325" s="577"/>
      <c r="CN325" s="577"/>
      <c r="CO325" s="577"/>
      <c r="CP325" s="577"/>
      <c r="CQ325" s="577"/>
      <c r="CR325" s="577"/>
      <c r="CU325" s="543"/>
      <c r="CV325" s="1581"/>
      <c r="CW325" s="1581"/>
      <c r="CX325" s="1581"/>
      <c r="CY325" s="1581"/>
      <c r="CZ325" s="1581"/>
      <c r="DA325" s="1581"/>
      <c r="DB325" s="1581"/>
      <c r="DC325" s="1581"/>
      <c r="DD325" s="1581"/>
      <c r="DE325" s="1581"/>
      <c r="DF325" s="1581"/>
      <c r="DG325" s="1581"/>
      <c r="DH325" s="1581"/>
      <c r="DI325" s="1581"/>
    </row>
    <row r="326">
      <c r="Y326" s="1056">
        <f t="shared" si="30"/>
        <v>8000000</v>
      </c>
      <c r="Z326" s="967">
        <v>-0.025294830047409688</v>
      </c>
      <c r="AA326" s="861">
        <v>-0.0173684386733234</v>
      </c>
      <c r="AB326" s="880">
        <v>-0.009442047299237121</v>
      </c>
      <c r="AC326" s="762">
        <v>-0.001515655925150844</v>
      </c>
      <c r="AD326" s="804">
        <v>0.0064107354489354425</v>
      </c>
      <c r="AE326" s="887">
        <v>0.014337126823021738</v>
      </c>
      <c r="AF326" s="887">
        <v>0.022263518197108034</v>
      </c>
      <c r="AG326" s="577"/>
      <c r="AI326" s="1056">
        <f t="shared" si="31"/>
        <v>8000000</v>
      </c>
      <c r="AJ326" s="967"/>
      <c r="AK326" s="861"/>
      <c r="AL326" s="880"/>
      <c r="AM326" s="762"/>
      <c r="AN326" s="804"/>
      <c r="AO326" s="887"/>
      <c r="AP326" s="887"/>
      <c r="AQ326" s="914"/>
      <c r="AR326" s="844"/>
      <c r="AS326" s="844"/>
      <c r="AT326" s="610"/>
      <c r="AV326" s="587"/>
      <c r="AW326" s="1581"/>
      <c r="AX326" s="1581"/>
      <c r="AY326" s="1581"/>
      <c r="AZ326" s="1581"/>
      <c r="BA326" s="1581"/>
      <c r="BB326" s="1581"/>
      <c r="BC326" s="1581"/>
      <c r="BD326" s="1581"/>
      <c r="BE326" s="1581"/>
      <c r="BF326" s="1581"/>
      <c r="BM326" s="1056">
        <f t="shared" si="32"/>
        <v>7000000</v>
      </c>
      <c r="BN326" s="1369">
        <v>34147.45454865306</v>
      </c>
      <c r="BO326" s="1369">
        <v>69279.90909730612</v>
      </c>
      <c r="BP326" s="1369">
        <v>174677.2727432653</v>
      </c>
      <c r="BQ326" s="1369">
        <v>350339.5454865306</v>
      </c>
      <c r="BR326" s="1369">
        <v>526001.8182297959</v>
      </c>
      <c r="BS326" s="1369">
        <v>701664.0909730612</v>
      </c>
      <c r="BT326" s="1369">
        <v>876341.3637163265</v>
      </c>
      <c r="BU326" s="1369">
        <v>1052003.6364595918</v>
      </c>
      <c r="BV326" s="1369">
        <v>1227665.9092028572</v>
      </c>
      <c r="BW326" s="1369">
        <v>1403328.1819461223</v>
      </c>
      <c r="BX326" s="1369">
        <v>1578005.4546893877</v>
      </c>
      <c r="BY326" s="1369">
        <v>1753667.727432653</v>
      </c>
      <c r="BZ326" s="1369">
        <v>1929330.0001759182</v>
      </c>
      <c r="CA326" s="1369">
        <v>2104992.2729191836</v>
      </c>
      <c r="CB326" s="610"/>
      <c r="CD326" s="1056">
        <f t="shared" si="33"/>
        <v>7000000</v>
      </c>
      <c r="CE326" s="577"/>
      <c r="CF326" s="577"/>
      <c r="CG326" s="577"/>
      <c r="CH326" s="577"/>
      <c r="CI326" s="577"/>
      <c r="CJ326" s="577"/>
      <c r="CK326" s="577"/>
      <c r="CL326" s="577"/>
      <c r="CM326" s="577"/>
      <c r="CN326" s="577"/>
      <c r="CO326" s="577"/>
      <c r="CP326" s="577"/>
      <c r="CQ326" s="577"/>
      <c r="CR326" s="577"/>
      <c r="CU326" s="543"/>
      <c r="CV326" s="1581"/>
      <c r="CW326" s="1581"/>
      <c r="CX326" s="1581"/>
      <c r="CY326" s="1581"/>
      <c r="CZ326" s="1581"/>
      <c r="DA326" s="1581"/>
      <c r="DB326" s="1581"/>
      <c r="DC326" s="1581"/>
      <c r="DD326" s="1581"/>
      <c r="DE326" s="1581"/>
      <c r="DF326" s="1581"/>
      <c r="DG326" s="1581"/>
      <c r="DH326" s="1581"/>
      <c r="DI326" s="1581"/>
    </row>
    <row r="327">
      <c r="Y327" s="1056">
        <f t="shared" si="30"/>
        <v>8500000</v>
      </c>
      <c r="Z327" s="980">
        <v>-0.026809468314928562</v>
      </c>
      <c r="AA327" s="981">
        <v>-0.019119739170142105</v>
      </c>
      <c r="AB327" s="982">
        <v>-0.011430010025355647</v>
      </c>
      <c r="AC327" s="1005">
        <v>-0.003740280880569181</v>
      </c>
      <c r="AD327" s="1007">
        <v>0.003949448264217268</v>
      </c>
      <c r="AE327" s="985">
        <v>0.011639177409003734</v>
      </c>
      <c r="AF327" s="985">
        <v>0.019328906553790184</v>
      </c>
      <c r="AG327" s="577"/>
      <c r="AI327" s="1056">
        <f t="shared" si="31"/>
        <v>8500000</v>
      </c>
      <c r="AJ327" s="980"/>
      <c r="AK327" s="981"/>
      <c r="AL327" s="982"/>
      <c r="AM327" s="1005"/>
      <c r="AN327" s="1007"/>
      <c r="AO327" s="985"/>
      <c r="AP327" s="985"/>
      <c r="AQ327" s="986"/>
      <c r="AR327" s="986"/>
      <c r="AS327" s="1210"/>
      <c r="AT327" s="610"/>
      <c r="AV327" s="587"/>
      <c r="AW327" s="1437"/>
      <c r="AX327" s="1437"/>
      <c r="AY327" s="1437"/>
      <c r="AZ327" s="1437"/>
      <c r="BA327" s="1437"/>
      <c r="BB327" s="1437"/>
      <c r="BC327" s="1437"/>
      <c r="BD327" s="1437"/>
      <c r="BE327" s="1437"/>
      <c r="BF327" s="1437"/>
      <c r="BM327" s="1056">
        <f t="shared" si="32"/>
        <v>7500000</v>
      </c>
      <c r="BN327" s="1369">
        <v>32956.17565886054</v>
      </c>
      <c r="BO327" s="1369">
        <v>66897.35131772108</v>
      </c>
      <c r="BP327" s="1369">
        <v>168720.87829430273</v>
      </c>
      <c r="BQ327" s="1369">
        <v>338426.75658860547</v>
      </c>
      <c r="BR327" s="1369">
        <v>508132.63488290814</v>
      </c>
      <c r="BS327" s="1369">
        <v>677838.5131772109</v>
      </c>
      <c r="BT327" s="1369">
        <v>846559.3914715137</v>
      </c>
      <c r="BU327" s="1369">
        <v>1016265.2697658163</v>
      </c>
      <c r="BV327" s="1369">
        <v>1185971.148060119</v>
      </c>
      <c r="BW327" s="1369">
        <v>1355677.0263544219</v>
      </c>
      <c r="BX327" s="1369">
        <v>1524397.9046487245</v>
      </c>
      <c r="BY327" s="1369">
        <v>1694103.7829430273</v>
      </c>
      <c r="BZ327" s="1369">
        <v>1863809.66123733</v>
      </c>
      <c r="CA327" s="1369">
        <v>2033515.5395316326</v>
      </c>
      <c r="CB327" s="610"/>
      <c r="CD327" s="1056">
        <f t="shared" si="33"/>
        <v>7500000</v>
      </c>
      <c r="CE327" s="577"/>
      <c r="CF327" s="577"/>
      <c r="CG327" s="577"/>
      <c r="CH327" s="577"/>
      <c r="CI327" s="577"/>
      <c r="CJ327" s="577"/>
      <c r="CK327" s="577"/>
      <c r="CL327" s="577"/>
      <c r="CM327" s="577"/>
      <c r="CN327" s="577"/>
      <c r="CO327" s="577"/>
      <c r="CP327" s="577"/>
      <c r="CQ327" s="577"/>
      <c r="CR327" s="577"/>
      <c r="CU327" s="543"/>
      <c r="CV327" s="1581"/>
      <c r="CW327" s="1581"/>
      <c r="CX327" s="1581"/>
      <c r="CY327" s="1581"/>
      <c r="CZ327" s="1581"/>
      <c r="DA327" s="1581"/>
      <c r="DB327" s="1581"/>
      <c r="DC327" s="1581"/>
      <c r="DD327" s="1581"/>
      <c r="DE327" s="1581"/>
      <c r="DF327" s="1581"/>
      <c r="DG327" s="1581"/>
      <c r="DH327" s="1581"/>
      <c r="DI327" s="1581"/>
    </row>
    <row r="328">
      <c r="X328" s="1222"/>
      <c r="Y328" s="1056">
        <f t="shared" si="30"/>
        <v>9000000</v>
      </c>
      <c r="Z328" s="994">
        <v>-0.028196064732079515</v>
      </c>
      <c r="AA328" s="967">
        <v>-0.020722991277472912</v>
      </c>
      <c r="AB328" s="861">
        <v>-0.013249917822866256</v>
      </c>
      <c r="AC328" s="820">
        <v>-0.005776844368259644</v>
      </c>
      <c r="AD328" s="843">
        <v>0.001696229086346968</v>
      </c>
      <c r="AE328" s="762">
        <v>0.009169302540953599</v>
      </c>
      <c r="AF328" s="785">
        <v>0.01664237599556023</v>
      </c>
      <c r="AG328" s="594"/>
      <c r="AH328" s="1406"/>
      <c r="AI328" s="1056">
        <f t="shared" si="31"/>
        <v>9000000</v>
      </c>
      <c r="AJ328" s="994"/>
      <c r="AK328" s="967"/>
      <c r="AL328" s="861"/>
      <c r="AM328" s="820"/>
      <c r="AN328" s="843"/>
      <c r="AO328" s="762"/>
      <c r="AP328" s="785"/>
      <c r="AQ328" s="804"/>
      <c r="AR328" s="804"/>
      <c r="AS328" s="887"/>
      <c r="AT328" s="610"/>
      <c r="AU328" s="569"/>
      <c r="AV328" s="587"/>
      <c r="AW328" s="1581"/>
      <c r="AX328" s="1581"/>
      <c r="AY328" s="1581"/>
      <c r="AZ328" s="1581"/>
      <c r="BA328" s="1581"/>
      <c r="BB328" s="1581"/>
      <c r="BC328" s="1581"/>
      <c r="BD328" s="1581"/>
      <c r="BE328" s="1581"/>
      <c r="BF328" s="1581"/>
      <c r="BM328" s="1056">
        <f t="shared" si="32"/>
        <v>8000000</v>
      </c>
      <c r="BN328" s="1369">
        <v>31878.40201936687</v>
      </c>
      <c r="BO328" s="1369">
        <v>64741.80403873374</v>
      </c>
      <c r="BP328" s="1369">
        <v>163332.01009683433</v>
      </c>
      <c r="BQ328" s="1369">
        <v>327649.02019366866</v>
      </c>
      <c r="BR328" s="1369">
        <v>491966.03029050305</v>
      </c>
      <c r="BS328" s="1369">
        <v>656283.0403873373</v>
      </c>
      <c r="BT328" s="1369">
        <v>819615.0504841717</v>
      </c>
      <c r="BU328" s="1369">
        <v>983932.0605810061</v>
      </c>
      <c r="BV328" s="1369">
        <v>1148249.0706778404</v>
      </c>
      <c r="BW328" s="1369">
        <v>1312566.0807746747</v>
      </c>
      <c r="BX328" s="1369">
        <v>1475898.0908715092</v>
      </c>
      <c r="BY328" s="1369">
        <v>1640215.1009683434</v>
      </c>
      <c r="BZ328" s="1369">
        <v>1804532.1110651777</v>
      </c>
      <c r="CA328" s="1369">
        <v>1968849.1211620122</v>
      </c>
      <c r="CB328" s="610"/>
      <c r="CD328" s="1056">
        <f t="shared" si="33"/>
        <v>8000000</v>
      </c>
      <c r="CE328" s="577"/>
      <c r="CF328" s="577"/>
      <c r="CG328" s="577"/>
      <c r="CH328" s="577"/>
      <c r="CI328" s="577"/>
      <c r="CJ328" s="577"/>
      <c r="CK328" s="577"/>
      <c r="CL328" s="577"/>
      <c r="CM328" s="577"/>
      <c r="CN328" s="577"/>
      <c r="CO328" s="577"/>
      <c r="CP328" s="577"/>
      <c r="CQ328" s="577"/>
      <c r="CR328" s="577"/>
      <c r="CU328" s="543"/>
      <c r="CV328" s="1581"/>
      <c r="CW328" s="1581"/>
      <c r="CX328" s="1581"/>
      <c r="CY328" s="1581"/>
      <c r="CZ328" s="1581"/>
      <c r="DA328" s="1581"/>
      <c r="DB328" s="1581"/>
      <c r="DC328" s="1581"/>
      <c r="DD328" s="1581"/>
      <c r="DE328" s="1581"/>
      <c r="DF328" s="1581"/>
      <c r="DG328" s="1581"/>
      <c r="DH328" s="1581"/>
      <c r="DI328" s="1581"/>
    </row>
    <row r="329">
      <c r="X329" s="1222"/>
      <c r="Y329" s="1056">
        <f t="shared" si="30"/>
        <v>9500000</v>
      </c>
      <c r="Z329" s="1002">
        <v>-0.02947169915436075</v>
      </c>
      <c r="AA329" s="980">
        <v>-0.022197943578235572</v>
      </c>
      <c r="AB329" s="981">
        <v>-0.014924188002110393</v>
      </c>
      <c r="AC329" s="982">
        <v>-0.007650432425985196</v>
      </c>
      <c r="AD329" s="1413">
        <v>-3.7667684986001715E-4</v>
      </c>
      <c r="AE329" s="1005">
        <v>0.006897078726265118</v>
      </c>
      <c r="AF329" s="1006">
        <v>0.01417083430239034</v>
      </c>
      <c r="AG329" s="577"/>
      <c r="AH329" s="1222"/>
      <c r="AI329" s="1056">
        <f t="shared" si="31"/>
        <v>9500000</v>
      </c>
      <c r="AJ329" s="1002"/>
      <c r="AK329" s="980"/>
      <c r="AL329" s="981"/>
      <c r="AM329" s="982"/>
      <c r="AN329" s="1413"/>
      <c r="AO329" s="1005"/>
      <c r="AP329" s="1006"/>
      <c r="AQ329" s="1007"/>
      <c r="AR329" s="1008"/>
      <c r="AS329" s="985"/>
      <c r="AT329" s="610"/>
      <c r="AU329" s="569"/>
      <c r="AV329" s="587"/>
      <c r="AW329" s="1437"/>
      <c r="AX329" s="1437"/>
      <c r="AY329" s="1437"/>
      <c r="AZ329" s="1437"/>
      <c r="BA329" s="1437"/>
      <c r="BB329" s="1437"/>
      <c r="BC329" s="1437"/>
      <c r="BD329" s="1437"/>
      <c r="BE329" s="1437"/>
      <c r="BF329" s="1437"/>
      <c r="BM329" s="1056">
        <f t="shared" si="32"/>
        <v>8500000</v>
      </c>
      <c r="BN329" s="1359">
        <v>30897.182998349723</v>
      </c>
      <c r="BO329" s="1359">
        <v>62779.365996699446</v>
      </c>
      <c r="BP329" s="1359">
        <v>158425.9149917486</v>
      </c>
      <c r="BQ329" s="1359">
        <v>317836.8299834972</v>
      </c>
      <c r="BR329" s="1359">
        <v>477247.74497524585</v>
      </c>
      <c r="BS329" s="1359">
        <v>636658.6599669944</v>
      </c>
      <c r="BT329" s="1359">
        <v>795084.5749587431</v>
      </c>
      <c r="BU329" s="1359">
        <v>954495.4899504917</v>
      </c>
      <c r="BV329" s="1359">
        <v>1113906.4049422403</v>
      </c>
      <c r="BW329" s="1359">
        <v>1273317.3199339889</v>
      </c>
      <c r="BX329" s="1359">
        <v>1431743.2349257374</v>
      </c>
      <c r="BY329" s="1359">
        <v>1591154.1499174861</v>
      </c>
      <c r="BZ329" s="1359">
        <v>1750565.0649092346</v>
      </c>
      <c r="CA329" s="1359">
        <v>1909975.9799009834</v>
      </c>
      <c r="CB329" s="610"/>
      <c r="CD329" s="1056">
        <f t="shared" si="33"/>
        <v>8500000</v>
      </c>
      <c r="CE329" s="594"/>
      <c r="CF329" s="594"/>
      <c r="CG329" s="594"/>
      <c r="CH329" s="594"/>
      <c r="CI329" s="594"/>
      <c r="CJ329" s="594"/>
      <c r="CK329" s="594"/>
      <c r="CL329" s="594"/>
      <c r="CM329" s="594"/>
      <c r="CN329" s="594"/>
      <c r="CO329" s="594"/>
      <c r="CP329" s="594"/>
      <c r="CQ329" s="594"/>
      <c r="CR329" s="594"/>
      <c r="CU329" s="543"/>
      <c r="CV329" s="1437"/>
      <c r="CW329" s="1437"/>
      <c r="CX329" s="1437"/>
      <c r="CY329" s="1437"/>
      <c r="CZ329" s="1437"/>
      <c r="DA329" s="1437"/>
      <c r="DB329" s="1437"/>
      <c r="DC329" s="1437"/>
      <c r="DD329" s="1437"/>
      <c r="DE329" s="1437"/>
      <c r="DF329" s="1437"/>
      <c r="DG329" s="1437"/>
      <c r="DH329" s="1437"/>
      <c r="DI329" s="1437"/>
    </row>
    <row r="330">
      <c r="X330" s="1222"/>
      <c r="Y330" s="1056">
        <f t="shared" si="30"/>
        <v>10000000</v>
      </c>
      <c r="Z330" s="819">
        <v>-0.03065042302402617</v>
      </c>
      <c r="AA330" s="994">
        <v>-0.023560843052536203</v>
      </c>
      <c r="AB330" s="967">
        <v>-0.016471263081046253</v>
      </c>
      <c r="AC330" s="861">
        <v>-0.009381683109556295</v>
      </c>
      <c r="AD330" s="956">
        <v>-0.002292103138066345</v>
      </c>
      <c r="AE330" s="880">
        <v>0.004797476833423639</v>
      </c>
      <c r="AF330" s="880">
        <v>0.011887056804913589</v>
      </c>
      <c r="AG330" s="569"/>
      <c r="AH330" s="1222"/>
      <c r="AI330" s="1056">
        <f t="shared" si="31"/>
        <v>10000000</v>
      </c>
      <c r="AJ330" s="819"/>
      <c r="AK330" s="994"/>
      <c r="AL330" s="967"/>
      <c r="AM330" s="861"/>
      <c r="AN330" s="956"/>
      <c r="AO330" s="880"/>
      <c r="AP330" s="880"/>
      <c r="AQ330" s="843"/>
      <c r="AR330" s="762"/>
      <c r="AS330" s="762"/>
      <c r="AT330" s="610"/>
      <c r="AU330" s="569"/>
      <c r="AV330" s="587"/>
      <c r="AW330" s="1581"/>
      <c r="AX330" s="1581"/>
      <c r="AY330" s="1581"/>
      <c r="AZ330" s="1581"/>
      <c r="BA330" s="1581"/>
      <c r="BB330" s="1581"/>
      <c r="BC330" s="1581"/>
      <c r="BD330" s="1581"/>
      <c r="BE330" s="1581"/>
      <c r="BF330" s="1581"/>
      <c r="BL330" s="1227"/>
      <c r="BM330" s="1056">
        <f t="shared" si="32"/>
        <v>9000000</v>
      </c>
      <c r="BN330" s="1369">
        <v>29998.91256100532</v>
      </c>
      <c r="BO330" s="1369">
        <v>60982.82512201064</v>
      </c>
      <c r="BP330" s="1369">
        <v>153934.5628050266</v>
      </c>
      <c r="BQ330" s="1369">
        <v>308854.1256100532</v>
      </c>
      <c r="BR330" s="1369">
        <v>463773.6884150798</v>
      </c>
      <c r="BS330" s="1369">
        <v>618693.2512201064</v>
      </c>
      <c r="BT330" s="1369">
        <v>772627.814025133</v>
      </c>
      <c r="BU330" s="1369">
        <v>927547.3768301596</v>
      </c>
      <c r="BV330" s="1369">
        <v>1082466.9396351862</v>
      </c>
      <c r="BW330" s="1369">
        <v>1237386.5024402128</v>
      </c>
      <c r="BX330" s="1369">
        <v>1391321.0652452395</v>
      </c>
      <c r="BY330" s="1369">
        <v>1546240.628050266</v>
      </c>
      <c r="BZ330" s="1369">
        <v>1701160.1908552926</v>
      </c>
      <c r="CA330" s="1369">
        <v>1856079.7536603191</v>
      </c>
      <c r="CB330" s="610"/>
      <c r="CC330" s="1227"/>
      <c r="CD330" s="1056">
        <f t="shared" si="33"/>
        <v>9000000</v>
      </c>
      <c r="CE330" s="577"/>
      <c r="CF330" s="577"/>
      <c r="CG330" s="577"/>
      <c r="CH330" s="577"/>
      <c r="CI330" s="577"/>
      <c r="CJ330" s="577"/>
      <c r="CK330" s="577"/>
      <c r="CL330" s="577"/>
      <c r="CM330" s="577"/>
      <c r="CN330" s="577"/>
      <c r="CO330" s="577"/>
      <c r="CP330" s="577"/>
      <c r="CQ330" s="577"/>
      <c r="CR330" s="577"/>
      <c r="CT330" s="573"/>
      <c r="CU330" s="543"/>
      <c r="CV330" s="1581"/>
      <c r="CW330" s="1581"/>
      <c r="CX330" s="1581"/>
      <c r="CY330" s="1581"/>
      <c r="CZ330" s="1581"/>
      <c r="DA330" s="1581"/>
      <c r="DB330" s="1581"/>
      <c r="DC330" s="1581"/>
      <c r="DD330" s="1581"/>
      <c r="DE330" s="1581"/>
      <c r="DF330" s="1581"/>
      <c r="DG330" s="1581"/>
      <c r="DH330" s="1581"/>
      <c r="DI330" s="1581"/>
    </row>
    <row r="331">
      <c r="X331" s="610"/>
      <c r="Y331" s="610"/>
      <c r="Z331" s="610"/>
      <c r="AA331" s="610"/>
      <c r="AB331" s="610"/>
      <c r="AC331" s="610"/>
      <c r="AD331" s="610"/>
      <c r="AE331" s="610"/>
      <c r="AF331" s="610"/>
      <c r="AG331" s="610"/>
      <c r="AH331" s="610"/>
      <c r="AI331" s="610"/>
      <c r="AJ331" s="610"/>
      <c r="AK331" s="610"/>
      <c r="AL331" s="610"/>
      <c r="AM331" s="610"/>
      <c r="AN331" s="610"/>
      <c r="AO331" s="610"/>
      <c r="AP331" s="610"/>
      <c r="AQ331" s="610"/>
      <c r="AR331" s="610"/>
      <c r="AS331" s="610"/>
      <c r="AT331" s="610"/>
      <c r="BL331" s="1227"/>
      <c r="BM331" s="1056">
        <f t="shared" si="32"/>
        <v>9500000</v>
      </c>
      <c r="BN331" s="1359">
        <v>29172.5259670254</v>
      </c>
      <c r="BO331" s="1359">
        <v>59330.0519340508</v>
      </c>
      <c r="BP331" s="1359">
        <v>149802.629835127</v>
      </c>
      <c r="BQ331" s="1359">
        <v>300590.259670254</v>
      </c>
      <c r="BR331" s="1359">
        <v>451377.889505381</v>
      </c>
      <c r="BS331" s="1359">
        <v>602165.519340508</v>
      </c>
      <c r="BT331" s="1359">
        <v>751968.1491756351</v>
      </c>
      <c r="BU331" s="1359">
        <v>902755.779010762</v>
      </c>
      <c r="BV331" s="1359">
        <v>1053543.4088458891</v>
      </c>
      <c r="BW331" s="1359">
        <v>1204331.038681016</v>
      </c>
      <c r="BX331" s="1359">
        <v>1354133.668516143</v>
      </c>
      <c r="BY331" s="1359">
        <v>1504921.2983512701</v>
      </c>
      <c r="BZ331" s="1359">
        <v>1655708.928186397</v>
      </c>
      <c r="CA331" s="1359">
        <v>1806496.558021524</v>
      </c>
      <c r="CB331" s="610"/>
      <c r="CC331" s="1227"/>
      <c r="CD331" s="1056">
        <f t="shared" si="33"/>
        <v>9500000</v>
      </c>
      <c r="CE331" s="594"/>
      <c r="CF331" s="594"/>
      <c r="CG331" s="594"/>
      <c r="CH331" s="594"/>
      <c r="CI331" s="594"/>
      <c r="CJ331" s="594"/>
      <c r="CK331" s="594"/>
      <c r="CL331" s="594"/>
      <c r="CM331" s="594"/>
      <c r="CN331" s="594"/>
      <c r="CO331" s="594"/>
      <c r="CP331" s="594"/>
      <c r="CQ331" s="594"/>
      <c r="CR331" s="594"/>
      <c r="CT331" s="573"/>
      <c r="CU331" s="543"/>
      <c r="CV331" s="1437"/>
      <c r="CW331" s="1437"/>
      <c r="CX331" s="1437"/>
      <c r="CY331" s="1437"/>
      <c r="CZ331" s="1437"/>
      <c r="DA331" s="1437"/>
      <c r="DB331" s="1437"/>
      <c r="DC331" s="1437"/>
      <c r="DD331" s="1437"/>
      <c r="DE331" s="1437"/>
      <c r="DF331" s="1437"/>
      <c r="DG331" s="1437"/>
      <c r="DH331" s="1437"/>
      <c r="DI331" s="1437"/>
    </row>
    <row r="332">
      <c r="X332" s="610"/>
      <c r="Y332" s="610"/>
      <c r="Z332" s="610"/>
      <c r="AA332" s="610"/>
      <c r="AB332" s="610"/>
      <c r="AC332" s="610"/>
      <c r="AD332" s="610"/>
      <c r="AE332" s="610"/>
      <c r="AF332" s="610"/>
      <c r="AG332" s="610"/>
      <c r="AH332" s="610"/>
      <c r="AI332" s="610"/>
      <c r="AJ332" s="610"/>
      <c r="AK332" s="610"/>
      <c r="AL332" s="610"/>
      <c r="AM332" s="610"/>
      <c r="AN332" s="610"/>
      <c r="AO332" s="610"/>
      <c r="AP332" s="610"/>
      <c r="AQ332" s="610"/>
      <c r="AR332" s="610"/>
      <c r="AS332" s="610"/>
      <c r="AT332" s="610"/>
      <c r="BL332" s="1222"/>
      <c r="BM332" s="1056">
        <f t="shared" si="32"/>
        <v>10000000</v>
      </c>
      <c r="BN332" s="1442">
        <v>28408.920354883274</v>
      </c>
      <c r="BO332" s="1443">
        <v>57802.84070976655</v>
      </c>
      <c r="BP332" s="1444">
        <v>145984.60177441637</v>
      </c>
      <c r="BQ332" s="1445">
        <v>292954.20354883274</v>
      </c>
      <c r="BR332" s="1446">
        <v>439923.8053232491</v>
      </c>
      <c r="BS332" s="1447">
        <v>586893.4070976655</v>
      </c>
      <c r="BT332" s="1448">
        <v>732878.0088720819</v>
      </c>
      <c r="BU332" s="1447">
        <v>879847.6106464982</v>
      </c>
      <c r="BV332" s="1448">
        <v>1026817.2124209146</v>
      </c>
      <c r="BW332" s="1448">
        <v>1173786.814195331</v>
      </c>
      <c r="BX332" s="1448">
        <v>1319771.4159697474</v>
      </c>
      <c r="BY332" s="1448">
        <v>1466741.0177441637</v>
      </c>
      <c r="BZ332" s="1448">
        <v>1613710.61951858</v>
      </c>
      <c r="CA332" s="1448">
        <v>1760680.2212929963</v>
      </c>
      <c r="CB332" s="610"/>
      <c r="CC332" s="1222"/>
      <c r="CD332" s="1056">
        <f t="shared" si="33"/>
        <v>10000000</v>
      </c>
      <c r="CE332" s="591"/>
      <c r="CF332" s="1449"/>
      <c r="CG332" s="1450"/>
      <c r="CH332" s="1451"/>
      <c r="CI332" s="1452"/>
      <c r="CJ332" s="1453"/>
      <c r="CK332" s="1454"/>
      <c r="CL332" s="1453"/>
      <c r="CM332" s="1454"/>
      <c r="CN332" s="1454"/>
      <c r="CO332" s="1454"/>
      <c r="CP332" s="1454"/>
      <c r="CQ332" s="1454"/>
      <c r="CR332" s="1454"/>
      <c r="CT332" s="535"/>
      <c r="CU332" s="543"/>
      <c r="CV332" s="1437"/>
      <c r="CW332" s="1437"/>
      <c r="CX332" s="1437"/>
      <c r="CY332" s="1437"/>
      <c r="CZ332" s="1437"/>
      <c r="DA332" s="1437"/>
      <c r="DB332" s="1437"/>
      <c r="DC332" s="1437"/>
      <c r="DD332" s="1437"/>
      <c r="DE332" s="1437"/>
      <c r="DF332" s="1437"/>
      <c r="DG332" s="1437"/>
      <c r="DH332" s="1437"/>
      <c r="DI332" s="1437"/>
    </row>
    <row r="333">
      <c r="X333" s="220"/>
      <c r="Y333" s="220"/>
      <c r="Z333" s="220"/>
    </row>
    <row r="334">
      <c r="X334" s="220"/>
      <c r="Y334" s="220"/>
      <c r="Z334" s="220"/>
    </row>
    <row r="335">
      <c r="X335" s="220"/>
      <c r="Y335" s="220"/>
      <c r="Z335" s="220"/>
    </row>
    <row r="336">
      <c r="X336" s="220"/>
      <c r="Y336" s="220"/>
      <c r="Z336" s="220"/>
    </row>
    <row r="337">
      <c r="X337" s="220"/>
      <c r="Y337" s="220"/>
      <c r="Z337" s="220"/>
    </row>
    <row r="338">
      <c r="X338" s="220"/>
      <c r="Y338" s="220"/>
      <c r="Z338" s="220"/>
    </row>
  </sheetData>
  <mergeCells count="48">
    <mergeCell ref="B10:F12"/>
    <mergeCell ref="X10:BH13"/>
    <mergeCell ref="B14:F17"/>
    <mergeCell ref="B19:F20"/>
    <mergeCell ref="B21:F23"/>
    <mergeCell ref="B25:F26"/>
    <mergeCell ref="B27:F29"/>
    <mergeCell ref="B53:F56"/>
    <mergeCell ref="F130:F152"/>
    <mergeCell ref="D193:D231"/>
    <mergeCell ref="B31:F33"/>
    <mergeCell ref="X73:BH76"/>
    <mergeCell ref="AA110:AI110"/>
    <mergeCell ref="AK110:AS110"/>
    <mergeCell ref="AK112:AK128"/>
    <mergeCell ref="AU112:AU128"/>
    <mergeCell ref="X137:CB140"/>
    <mergeCell ref="AA112:AA128"/>
    <mergeCell ref="X175:AF175"/>
    <mergeCell ref="AX175:BK175"/>
    <mergeCell ref="BO175:CB175"/>
    <mergeCell ref="X177:X193"/>
    <mergeCell ref="AI177:AI193"/>
    <mergeCell ref="AV179:AV188"/>
    <mergeCell ref="BM179:BM195"/>
    <mergeCell ref="X204:CB207"/>
    <mergeCell ref="CI237:CV237"/>
    <mergeCell ref="X241:AF241"/>
    <mergeCell ref="BJ241:BW241"/>
    <mergeCell ref="CA241:CN241"/>
    <mergeCell ref="DJ241:DW241"/>
    <mergeCell ref="X243:X259"/>
    <mergeCell ref="AH243:AH259"/>
    <mergeCell ref="AU243:AU259"/>
    <mergeCell ref="BH245:BH261"/>
    <mergeCell ref="BY245:BY261"/>
    <mergeCell ref="DH245:DH261"/>
    <mergeCell ref="X271:CB274"/>
    <mergeCell ref="BL313:BL329"/>
    <mergeCell ref="CC313:CC329"/>
    <mergeCell ref="X309:AF309"/>
    <mergeCell ref="BN309:CA309"/>
    <mergeCell ref="CE309:CR309"/>
    <mergeCell ref="CV309:DI309"/>
    <mergeCell ref="X311:X327"/>
    <mergeCell ref="AH311:AH327"/>
    <mergeCell ref="AU311:AU327"/>
    <mergeCell ref="CT313:CT329"/>
  </mergeCells>
  <conditionalFormatting sqref="CL65:DW65 CK125 AA174:AF174 AV174:BK174 BM174:CB174 CG236:CV236 AA240:AF240 BH240:BW240 BY240:CN240 AA308:AF308 BL308:CA308 CC308:CR308">
    <cfRule type="colorScale" priority="1">
      <colorScale>
        <cfvo type="min"/>
        <cfvo type="percentile" val="50"/>
        <cfvo type="max"/>
        <color rgb="FFE67C73"/>
        <color rgb="FFFFFFFF"/>
        <color rgb="FF57BB8A"/>
      </colorScale>
    </cfRule>
  </conditionalFormatting>
  <conditionalFormatting sqref="F74:F75 F77:F79">
    <cfRule type="cellIs" dxfId="0" priority="2" operator="greaterThan">
      <formula>0</formula>
    </cfRule>
  </conditionalFormatting>
  <conditionalFormatting sqref="F74:F75 F77:F79">
    <cfRule type="cellIs" dxfId="1" priority="3" operator="lessThan">
      <formula>0</formula>
    </cfRule>
  </conditionalFormatting>
  <conditionalFormatting sqref="C59:C60 C63:C65">
    <cfRule type="cellIs" dxfId="0" priority="4" operator="equal">
      <formula>"Yes"</formula>
    </cfRule>
  </conditionalFormatting>
  <conditionalFormatting sqref="C59:C60 C63:C65">
    <cfRule type="cellIs" dxfId="1" priority="5" operator="equal">
      <formula>"No"</formula>
    </cfRule>
  </conditionalFormatting>
  <conditionalFormatting sqref="Z243:AF262 Z311:AF330">
    <cfRule type="colorScale" priority="6">
      <colorScale>
        <cfvo type="min"/>
        <cfvo type="percentile" val="10"/>
        <cfvo type="max"/>
        <color rgb="FFE67C73"/>
        <color rgb="FFFFFFFF"/>
        <color rgb="FF57BB8A"/>
      </colorScale>
    </cfRule>
  </conditionalFormatting>
  <conditionalFormatting sqref="AJ243:AS262 Z311:AF330 AJ311:AS330">
    <cfRule type="colorScale" priority="7">
      <colorScale>
        <cfvo type="min"/>
        <cfvo type="percentile" val="30"/>
        <cfvo type="max"/>
        <color rgb="FFE67C73"/>
        <color rgb="FFFFFFFF"/>
        <color rgb="FF57BB8A"/>
      </colorScale>
    </cfRule>
  </conditionalFormatting>
  <conditionalFormatting sqref="AX179:BK188">
    <cfRule type="colorScale" priority="8">
      <colorScale>
        <cfvo type="min"/>
        <cfvo type="max"/>
        <color rgb="FF57BB8A"/>
        <color rgb="FFFFFFFF"/>
      </colorScale>
    </cfRule>
  </conditionalFormatting>
  <conditionalFormatting sqref="BO179:CB198">
    <cfRule type="colorScale" priority="9">
      <colorScale>
        <cfvo type="min"/>
        <cfvo type="max"/>
        <color rgb="FFFFFFFF"/>
        <color rgb="FF57BB8A"/>
      </colorScale>
    </cfRule>
  </conditionalFormatting>
  <conditionalFormatting sqref="BJ245:BW264">
    <cfRule type="colorScale" priority="10">
      <colorScale>
        <cfvo type="min"/>
        <cfvo type="max"/>
        <color rgb="FFFFFFFF"/>
        <color rgb="FF57BB8A"/>
      </colorScale>
    </cfRule>
  </conditionalFormatting>
  <conditionalFormatting sqref="CA245:CN264">
    <cfRule type="colorScale" priority="11">
      <colorScale>
        <cfvo type="min"/>
        <cfvo type="max"/>
        <color rgb="FFFFFFFF"/>
        <color rgb="FF57BB8A"/>
      </colorScale>
    </cfRule>
  </conditionalFormatting>
  <conditionalFormatting sqref="Z177:AF196">
    <cfRule type="colorScale" priority="12">
      <colorScale>
        <cfvo type="min"/>
        <cfvo type="max"/>
        <color rgb="FFFFFFFF"/>
        <color rgb="FF57BB8A"/>
      </colorScale>
    </cfRule>
  </conditionalFormatting>
  <conditionalFormatting sqref="BN313:CA332">
    <cfRule type="colorScale" priority="13">
      <colorScale>
        <cfvo type="min"/>
        <cfvo type="max"/>
        <color rgb="FFFFFFFF"/>
        <color rgb="FF57BB8A"/>
      </colorScale>
    </cfRule>
  </conditionalFormatting>
  <conditionalFormatting sqref="CE313:CR332">
    <cfRule type="colorScale" priority="14">
      <colorScale>
        <cfvo type="min"/>
        <cfvo type="max"/>
        <color rgb="FFFFFFFF"/>
        <color rgb="FF57BB8A"/>
      </colorScale>
    </cfRule>
  </conditionalFormatting>
  <conditionalFormatting sqref="AW243:BF262 AW311:BF330">
    <cfRule type="colorScale" priority="15">
      <colorScale>
        <cfvo type="min"/>
        <cfvo type="max"/>
        <color rgb="FFFFFFFF"/>
        <color rgb="FFE67C73"/>
      </colorScale>
    </cfRule>
  </conditionalFormatting>
  <conditionalFormatting sqref="DJ245:DW264 CV313:DI332">
    <cfRule type="colorScale" priority="16">
      <colorScale>
        <cfvo type="min"/>
        <cfvo type="max"/>
        <color rgb="FFFFFFFF"/>
        <color rgb="FFE67C73"/>
      </colorScale>
    </cfRule>
  </conditionalFormatting>
  <dataValidations>
    <dataValidation type="list" allowBlank="1" sqref="C59:C60">
      <formula1>"Yes,No"</formula1>
    </dataValidation>
    <dataValidation type="list" allowBlank="1" sqref="C64">
      <formula1>"Minimum Requirements,Recommended Requirements"</formula1>
    </dataValidation>
    <dataValidation type="list" allowBlank="1" sqref="C63">
      <formula1>"Cloud,Hardware"</formula1>
    </dataValidation>
  </dataValidation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38"/>
    <col customWidth="1" min="2" max="2" width="40.13"/>
    <col customWidth="1" min="3" max="3" width="27.13"/>
    <col customWidth="1" min="4" max="4" width="2.25"/>
    <col customWidth="1" min="5" max="5" width="35.75"/>
    <col customWidth="1" min="6" max="6" width="16.88"/>
    <col customWidth="1" min="7" max="8" width="2.38"/>
    <col customWidth="1" min="9" max="9" width="6.25"/>
    <col customWidth="1" min="10" max="22" width="2.38"/>
    <col customWidth="1" min="23" max="23" width="10.25"/>
    <col customWidth="1" min="24" max="24" width="6.88"/>
    <col customWidth="1" min="25" max="25" width="10.25"/>
    <col customWidth="1" min="26" max="26" width="5.75"/>
    <col customWidth="1" min="27" max="27" width="6.38"/>
    <col customWidth="1" min="28" max="28" width="10.75"/>
    <col customWidth="1" min="29" max="29" width="6.5"/>
    <col customWidth="1" min="30" max="30" width="8.13"/>
    <col customWidth="1" min="31" max="32" width="6.75"/>
    <col customWidth="1" min="33" max="33" width="7.5"/>
    <col customWidth="1" min="34" max="34" width="6.75"/>
    <col customWidth="1" min="35" max="35" width="9.13"/>
    <col customWidth="1" min="36" max="36" width="9.5"/>
    <col customWidth="1" min="37" max="37" width="6.75"/>
    <col customWidth="1" min="38" max="38" width="9.38"/>
    <col customWidth="1" min="39" max="39" width="7.63"/>
    <col customWidth="1" min="40" max="40" width="6.75"/>
    <col customWidth="1" min="41" max="41" width="10.0"/>
    <col customWidth="1" min="42" max="42" width="6.75"/>
    <col customWidth="1" min="43" max="43" width="10.75"/>
    <col customWidth="1" min="44" max="44" width="7.63"/>
    <col customWidth="1" min="45" max="45" width="10.88"/>
    <col customWidth="1" min="46" max="46" width="9.13"/>
    <col customWidth="1" min="47" max="47" width="6.75"/>
    <col customWidth="1" min="48" max="49" width="9.0"/>
    <col customWidth="1" min="50" max="50" width="9.38"/>
    <col customWidth="1" min="51" max="52" width="8.13"/>
    <col customWidth="1" min="53" max="53" width="7.13"/>
    <col customWidth="1" min="54" max="54" width="10.0"/>
    <col customWidth="1" min="55" max="55" width="6.75"/>
    <col customWidth="1" min="56" max="56" width="10.25"/>
    <col customWidth="1" min="57" max="57" width="8.75"/>
    <col customWidth="1" min="58" max="58" width="9.38"/>
    <col customWidth="1" min="59" max="59" width="8.5"/>
    <col customWidth="1" min="60" max="60" width="10.0"/>
    <col customWidth="1" min="61" max="61" width="9.63"/>
    <col customWidth="1" min="62" max="62" width="9.88"/>
    <col customWidth="1" min="63" max="63" width="8.75"/>
    <col customWidth="1" min="64" max="64" width="8.88"/>
    <col customWidth="1" min="65" max="65" width="8.63"/>
    <col customWidth="1" min="66" max="66" width="9.38"/>
    <col customWidth="1" min="67" max="67" width="9.0"/>
    <col customWidth="1" min="68" max="68" width="8.63"/>
    <col customWidth="1" min="69" max="112" width="6.75"/>
    <col customWidth="1" min="113" max="113" width="9.0"/>
    <col customWidth="1" min="114" max="127" width="6.75"/>
  </cols>
  <sheetData>
    <row r="1">
      <c r="A1" s="1"/>
      <c r="B1" s="1"/>
      <c r="C1" s="1"/>
      <c r="D1" s="1"/>
      <c r="F1" s="1"/>
    </row>
    <row r="2">
      <c r="D2" s="2"/>
      <c r="F2" s="521"/>
      <c r="X2" s="1584" t="s">
        <v>199</v>
      </c>
    </row>
    <row r="3">
      <c r="D3" s="2"/>
      <c r="F3" s="523" t="s">
        <v>0</v>
      </c>
    </row>
    <row r="4">
      <c r="D4" s="2"/>
      <c r="F4" s="523" t="s">
        <v>111</v>
      </c>
    </row>
    <row r="5">
      <c r="D5" s="2"/>
    </row>
    <row r="6">
      <c r="D6" s="2"/>
      <c r="F6" s="139"/>
    </row>
    <row r="7">
      <c r="D7" s="2"/>
      <c r="X7" s="1476" t="s">
        <v>200</v>
      </c>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c r="AY7" s="556"/>
      <c r="AZ7" s="556"/>
      <c r="BA7" s="556"/>
      <c r="BB7" s="556"/>
      <c r="BC7" s="556"/>
      <c r="BD7" s="556"/>
      <c r="BE7" s="556"/>
      <c r="BF7" s="556"/>
      <c r="BG7" s="556"/>
      <c r="BH7" s="557"/>
    </row>
    <row r="8">
      <c r="D8" s="2"/>
      <c r="X8" s="559"/>
      <c r="BH8" s="560"/>
    </row>
    <row r="9">
      <c r="D9" s="2"/>
      <c r="X9" s="559"/>
      <c r="BH9" s="560"/>
    </row>
    <row r="10">
      <c r="B10" s="1475" t="s">
        <v>201</v>
      </c>
      <c r="C10" s="526"/>
      <c r="D10" s="526"/>
      <c r="E10" s="526"/>
      <c r="F10" s="527"/>
      <c r="X10" s="574"/>
      <c r="Y10" s="575"/>
      <c r="Z10" s="575"/>
      <c r="AA10" s="575"/>
      <c r="AB10" s="575"/>
      <c r="AC10" s="575"/>
      <c r="AD10" s="575"/>
      <c r="AE10" s="575"/>
      <c r="AF10" s="575"/>
      <c r="AG10" s="575"/>
      <c r="AH10" s="575"/>
      <c r="AI10" s="575"/>
      <c r="AJ10" s="575"/>
      <c r="AK10" s="575"/>
      <c r="AL10" s="575"/>
      <c r="AM10" s="575"/>
      <c r="AN10" s="575"/>
      <c r="AO10" s="575"/>
      <c r="AP10" s="575"/>
      <c r="AQ10" s="575"/>
      <c r="AR10" s="575"/>
      <c r="AS10" s="575"/>
      <c r="AT10" s="575"/>
      <c r="AU10" s="575"/>
      <c r="AV10" s="575"/>
      <c r="AW10" s="575"/>
      <c r="AX10" s="575"/>
      <c r="AY10" s="575"/>
      <c r="AZ10" s="575"/>
      <c r="BA10" s="575"/>
      <c r="BB10" s="575"/>
      <c r="BC10" s="575"/>
      <c r="BD10" s="575"/>
      <c r="BE10" s="575"/>
      <c r="BF10" s="575"/>
      <c r="BG10" s="575"/>
      <c r="BH10" s="576"/>
    </row>
    <row r="11">
      <c r="B11" s="110"/>
      <c r="F11" s="78"/>
    </row>
    <row r="12">
      <c r="B12" s="146"/>
      <c r="C12" s="528"/>
      <c r="D12" s="528"/>
      <c r="E12" s="528"/>
      <c r="F12" s="529"/>
    </row>
    <row r="13">
      <c r="B13" s="1477"/>
      <c r="C13" s="1477"/>
      <c r="D13" s="1477"/>
      <c r="E13" s="1477"/>
      <c r="F13" s="1477"/>
    </row>
    <row r="14">
      <c r="B14" s="1480" t="s">
        <v>202</v>
      </c>
      <c r="C14" s="526"/>
      <c r="D14" s="526"/>
      <c r="E14" s="526"/>
      <c r="F14" s="527"/>
    </row>
    <row r="15">
      <c r="B15" s="110"/>
      <c r="F15" s="78"/>
    </row>
    <row r="16">
      <c r="B16" s="1585"/>
      <c r="F16" s="78"/>
    </row>
    <row r="17">
      <c r="B17" s="110"/>
      <c r="F17" s="78"/>
    </row>
    <row r="18">
      <c r="B18" s="146"/>
      <c r="C18" s="528"/>
      <c r="D18" s="528"/>
      <c r="E18" s="528"/>
      <c r="F18" s="529"/>
    </row>
    <row r="19">
      <c r="B19" s="1524"/>
      <c r="C19" s="1524"/>
      <c r="D19" s="1524"/>
      <c r="E19" s="1524"/>
      <c r="F19" s="1524"/>
    </row>
    <row r="20">
      <c r="B20" s="1585" t="s">
        <v>133</v>
      </c>
      <c r="F20" s="78"/>
    </row>
    <row r="21">
      <c r="B21" s="110"/>
      <c r="F21" s="78"/>
    </row>
    <row r="22">
      <c r="B22" s="1481">
        <f>$C$85*32</f>
        <v>48000</v>
      </c>
      <c r="F22" s="78"/>
    </row>
    <row r="23">
      <c r="B23" s="110"/>
      <c r="F23" s="78"/>
    </row>
    <row r="24">
      <c r="B24" s="146"/>
      <c r="C24" s="528"/>
      <c r="D24" s="528"/>
      <c r="E24" s="528"/>
      <c r="F24" s="529"/>
    </row>
    <row r="25">
      <c r="B25" s="1479"/>
      <c r="C25" s="1479"/>
      <c r="D25" s="1479"/>
      <c r="E25" s="1479"/>
      <c r="F25" s="1479"/>
    </row>
    <row r="26">
      <c r="B26" s="1480" t="s">
        <v>203</v>
      </c>
      <c r="C26" s="526"/>
      <c r="D26" s="526"/>
      <c r="E26" s="526"/>
      <c r="F26" s="527"/>
    </row>
    <row r="27">
      <c r="B27" s="110"/>
      <c r="F27" s="78"/>
    </row>
    <row r="28">
      <c r="B28" s="1481"/>
      <c r="F28" s="78"/>
    </row>
    <row r="29">
      <c r="B29" s="110"/>
      <c r="F29" s="78"/>
    </row>
    <row r="30">
      <c r="B30" s="146"/>
      <c r="C30" s="528"/>
      <c r="D30" s="528"/>
      <c r="E30" s="528"/>
      <c r="F30" s="529"/>
    </row>
    <row r="31">
      <c r="B31" s="1479"/>
      <c r="C31" s="1479"/>
      <c r="D31" s="1479"/>
      <c r="E31" s="1479"/>
      <c r="F31" s="1479"/>
    </row>
    <row r="32">
      <c r="B32" s="1480" t="s">
        <v>204</v>
      </c>
      <c r="C32" s="526"/>
      <c r="D32" s="526"/>
      <c r="E32" s="526"/>
      <c r="F32" s="527"/>
    </row>
    <row r="33">
      <c r="B33" s="110"/>
      <c r="F33" s="78"/>
    </row>
    <row r="34">
      <c r="B34" s="1481"/>
      <c r="F34" s="78"/>
    </row>
    <row r="35">
      <c r="B35" s="110"/>
      <c r="F35" s="78"/>
    </row>
    <row r="36" ht="17.25" customHeight="1">
      <c r="B36" s="146"/>
      <c r="C36" s="528"/>
      <c r="D36" s="528"/>
      <c r="E36" s="528"/>
      <c r="F36" s="529"/>
    </row>
    <row r="37" ht="13.5" customHeight="1"/>
    <row r="38">
      <c r="B38" s="1480" t="s">
        <v>73</v>
      </c>
      <c r="C38" s="526"/>
      <c r="D38" s="526"/>
      <c r="E38" s="526"/>
      <c r="F38" s="527"/>
    </row>
    <row r="39">
      <c r="B39" s="110"/>
      <c r="F39" s="78"/>
    </row>
    <row r="40">
      <c r="B40" s="1481"/>
      <c r="F40" s="78"/>
    </row>
    <row r="41">
      <c r="B41" s="110"/>
      <c r="F41" s="78"/>
    </row>
    <row r="42">
      <c r="B42" s="146"/>
      <c r="C42" s="528"/>
      <c r="D42" s="528"/>
      <c r="E42" s="528"/>
      <c r="F42" s="529"/>
    </row>
    <row r="44">
      <c r="B44" s="1480" t="s">
        <v>205</v>
      </c>
      <c r="C44" s="526"/>
      <c r="D44" s="526"/>
      <c r="E44" s="526"/>
      <c r="F44" s="527"/>
    </row>
    <row r="45">
      <c r="B45" s="110"/>
      <c r="F45" s="78"/>
    </row>
    <row r="46">
      <c r="B46" s="1481"/>
      <c r="F46" s="78"/>
    </row>
    <row r="47">
      <c r="B47" s="110"/>
      <c r="F47" s="78"/>
    </row>
    <row r="48">
      <c r="B48" s="146"/>
      <c r="C48" s="528"/>
      <c r="D48" s="528"/>
      <c r="E48" s="528"/>
      <c r="F48" s="529"/>
    </row>
    <row r="51">
      <c r="M51" s="38"/>
    </row>
    <row r="59">
      <c r="G59" s="52"/>
      <c r="H59" s="52"/>
      <c r="I59" s="52"/>
      <c r="J59" s="52"/>
      <c r="K59" s="52"/>
      <c r="L59" s="52"/>
      <c r="M59" s="52"/>
      <c r="N59" s="52"/>
      <c r="O59" s="52"/>
      <c r="P59" s="52"/>
      <c r="Q59" s="52"/>
      <c r="R59" s="52"/>
      <c r="S59" s="52"/>
      <c r="T59" s="52"/>
      <c r="U59" s="52"/>
      <c r="V59" s="52"/>
      <c r="W59" s="52"/>
      <c r="CL59" s="52"/>
      <c r="CM59" s="52"/>
      <c r="CN59" s="52"/>
      <c r="CO59" s="52"/>
      <c r="CP59" s="52"/>
      <c r="CQ59" s="52"/>
      <c r="CR59" s="52"/>
      <c r="CS59" s="52"/>
      <c r="CT59" s="52"/>
      <c r="CU59" s="52"/>
      <c r="CV59" s="52"/>
      <c r="CW59" s="52"/>
      <c r="CX59" s="52"/>
      <c r="CY59" s="52"/>
      <c r="CZ59" s="52"/>
      <c r="DA59" s="52"/>
      <c r="DB59" s="52"/>
      <c r="DC59" s="52"/>
      <c r="DD59" s="52"/>
      <c r="DE59" s="52"/>
      <c r="DF59" s="52"/>
      <c r="DG59" s="52"/>
      <c r="DH59" s="52"/>
      <c r="DI59" s="52"/>
      <c r="DJ59" s="52"/>
      <c r="DK59" s="52"/>
      <c r="DL59" s="52"/>
      <c r="DM59" s="52"/>
      <c r="DN59" s="52"/>
      <c r="DO59" s="52"/>
      <c r="DP59" s="52"/>
      <c r="DQ59" s="52"/>
      <c r="DR59" s="52"/>
      <c r="DS59" s="52"/>
      <c r="DT59" s="52"/>
      <c r="DU59" s="52"/>
      <c r="DV59" s="52"/>
      <c r="DW59" s="52"/>
    </row>
    <row r="62">
      <c r="I62" s="63"/>
    </row>
    <row r="66">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row>
    <row r="67">
      <c r="CL67" s="87"/>
      <c r="CM67" s="87"/>
      <c r="CN67" s="87"/>
      <c r="CO67" s="87"/>
      <c r="CP67" s="87"/>
      <c r="CQ67" s="87"/>
      <c r="CR67" s="87"/>
      <c r="CS67" s="87"/>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row>
    <row r="68">
      <c r="I68" s="9" t="s">
        <v>62</v>
      </c>
      <c r="CL68" s="87"/>
      <c r="CM68" s="87"/>
      <c r="CN68" s="87"/>
      <c r="CO68" s="87"/>
      <c r="CP68" s="87"/>
      <c r="CQ68" s="87"/>
      <c r="CR68" s="87"/>
      <c r="CS68" s="87"/>
      <c r="CT68" s="87"/>
      <c r="CU68" s="87"/>
      <c r="CV68" s="87"/>
      <c r="CW68" s="87"/>
      <c r="CX68" s="87"/>
      <c r="CY68" s="87"/>
      <c r="CZ68" s="87"/>
      <c r="DA68" s="87"/>
      <c r="DB68" s="87"/>
      <c r="DC68" s="87"/>
      <c r="DD68" s="87"/>
      <c r="DE68" s="87"/>
      <c r="DF68" s="87"/>
      <c r="DG68" s="87"/>
      <c r="DH68" s="87"/>
      <c r="DI68" s="87"/>
      <c r="DJ68" s="87"/>
      <c r="DK68" s="87"/>
      <c r="DL68" s="87"/>
      <c r="DM68" s="87"/>
      <c r="DN68" s="87"/>
      <c r="DO68" s="87"/>
      <c r="DP68" s="87"/>
      <c r="DQ68" s="87"/>
      <c r="DR68" s="87"/>
      <c r="DS68" s="87"/>
      <c r="DT68" s="87"/>
      <c r="DU68" s="87"/>
      <c r="DV68" s="87"/>
      <c r="DW68" s="87"/>
    </row>
    <row r="69">
      <c r="CL69" s="87"/>
      <c r="CM69" s="87"/>
      <c r="CN69" s="87"/>
      <c r="CO69" s="87"/>
      <c r="CP69" s="87"/>
      <c r="CQ69" s="87"/>
      <c r="CR69" s="87"/>
      <c r="CS69" s="87"/>
      <c r="CT69" s="87"/>
      <c r="CU69" s="87"/>
      <c r="CV69" s="87"/>
      <c r="CW69" s="87"/>
      <c r="CX69" s="87"/>
      <c r="CY69" s="87"/>
      <c r="CZ69" s="87"/>
      <c r="DA69" s="87"/>
      <c r="DB69" s="87"/>
      <c r="DC69" s="87"/>
      <c r="DD69" s="87"/>
      <c r="DE69" s="87"/>
      <c r="DF69" s="87"/>
      <c r="DG69" s="87"/>
      <c r="DH69" s="87"/>
      <c r="DI69" s="87"/>
      <c r="DJ69" s="87"/>
      <c r="DK69" s="87"/>
      <c r="DL69" s="87"/>
      <c r="DM69" s="87"/>
      <c r="DN69" s="87"/>
      <c r="DO69" s="87"/>
      <c r="DP69" s="87"/>
      <c r="DQ69" s="87"/>
      <c r="DR69" s="87"/>
      <c r="DS69" s="87"/>
      <c r="DT69" s="87"/>
      <c r="DU69" s="87"/>
      <c r="DV69" s="87"/>
      <c r="DW69" s="87"/>
    </row>
    <row r="70">
      <c r="CL70" s="115"/>
      <c r="CM70" s="115"/>
      <c r="CN70" s="115"/>
      <c r="CO70" s="115"/>
      <c r="CP70" s="115"/>
      <c r="CQ70" s="115"/>
      <c r="CR70" s="115"/>
      <c r="CS70" s="115"/>
      <c r="CT70" s="115"/>
      <c r="CU70" s="115"/>
      <c r="CV70" s="115"/>
      <c r="CW70" s="115"/>
      <c r="CX70" s="115"/>
      <c r="CY70" s="115"/>
      <c r="CZ70" s="115"/>
      <c r="DA70" s="115"/>
      <c r="DB70" s="115"/>
      <c r="DC70" s="115"/>
      <c r="DD70" s="115"/>
      <c r="DE70" s="115"/>
      <c r="DF70" s="115"/>
      <c r="DG70" s="115"/>
      <c r="DH70" s="115"/>
      <c r="DI70" s="115"/>
      <c r="DJ70" s="115"/>
      <c r="DK70" s="115"/>
      <c r="DL70" s="115"/>
      <c r="DM70" s="115"/>
      <c r="DN70" s="115"/>
      <c r="DO70" s="115"/>
      <c r="DP70" s="115"/>
      <c r="DQ70" s="115"/>
      <c r="DR70" s="115"/>
      <c r="DS70" s="115"/>
      <c r="DT70" s="115"/>
      <c r="DU70" s="115"/>
      <c r="DV70" s="115"/>
      <c r="DW70" s="115"/>
    </row>
    <row r="71">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row>
    <row r="72">
      <c r="CL72" s="123"/>
      <c r="CM72" s="123"/>
      <c r="CN72" s="123"/>
      <c r="CO72" s="123"/>
      <c r="CP72" s="123"/>
      <c r="CQ72" s="123"/>
      <c r="CR72" s="123"/>
      <c r="CS72" s="123"/>
      <c r="CT72" s="123"/>
      <c r="CU72" s="123"/>
      <c r="CV72" s="123"/>
      <c r="CW72" s="123"/>
      <c r="CX72" s="123"/>
      <c r="CY72" s="123"/>
      <c r="CZ72" s="123"/>
      <c r="DA72" s="123"/>
      <c r="DB72" s="123"/>
      <c r="DC72" s="123"/>
      <c r="DD72" s="123"/>
      <c r="DE72" s="123"/>
      <c r="DF72" s="123"/>
      <c r="DG72" s="123"/>
      <c r="DH72" s="123"/>
      <c r="DI72" s="123"/>
      <c r="DJ72" s="123"/>
      <c r="DK72" s="123"/>
      <c r="DL72" s="123"/>
      <c r="DM72" s="123"/>
      <c r="DN72" s="123"/>
      <c r="DO72" s="123"/>
      <c r="DP72" s="123"/>
      <c r="DQ72" s="123"/>
      <c r="DR72" s="123"/>
      <c r="DS72" s="123"/>
      <c r="DT72" s="123"/>
      <c r="DU72" s="123"/>
      <c r="DV72" s="123"/>
      <c r="DW72" s="123"/>
    </row>
    <row r="73" ht="19.5" customHeight="1">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row>
    <row r="74">
      <c r="X74" s="1476" t="s">
        <v>19</v>
      </c>
      <c r="Y74" s="556"/>
      <c r="Z74" s="556"/>
      <c r="AA74" s="556"/>
      <c r="AB74" s="556"/>
      <c r="AC74" s="556"/>
      <c r="AD74" s="556"/>
      <c r="AE74" s="556"/>
      <c r="AF74" s="556"/>
      <c r="AG74" s="556"/>
      <c r="AH74" s="556"/>
      <c r="AI74" s="556"/>
      <c r="AJ74" s="556"/>
      <c r="AK74" s="556"/>
      <c r="AL74" s="556"/>
      <c r="AM74" s="556"/>
      <c r="AN74" s="556"/>
      <c r="AO74" s="556"/>
      <c r="AP74" s="556"/>
      <c r="AQ74" s="556"/>
      <c r="AR74" s="556"/>
      <c r="AS74" s="556"/>
      <c r="AT74" s="556"/>
      <c r="AU74" s="556"/>
      <c r="AV74" s="556"/>
      <c r="AW74" s="556"/>
      <c r="AX74" s="556"/>
      <c r="AY74" s="556"/>
      <c r="AZ74" s="556"/>
      <c r="BA74" s="556"/>
      <c r="BB74" s="556"/>
      <c r="BC74" s="556"/>
      <c r="BD74" s="556"/>
      <c r="BE74" s="556"/>
      <c r="BF74" s="556"/>
      <c r="BG74" s="556"/>
      <c r="BH74" s="557"/>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row>
    <row r="75" ht="18.0" customHeight="1">
      <c r="X75" s="559"/>
      <c r="BH75" s="560"/>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row>
    <row r="76">
      <c r="X76" s="559"/>
      <c r="BH76" s="560"/>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row>
    <row r="77">
      <c r="X77" s="574"/>
      <c r="Y77" s="575"/>
      <c r="Z77" s="575"/>
      <c r="AA77" s="575"/>
      <c r="AB77" s="575"/>
      <c r="AC77" s="575"/>
      <c r="AD77" s="575"/>
      <c r="AE77" s="575"/>
      <c r="AF77" s="575"/>
      <c r="AG77" s="575"/>
      <c r="AH77" s="575"/>
      <c r="AI77" s="575"/>
      <c r="AJ77" s="575"/>
      <c r="AK77" s="575"/>
      <c r="AL77" s="575"/>
      <c r="AM77" s="575"/>
      <c r="AN77" s="575"/>
      <c r="AO77" s="575"/>
      <c r="AP77" s="575"/>
      <c r="AQ77" s="575"/>
      <c r="AR77" s="575"/>
      <c r="AS77" s="575"/>
      <c r="AT77" s="575"/>
      <c r="AU77" s="575"/>
      <c r="AV77" s="575"/>
      <c r="AW77" s="575"/>
      <c r="AX77" s="575"/>
      <c r="AY77" s="575"/>
      <c r="AZ77" s="575"/>
      <c r="BA77" s="575"/>
      <c r="BB77" s="575"/>
      <c r="BC77" s="575"/>
      <c r="BD77" s="575"/>
      <c r="BE77" s="575"/>
      <c r="BF77" s="575"/>
      <c r="BG77" s="575"/>
      <c r="BH77" s="576"/>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row>
    <row r="78">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row>
    <row r="79">
      <c r="CL79" s="144"/>
      <c r="CM79" s="144"/>
      <c r="CN79" s="144"/>
      <c r="CO79" s="144"/>
      <c r="CP79" s="144"/>
      <c r="CQ79" s="144"/>
      <c r="CR79" s="144"/>
      <c r="CS79" s="144"/>
      <c r="CT79" s="144"/>
      <c r="CU79" s="144"/>
      <c r="CV79" s="144"/>
      <c r="CW79" s="144"/>
      <c r="CX79" s="144"/>
      <c r="CY79" s="144"/>
      <c r="CZ79" s="144"/>
      <c r="DA79" s="144"/>
      <c r="DB79" s="144"/>
      <c r="DC79" s="144"/>
      <c r="DD79" s="144"/>
      <c r="DE79" s="144"/>
      <c r="DF79" s="144"/>
      <c r="DG79" s="144"/>
      <c r="DH79" s="144"/>
      <c r="DI79" s="144"/>
      <c r="DJ79" s="144"/>
      <c r="DK79" s="144"/>
      <c r="DL79" s="144"/>
      <c r="DM79" s="144"/>
      <c r="DN79" s="144"/>
      <c r="DO79" s="144"/>
      <c r="DP79" s="144"/>
      <c r="DQ79" s="144"/>
      <c r="DR79" s="144"/>
      <c r="DS79" s="144"/>
      <c r="DT79" s="144"/>
      <c r="DU79" s="144"/>
      <c r="DV79" s="144"/>
      <c r="DW79" s="144"/>
    </row>
    <row r="80">
      <c r="B80" s="1475" t="s">
        <v>134</v>
      </c>
      <c r="C80" s="526"/>
      <c r="D80" s="526"/>
      <c r="E80" s="526"/>
      <c r="F80" s="527"/>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c r="DU80" s="51"/>
      <c r="DV80" s="51"/>
      <c r="DW80" s="51"/>
    </row>
    <row r="81">
      <c r="B81" s="110"/>
      <c r="F81" s="78"/>
      <c r="V81" s="1136" t="s">
        <v>206</v>
      </c>
      <c r="W81" s="498"/>
      <c r="X81" s="498"/>
      <c r="Y81" s="498"/>
      <c r="Z81" s="498"/>
      <c r="AA81" s="498"/>
      <c r="AB81" s="498"/>
      <c r="AC81" s="498"/>
      <c r="AD81" s="498"/>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c r="DU81" s="51"/>
      <c r="DV81" s="51"/>
      <c r="DW81" s="51"/>
    </row>
    <row r="82">
      <c r="B82" s="146"/>
      <c r="C82" s="528"/>
      <c r="D82" s="528"/>
      <c r="E82" s="528"/>
      <c r="F82" s="529"/>
      <c r="V82" s="1586" t="s">
        <v>207</v>
      </c>
      <c r="W82" s="515"/>
      <c r="X82" s="515"/>
      <c r="Y82" s="515"/>
      <c r="Z82" s="515"/>
      <c r="AA82" s="515"/>
      <c r="AB82" s="515"/>
      <c r="AC82" s="515"/>
      <c r="AD82" s="515"/>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c r="DU82" s="51"/>
      <c r="DV82" s="51"/>
      <c r="DW82" s="51"/>
    </row>
    <row r="83">
      <c r="B83" s="1482"/>
      <c r="C83" s="1483"/>
      <c r="D83" s="1479"/>
      <c r="E83" s="1479"/>
      <c r="F83" s="1479"/>
      <c r="V83" s="1586" t="s">
        <v>208</v>
      </c>
      <c r="W83" s="515"/>
      <c r="X83" s="515"/>
      <c r="Y83" s="515"/>
      <c r="Z83" s="515"/>
      <c r="AA83" s="515"/>
      <c r="AB83" s="515"/>
      <c r="AC83" s="515"/>
      <c r="AD83" s="515"/>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c r="DU83" s="51"/>
      <c r="DV83" s="51"/>
      <c r="DW83" s="51"/>
    </row>
    <row r="84">
      <c r="B84" s="1484" t="s">
        <v>6</v>
      </c>
      <c r="C84" s="1485"/>
      <c r="D84" s="1479"/>
      <c r="E84" s="1486" t="s">
        <v>2</v>
      </c>
      <c r="F84" s="1487"/>
      <c r="V84" s="1138" t="s">
        <v>57</v>
      </c>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c r="DU84" s="51"/>
      <c r="DV84" s="51"/>
      <c r="DW84" s="51"/>
    </row>
    <row r="85">
      <c r="B85" s="1488" t="s">
        <v>8</v>
      </c>
      <c r="C85" s="1489">
        <v>1500.0</v>
      </c>
      <c r="D85" s="1483"/>
      <c r="E85" s="1490" t="s">
        <v>135</v>
      </c>
      <c r="F85" s="1491">
        <f>(C87/C86)</f>
        <v>218750</v>
      </c>
      <c r="V85" s="498"/>
      <c r="W85" s="1103">
        <f>F93</f>
        <v>0.003463912942</v>
      </c>
      <c r="X85" s="680">
        <v>64.0</v>
      </c>
      <c r="Y85" s="681">
        <f t="shared" ref="Y85:AD85" si="1">X85+10</f>
        <v>74</v>
      </c>
      <c r="Z85" s="681">
        <f t="shared" si="1"/>
        <v>84</v>
      </c>
      <c r="AA85" s="681">
        <f t="shared" si="1"/>
        <v>94</v>
      </c>
      <c r="AB85" s="681">
        <f t="shared" si="1"/>
        <v>104</v>
      </c>
      <c r="AC85" s="681">
        <f t="shared" si="1"/>
        <v>114</v>
      </c>
      <c r="AD85" s="681">
        <f t="shared" si="1"/>
        <v>124</v>
      </c>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c r="DU85" s="51"/>
      <c r="DV85" s="51"/>
      <c r="DW85" s="51"/>
    </row>
    <row r="86">
      <c r="B86" s="1488" t="s">
        <v>10</v>
      </c>
      <c r="C86" s="1492">
        <v>32.0</v>
      </c>
      <c r="D86" s="1479"/>
      <c r="E86" s="1488" t="s">
        <v>5</v>
      </c>
      <c r="F86" s="1493">
        <f>C87/C86/C90</f>
        <v>3417.96875</v>
      </c>
      <c r="V86" s="1587" t="s">
        <v>66</v>
      </c>
      <c r="W86" s="681">
        <v>524288.0</v>
      </c>
      <c r="X86" s="689">
        <v>9.0E-4</v>
      </c>
      <c r="Y86" s="690">
        <v>0.0011640119944435444</v>
      </c>
      <c r="Z86" s="691">
        <v>0.001321310912611591</v>
      </c>
      <c r="AA86" s="692">
        <v>0.0014786098307796372</v>
      </c>
      <c r="AB86" s="693">
        <v>0.0016359087489476838</v>
      </c>
      <c r="AC86" s="694">
        <v>0.0017932076671157307</v>
      </c>
      <c r="AD86" s="1141">
        <v>0.001950506585283777</v>
      </c>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c r="DT86" s="51"/>
      <c r="DU86" s="51"/>
      <c r="DV86" s="51"/>
      <c r="DW86" s="51"/>
    </row>
    <row r="87">
      <c r="B87" s="1488" t="s">
        <v>12</v>
      </c>
      <c r="C87" s="1494">
        <f>W93</f>
        <v>7000000</v>
      </c>
      <c r="D87" s="1479"/>
      <c r="E87" s="1488" t="s">
        <v>7</v>
      </c>
      <c r="F87" s="1497">
        <f>(60*60*24*365.242)/(C91*C92)</f>
        <v>82179.45</v>
      </c>
      <c r="W87" s="681">
        <v>1000000.0</v>
      </c>
      <c r="X87" s="713">
        <v>0.0013</v>
      </c>
      <c r="Y87" s="714">
        <v>0.0016075796379951327</v>
      </c>
      <c r="Z87" s="715">
        <v>0.0018248201296160972</v>
      </c>
      <c r="AA87" s="716">
        <v>0.002042060621237061</v>
      </c>
      <c r="AB87" s="717">
        <v>0.0022593011128580246</v>
      </c>
      <c r="AC87" s="718">
        <v>0.002476541604478988</v>
      </c>
      <c r="AD87" s="1147">
        <v>0.0026937820960999522</v>
      </c>
      <c r="CL87" s="144"/>
      <c r="CM87" s="144"/>
      <c r="CN87" s="144"/>
      <c r="CO87" s="144"/>
      <c r="CP87" s="144"/>
      <c r="CQ87" s="144"/>
      <c r="CR87" s="144"/>
      <c r="CS87" s="144"/>
      <c r="CT87" s="144"/>
      <c r="CU87" s="144"/>
      <c r="CV87" s="144"/>
      <c r="CW87" s="144"/>
      <c r="CX87" s="144"/>
      <c r="CY87" s="144"/>
      <c r="CZ87" s="144"/>
      <c r="DA87" s="144"/>
      <c r="DB87" s="144"/>
      <c r="DC87" s="144"/>
      <c r="DD87" s="144"/>
      <c r="DE87" s="144"/>
      <c r="DF87" s="144"/>
      <c r="DG87" s="144"/>
      <c r="DH87" s="144"/>
      <c r="DI87" s="144"/>
      <c r="DJ87" s="144"/>
      <c r="DK87" s="144"/>
      <c r="DL87" s="144"/>
      <c r="DM87" s="144"/>
      <c r="DN87" s="144"/>
      <c r="DO87" s="144"/>
      <c r="DP87" s="144"/>
      <c r="DQ87" s="144"/>
      <c r="DR87" s="144"/>
      <c r="DS87" s="144"/>
      <c r="DT87" s="144"/>
      <c r="DU87" s="144"/>
      <c r="DV87" s="144"/>
      <c r="DW87" s="144"/>
    </row>
    <row r="88">
      <c r="B88" s="1488" t="s">
        <v>14</v>
      </c>
      <c r="C88" s="1496">
        <v>0.98</v>
      </c>
      <c r="D88" s="1479"/>
      <c r="E88" s="1488" t="s">
        <v>9</v>
      </c>
      <c r="F88" s="1497">
        <f>32 * 10^9 * C93/ sqrt(C87 * 10^9) / C97</f>
        <v>6119.57048</v>
      </c>
      <c r="G88" s="1555"/>
      <c r="H88" s="1555"/>
      <c r="I88" s="1555"/>
      <c r="J88" s="1555"/>
      <c r="W88" s="681">
        <f t="shared" ref="W88:W116" si="2">W87+1000000</f>
        <v>2000000</v>
      </c>
      <c r="X88" s="737">
        <v>0.0019</v>
      </c>
      <c r="Y88" s="738">
        <v>0.001968874916988087</v>
      </c>
      <c r="Z88" s="739">
        <v>0.0022349390949594496</v>
      </c>
      <c r="AA88" s="740">
        <v>0.0025010032729308124</v>
      </c>
      <c r="AB88" s="741">
        <v>0.002767067450902176</v>
      </c>
      <c r="AC88" s="742">
        <v>0.003033131628873538</v>
      </c>
      <c r="AD88" s="1154">
        <v>0.0032991958068449016</v>
      </c>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c r="DT88" s="51"/>
      <c r="DU88" s="51"/>
      <c r="DV88" s="51"/>
      <c r="DW88" s="51"/>
    </row>
    <row r="89">
      <c r="B89" s="1488" t="s">
        <v>20</v>
      </c>
      <c r="C89" s="1494">
        <v>1.2E8</v>
      </c>
      <c r="D89" s="1479"/>
      <c r="E89" s="1488" t="s">
        <v>11</v>
      </c>
      <c r="F89" s="1497">
        <f>F88*C98*C88 + 1*(0.125*F88*C88 + 0.875*F88*(C88+C88*(1 - C88)*(1 - C99)+C88*(1 - C88)^2*(1 - 2*C99)))</f>
        <v>24094.06048</v>
      </c>
      <c r="G89" s="1555"/>
      <c r="H89" s="1555"/>
      <c r="I89" s="1555"/>
      <c r="J89" s="1555"/>
      <c r="W89" s="681">
        <f t="shared" si="2"/>
        <v>3000000</v>
      </c>
      <c r="X89" s="1588">
        <v>0.23</v>
      </c>
      <c r="Y89" s="762">
        <v>0.002273460926647548</v>
      </c>
      <c r="Z89" s="763">
        <v>0.002580685376194513</v>
      </c>
      <c r="AA89" s="764">
        <v>0.002887909825741479</v>
      </c>
      <c r="AB89" s="765">
        <v>0.003195134275288445</v>
      </c>
      <c r="AC89" s="766">
        <v>0.003502358724835412</v>
      </c>
      <c r="AD89" s="799">
        <v>0.003809583174382377</v>
      </c>
      <c r="CL89" s="144"/>
      <c r="CM89" s="144"/>
      <c r="CN89" s="144"/>
      <c r="CO89" s="144"/>
      <c r="CP89" s="144"/>
      <c r="CQ89" s="144"/>
      <c r="CR89" s="144"/>
      <c r="CS89" s="144"/>
      <c r="CT89" s="144"/>
      <c r="CU89" s="144"/>
      <c r="CV89" s="144"/>
      <c r="CW89" s="144"/>
      <c r="CX89" s="144"/>
      <c r="CY89" s="144"/>
      <c r="CZ89" s="144"/>
      <c r="DA89" s="144"/>
      <c r="DB89" s="144"/>
      <c r="DC89" s="144"/>
      <c r="DD89" s="144"/>
      <c r="DE89" s="144"/>
      <c r="DF89" s="144"/>
      <c r="DG89" s="144"/>
      <c r="DH89" s="144"/>
      <c r="DI89" s="144"/>
      <c r="DJ89" s="144"/>
      <c r="DK89" s="144"/>
      <c r="DL89" s="144"/>
      <c r="DM89" s="144"/>
      <c r="DN89" s="144"/>
      <c r="DO89" s="144"/>
      <c r="DP89" s="144"/>
      <c r="DQ89" s="144"/>
      <c r="DR89" s="144"/>
      <c r="DS89" s="144"/>
      <c r="DT89" s="144"/>
      <c r="DU89" s="144"/>
      <c r="DV89" s="144"/>
      <c r="DW89" s="144"/>
    </row>
    <row r="90">
      <c r="B90" s="1488" t="s">
        <v>21</v>
      </c>
      <c r="C90" s="1492">
        <v>64.0</v>
      </c>
      <c r="D90" s="1479"/>
      <c r="E90" s="1488" t="s">
        <v>13</v>
      </c>
      <c r="F90" s="1497">
        <f>F88*C97</f>
        <v>24478.28192</v>
      </c>
      <c r="G90" s="1555"/>
      <c r="H90" s="1555"/>
      <c r="I90" s="1555"/>
      <c r="J90" s="1555"/>
      <c r="W90" s="681">
        <f t="shared" si="2"/>
        <v>4000000</v>
      </c>
      <c r="X90" s="1589">
        <v>0.26</v>
      </c>
      <c r="Y90" s="784">
        <v>0.00254180658808679</v>
      </c>
      <c r="Z90" s="785">
        <v>0.0028852939648552752</v>
      </c>
      <c r="AA90" s="763">
        <v>0.00322878134162376</v>
      </c>
      <c r="AB90" s="786">
        <v>0.003572268718392245</v>
      </c>
      <c r="AC90" s="787">
        <v>0.003915756095160731</v>
      </c>
      <c r="AD90" s="1166">
        <v>0.0042592434719292156</v>
      </c>
    </row>
    <row r="91">
      <c r="B91" s="1488" t="s">
        <v>22</v>
      </c>
      <c r="C91" s="1492">
        <v>12.0</v>
      </c>
      <c r="D91" s="1479"/>
      <c r="E91" s="1488" t="s">
        <v>15</v>
      </c>
      <c r="F91" s="1497">
        <f>(F89*F85*C88 - F90*F85*(1-C88)) *F87  / 10^9</f>
        <v>415669.553</v>
      </c>
      <c r="G91" s="1555"/>
      <c r="H91" s="1555"/>
      <c r="I91" s="1555"/>
      <c r="J91" s="1555"/>
      <c r="W91" s="681">
        <f t="shared" si="2"/>
        <v>5000000</v>
      </c>
      <c r="X91" s="801">
        <v>0.0029</v>
      </c>
      <c r="Y91" s="802">
        <v>0.002784409610220754</v>
      </c>
      <c r="Z91" s="803">
        <v>0.003160681179169505</v>
      </c>
      <c r="AA91" s="804">
        <v>0.0035369527481182547</v>
      </c>
      <c r="AB91" s="763">
        <v>0.003913224317067005</v>
      </c>
      <c r="AC91" s="786">
        <v>0.0042894958860157555</v>
      </c>
      <c r="AD91" s="1172">
        <v>0.0046657674549645065</v>
      </c>
    </row>
    <row r="92">
      <c r="B92" s="1488" t="s">
        <v>24</v>
      </c>
      <c r="C92" s="1492">
        <v>32.0</v>
      </c>
      <c r="D92" s="1479"/>
      <c r="E92" s="1488" t="s">
        <v>17</v>
      </c>
      <c r="F92" s="1497">
        <f>F91/365</f>
        <v>1138.820693</v>
      </c>
      <c r="G92" s="23"/>
      <c r="H92" s="23"/>
      <c r="I92" s="23"/>
      <c r="J92" s="23"/>
      <c r="W92" s="681">
        <f t="shared" si="2"/>
        <v>6000000</v>
      </c>
      <c r="X92" s="1590">
        <v>0.32</v>
      </c>
      <c r="Y92" s="818">
        <v>0.0030075061136659335</v>
      </c>
      <c r="Z92" s="819">
        <v>0.0034139258587559257</v>
      </c>
      <c r="AA92" s="820">
        <v>0.0038203456038459157</v>
      </c>
      <c r="AB92" s="821">
        <v>0.0042267653489359075</v>
      </c>
      <c r="AC92" s="822">
        <v>0.004633185094025899</v>
      </c>
      <c r="AD92" s="764">
        <v>0.00503960483911589</v>
      </c>
    </row>
    <row r="93">
      <c r="B93" s="1498" t="s">
        <v>26</v>
      </c>
      <c r="C93" s="1499">
        <v>64.0</v>
      </c>
      <c r="D93" s="1479"/>
      <c r="E93" s="1498" t="s">
        <v>19</v>
      </c>
      <c r="F93" s="1500">
        <f>F91/C89</f>
        <v>0.003463912942</v>
      </c>
      <c r="G93" s="23"/>
      <c r="H93" s="23"/>
      <c r="I93" s="23"/>
      <c r="J93" s="23"/>
      <c r="W93" s="681">
        <f t="shared" si="2"/>
        <v>7000000</v>
      </c>
      <c r="X93" s="1591">
        <v>0.35</v>
      </c>
      <c r="Y93" s="841">
        <v>0.0032151592759902653</v>
      </c>
      <c r="Z93" s="842">
        <v>0.0036496402592321943</v>
      </c>
      <c r="AA93" s="784">
        <v>0.004084121242474122</v>
      </c>
      <c r="AB93" s="843">
        <v>0.004518602225716049</v>
      </c>
      <c r="AC93" s="844">
        <v>0.004953083208957976</v>
      </c>
      <c r="AD93" s="852">
        <v>0.0053875641921999045</v>
      </c>
    </row>
    <row r="94">
      <c r="B94" s="1501"/>
      <c r="C94" s="1502"/>
      <c r="D94" s="1483"/>
      <c r="E94" s="1501"/>
      <c r="F94" s="1503"/>
      <c r="G94" s="23"/>
      <c r="H94" s="23"/>
      <c r="I94" s="23"/>
      <c r="J94" s="23"/>
      <c r="W94" s="681">
        <f t="shared" si="2"/>
        <v>8000000</v>
      </c>
      <c r="X94" s="859">
        <v>0.0029493547156508727</v>
      </c>
      <c r="Y94" s="860">
        <v>0.0034101913899713216</v>
      </c>
      <c r="Z94" s="818">
        <v>0.0038710280642917693</v>
      </c>
      <c r="AA94" s="819">
        <v>0.004331864738612219</v>
      </c>
      <c r="AB94" s="861">
        <v>0.004792701412932667</v>
      </c>
      <c r="AC94" s="804">
        <v>0.0052535380872531165</v>
      </c>
      <c r="AD94" s="931">
        <v>0.005714374761573566</v>
      </c>
    </row>
    <row r="95">
      <c r="B95" s="1479"/>
      <c r="C95" s="1479"/>
      <c r="D95" s="1479"/>
      <c r="E95" s="1479"/>
      <c r="F95" s="1479"/>
      <c r="G95" s="23"/>
      <c r="H95" s="23"/>
      <c r="I95" s="23"/>
      <c r="J95" s="23"/>
      <c r="W95" s="681">
        <f t="shared" si="2"/>
        <v>9000000</v>
      </c>
      <c r="X95" s="877">
        <v>0.003108892843071672</v>
      </c>
      <c r="Y95" s="878">
        <v>0.0035946573498016206</v>
      </c>
      <c r="Z95" s="879">
        <v>0.00408042185653157</v>
      </c>
      <c r="AA95" s="842">
        <v>0.004566186363261518</v>
      </c>
      <c r="AB95" s="784">
        <v>0.005051950869991466</v>
      </c>
      <c r="AC95" s="880">
        <v>0.0055377153767214166</v>
      </c>
      <c r="AD95" s="821">
        <v>0.006023479883451364</v>
      </c>
    </row>
    <row r="96">
      <c r="B96" s="1486" t="s">
        <v>32</v>
      </c>
      <c r="C96" s="1592"/>
      <c r="D96" s="1479"/>
      <c r="E96" s="1486" t="s">
        <v>209</v>
      </c>
      <c r="F96" s="1592"/>
      <c r="G96" s="23"/>
      <c r="H96" s="23"/>
      <c r="I96" s="23"/>
      <c r="J96" s="23"/>
      <c r="W96" s="681">
        <f t="shared" si="2"/>
        <v>10000000</v>
      </c>
      <c r="X96" s="892">
        <v>0.0032606343218264276</v>
      </c>
      <c r="Y96" s="893">
        <v>0.0037701084346118082</v>
      </c>
      <c r="Z96" s="894">
        <v>0.004279582547397188</v>
      </c>
      <c r="AA96" s="895">
        <v>0.004789056660182566</v>
      </c>
      <c r="AB96" s="819">
        <v>0.005298530772967947</v>
      </c>
      <c r="AC96" s="861">
        <v>0.005808004885753326</v>
      </c>
      <c r="AD96" s="762">
        <v>0.0063174789985387045</v>
      </c>
    </row>
    <row r="97">
      <c r="B97" s="1488" t="s">
        <v>35</v>
      </c>
      <c r="C97" s="1492">
        <v>4.0</v>
      </c>
      <c r="D97" s="1479"/>
      <c r="E97" s="1488" t="s">
        <v>210</v>
      </c>
      <c r="F97" s="1494"/>
      <c r="G97" s="23"/>
      <c r="H97" s="23"/>
      <c r="I97" s="23"/>
      <c r="J97" s="23"/>
      <c r="W97" s="681">
        <f t="shared" si="2"/>
        <v>11000000</v>
      </c>
      <c r="X97" s="906">
        <v>0.0034056214780334463</v>
      </c>
      <c r="Y97" s="907">
        <v>0.003937749833976174</v>
      </c>
      <c r="Z97" s="860">
        <v>0.004469878189918899</v>
      </c>
      <c r="AA97" s="908">
        <v>0.005002006545861625</v>
      </c>
      <c r="AB97" s="802">
        <v>0.005534134901804352</v>
      </c>
      <c r="AC97" s="784">
        <v>0.006066263257747076</v>
      </c>
      <c r="AD97" s="820">
        <v>0.006598391613689803</v>
      </c>
    </row>
    <row r="98">
      <c r="B98" s="1488" t="s">
        <v>37</v>
      </c>
      <c r="C98" s="1492">
        <v>3.0</v>
      </c>
      <c r="D98" s="1479"/>
      <c r="E98" s="1488" t="s">
        <v>211</v>
      </c>
      <c r="F98" s="1593"/>
      <c r="G98" s="23"/>
      <c r="H98" s="23"/>
      <c r="I98" s="23"/>
      <c r="J98" s="23"/>
      <c r="W98" s="681">
        <f t="shared" si="2"/>
        <v>12000000</v>
      </c>
      <c r="X98" s="918">
        <v>0.003544683218936912</v>
      </c>
      <c r="Y98" s="919">
        <v>0.004098539971895804</v>
      </c>
      <c r="Z98" s="920">
        <v>0.004652396724854697</v>
      </c>
      <c r="AA98" s="921">
        <v>0.005206253477813588</v>
      </c>
      <c r="AB98" s="922">
        <v>0.005760110230772481</v>
      </c>
      <c r="AC98" s="819">
        <v>0.006313966983731373</v>
      </c>
      <c r="AD98" s="861">
        <v>0.006867823736690267</v>
      </c>
    </row>
    <row r="99">
      <c r="B99" s="1498" t="s">
        <v>39</v>
      </c>
      <c r="C99" s="1508">
        <f>1/64</f>
        <v>0.015625</v>
      </c>
      <c r="D99" s="1479"/>
      <c r="E99" s="1498" t="s">
        <v>212</v>
      </c>
      <c r="F99" s="1594">
        <f>(F97*(1-F98))* 365.25</f>
        <v>0</v>
      </c>
      <c r="G99" s="23"/>
      <c r="H99" s="23"/>
      <c r="I99" s="23"/>
      <c r="J99" s="23"/>
      <c r="W99" s="681">
        <f t="shared" si="2"/>
        <v>13000000</v>
      </c>
      <c r="X99" s="934">
        <v>0.0036784916193438816</v>
      </c>
      <c r="Y99" s="935">
        <v>0.004253255934866362</v>
      </c>
      <c r="Z99" s="893">
        <v>0.004828020250388846</v>
      </c>
      <c r="AA99" s="936">
        <v>0.005402784565911326</v>
      </c>
      <c r="AB99" s="818">
        <v>0.005977548881433807</v>
      </c>
      <c r="AC99" s="937">
        <v>0.00655231319695629</v>
      </c>
      <c r="AD99" s="784">
        <v>0.007127077512478769</v>
      </c>
    </row>
    <row r="100">
      <c r="B100" s="1501"/>
      <c r="C100" s="1510"/>
      <c r="D100" s="1479"/>
      <c r="E100" s="1501"/>
      <c r="F100" s="1509"/>
      <c r="G100" s="23"/>
      <c r="H100" s="23"/>
      <c r="I100" s="23"/>
      <c r="J100" s="23"/>
      <c r="W100" s="681">
        <f t="shared" si="2"/>
        <v>14000000</v>
      </c>
      <c r="X100" s="948">
        <v>0.0038076005652580465</v>
      </c>
      <c r="Y100" s="949">
        <v>0.004402538153579616</v>
      </c>
      <c r="Z100" s="950">
        <v>0.004997475741901187</v>
      </c>
      <c r="AA100" s="860">
        <v>0.005592413330222758</v>
      </c>
      <c r="AB100" s="879">
        <v>0.006187350918544327</v>
      </c>
      <c r="AC100" s="842">
        <v>0.006782288506865896</v>
      </c>
      <c r="AD100" s="1160">
        <v>0.007377226095187466</v>
      </c>
    </row>
    <row r="101">
      <c r="B101" s="1501"/>
      <c r="C101" s="1510"/>
      <c r="D101" s="1479"/>
      <c r="E101" s="1501"/>
      <c r="F101" s="1509"/>
      <c r="G101" s="23"/>
      <c r="H101" s="23"/>
      <c r="I101" s="23"/>
      <c r="J101" s="23"/>
      <c r="W101" s="681">
        <f t="shared" si="2"/>
        <v>15000000</v>
      </c>
      <c r="X101" s="959">
        <v>0.003932472954201164</v>
      </c>
      <c r="Y101" s="960">
        <v>0.004546921853295096</v>
      </c>
      <c r="Z101" s="961">
        <v>0.005161370752389026</v>
      </c>
      <c r="AA101" s="878">
        <v>0.005775819651482958</v>
      </c>
      <c r="AB101" s="921">
        <v>0.00639026855057689</v>
      </c>
      <c r="AC101" s="895">
        <v>0.007004717449670824</v>
      </c>
      <c r="AD101" s="1202">
        <v>0.007619166348764754</v>
      </c>
    </row>
    <row r="102">
      <c r="B102" s="1475" t="s">
        <v>137</v>
      </c>
      <c r="C102" s="526"/>
      <c r="D102" s="526"/>
      <c r="E102" s="526"/>
      <c r="F102" s="527"/>
      <c r="G102" s="23"/>
      <c r="H102" s="23"/>
      <c r="I102" s="23"/>
      <c r="J102" s="23"/>
      <c r="W102" s="681">
        <f t="shared" si="2"/>
        <v>16000000</v>
      </c>
      <c r="X102" s="970">
        <v>0.00405350034001403</v>
      </c>
      <c r="Y102" s="971">
        <v>0.0046868597681412215</v>
      </c>
      <c r="Z102" s="972">
        <v>0.005320219196268414</v>
      </c>
      <c r="AA102" s="973">
        <v>0.005953578624395607</v>
      </c>
      <c r="AB102" s="894">
        <v>0.006586938052522797</v>
      </c>
      <c r="AC102" s="818">
        <v>0.007220297480649991</v>
      </c>
      <c r="AD102" s="802">
        <v>0.00785365690877718</v>
      </c>
    </row>
    <row r="103">
      <c r="B103" s="110"/>
      <c r="F103" s="78"/>
      <c r="G103" s="23"/>
      <c r="H103" s="23"/>
      <c r="I103" s="23"/>
      <c r="J103" s="23"/>
      <c r="W103" s="681">
        <f t="shared" si="2"/>
        <v>17000000</v>
      </c>
      <c r="X103" s="988">
        <v>0.004171017439122507</v>
      </c>
      <c r="Y103" s="989">
        <v>0.004822738913985399</v>
      </c>
      <c r="Z103" s="935">
        <v>0.00547446038884829</v>
      </c>
      <c r="AA103" s="893">
        <v>0.006126181863711181</v>
      </c>
      <c r="AB103" s="860">
        <v>0.006777903338574075</v>
      </c>
      <c r="AC103" s="879">
        <v>0.007429624813436966</v>
      </c>
      <c r="AD103" s="842">
        <v>0.008081346288299858</v>
      </c>
    </row>
    <row r="104">
      <c r="B104" s="110"/>
      <c r="F104" s="78"/>
      <c r="G104" s="23"/>
      <c r="H104" s="23"/>
      <c r="I104" s="23"/>
      <c r="J104" s="23"/>
      <c r="W104" s="681">
        <f t="shared" si="2"/>
        <v>18000000</v>
      </c>
      <c r="X104" s="998">
        <v>0.00428531305139243</v>
      </c>
      <c r="Y104" s="989">
        <v>0.004954893215672497</v>
      </c>
      <c r="Z104" s="949">
        <v>0.0056244733799525656</v>
      </c>
      <c r="AA104" s="907">
        <v>0.006294053544232633</v>
      </c>
      <c r="AB104" s="878">
        <v>0.006963633708512701</v>
      </c>
      <c r="AC104" s="841">
        <v>0.007633213872792766</v>
      </c>
      <c r="AD104" s="895">
        <v>0.008302794037072835</v>
      </c>
    </row>
    <row r="105">
      <c r="B105" s="146"/>
      <c r="C105" s="528"/>
      <c r="D105" s="528"/>
      <c r="E105" s="528"/>
      <c r="F105" s="529"/>
      <c r="G105" s="23"/>
      <c r="H105" s="23"/>
      <c r="I105" s="23"/>
      <c r="J105" s="23"/>
      <c r="W105" s="681">
        <f t="shared" si="2"/>
        <v>19000000</v>
      </c>
      <c r="X105" s="918">
        <v>0.0043966384226366085</v>
      </c>
      <c r="Y105" s="1197">
        <v>0.00508361317617358</v>
      </c>
      <c r="Z105" s="960">
        <v>0.0057705879297105505</v>
      </c>
      <c r="AA105" s="961">
        <v>0.00645756268324752</v>
      </c>
      <c r="AB105" s="920">
        <v>0.00714453743678449</v>
      </c>
      <c r="AC105" s="921">
        <v>0.007831512190321462</v>
      </c>
      <c r="AD105" s="818">
        <v>0.008518486943858431</v>
      </c>
    </row>
    <row r="106">
      <c r="B106" s="1479"/>
      <c r="C106" s="1479"/>
      <c r="D106" s="1479"/>
      <c r="E106" s="1501"/>
      <c r="F106" s="1511"/>
      <c r="G106" s="23"/>
      <c r="H106" s="23"/>
      <c r="I106" s="23"/>
      <c r="J106" s="23"/>
      <c r="W106" s="681">
        <f t="shared" si="2"/>
        <v>20000000</v>
      </c>
      <c r="X106" s="918"/>
      <c r="Y106" s="907"/>
      <c r="Z106" s="860"/>
      <c r="AA106" s="908"/>
      <c r="AB106" s="802"/>
      <c r="AC106" s="784"/>
      <c r="AD106" s="820"/>
    </row>
    <row r="107">
      <c r="B107" s="1512" t="s">
        <v>187</v>
      </c>
      <c r="C107" s="1513"/>
      <c r="D107" s="1479"/>
      <c r="E107" s="1484" t="s">
        <v>41</v>
      </c>
      <c r="F107" s="1514"/>
      <c r="G107" s="23"/>
      <c r="H107" s="23"/>
      <c r="I107" s="23"/>
      <c r="J107" s="23"/>
      <c r="W107" s="681">
        <f t="shared" si="2"/>
        <v>21000000</v>
      </c>
      <c r="X107" s="918"/>
      <c r="Y107" s="919"/>
      <c r="Z107" s="920"/>
      <c r="AA107" s="921"/>
      <c r="AB107" s="922"/>
      <c r="AC107" s="819"/>
      <c r="AD107" s="861"/>
    </row>
    <row r="108">
      <c r="B108" s="1488" t="s">
        <v>33</v>
      </c>
      <c r="C108" s="1515" t="s">
        <v>34</v>
      </c>
      <c r="D108" s="1479"/>
      <c r="E108" s="1516" t="s">
        <v>43</v>
      </c>
      <c r="F108" s="1517">
        <f>C86*C116</f>
        <v>32</v>
      </c>
      <c r="W108" s="681">
        <f t="shared" si="2"/>
        <v>22000000</v>
      </c>
      <c r="X108" s="934"/>
      <c r="Y108" s="935"/>
      <c r="Z108" s="893"/>
      <c r="AA108" s="936"/>
      <c r="AB108" s="818"/>
      <c r="AC108" s="937"/>
      <c r="AD108" s="784"/>
    </row>
    <row r="109">
      <c r="B109" s="1498" t="s">
        <v>36</v>
      </c>
      <c r="C109" s="1518" t="s">
        <v>34</v>
      </c>
      <c r="D109" s="1479"/>
      <c r="E109" s="1516" t="s">
        <v>188</v>
      </c>
      <c r="F109" s="1519">
        <f>(F89*C117-F90*(1-C117))*F87/10^9/C86</f>
        <v>0.05938136471</v>
      </c>
      <c r="W109" s="681">
        <f t="shared" si="2"/>
        <v>23000000</v>
      </c>
      <c r="X109" s="948"/>
      <c r="Y109" s="949"/>
      <c r="Z109" s="950"/>
      <c r="AA109" s="860"/>
      <c r="AB109" s="879"/>
      <c r="AC109" s="842"/>
      <c r="AD109" s="1160"/>
    </row>
    <row r="110">
      <c r="B110" s="1479"/>
      <c r="C110" s="1479"/>
      <c r="D110" s="1479"/>
      <c r="E110" s="1488" t="s">
        <v>189</v>
      </c>
      <c r="F110" s="1520">
        <f>F109*F108</f>
        <v>1.900203671</v>
      </c>
      <c r="W110" s="681">
        <f t="shared" si="2"/>
        <v>24000000</v>
      </c>
      <c r="X110" s="959"/>
      <c r="Y110" s="960"/>
      <c r="Z110" s="961"/>
      <c r="AA110" s="878"/>
      <c r="AB110" s="921"/>
      <c r="AC110" s="895"/>
      <c r="AD110" s="1202"/>
      <c r="AJ110" s="505"/>
      <c r="AK110" s="1136" t="s">
        <v>151</v>
      </c>
      <c r="AL110" s="498"/>
      <c r="AM110" s="498"/>
      <c r="AN110" s="498"/>
      <c r="AO110" s="498"/>
      <c r="AP110" s="498"/>
      <c r="AQ110" s="498"/>
      <c r="AR110" s="498"/>
      <c r="AS110" s="498"/>
      <c r="AU110" s="1136" t="s">
        <v>206</v>
      </c>
      <c r="AV110" s="80"/>
      <c r="AW110" s="80"/>
      <c r="AX110" s="80"/>
      <c r="AY110" s="80"/>
      <c r="AZ110" s="80"/>
      <c r="BA110" s="80"/>
      <c r="BB110" s="498"/>
      <c r="BC110" s="498"/>
      <c r="BD110" s="498"/>
      <c r="BE110" s="498"/>
      <c r="BF110" s="498"/>
    </row>
    <row r="111">
      <c r="B111" s="1512" t="s">
        <v>190</v>
      </c>
      <c r="C111" s="1513"/>
      <c r="D111" s="1479"/>
      <c r="E111" s="1488" t="s">
        <v>213</v>
      </c>
      <c r="F111" s="1595">
        <f>(F99/C87)</f>
        <v>0</v>
      </c>
      <c r="W111" s="681">
        <f t="shared" si="2"/>
        <v>25000000</v>
      </c>
      <c r="X111" s="970"/>
      <c r="Y111" s="971"/>
      <c r="Z111" s="972"/>
      <c r="AA111" s="973"/>
      <c r="AB111" s="894"/>
      <c r="AC111" s="818"/>
      <c r="AD111" s="802"/>
      <c r="AJ111" s="505"/>
      <c r="AK111" s="1138" t="s">
        <v>57</v>
      </c>
      <c r="AU111" s="1586" t="s">
        <v>207</v>
      </c>
      <c r="AV111" s="515"/>
      <c r="AW111" s="515"/>
      <c r="AX111" s="515"/>
      <c r="AY111" s="515"/>
      <c r="AZ111" s="515"/>
      <c r="BA111" s="515"/>
      <c r="BB111" s="515"/>
      <c r="BC111" s="515"/>
      <c r="BD111" s="515"/>
      <c r="BE111" s="515"/>
      <c r="BF111" s="515"/>
    </row>
    <row r="112">
      <c r="B112" s="1488" t="s">
        <v>191</v>
      </c>
      <c r="C112" s="1515" t="s">
        <v>192</v>
      </c>
      <c r="D112" s="1479"/>
      <c r="E112" s="1488" t="s">
        <v>214</v>
      </c>
      <c r="F112" s="1596">
        <f>F108*F111</f>
        <v>0</v>
      </c>
      <c r="W112" s="681">
        <f t="shared" si="2"/>
        <v>26000000</v>
      </c>
      <c r="X112" s="988"/>
      <c r="Y112" s="989"/>
      <c r="Z112" s="935"/>
      <c r="AA112" s="893"/>
      <c r="AB112" s="860"/>
      <c r="AC112" s="879"/>
      <c r="AD112" s="842"/>
      <c r="AJ112" s="505"/>
      <c r="AK112" s="498"/>
      <c r="AL112" s="1103">
        <f>F92</f>
        <v>1138.820693</v>
      </c>
      <c r="AM112" s="680">
        <v>64.0</v>
      </c>
      <c r="AN112" s="681">
        <f t="shared" ref="AN112:AS112" si="3">AM112+10</f>
        <v>74</v>
      </c>
      <c r="AO112" s="681">
        <f t="shared" si="3"/>
        <v>84</v>
      </c>
      <c r="AP112" s="681">
        <f t="shared" si="3"/>
        <v>94</v>
      </c>
      <c r="AQ112" s="681">
        <f t="shared" si="3"/>
        <v>104</v>
      </c>
      <c r="AR112" s="681">
        <f t="shared" si="3"/>
        <v>114</v>
      </c>
      <c r="AS112" s="681">
        <f t="shared" si="3"/>
        <v>124</v>
      </c>
      <c r="AU112" s="1586" t="s">
        <v>208</v>
      </c>
      <c r="AV112" s="515"/>
      <c r="AW112" s="515"/>
      <c r="AX112" s="515"/>
      <c r="AY112" s="515"/>
      <c r="AZ112" s="515"/>
      <c r="BA112" s="515"/>
      <c r="BB112" s="515"/>
      <c r="BC112" s="515"/>
      <c r="BD112" s="515"/>
      <c r="BE112" s="515"/>
      <c r="BF112" s="515"/>
    </row>
    <row r="113">
      <c r="B113" s="1498" t="s">
        <v>193</v>
      </c>
      <c r="C113" s="1518" t="s">
        <v>194</v>
      </c>
      <c r="D113" s="1479"/>
      <c r="E113" s="1597" t="s">
        <v>215</v>
      </c>
      <c r="F113" s="1598">
        <f>F112+F110</f>
        <v>1.900203671</v>
      </c>
      <c r="W113" s="681">
        <f t="shared" si="2"/>
        <v>27000000</v>
      </c>
      <c r="X113" s="998"/>
      <c r="Y113" s="989"/>
      <c r="Z113" s="949"/>
      <c r="AA113" s="907"/>
      <c r="AB113" s="878"/>
      <c r="AC113" s="841"/>
      <c r="AD113" s="895"/>
      <c r="AJ113" s="505"/>
      <c r="AK113" s="703" t="s">
        <v>66</v>
      </c>
      <c r="AL113" s="681">
        <v>524288.0</v>
      </c>
      <c r="AM113" s="696">
        <v>311.6673359428254</v>
      </c>
      <c r="AN113" s="697">
        <v>360.36535718389183</v>
      </c>
      <c r="AO113" s="698">
        <v>409.0633784249583</v>
      </c>
      <c r="AP113" s="699">
        <v>457.76139966602466</v>
      </c>
      <c r="AQ113" s="700">
        <v>506.45942090709116</v>
      </c>
      <c r="AR113" s="701">
        <v>555.1574421481577</v>
      </c>
      <c r="AS113" s="1143">
        <v>603.855463389224</v>
      </c>
      <c r="AU113" s="1139" t="s">
        <v>58</v>
      </c>
      <c r="AV113" s="80"/>
      <c r="AW113" s="80"/>
      <c r="AX113" s="80"/>
      <c r="AY113" s="1047" t="s">
        <v>59</v>
      </c>
      <c r="AZ113" s="80"/>
      <c r="BA113" s="80"/>
      <c r="BB113" s="498"/>
      <c r="BC113" s="498"/>
      <c r="BD113" s="498"/>
      <c r="BE113" s="498"/>
      <c r="BF113" s="498"/>
    </row>
    <row r="114">
      <c r="B114" s="1501"/>
      <c r="C114" s="1523"/>
      <c r="D114" s="1524"/>
      <c r="E114" s="1599" t="s">
        <v>47</v>
      </c>
      <c r="F114" s="1600">
        <f>F113*C85</f>
        <v>2850.305506</v>
      </c>
      <c r="W114" s="681">
        <f t="shared" si="2"/>
        <v>28000000</v>
      </c>
      <c r="X114" s="906"/>
      <c r="Y114" s="907"/>
      <c r="Z114" s="860"/>
      <c r="AA114" s="908"/>
      <c r="AB114" s="802"/>
      <c r="AC114" s="784"/>
      <c r="AD114" s="820"/>
      <c r="AJ114" s="505"/>
      <c r="AL114" s="681">
        <v>1000000.0</v>
      </c>
      <c r="AM114" s="720">
        <v>430.43376312405786</v>
      </c>
      <c r="AN114" s="721">
        <v>497.6890386121918</v>
      </c>
      <c r="AO114" s="722">
        <v>564.944314100326</v>
      </c>
      <c r="AP114" s="723">
        <v>632.19958958846</v>
      </c>
      <c r="AQ114" s="724">
        <v>699.4548650765939</v>
      </c>
      <c r="AR114" s="725">
        <v>766.7101405647279</v>
      </c>
      <c r="AS114" s="1149">
        <v>833.9654160528619</v>
      </c>
      <c r="AU114" s="80"/>
      <c r="AV114" s="683">
        <f>W85</f>
        <v>0.003463912942</v>
      </c>
      <c r="AW114" s="684">
        <f t="shared" ref="AW114:AY114" si="4">AX114-0.05</f>
        <v>0.7</v>
      </c>
      <c r="AX114" s="684">
        <f t="shared" si="4"/>
        <v>0.75</v>
      </c>
      <c r="AY114" s="684">
        <f t="shared" si="4"/>
        <v>0.8</v>
      </c>
      <c r="AZ114" s="684">
        <v>0.85</v>
      </c>
      <c r="BA114" s="1059">
        <v>0.9</v>
      </c>
      <c r="BB114" s="684">
        <f t="shared" ref="BB114:BF114" si="5">BA114+0.02</f>
        <v>0.92</v>
      </c>
      <c r="BC114" s="684">
        <f t="shared" si="5"/>
        <v>0.94</v>
      </c>
      <c r="BD114" s="684">
        <f t="shared" si="5"/>
        <v>0.96</v>
      </c>
      <c r="BE114" s="1059">
        <f t="shared" si="5"/>
        <v>0.98</v>
      </c>
      <c r="BF114" s="684">
        <f t="shared" si="5"/>
        <v>1</v>
      </c>
    </row>
    <row r="115">
      <c r="B115" s="1512" t="s">
        <v>40</v>
      </c>
      <c r="C115" s="1513"/>
      <c r="D115" s="1524"/>
      <c r="E115" s="1516"/>
      <c r="F115" s="1522"/>
      <c r="W115" s="681">
        <f t="shared" si="2"/>
        <v>29000000</v>
      </c>
      <c r="X115" s="918"/>
      <c r="Y115" s="919"/>
      <c r="Z115" s="920"/>
      <c r="AA115" s="921"/>
      <c r="AB115" s="922"/>
      <c r="AC115" s="819"/>
      <c r="AD115" s="861"/>
      <c r="AJ115" s="505"/>
      <c r="AL115" s="681">
        <f t="shared" ref="AL115:AL143" si="6">AL114+1000000</f>
        <v>2000000</v>
      </c>
      <c r="AM115" s="744">
        <v>527.1715438599718</v>
      </c>
      <c r="AN115" s="745">
        <v>609.5420975880926</v>
      </c>
      <c r="AO115" s="746">
        <v>691.9126513162131</v>
      </c>
      <c r="AP115" s="747">
        <v>774.2832050443337</v>
      </c>
      <c r="AQ115" s="748">
        <v>856.6537587724545</v>
      </c>
      <c r="AR115" s="749">
        <v>939.0243125005748</v>
      </c>
      <c r="AS115" s="1155">
        <v>1021.3948662286956</v>
      </c>
      <c r="AU115" s="703" t="s">
        <v>66</v>
      </c>
      <c r="AV115" s="681">
        <v>525288.0</v>
      </c>
      <c r="AW115" s="704">
        <v>2.464188983971266E-4</v>
      </c>
      <c r="AX115" s="705">
        <v>3.736098317733724E-4</v>
      </c>
      <c r="AY115" s="706">
        <v>5.0456040213604E-4</v>
      </c>
      <c r="AZ115" s="1144">
        <v>6.392848293737716E-4</v>
      </c>
      <c r="BA115" s="1145">
        <v>7.778312423404341E-4</v>
      </c>
      <c r="BB115" s="709">
        <v>8.343372006614442E-4</v>
      </c>
      <c r="BC115" s="710">
        <v>8.914741925117915E-4</v>
      </c>
      <c r="BD115" s="711">
        <v>9.49249855503049E-4</v>
      </c>
      <c r="BE115" s="1146">
        <v>0.0010076726953163007</v>
      </c>
      <c r="BF115" s="1141">
        <v>0.0010667520857021381</v>
      </c>
    </row>
    <row r="116">
      <c r="B116" s="1488" t="s">
        <v>44</v>
      </c>
      <c r="C116" s="1529">
        <v>1.0</v>
      </c>
      <c r="D116" s="1479"/>
      <c r="E116" s="1516"/>
      <c r="F116" s="1521"/>
      <c r="W116" s="681">
        <f t="shared" si="2"/>
        <v>30000000</v>
      </c>
      <c r="X116" s="934"/>
      <c r="Y116" s="935"/>
      <c r="Z116" s="893"/>
      <c r="AA116" s="936"/>
      <c r="AB116" s="818"/>
      <c r="AC116" s="937"/>
      <c r="AD116" s="784"/>
      <c r="AJ116" s="505"/>
      <c r="AL116" s="681">
        <f t="shared" si="6"/>
        <v>3000000</v>
      </c>
      <c r="AM116" s="768">
        <v>608.7252655133308</v>
      </c>
      <c r="AN116" s="769">
        <v>703.8385882497888</v>
      </c>
      <c r="AO116" s="770">
        <v>798.9519109862466</v>
      </c>
      <c r="AP116" s="771">
        <v>894.0652337227044</v>
      </c>
      <c r="AQ116" s="772">
        <v>989.1785564591623</v>
      </c>
      <c r="AR116" s="773">
        <v>1084.2918791956206</v>
      </c>
      <c r="AS116" s="1162">
        <v>1179.4052019320784</v>
      </c>
      <c r="AV116" s="681">
        <v>1000000.0</v>
      </c>
      <c r="AW116" s="727">
        <v>3.3999714633567907E-4</v>
      </c>
      <c r="AX116" s="728">
        <v>5.154891831436778E-4</v>
      </c>
      <c r="AY116" s="729">
        <v>6.961685893253574E-4</v>
      </c>
      <c r="AZ116" s="1150">
        <v>8.820549848108088E-4</v>
      </c>
      <c r="BA116" s="1151">
        <v>0.0010732147755172633</v>
      </c>
      <c r="BB116" s="732">
        <v>0.001151179025439137</v>
      </c>
      <c r="BC116" s="733">
        <v>0.0012300139455921175</v>
      </c>
      <c r="BD116" s="734">
        <v>0.00130973007399158</v>
      </c>
      <c r="BE116" s="1152">
        <v>0.0013903391463741695</v>
      </c>
      <c r="BF116" s="1153">
        <v>0.0014718540961978013</v>
      </c>
    </row>
    <row r="117">
      <c r="B117" s="1488" t="s">
        <v>42</v>
      </c>
      <c r="C117" s="1532">
        <v>0.98</v>
      </c>
      <c r="D117" s="1479"/>
      <c r="E117" s="1525" t="s">
        <v>53</v>
      </c>
      <c r="F117" s="1526">
        <f>sum(F114+F116)</f>
        <v>2850.305506</v>
      </c>
      <c r="AJ117" s="505"/>
      <c r="AL117" s="681">
        <f t="shared" si="6"/>
        <v>4000000</v>
      </c>
      <c r="AM117" s="789">
        <v>680.5755366547079</v>
      </c>
      <c r="AN117" s="790">
        <v>786.9154642570062</v>
      </c>
      <c r="AO117" s="791">
        <v>893.2553918593044</v>
      </c>
      <c r="AP117" s="770">
        <v>999.5953194616025</v>
      </c>
      <c r="AQ117" s="792">
        <v>1105.9352470639005</v>
      </c>
      <c r="AR117" s="793">
        <v>1212.2751746661988</v>
      </c>
      <c r="AS117" s="1167">
        <v>1318.615102268497</v>
      </c>
      <c r="AV117" s="681">
        <f t="shared" ref="AV117:AV134" si="7">AV116+500000</f>
        <v>1500000</v>
      </c>
      <c r="AW117" s="751">
        <v>4.1640976126239824E-4</v>
      </c>
      <c r="AX117" s="752">
        <v>6.313427333130588E-4</v>
      </c>
      <c r="AY117" s="753">
        <v>8.526289094001487E-4</v>
      </c>
      <c r="AZ117" s="1156">
        <v>0.001080292318932424</v>
      </c>
      <c r="BA117" s="1157">
        <v>0.0013144142922164436</v>
      </c>
      <c r="BB117" s="756">
        <v>0.00140990060746015</v>
      </c>
      <c r="BC117" s="757">
        <v>0.0015064532716040787</v>
      </c>
      <c r="BD117" s="758">
        <v>0.001604085191028514</v>
      </c>
      <c r="BE117" s="1158">
        <v>0.0017028107390167234</v>
      </c>
      <c r="BF117" s="1159">
        <v>0.0018026457557549602</v>
      </c>
    </row>
    <row r="118">
      <c r="B118" s="1488" t="s">
        <v>46</v>
      </c>
      <c r="C118" s="1489">
        <f>if(C113="recommended requirements",750,250)</f>
        <v>750</v>
      </c>
      <c r="D118" s="1479"/>
      <c r="E118" s="1527" t="s">
        <v>56</v>
      </c>
      <c r="F118" s="1528">
        <f>(F117)/((C86*C85)*C116)</f>
        <v>0.05938136471</v>
      </c>
      <c r="AJ118" s="505"/>
      <c r="AL118" s="681">
        <f t="shared" si="6"/>
        <v>5000000</v>
      </c>
      <c r="AM118" s="806">
        <v>745.533147023935</v>
      </c>
      <c r="AN118" s="807">
        <v>862.0227012464252</v>
      </c>
      <c r="AO118" s="808">
        <v>978.5122554689153</v>
      </c>
      <c r="AP118" s="809">
        <v>1095.001809691405</v>
      </c>
      <c r="AQ118" s="770">
        <v>1211.491363913895</v>
      </c>
      <c r="AR118" s="792">
        <v>1327.9809181363844</v>
      </c>
      <c r="AS118" s="1173">
        <v>1444.4704723588745</v>
      </c>
      <c r="AV118" s="681">
        <f t="shared" si="7"/>
        <v>2000000</v>
      </c>
      <c r="AW118" s="740">
        <v>4.808285755160669E-4</v>
      </c>
      <c r="AX118" s="766">
        <v>7.290117940584175E-4</v>
      </c>
      <c r="AY118" s="775">
        <v>9.845310607220661E-4</v>
      </c>
      <c r="AZ118" s="799">
        <v>0.0012474141222782403</v>
      </c>
      <c r="BA118" s="1163">
        <v>0.0015177548908757105</v>
      </c>
      <c r="BB118" s="778">
        <v>0.0016280129904954698</v>
      </c>
      <c r="BC118" s="779">
        <v>0.0017395024037644147</v>
      </c>
      <c r="BD118" s="780">
        <v>0.00185223803368681</v>
      </c>
      <c r="BE118" s="1164">
        <v>0.0019662364771005827</v>
      </c>
      <c r="BF118" s="1165">
        <v>0.002081516024677325</v>
      </c>
    </row>
    <row r="119">
      <c r="B119" s="1488" t="s">
        <v>48</v>
      </c>
      <c r="C119" s="1529">
        <v>2.5</v>
      </c>
      <c r="D119" s="1479"/>
      <c r="E119" s="1530" t="s">
        <v>61</v>
      </c>
      <c r="F119" s="1531">
        <f>IF(C112="hardware",C129*8760/1000*C120,0)</f>
        <v>0</v>
      </c>
      <c r="AJ119" s="505"/>
      <c r="AL119" s="681">
        <f t="shared" si="6"/>
        <v>6000000</v>
      </c>
      <c r="AM119" s="824">
        <v>805.2678346550176</v>
      </c>
      <c r="AN119" s="825">
        <v>931.0909338198644</v>
      </c>
      <c r="AO119" s="826">
        <v>1056.9140329847112</v>
      </c>
      <c r="AP119" s="827">
        <v>1182.7371321495575</v>
      </c>
      <c r="AQ119" s="828">
        <v>1308.560231314404</v>
      </c>
      <c r="AR119" s="829">
        <v>1434.3833304792508</v>
      </c>
      <c r="AS119" s="771">
        <v>1560.2064296440974</v>
      </c>
      <c r="AV119" s="681">
        <f t="shared" si="7"/>
        <v>2500000</v>
      </c>
      <c r="AW119" s="795">
        <v>5.375826901891586E-4</v>
      </c>
      <c r="AX119" s="714">
        <v>8.150599639568494E-4</v>
      </c>
      <c r="AY119" s="740">
        <v>0.0011007391888672564</v>
      </c>
      <c r="AZ119" s="1168">
        <v>0.0013946513867536903</v>
      </c>
      <c r="BA119" s="1169">
        <v>0.0016969015545904313</v>
      </c>
      <c r="BB119" s="798">
        <v>0.001820173857500294</v>
      </c>
      <c r="BC119" s="715">
        <v>0.0019448228109207582</v>
      </c>
      <c r="BD119" s="751">
        <v>0.0020708650769171253</v>
      </c>
      <c r="BE119" s="1170">
        <v>0.0021983192113183055</v>
      </c>
      <c r="BF119" s="1171">
        <v>0.002327205663716814</v>
      </c>
      <c r="CF119" s="52"/>
      <c r="CG119" s="52"/>
      <c r="CH119" s="52"/>
      <c r="CI119" s="52"/>
      <c r="CJ119" s="52"/>
      <c r="CK119" s="52"/>
    </row>
    <row r="120" ht="18.0" customHeight="1">
      <c r="B120" s="1488" t="s">
        <v>50</v>
      </c>
      <c r="C120" s="1536">
        <f>average(0.15,0.19,0.22,0.22,0.33,0.1936,0.11,0.2)</f>
        <v>0.2017</v>
      </c>
      <c r="D120" s="1479"/>
      <c r="E120" s="1530" t="s">
        <v>65</v>
      </c>
      <c r="F120" s="1533">
        <f>if(C112="hardware",C118/C119*C127, 0)</f>
        <v>0</v>
      </c>
      <c r="AJ120" s="505"/>
      <c r="AL120" s="681">
        <f t="shared" si="6"/>
        <v>7000000</v>
      </c>
      <c r="AM120" s="846">
        <v>860.8675262481157</v>
      </c>
      <c r="AN120" s="847">
        <v>995.3780772243836</v>
      </c>
      <c r="AO120" s="848">
        <v>1129.888628200652</v>
      </c>
      <c r="AP120" s="790">
        <v>1264.39917917692</v>
      </c>
      <c r="AQ120" s="849">
        <v>1398.9097301531879</v>
      </c>
      <c r="AR120" s="850">
        <v>1533.4202811294558</v>
      </c>
      <c r="AS120" s="1179">
        <v>1667.9308321057238</v>
      </c>
      <c r="AV120" s="681">
        <f t="shared" si="7"/>
        <v>3000000</v>
      </c>
      <c r="AW120" s="764">
        <v>5.888923318818261E-4</v>
      </c>
      <c r="AX120" s="739">
        <v>8.92853455957028E-4</v>
      </c>
      <c r="AY120" s="795">
        <v>0.0012057993673450717</v>
      </c>
      <c r="AZ120" s="714">
        <v>0.0015277640487617152</v>
      </c>
      <c r="BA120" s="1174">
        <v>0.0018588625186295269</v>
      </c>
      <c r="BB120" s="813">
        <v>0.001993900560668209</v>
      </c>
      <c r="BC120" s="814">
        <v>0.002130446647783808</v>
      </c>
      <c r="BD120" s="766">
        <v>0.0022685190323543615</v>
      </c>
      <c r="BE120" s="1175">
        <v>0.0024081380412720034</v>
      </c>
      <c r="BF120" s="1176">
        <v>0.0025493260759429618</v>
      </c>
    </row>
    <row r="121">
      <c r="B121" s="1488" t="s">
        <v>52</v>
      </c>
      <c r="C121" s="1492">
        <v>10.0</v>
      </c>
      <c r="D121" s="1479"/>
      <c r="E121" s="1530" t="s">
        <v>70</v>
      </c>
      <c r="F121" s="1531">
        <f>IF(C108="Yes",0,C123*12)</f>
        <v>0</v>
      </c>
      <c r="AJ121" s="505"/>
      <c r="AL121" s="681">
        <f t="shared" si="6"/>
        <v>8000000</v>
      </c>
      <c r="AM121" s="863">
        <v>913.0878982699962</v>
      </c>
      <c r="AN121" s="864">
        <v>1055.757882374683</v>
      </c>
      <c r="AO121" s="825">
        <v>1198.4278664793696</v>
      </c>
      <c r="AP121" s="826">
        <v>1341.097850584057</v>
      </c>
      <c r="AQ121" s="865">
        <v>1483.7678346887435</v>
      </c>
      <c r="AR121" s="809">
        <v>1626.4378187934308</v>
      </c>
      <c r="AS121" s="1181">
        <v>1769.1078028981176</v>
      </c>
      <c r="AV121" s="681">
        <f t="shared" si="7"/>
        <v>3500000</v>
      </c>
      <c r="AW121" s="831">
        <v>6.36076417034477E-4</v>
      </c>
      <c r="AX121" s="832">
        <v>9.643919549558032E-4</v>
      </c>
      <c r="AY121" s="833">
        <v>0.0013024121723446088</v>
      </c>
      <c r="AZ121" s="856">
        <v>0.0016501737747290695</v>
      </c>
      <c r="BA121" s="1177">
        <v>0.002007800996204552</v>
      </c>
      <c r="BB121" s="836">
        <v>0.0021536587520167862</v>
      </c>
      <c r="BC121" s="714">
        <v>0.002301145382679853</v>
      </c>
      <c r="BD121" s="837">
        <v>0.0024502806030152874</v>
      </c>
      <c r="BE121" s="1178">
        <v>0.0026010863685759435</v>
      </c>
      <c r="BF121" s="740">
        <v>0.0027535868756459934</v>
      </c>
      <c r="CL121" s="179"/>
      <c r="CM121" s="179"/>
      <c r="CN121" s="179"/>
      <c r="CO121" s="179"/>
      <c r="CP121" s="179"/>
      <c r="CQ121" s="179"/>
      <c r="CR121" s="179"/>
      <c r="CS121" s="179"/>
      <c r="CT121" s="179"/>
      <c r="CU121" s="179"/>
      <c r="CV121" s="179"/>
      <c r="CW121" s="179"/>
      <c r="CX121" s="179"/>
      <c r="CY121" s="179"/>
      <c r="CZ121" s="179"/>
      <c r="DA121" s="179"/>
      <c r="DB121" s="179"/>
      <c r="DC121" s="179"/>
      <c r="DD121" s="179"/>
      <c r="DE121" s="179"/>
      <c r="DF121" s="179"/>
      <c r="DG121" s="179"/>
      <c r="DH121" s="179"/>
      <c r="DI121" s="179"/>
      <c r="DJ121" s="179"/>
      <c r="DK121" s="179"/>
      <c r="DL121" s="179"/>
      <c r="DM121" s="179"/>
      <c r="DN121" s="179"/>
      <c r="DO121" s="179"/>
      <c r="DP121" s="179"/>
      <c r="DQ121" s="179"/>
      <c r="DR121" s="179"/>
      <c r="DS121" s="179"/>
      <c r="DT121" s="179"/>
      <c r="DU121" s="179"/>
      <c r="DV121" s="179"/>
      <c r="DW121" s="179"/>
    </row>
    <row r="122">
      <c r="B122" s="1488" t="s">
        <v>55</v>
      </c>
      <c r="C122" s="1492">
        <v>40.0</v>
      </c>
      <c r="D122" s="1479"/>
      <c r="E122" s="1534" t="s">
        <v>72</v>
      </c>
      <c r="F122" s="1535">
        <f>if(C109="yes",0,C124)</f>
        <v>0</v>
      </c>
      <c r="AJ122" s="505"/>
      <c r="AL122" s="681">
        <f t="shared" si="6"/>
        <v>9000000</v>
      </c>
      <c r="AM122" s="882">
        <v>962.4791541564355</v>
      </c>
      <c r="AN122" s="883">
        <v>1112.8665219933785</v>
      </c>
      <c r="AO122" s="884">
        <v>1263.2538898303217</v>
      </c>
      <c r="AP122" s="848">
        <v>1413.6412576672644</v>
      </c>
      <c r="AQ122" s="790">
        <v>1564.0286255042074</v>
      </c>
      <c r="AR122" s="885">
        <v>1714.415993341151</v>
      </c>
      <c r="AS122" s="828">
        <v>1864.8033611780936</v>
      </c>
      <c r="AV122" s="681">
        <f t="shared" si="7"/>
        <v>4000000</v>
      </c>
      <c r="AW122" s="763">
        <v>6.799942926713581E-4</v>
      </c>
      <c r="AX122" s="852">
        <v>0.0010309783662873556</v>
      </c>
      <c r="AY122" s="853">
        <v>0.0013923371786507149</v>
      </c>
      <c r="AZ122" s="890">
        <v>0.0017641099696216176</v>
      </c>
      <c r="BA122" s="1180">
        <v>0.0021464295510345266</v>
      </c>
      <c r="BB122" s="856">
        <v>0.002302358050878274</v>
      </c>
      <c r="BC122" s="857">
        <v>0.002460027891184235</v>
      </c>
      <c r="BD122" s="795">
        <v>0.00261946014798316</v>
      </c>
      <c r="BE122" s="1177">
        <v>0.002780678292748339</v>
      </c>
      <c r="BF122" s="836">
        <v>0.0029437081923956027</v>
      </c>
    </row>
    <row r="123">
      <c r="B123" s="1488" t="s">
        <v>60</v>
      </c>
      <c r="C123" s="1536">
        <f>average(31.14,36.68,37.15,39.58,67.69,72.68,57.66, 68.78)</f>
        <v>51.42</v>
      </c>
      <c r="D123" s="1479"/>
      <c r="E123" s="1534" t="s">
        <v>195</v>
      </c>
      <c r="F123" s="1535">
        <f>if(C112="cloud",12*C125*C127,0)</f>
        <v>960</v>
      </c>
      <c r="AJ123" s="505"/>
      <c r="AL123" s="681">
        <f t="shared" si="6"/>
        <v>10000000</v>
      </c>
      <c r="AM123" s="897">
        <v>1009.4566530585927</v>
      </c>
      <c r="AN123" s="898">
        <v>1167.1842550989982</v>
      </c>
      <c r="AO123" s="899">
        <v>1324.9118571394033</v>
      </c>
      <c r="AP123" s="900">
        <v>1482.639459179808</v>
      </c>
      <c r="AQ123" s="826">
        <v>1640.3670612202138</v>
      </c>
      <c r="AR123" s="865">
        <v>1798.0946632606187</v>
      </c>
      <c r="AS123" s="769">
        <v>1955.8222653010234</v>
      </c>
      <c r="AV123" s="681">
        <f t="shared" si="7"/>
        <v>4500000</v>
      </c>
      <c r="AW123" s="867">
        <v>7.212428632741003E-4</v>
      </c>
      <c r="AX123" s="868">
        <v>0.0010935176910876262</v>
      </c>
      <c r="AY123" s="869">
        <v>0.0014767965910830992</v>
      </c>
      <c r="AZ123" s="1182">
        <v>0.0018711211834173604</v>
      </c>
      <c r="BA123" s="1183">
        <v>0.002276632336313565</v>
      </c>
      <c r="BB123" s="872">
        <v>0.0024420194857432036</v>
      </c>
      <c r="BC123" s="873">
        <v>0.002609253605646622</v>
      </c>
      <c r="BD123" s="874">
        <v>0.002778357050530215</v>
      </c>
      <c r="BE123" s="1184">
        <v>0.0029493547156508736</v>
      </c>
      <c r="BF123" s="1185">
        <v>0.0031222740370159875</v>
      </c>
    </row>
    <row r="124">
      <c r="B124" s="1488" t="s">
        <v>64</v>
      </c>
      <c r="C124" s="1541">
        <v>90.0</v>
      </c>
      <c r="D124" s="1479"/>
      <c r="E124" s="1534" t="s">
        <v>77</v>
      </c>
      <c r="F124" s="1535">
        <f>C126*C127</f>
        <v>25</v>
      </c>
      <c r="AJ124" s="505"/>
      <c r="AL124" s="681">
        <f t="shared" si="6"/>
        <v>11000000</v>
      </c>
      <c r="AM124" s="910">
        <v>1054.3430877199437</v>
      </c>
      <c r="AN124" s="911">
        <v>1219.0841951761852</v>
      </c>
      <c r="AO124" s="864">
        <v>1383.8253026324262</v>
      </c>
      <c r="AP124" s="912">
        <v>1548.5664100886675</v>
      </c>
      <c r="AQ124" s="807">
        <v>1713.307517544909</v>
      </c>
      <c r="AR124" s="790">
        <v>1878.0486250011495</v>
      </c>
      <c r="AS124" s="827">
        <v>2042.7897324573912</v>
      </c>
      <c r="AV124" s="681">
        <f t="shared" si="7"/>
        <v>5000000</v>
      </c>
      <c r="AW124" s="887">
        <v>7.602567313625216E-4</v>
      </c>
      <c r="AX124" s="844">
        <v>0.0011526688551751019</v>
      </c>
      <c r="AY124" s="763">
        <v>0.001556680289531633</v>
      </c>
      <c r="AZ124" s="916">
        <v>0.0019723349059295133</v>
      </c>
      <c r="BA124" s="713">
        <v>0.002399781192513777</v>
      </c>
      <c r="BB124" s="853">
        <v>0.0025741145551538692</v>
      </c>
      <c r="BC124" s="832">
        <v>0.0027503947956167025</v>
      </c>
      <c r="BD124" s="786">
        <v>0.002928645477621002</v>
      </c>
      <c r="BE124" s="1186">
        <v>0.003108892843071673</v>
      </c>
      <c r="BF124" s="890">
        <v>0.003291165812059798</v>
      </c>
    </row>
    <row r="125">
      <c r="B125" s="1488" t="s">
        <v>69</v>
      </c>
      <c r="C125" s="1489">
        <f>if(C113="recommended requirements",80,40)</f>
        <v>80</v>
      </c>
      <c r="D125" s="1479"/>
      <c r="E125" s="1537" t="s">
        <v>79</v>
      </c>
      <c r="F125" s="1538">
        <f>sum(F119:F124)</f>
        <v>985</v>
      </c>
      <c r="AJ125" s="505"/>
      <c r="AL125" s="681">
        <f t="shared" si="6"/>
        <v>12000000</v>
      </c>
      <c r="AM125" s="924">
        <v>1097.3950787393728</v>
      </c>
      <c r="AN125" s="925">
        <v>1268.8630597923996</v>
      </c>
      <c r="AO125" s="926">
        <v>1440.3310408454267</v>
      </c>
      <c r="AP125" s="927">
        <v>1611.7990218984535</v>
      </c>
      <c r="AQ125" s="928">
        <v>1783.2670029514804</v>
      </c>
      <c r="AR125" s="826">
        <v>1954.7349840045074</v>
      </c>
      <c r="AS125" s="865">
        <v>2126.2029650575346</v>
      </c>
      <c r="AV125" s="681">
        <f t="shared" si="7"/>
        <v>5500000</v>
      </c>
      <c r="AW125" s="804">
        <v>7.973639867339308E-4</v>
      </c>
      <c r="AX125" s="821">
        <v>0.0012089292943178057</v>
      </c>
      <c r="AY125" s="902">
        <v>0.0016326600614328505</v>
      </c>
      <c r="AZ125" s="763">
        <v>0.0020686023008937163</v>
      </c>
      <c r="BA125" s="1187">
        <v>0.002516911748380767</v>
      </c>
      <c r="BB125" s="852">
        <v>0.0026997541216489513</v>
      </c>
      <c r="BC125" s="831">
        <v>0.002884638397603933</v>
      </c>
      <c r="BD125" s="853">
        <v>0.0030715892900824073</v>
      </c>
      <c r="BE125" s="713">
        <v>0.003260634321826429</v>
      </c>
      <c r="BF125" s="832">
        <v>0.0034518038244834184</v>
      </c>
    </row>
    <row r="126">
      <c r="B126" s="1488" t="s">
        <v>71</v>
      </c>
      <c r="C126" s="1541">
        <v>25.0</v>
      </c>
      <c r="D126" s="1479"/>
      <c r="E126" s="1539" t="s">
        <v>81</v>
      </c>
      <c r="F126" s="1540">
        <f>F117-F125</f>
        <v>1865.305506</v>
      </c>
      <c r="AJ126" s="505"/>
      <c r="AL126" s="681">
        <f t="shared" si="6"/>
        <v>13000000</v>
      </c>
      <c r="AM126" s="939">
        <v>1138.8206931119414</v>
      </c>
      <c r="AN126" s="940">
        <v>1316.7614264106821</v>
      </c>
      <c r="AO126" s="898">
        <v>1494.7021597094233</v>
      </c>
      <c r="AP126" s="941">
        <v>1672.642893008164</v>
      </c>
      <c r="AQ126" s="825">
        <v>1850.5836263069048</v>
      </c>
      <c r="AR126" s="942">
        <v>2028.524359605646</v>
      </c>
      <c r="AS126" s="790">
        <v>2206.465092904386</v>
      </c>
      <c r="AV126" s="681">
        <f t="shared" si="7"/>
        <v>6000000</v>
      </c>
      <c r="AW126" s="843">
        <v>8.328195225247965E-4</v>
      </c>
      <c r="AX126" s="804">
        <v>0.0012626854666261177</v>
      </c>
      <c r="AY126" s="914">
        <v>0.0017052578188002975</v>
      </c>
      <c r="AZ126" s="902">
        <v>0.002160584637864848</v>
      </c>
      <c r="BA126" s="1188">
        <v>0.0026288285844328872</v>
      </c>
      <c r="BB126" s="763">
        <v>0.0028198012149203</v>
      </c>
      <c r="BC126" s="822">
        <v>0.0030129065432081574</v>
      </c>
      <c r="BD126" s="916">
        <v>0.003208170382057028</v>
      </c>
      <c r="BE126" s="1189">
        <v>0.0034056214780334468</v>
      </c>
      <c r="BF126" s="831">
        <v>0.0036052915115099204</v>
      </c>
      <c r="CK126" s="23"/>
    </row>
    <row r="127">
      <c r="B127" s="1544" t="s">
        <v>147</v>
      </c>
      <c r="C127" s="1545">
        <f>IF(ISNUMBER(SEARCH("No",C112)),(ROUNDUP(C116/C128)),(ROUNDUP(C116/C128)))</f>
        <v>1</v>
      </c>
      <c r="D127" s="1479"/>
      <c r="E127" s="1542" t="s">
        <v>82</v>
      </c>
      <c r="F127" s="1543">
        <f>F126/(F108*C85)</f>
        <v>0.03886053138</v>
      </c>
      <c r="AJ127" s="505"/>
      <c r="AL127" s="681">
        <f t="shared" si="6"/>
        <v>14000000</v>
      </c>
      <c r="AM127" s="952">
        <v>1178.7914078744088</v>
      </c>
      <c r="AN127" s="953">
        <v>1362.9775653547854</v>
      </c>
      <c r="AO127" s="954">
        <v>1547.163722835162</v>
      </c>
      <c r="AP127" s="864">
        <v>1731.349880315539</v>
      </c>
      <c r="AQ127" s="884">
        <v>1915.5360377959148</v>
      </c>
      <c r="AR127" s="848">
        <v>2099.722195276291</v>
      </c>
      <c r="AS127" s="1161">
        <v>2283.9083527566677</v>
      </c>
      <c r="AV127" s="681">
        <f t="shared" si="7"/>
        <v>6500000</v>
      </c>
      <c r="AW127" s="820">
        <v>8.668260418657444E-4</v>
      </c>
      <c r="AX127" s="762">
        <v>0.0013142447019478093</v>
      </c>
      <c r="AY127" s="804">
        <v>0.0017748886108601796</v>
      </c>
      <c r="AZ127" s="1192">
        <v>0.002248807789806051</v>
      </c>
      <c r="BA127" s="1193">
        <v>0.0027361715413193126</v>
      </c>
      <c r="BB127" s="931">
        <v>0.002934942157176442</v>
      </c>
      <c r="BC127" s="932">
        <v>0.003135932555282731</v>
      </c>
      <c r="BD127" s="763">
        <v>0.003339169602411194</v>
      </c>
      <c r="BE127" s="1194">
        <v>0.0035446832189369136</v>
      </c>
      <c r="BF127" s="822">
        <v>0.0037525063788370304</v>
      </c>
      <c r="CK127" s="87"/>
    </row>
    <row r="128">
      <c r="B128" s="1546" t="s">
        <v>149</v>
      </c>
      <c r="C128" s="1547" t="str">
        <f>IF(ISNUMBER(SEARCH("No",C112)), "16", "1000")</f>
        <v>1000</v>
      </c>
      <c r="D128" s="1479"/>
      <c r="E128" s="1479"/>
      <c r="F128" s="1479"/>
      <c r="AJ128" s="505"/>
      <c r="AL128" s="681">
        <f t="shared" si="6"/>
        <v>15000000</v>
      </c>
      <c r="AM128" s="963">
        <v>1217.4505310266616</v>
      </c>
      <c r="AN128" s="964">
        <v>1407.6771764995776</v>
      </c>
      <c r="AO128" s="965">
        <v>1597.9038219724932</v>
      </c>
      <c r="AP128" s="883">
        <v>1788.1304674454088</v>
      </c>
      <c r="AQ128" s="927">
        <v>1978.3571129183247</v>
      </c>
      <c r="AR128" s="900">
        <v>2168.583758391241</v>
      </c>
      <c r="AS128" s="1204">
        <v>2358.810403864157</v>
      </c>
      <c r="AV128" s="681">
        <f t="shared" si="7"/>
        <v>7000000</v>
      </c>
      <c r="AW128" s="944">
        <v>8.99547895675842E-4</v>
      </c>
      <c r="AX128" s="880">
        <v>0.0013638561821420001</v>
      </c>
      <c r="AY128" s="762">
        <v>0.0018418889579295506</v>
      </c>
      <c r="AZ128" s="887">
        <v>0.0023336981324942555</v>
      </c>
      <c r="BA128" s="1195">
        <v>0.0028394593993786897</v>
      </c>
      <c r="BB128" s="844">
        <v>0.0030457334158256527</v>
      </c>
      <c r="BC128" s="902">
        <v>0.0032543110091780743</v>
      </c>
      <c r="BD128" s="931">
        <v>0.0034652200604039455</v>
      </c>
      <c r="BE128" s="1196">
        <v>0.003678491619343883</v>
      </c>
      <c r="BF128" s="763">
        <v>0.003894159904711121</v>
      </c>
      <c r="CK128" s="87"/>
    </row>
    <row r="129">
      <c r="B129" s="1548" t="s">
        <v>76</v>
      </c>
      <c r="C129" s="1549">
        <f>IF(ISNUMBER(SEARCH("Yes",C112)),"N/A",((C127*C122+1024*(1-(1023/1024)^C116)*C121)))</f>
        <v>50</v>
      </c>
      <c r="D129" s="1479"/>
      <c r="E129" s="1479"/>
      <c r="F129" s="1479"/>
      <c r="AJ129" s="505"/>
      <c r="AL129" s="681">
        <f t="shared" si="6"/>
        <v>16000000</v>
      </c>
      <c r="AM129" s="975">
        <v>1254.9192833468092</v>
      </c>
      <c r="AN129" s="976">
        <v>1451.0004213697482</v>
      </c>
      <c r="AO129" s="977">
        <v>1647.081559392687</v>
      </c>
      <c r="AP129" s="978">
        <v>1843.162697415626</v>
      </c>
      <c r="AQ129" s="899">
        <v>2039.2438354385647</v>
      </c>
      <c r="AR129" s="825">
        <v>2235.3249734615038</v>
      </c>
      <c r="AS129" s="807">
        <v>2431.406111484442</v>
      </c>
      <c r="AV129" s="681">
        <f t="shared" si="7"/>
        <v>7500000</v>
      </c>
      <c r="AW129" s="803">
        <v>9.31120532677181E-4</v>
      </c>
      <c r="AX129" s="956">
        <v>0.0014117252687885198</v>
      </c>
      <c r="AY129" s="843">
        <v>0.0019065362010002422</v>
      </c>
      <c r="AZ129" s="804">
        <v>0.0024156070607037833</v>
      </c>
      <c r="BA129" s="1199">
        <v>0.00293911970799324</v>
      </c>
      <c r="BB129" s="914">
        <v>0.003152633599799143</v>
      </c>
      <c r="BC129" s="844">
        <v>0.003368531920233674</v>
      </c>
      <c r="BD129" s="844">
        <v>0.003586843528840494</v>
      </c>
      <c r="BE129" s="1193">
        <v>0.0038076005652580495</v>
      </c>
      <c r="BF129" s="1200">
        <v>0.004030838449219573</v>
      </c>
      <c r="CK129" s="87"/>
    </row>
    <row r="130">
      <c r="B130" s="1488" t="s">
        <v>78</v>
      </c>
      <c r="C130" s="1550">
        <f>F108*C85</f>
        <v>48000</v>
      </c>
      <c r="D130" s="1479"/>
      <c r="E130" s="1479"/>
      <c r="F130" s="1479"/>
      <c r="AJ130" s="505"/>
      <c r="AK130" s="498"/>
      <c r="AL130" s="681">
        <f t="shared" si="6"/>
        <v>17000000</v>
      </c>
      <c r="AM130" s="991">
        <v>1291.3012893721734</v>
      </c>
      <c r="AN130" s="992">
        <v>1493.0671158365756</v>
      </c>
      <c r="AO130" s="940">
        <v>1694.8329423009775</v>
      </c>
      <c r="AP130" s="898">
        <v>1896.5987687653794</v>
      </c>
      <c r="AQ130" s="864">
        <v>2098.364595229782</v>
      </c>
      <c r="AR130" s="884">
        <v>2300.130421694184</v>
      </c>
      <c r="AS130" s="848">
        <v>2501.896248158586</v>
      </c>
      <c r="AV130" s="681">
        <f t="shared" si="7"/>
        <v>8000000</v>
      </c>
      <c r="AW130" s="967">
        <v>9.616571510321338E-4</v>
      </c>
      <c r="AX130" s="861">
        <v>0.001458023588116835</v>
      </c>
      <c r="AY130" s="880">
        <v>0.0019690621214441323</v>
      </c>
      <c r="AZ130" s="762">
        <v>0.0024948282445564807</v>
      </c>
      <c r="BA130" s="1205">
        <v>0.003035509781751421</v>
      </c>
      <c r="BB130" s="887">
        <v>0.0032560259809909396</v>
      </c>
      <c r="BC130" s="887">
        <v>0.0034790048075288293</v>
      </c>
      <c r="BD130" s="914">
        <v>0.00370447606737362</v>
      </c>
      <c r="BE130" s="1195">
        <v>0.003932472954201165</v>
      </c>
      <c r="BF130" s="844">
        <v>0.00416303204935465</v>
      </c>
      <c r="CK130" s="115"/>
    </row>
    <row r="131">
      <c r="B131" s="1551"/>
      <c r="C131" s="1552"/>
      <c r="D131" s="610"/>
      <c r="E131" s="610"/>
      <c r="F131" s="610"/>
      <c r="AJ131" s="505"/>
      <c r="AK131" s="498"/>
      <c r="AL131" s="681">
        <f t="shared" si="6"/>
        <v>18000000</v>
      </c>
      <c r="AM131" s="1000">
        <v>1326.6859583762866</v>
      </c>
      <c r="AN131" s="992">
        <v>1533.9806393725814</v>
      </c>
      <c r="AO131" s="953">
        <v>1741.2753203688762</v>
      </c>
      <c r="AP131" s="911">
        <v>1948.5700013651713</v>
      </c>
      <c r="AQ131" s="883">
        <v>2155.8646823614663</v>
      </c>
      <c r="AR131" s="847">
        <v>2363.1593633577604</v>
      </c>
      <c r="AS131" s="900">
        <v>2570.454044354056</v>
      </c>
      <c r="AV131" s="681">
        <f t="shared" si="7"/>
        <v>8500000</v>
      </c>
      <c r="AW131" s="980">
        <v>9.912535023340113E-4</v>
      </c>
      <c r="AX131" s="981">
        <v>0.0015028963146119418</v>
      </c>
      <c r="AY131" s="982">
        <v>0.002029662777529236</v>
      </c>
      <c r="AZ131" s="1005">
        <v>0.0025716100925201645</v>
      </c>
      <c r="BA131" s="1208">
        <v>0.0031289318644391793</v>
      </c>
      <c r="BB131" s="985">
        <v>0.0033562347598452497</v>
      </c>
      <c r="BC131" s="985">
        <v>0.0035860760733682504</v>
      </c>
      <c r="BD131" s="986">
        <v>0.00381848652833854</v>
      </c>
      <c r="BE131" s="1209">
        <v>0.00405350034001403</v>
      </c>
      <c r="BF131" s="1210">
        <v>0.004291155215580194</v>
      </c>
      <c r="CK131" s="14"/>
    </row>
    <row r="132">
      <c r="B132" s="613" t="s">
        <v>78</v>
      </c>
      <c r="C132" s="1553">
        <f>F115*C86</f>
        <v>0</v>
      </c>
      <c r="AJ132" s="508"/>
      <c r="AK132" s="498"/>
      <c r="AL132" s="681">
        <f t="shared" si="6"/>
        <v>19000000</v>
      </c>
      <c r="AM132" s="1019">
        <v>1361.1510733094158</v>
      </c>
      <c r="AN132" s="1198">
        <v>1573.8309285140124</v>
      </c>
      <c r="AO132" s="964">
        <v>1786.5107837186088</v>
      </c>
      <c r="AP132" s="965">
        <v>1999.190638923205</v>
      </c>
      <c r="AQ132" s="926">
        <v>2211.870494127801</v>
      </c>
      <c r="AR132" s="927">
        <v>2424.5503493323977</v>
      </c>
      <c r="AS132" s="825">
        <v>2637.230204536994</v>
      </c>
      <c r="AU132" s="498"/>
      <c r="AV132" s="681">
        <f t="shared" si="7"/>
        <v>9000000</v>
      </c>
      <c r="AW132" s="994">
        <v>0.0010199914390070367</v>
      </c>
      <c r="AX132" s="967">
        <v>0.001546467549431033</v>
      </c>
      <c r="AY132" s="861">
        <v>0.002088505767976072</v>
      </c>
      <c r="AZ132" s="820">
        <v>0.002646164954432427</v>
      </c>
      <c r="BA132" s="737">
        <v>0.00321964432655179</v>
      </c>
      <c r="BB132" s="762">
        <v>0.0034535370763174094</v>
      </c>
      <c r="BC132" s="785">
        <v>0.0036900418367763524</v>
      </c>
      <c r="BD132" s="804">
        <v>0.00392919022197474</v>
      </c>
      <c r="BE132" s="1205">
        <v>0.004171017439122509</v>
      </c>
      <c r="BF132" s="887">
        <v>0.004415562288593404</v>
      </c>
      <c r="CK132" s="123"/>
    </row>
    <row r="133">
      <c r="B133" s="668" t="s">
        <v>80</v>
      </c>
      <c r="C133" s="1554">
        <f>(C120*C129)+C126+(F115*C86)+(C128*C119)</f>
        <v>2535.085</v>
      </c>
      <c r="AL133" s="681">
        <f t="shared" si="6"/>
        <v>20000000</v>
      </c>
      <c r="AU133" s="498"/>
      <c r="AV133" s="681">
        <f t="shared" si="7"/>
        <v>9500000</v>
      </c>
      <c r="AW133" s="1002">
        <v>0.0010479415849205752</v>
      </c>
      <c r="AX133" s="980">
        <v>0.001588844369474963</v>
      </c>
      <c r="AY133" s="981">
        <v>0.0021457357002321958</v>
      </c>
      <c r="AZ133" s="982">
        <v>0.0027186760498781686</v>
      </c>
      <c r="BA133" s="1215">
        <v>0.0033078700951959107</v>
      </c>
      <c r="BB133" s="1005">
        <v>0.0035481720521705956</v>
      </c>
      <c r="BC133" s="1006">
        <v>0.0037911575950275844</v>
      </c>
      <c r="BD133" s="1007">
        <v>0.0040368592041116445</v>
      </c>
      <c r="BE133" s="1216">
        <v>0.004285313051392431</v>
      </c>
      <c r="BF133" s="985">
        <v>0.004536559000464487</v>
      </c>
      <c r="CK133" s="14"/>
    </row>
    <row r="134">
      <c r="F134" s="191"/>
      <c r="AL134" s="681">
        <f t="shared" si="6"/>
        <v>21000000</v>
      </c>
      <c r="AU134" s="498"/>
      <c r="AV134" s="681">
        <f t="shared" si="7"/>
        <v>10000000</v>
      </c>
      <c r="AW134" s="819">
        <v>0.0010751653803783173</v>
      </c>
      <c r="AX134" s="994">
        <v>0.0016301199279136988</v>
      </c>
      <c r="AY134" s="967">
        <v>0.0022014783777345127</v>
      </c>
      <c r="AZ134" s="861">
        <v>0.0027893027735073806</v>
      </c>
      <c r="BA134" s="1219">
        <v>0.0033938031091808626</v>
      </c>
      <c r="BB134" s="880">
        <v>0.003640347715000588</v>
      </c>
      <c r="BC134" s="880">
        <v>0.0038896456218415164</v>
      </c>
      <c r="BD134" s="843">
        <v>0.004141730153834251</v>
      </c>
      <c r="BE134" s="1220">
        <v>0.004396638422636611</v>
      </c>
      <c r="BF134" s="762">
        <v>0.004654411327433628</v>
      </c>
      <c r="CK134" s="14"/>
    </row>
    <row r="135">
      <c r="F135" s="191"/>
      <c r="AL135" s="681">
        <f t="shared" si="6"/>
        <v>22000000</v>
      </c>
      <c r="CK135" s="14"/>
    </row>
    <row r="136">
      <c r="F136" s="191"/>
      <c r="AL136" s="681">
        <f t="shared" si="6"/>
        <v>23000000</v>
      </c>
      <c r="CK136" s="14"/>
    </row>
    <row r="137">
      <c r="F137" s="191"/>
      <c r="AL137" s="681">
        <f t="shared" si="6"/>
        <v>24000000</v>
      </c>
      <c r="CK137" s="14"/>
    </row>
    <row r="138">
      <c r="F138" s="191"/>
      <c r="AL138" s="681">
        <f t="shared" si="6"/>
        <v>25000000</v>
      </c>
      <c r="CK138" s="14"/>
    </row>
    <row r="139">
      <c r="F139" s="191"/>
      <c r="AL139" s="681">
        <f t="shared" si="6"/>
        <v>26000000</v>
      </c>
      <c r="CK139" s="14"/>
    </row>
    <row r="140">
      <c r="F140" s="191"/>
      <c r="AL140" s="681">
        <f t="shared" si="6"/>
        <v>27000000</v>
      </c>
      <c r="CK140" s="14"/>
    </row>
    <row r="141">
      <c r="F141" s="191"/>
      <c r="AL141" s="681">
        <f t="shared" si="6"/>
        <v>28000000</v>
      </c>
      <c r="CK141" s="14"/>
    </row>
    <row r="142">
      <c r="F142" s="191"/>
      <c r="AL142" s="681">
        <f t="shared" si="6"/>
        <v>29000000</v>
      </c>
      <c r="CK142" s="14"/>
    </row>
    <row r="143">
      <c r="F143" s="191"/>
      <c r="AL143" s="681">
        <f t="shared" si="6"/>
        <v>30000000</v>
      </c>
      <c r="CK143" s="14"/>
    </row>
    <row r="144">
      <c r="F144" s="191"/>
      <c r="CK144" s="14"/>
    </row>
    <row r="145">
      <c r="F145" s="191"/>
      <c r="CK145" s="14"/>
    </row>
    <row r="146">
      <c r="F146" s="191"/>
      <c r="AC146" s="948"/>
      <c r="AD146" s="949"/>
      <c r="AE146" s="950"/>
      <c r="AF146" s="860"/>
      <c r="AG146" s="879"/>
      <c r="AH146" s="842"/>
      <c r="AI146" s="1160"/>
      <c r="CK146" s="14"/>
    </row>
    <row r="147">
      <c r="F147" s="191"/>
      <c r="AB147" s="681">
        <f t="shared" ref="AB147:AB148" si="8">W115+1000000</f>
        <v>30000000</v>
      </c>
      <c r="AC147" s="959"/>
      <c r="AD147" s="960"/>
      <c r="AE147" s="961"/>
      <c r="AF147" s="878"/>
      <c r="AG147" s="921"/>
      <c r="AH147" s="895"/>
      <c r="AI147" s="1202"/>
      <c r="CK147" s="14"/>
    </row>
    <row r="148">
      <c r="F148" s="191"/>
      <c r="AB148" s="681">
        <f t="shared" si="8"/>
        <v>31000000</v>
      </c>
      <c r="AC148" s="970"/>
      <c r="AD148" s="971"/>
      <c r="AE148" s="972"/>
      <c r="AF148" s="973"/>
      <c r="AG148" s="894"/>
      <c r="AH148" s="818"/>
      <c r="AI148" s="802"/>
      <c r="CK148" s="14"/>
    </row>
    <row r="149">
      <c r="F149" s="191"/>
      <c r="AB149" s="681"/>
      <c r="AC149" s="988"/>
      <c r="AD149" s="989"/>
      <c r="AE149" s="935"/>
      <c r="AF149" s="893"/>
      <c r="AG149" s="860"/>
      <c r="AH149" s="879"/>
      <c r="AI149" s="842"/>
      <c r="CK149" s="14"/>
    </row>
    <row r="150">
      <c r="F150" s="191"/>
      <c r="AB150" s="681"/>
      <c r="AC150" s="998"/>
      <c r="AD150" s="989"/>
      <c r="AE150" s="949"/>
      <c r="AF150" s="907"/>
      <c r="AG150" s="878"/>
      <c r="AH150" s="841"/>
      <c r="AI150" s="895"/>
      <c r="CK150" s="14"/>
    </row>
    <row r="151">
      <c r="F151" s="191"/>
      <c r="AB151" s="681"/>
      <c r="CK151" s="14"/>
    </row>
    <row r="152">
      <c r="F152" s="191"/>
      <c r="AB152" s="681">
        <f>AB147+1000000</f>
        <v>31000000</v>
      </c>
      <c r="CK152" s="14"/>
    </row>
    <row r="153">
      <c r="F153" s="191"/>
      <c r="X153" s="1476" t="s">
        <v>140</v>
      </c>
      <c r="Y153" s="556"/>
      <c r="Z153" s="556"/>
      <c r="AA153" s="556"/>
      <c r="AB153" s="556"/>
      <c r="AC153" s="556"/>
      <c r="AD153" s="556"/>
      <c r="AE153" s="556"/>
      <c r="AF153" s="556"/>
      <c r="AG153" s="556"/>
      <c r="AH153" s="556"/>
      <c r="AI153" s="556"/>
      <c r="AJ153" s="556"/>
      <c r="AK153" s="556"/>
      <c r="AL153" s="556"/>
      <c r="AM153" s="556"/>
      <c r="AN153" s="556"/>
      <c r="AO153" s="556"/>
      <c r="AP153" s="556"/>
      <c r="AQ153" s="556"/>
      <c r="AR153" s="556"/>
      <c r="AS153" s="556"/>
      <c r="AT153" s="556"/>
      <c r="AU153" s="556"/>
      <c r="AV153" s="556"/>
      <c r="AW153" s="556"/>
      <c r="AX153" s="556"/>
      <c r="AY153" s="556"/>
      <c r="AZ153" s="556"/>
      <c r="BA153" s="556"/>
      <c r="BB153" s="556"/>
      <c r="BC153" s="556"/>
      <c r="BD153" s="556"/>
      <c r="BE153" s="556"/>
      <c r="BF153" s="556"/>
      <c r="BG153" s="556"/>
      <c r="BH153" s="556"/>
      <c r="BI153" s="556"/>
      <c r="BJ153" s="556"/>
      <c r="BK153" s="556"/>
      <c r="BL153" s="556"/>
      <c r="BM153" s="556"/>
      <c r="BN153" s="556"/>
      <c r="BO153" s="556"/>
      <c r="BP153" s="556"/>
      <c r="BQ153" s="556"/>
      <c r="BR153" s="556"/>
      <c r="BS153" s="556"/>
      <c r="BT153" s="556"/>
      <c r="BU153" s="556"/>
      <c r="BV153" s="556"/>
      <c r="BW153" s="556"/>
      <c r="BX153" s="556"/>
      <c r="BY153" s="556"/>
      <c r="BZ153" s="556"/>
      <c r="CA153" s="556"/>
      <c r="CB153" s="557"/>
      <c r="CK153" s="14"/>
    </row>
    <row r="154">
      <c r="F154" s="191"/>
      <c r="X154" s="559"/>
      <c r="CB154" s="560"/>
      <c r="CK154" s="144"/>
    </row>
    <row r="155">
      <c r="F155" s="191"/>
      <c r="X155" s="559"/>
      <c r="CB155" s="560"/>
      <c r="CK155" s="51"/>
    </row>
    <row r="156">
      <c r="F156" s="191"/>
      <c r="X156" s="574"/>
      <c r="Y156" s="575"/>
      <c r="Z156" s="575"/>
      <c r="AA156" s="575"/>
      <c r="AB156" s="575"/>
      <c r="AC156" s="575"/>
      <c r="AD156" s="575"/>
      <c r="AE156" s="575"/>
      <c r="AF156" s="575"/>
      <c r="AG156" s="575"/>
      <c r="AH156" s="575"/>
      <c r="AI156" s="575"/>
      <c r="AJ156" s="575"/>
      <c r="AK156" s="575"/>
      <c r="AL156" s="575"/>
      <c r="AM156" s="575"/>
      <c r="AN156" s="575"/>
      <c r="AO156" s="575"/>
      <c r="AP156" s="575"/>
      <c r="AQ156" s="575"/>
      <c r="AR156" s="575"/>
      <c r="AS156" s="575"/>
      <c r="AT156" s="575"/>
      <c r="AU156" s="575"/>
      <c r="AV156" s="575"/>
      <c r="AW156" s="575"/>
      <c r="AX156" s="575"/>
      <c r="AY156" s="575"/>
      <c r="AZ156" s="575"/>
      <c r="BA156" s="575"/>
      <c r="BB156" s="575"/>
      <c r="BC156" s="575"/>
      <c r="BD156" s="575"/>
      <c r="BE156" s="575"/>
      <c r="BF156" s="575"/>
      <c r="BG156" s="575"/>
      <c r="BH156" s="575"/>
      <c r="BI156" s="575"/>
      <c r="BJ156" s="575"/>
      <c r="BK156" s="575"/>
      <c r="BL156" s="575"/>
      <c r="BM156" s="575"/>
      <c r="BN156" s="575"/>
      <c r="BO156" s="575"/>
      <c r="BP156" s="575"/>
      <c r="BQ156" s="575"/>
      <c r="BR156" s="575"/>
      <c r="BS156" s="575"/>
      <c r="BT156" s="575"/>
      <c r="BU156" s="575"/>
      <c r="BV156" s="575"/>
      <c r="BW156" s="575"/>
      <c r="BX156" s="575"/>
      <c r="BY156" s="575"/>
      <c r="BZ156" s="575"/>
      <c r="CA156" s="575"/>
      <c r="CB156" s="576"/>
      <c r="CK156" s="51"/>
    </row>
    <row r="157">
      <c r="F157" s="191"/>
      <c r="CK157" s="51"/>
    </row>
    <row r="158">
      <c r="F158" s="191"/>
      <c r="CK158" s="51"/>
    </row>
    <row r="159">
      <c r="F159" s="191"/>
      <c r="CK159" s="51"/>
    </row>
    <row r="160">
      <c r="F160" s="191"/>
      <c r="CK160" s="51"/>
    </row>
    <row r="161">
      <c r="F161" s="191"/>
      <c r="CK161" s="51"/>
    </row>
    <row r="162">
      <c r="F162" s="191"/>
      <c r="X162" s="1134"/>
      <c r="CK162" s="144"/>
    </row>
    <row r="163">
      <c r="F163" s="191"/>
      <c r="CK163" s="51"/>
    </row>
    <row r="164">
      <c r="F164" s="191"/>
      <c r="BR164" s="14"/>
      <c r="BS164" s="14"/>
      <c r="CK164" s="144"/>
    </row>
    <row r="165">
      <c r="F165" s="191"/>
      <c r="BR165" s="14"/>
      <c r="BS165" s="14"/>
    </row>
    <row r="166">
      <c r="F166" s="191"/>
      <c r="BR166" s="14"/>
      <c r="BS166" s="14"/>
    </row>
    <row r="167" ht="37.5" customHeight="1">
      <c r="F167" s="191"/>
      <c r="BR167" s="14"/>
      <c r="BS167" s="14"/>
    </row>
    <row r="168">
      <c r="F168" s="191"/>
      <c r="BR168" s="14"/>
      <c r="BS168" s="14"/>
    </row>
    <row r="169">
      <c r="BR169" s="14"/>
      <c r="BS169" s="14"/>
    </row>
    <row r="170">
      <c r="BR170" s="14"/>
      <c r="BS170" s="14"/>
    </row>
    <row r="171">
      <c r="BR171" s="14"/>
      <c r="BS171" s="14"/>
    </row>
    <row r="172">
      <c r="BR172" s="14"/>
      <c r="BS172" s="14"/>
    </row>
    <row r="173">
      <c r="BR173" s="14"/>
      <c r="BS173" s="14"/>
    </row>
    <row r="174">
      <c r="BR174" s="14"/>
      <c r="BS174" s="14"/>
    </row>
    <row r="175">
      <c r="BR175" s="14"/>
      <c r="BS175" s="14"/>
    </row>
    <row r="176">
      <c r="BR176" s="14"/>
      <c r="BS176" s="14"/>
    </row>
    <row r="177">
      <c r="BR177" s="14"/>
      <c r="BS177" s="14"/>
    </row>
    <row r="178">
      <c r="BR178" s="14"/>
      <c r="BS178" s="14"/>
    </row>
    <row r="179">
      <c r="BR179" s="14"/>
      <c r="BS179" s="14"/>
    </row>
    <row r="180">
      <c r="BR180" s="14"/>
      <c r="BS180" s="14"/>
    </row>
    <row r="181">
      <c r="BR181" s="14"/>
      <c r="BS181" s="14"/>
    </row>
    <row r="182">
      <c r="BR182" s="14"/>
      <c r="BS182" s="14"/>
    </row>
    <row r="183">
      <c r="BG183" s="14"/>
      <c r="BH183" s="14"/>
      <c r="BI183" s="14"/>
      <c r="BJ183" s="14"/>
      <c r="BK183" s="14"/>
      <c r="BL183" s="14"/>
      <c r="BM183" s="14"/>
      <c r="BN183" s="14"/>
      <c r="BO183" s="14"/>
      <c r="BP183" s="14"/>
      <c r="BQ183" s="14"/>
      <c r="BR183" s="14"/>
      <c r="BS183" s="14"/>
    </row>
    <row r="184">
      <c r="BG184" s="14"/>
      <c r="BH184" s="14"/>
      <c r="BI184" s="14"/>
      <c r="BJ184" s="14"/>
      <c r="BK184" s="14"/>
      <c r="BL184" s="14"/>
      <c r="BM184" s="14"/>
      <c r="BN184" s="14"/>
      <c r="BO184" s="14"/>
      <c r="BP184" s="14"/>
      <c r="BQ184" s="14"/>
      <c r="BR184" s="14"/>
      <c r="BS184" s="14"/>
    </row>
    <row r="185">
      <c r="BG185" s="14"/>
      <c r="BH185" s="14"/>
      <c r="BI185" s="14"/>
      <c r="BJ185" s="14"/>
      <c r="BK185" s="14"/>
      <c r="BL185" s="14"/>
      <c r="BM185" s="14"/>
      <c r="BN185" s="14"/>
      <c r="BO185" s="14"/>
      <c r="BP185" s="14"/>
      <c r="BQ185" s="14"/>
      <c r="BR185" s="14"/>
      <c r="BS185" s="14"/>
    </row>
    <row r="186">
      <c r="AJ186" s="51"/>
      <c r="AK186" s="51"/>
      <c r="AL186" s="51"/>
      <c r="AM186" s="51"/>
      <c r="AN186" s="51"/>
      <c r="AO186" s="51"/>
      <c r="AP186" s="51"/>
      <c r="AQ186" s="51"/>
      <c r="AR186" s="51"/>
      <c r="AS186" s="51"/>
      <c r="AT186" s="51"/>
      <c r="AU186" s="51"/>
      <c r="AV186" s="51"/>
      <c r="BG186" s="14"/>
      <c r="BH186" s="14"/>
      <c r="BI186" s="14"/>
      <c r="BJ186" s="14"/>
      <c r="BK186" s="14"/>
      <c r="BL186" s="14"/>
      <c r="BM186" s="14"/>
      <c r="BN186" s="14"/>
      <c r="BO186" s="14"/>
      <c r="BP186" s="14"/>
      <c r="BQ186" s="14"/>
      <c r="BR186" s="14"/>
      <c r="BS186" s="14"/>
    </row>
    <row r="187">
      <c r="X187" s="52"/>
      <c r="Y187" s="52"/>
      <c r="Z187" s="52"/>
      <c r="CA187" s="52"/>
      <c r="CB187" s="52"/>
      <c r="CC187" s="52"/>
      <c r="CD187" s="52"/>
      <c r="CE187" s="52"/>
    </row>
    <row r="190">
      <c r="X190" s="1221" t="s">
        <v>54</v>
      </c>
      <c r="Y190" s="1222"/>
      <c r="Z190" s="1222"/>
      <c r="AA190" s="1222"/>
      <c r="AB190" s="1222"/>
      <c r="AC190" s="1222"/>
      <c r="AD190" s="1222"/>
      <c r="AE190" s="1222"/>
      <c r="AF190" s="1222"/>
      <c r="AG190" s="577"/>
      <c r="AI190" s="1136" t="s">
        <v>54</v>
      </c>
      <c r="AJ190" s="1046"/>
      <c r="AK190" s="1046"/>
      <c r="AL190" s="1046"/>
      <c r="AM190" s="1046"/>
      <c r="AN190" s="1046"/>
      <c r="AO190" s="1046"/>
      <c r="AP190" s="1223"/>
      <c r="AQ190" s="1223"/>
      <c r="AR190" s="1223"/>
      <c r="AS190" s="1223"/>
      <c r="AT190" s="1223"/>
      <c r="AU190" s="610"/>
      <c r="AV190" s="1221" t="s">
        <v>54</v>
      </c>
      <c r="AW190" s="1222"/>
      <c r="AX190" s="1222"/>
      <c r="AY190" s="1222"/>
      <c r="AZ190" s="1222"/>
      <c r="BA190" s="1222"/>
      <c r="BB190" s="1222"/>
      <c r="BC190" s="1222"/>
      <c r="BD190" s="1222"/>
      <c r="BE190" s="1222"/>
      <c r="BF190" s="1222"/>
      <c r="BG190" s="1222"/>
      <c r="BH190" s="1222"/>
      <c r="BI190" s="1222"/>
      <c r="BJ190" s="1222"/>
      <c r="BK190" s="1222"/>
      <c r="BL190" s="610"/>
      <c r="BM190" s="1221" t="s">
        <v>54</v>
      </c>
      <c r="BN190" s="1222"/>
      <c r="BO190" s="1222"/>
      <c r="BP190" s="1222"/>
      <c r="BQ190" s="1222"/>
      <c r="BR190" s="1222"/>
      <c r="BS190" s="1222"/>
      <c r="BT190" s="1222"/>
      <c r="BU190" s="1222"/>
      <c r="BV190" s="1222"/>
      <c r="BW190" s="1222"/>
      <c r="BX190" s="1222"/>
      <c r="BY190" s="1222"/>
      <c r="BZ190" s="1222"/>
      <c r="CA190" s="1222"/>
      <c r="CB190" s="1222"/>
    </row>
    <row r="191">
      <c r="X191" s="1586" t="s">
        <v>207</v>
      </c>
      <c r="Y191" s="515"/>
      <c r="Z191" s="515"/>
      <c r="AA191" s="515"/>
      <c r="AB191" s="515"/>
      <c r="AC191" s="515"/>
      <c r="AD191" s="515"/>
      <c r="AE191" s="515"/>
      <c r="AF191" s="515"/>
      <c r="AG191" s="577"/>
      <c r="AI191" s="1586" t="s">
        <v>208</v>
      </c>
      <c r="AJ191" s="515"/>
      <c r="AK191" s="515"/>
      <c r="AL191" s="515"/>
      <c r="AM191" s="515"/>
      <c r="AN191" s="515"/>
      <c r="AO191" s="515"/>
      <c r="AP191" s="515"/>
      <c r="AQ191" s="515"/>
      <c r="AR191" s="515"/>
      <c r="AS191" s="515"/>
      <c r="AT191" s="515"/>
      <c r="AU191" s="610"/>
      <c r="AV191" s="1224" t="s">
        <v>58</v>
      </c>
      <c r="AW191" s="1052"/>
      <c r="AX191" s="1052" t="s">
        <v>44</v>
      </c>
      <c r="BL191" s="610"/>
      <c r="BM191" s="1224"/>
      <c r="BN191" s="1052"/>
      <c r="BO191" s="1052" t="s">
        <v>44</v>
      </c>
    </row>
    <row r="192">
      <c r="X192" s="1586" t="s">
        <v>208</v>
      </c>
      <c r="Y192" s="515"/>
      <c r="Z192" s="515"/>
      <c r="AA192" s="515"/>
      <c r="AB192" s="515"/>
      <c r="AC192" s="515"/>
      <c r="AD192" s="515"/>
      <c r="AE192" s="515"/>
      <c r="AF192" s="515"/>
      <c r="AG192" s="577"/>
      <c r="AI192" s="1139" t="s">
        <v>58</v>
      </c>
      <c r="AJ192" s="1046"/>
      <c r="AK192" s="1046"/>
      <c r="AL192" s="1046"/>
      <c r="AM192" s="1047" t="s">
        <v>59</v>
      </c>
      <c r="AN192" s="1048"/>
      <c r="AO192" s="1048"/>
      <c r="AP192" s="1049"/>
      <c r="AQ192" s="1049"/>
      <c r="AR192" s="1049"/>
      <c r="AS192" s="1049"/>
      <c r="AT192" s="1223"/>
      <c r="AU192" s="610"/>
      <c r="AV192" s="1586" t="s">
        <v>208</v>
      </c>
      <c r="AW192" s="1052"/>
      <c r="AX192" s="1052"/>
      <c r="AY192" s="1052"/>
      <c r="AZ192" s="1052"/>
      <c r="BA192" s="1052"/>
      <c r="BB192" s="1052"/>
      <c r="BC192" s="1052"/>
      <c r="BD192" s="1052"/>
      <c r="BE192" s="1052"/>
      <c r="BF192" s="1052"/>
      <c r="BG192" s="1052"/>
      <c r="BH192" s="1052"/>
      <c r="BI192" s="1052"/>
      <c r="BJ192" s="1052"/>
      <c r="BK192" s="1052"/>
      <c r="BM192" s="1224" t="s">
        <v>58</v>
      </c>
      <c r="BN192" s="1052"/>
      <c r="BO192" s="1052"/>
      <c r="BP192" s="1052"/>
      <c r="BQ192" s="1052"/>
      <c r="BR192" s="1052"/>
      <c r="BS192" s="1052"/>
      <c r="BT192" s="1052"/>
      <c r="BU192" s="1052"/>
      <c r="BV192" s="1052"/>
      <c r="BW192" s="1052"/>
      <c r="BX192" s="1052"/>
      <c r="BY192" s="1052"/>
      <c r="BZ192" s="1052"/>
      <c r="CA192" s="1052"/>
      <c r="CB192" s="1052"/>
    </row>
    <row r="193">
      <c r="X193" s="1052" t="s">
        <v>57</v>
      </c>
      <c r="AG193" s="577"/>
      <c r="AI193" s="1046"/>
      <c r="AJ193" s="683">
        <f>F118</f>
        <v>0.05938136471</v>
      </c>
      <c r="AK193" s="684">
        <f t="shared" ref="AK193:AM193" si="9">AL193-0.05</f>
        <v>0.7</v>
      </c>
      <c r="AL193" s="684">
        <f t="shared" si="9"/>
        <v>0.75</v>
      </c>
      <c r="AM193" s="684">
        <f t="shared" si="9"/>
        <v>0.8</v>
      </c>
      <c r="AN193" s="684">
        <v>0.85</v>
      </c>
      <c r="AO193" s="1059">
        <v>0.9</v>
      </c>
      <c r="AP193" s="684">
        <f t="shared" ref="AP193:AT193" si="10">AO193+0.02</f>
        <v>0.92</v>
      </c>
      <c r="AQ193" s="684">
        <f t="shared" si="10"/>
        <v>0.94</v>
      </c>
      <c r="AR193" s="684">
        <f t="shared" si="10"/>
        <v>0.96</v>
      </c>
      <c r="AS193" s="1059">
        <f t="shared" si="10"/>
        <v>0.98</v>
      </c>
      <c r="AT193" s="684">
        <f t="shared" si="10"/>
        <v>1</v>
      </c>
      <c r="AU193" s="610"/>
      <c r="AV193" s="1224" t="s">
        <v>216</v>
      </c>
      <c r="AW193" s="1052"/>
      <c r="AX193" s="1052"/>
      <c r="AY193" s="1052"/>
      <c r="AZ193" s="1052"/>
      <c r="BA193" s="1052"/>
      <c r="BB193" s="1052"/>
      <c r="BC193" s="1052"/>
      <c r="BD193" s="1052"/>
      <c r="BE193" s="1052"/>
      <c r="BF193" s="1052"/>
      <c r="BG193" s="1052"/>
      <c r="BH193" s="1052"/>
      <c r="BI193" s="1052"/>
      <c r="BJ193" s="1052"/>
      <c r="BK193" s="1052"/>
      <c r="BM193" s="1586" t="s">
        <v>208</v>
      </c>
      <c r="BN193" s="1052"/>
      <c r="BO193" s="1052"/>
      <c r="BP193" s="1052"/>
      <c r="BQ193" s="1052"/>
      <c r="BR193" s="1052"/>
      <c r="BS193" s="1052"/>
      <c r="BT193" s="1052"/>
      <c r="BU193" s="1052"/>
      <c r="BV193" s="1052"/>
      <c r="BW193" s="1052"/>
      <c r="BX193" s="1052"/>
      <c r="BY193" s="1052"/>
      <c r="BZ193" s="1052"/>
      <c r="CA193" s="1052"/>
      <c r="CB193" s="1052"/>
    </row>
    <row r="194">
      <c r="X194" s="1100"/>
      <c r="Y194" s="1054">
        <f>F118</f>
        <v>0.05938136471</v>
      </c>
      <c r="Z194" s="1055">
        <v>64.0</v>
      </c>
      <c r="AA194" s="1056">
        <f t="shared" ref="AA194:AF194" si="11">Z194+10</f>
        <v>74</v>
      </c>
      <c r="AB194" s="1056">
        <f t="shared" si="11"/>
        <v>84</v>
      </c>
      <c r="AC194" s="1056">
        <f t="shared" si="11"/>
        <v>94</v>
      </c>
      <c r="AD194" s="1056">
        <f t="shared" si="11"/>
        <v>104</v>
      </c>
      <c r="AE194" s="1056">
        <f t="shared" si="11"/>
        <v>114</v>
      </c>
      <c r="AF194" s="1056">
        <f t="shared" si="11"/>
        <v>124</v>
      </c>
      <c r="AG194" s="577"/>
      <c r="AI194" s="1225" t="s">
        <v>66</v>
      </c>
      <c r="AJ194" s="1062">
        <v>525288.0</v>
      </c>
      <c r="AK194" s="704">
        <v>0.16600543701771622</v>
      </c>
      <c r="AL194" s="705">
        <v>0.17539188528447083</v>
      </c>
      <c r="AM194" s="706">
        <v>0.18459577497422022</v>
      </c>
      <c r="AN194" s="1144">
        <v>0.19365284913467273</v>
      </c>
      <c r="AO194" s="1145">
        <v>0.20259885081353673</v>
      </c>
      <c r="AP194" s="709">
        <v>0.20615415763292416</v>
      </c>
      <c r="AQ194" s="710">
        <v>0.20969969929794424</v>
      </c>
      <c r="AR194" s="711">
        <v>0.2132377633636501</v>
      </c>
      <c r="AS194" s="1146">
        <v>0.21677063738509528</v>
      </c>
      <c r="AT194" s="1141">
        <v>0.22030060891733286</v>
      </c>
      <c r="AU194" s="610"/>
      <c r="AV194" s="1586" t="s">
        <v>207</v>
      </c>
      <c r="AW194" s="515"/>
      <c r="AX194" s="515"/>
      <c r="AY194" s="515"/>
      <c r="AZ194" s="515"/>
      <c r="BA194" s="515"/>
      <c r="BB194" s="515"/>
      <c r="BC194" s="515"/>
      <c r="BD194" s="515"/>
      <c r="BE194" s="515"/>
      <c r="BF194" s="515"/>
      <c r="BG194" s="515"/>
      <c r="BH194" s="515"/>
      <c r="BI194" s="515"/>
      <c r="BJ194" s="515"/>
      <c r="BK194" s="515"/>
      <c r="BM194" s="1586" t="s">
        <v>207</v>
      </c>
      <c r="BN194" s="515"/>
      <c r="BO194" s="515"/>
      <c r="BP194" s="515"/>
      <c r="BQ194" s="515"/>
      <c r="BR194" s="515"/>
      <c r="BS194" s="515"/>
      <c r="BT194" s="515"/>
      <c r="BU194" s="515"/>
      <c r="BV194" s="515"/>
      <c r="BW194" s="515"/>
      <c r="BX194" s="515"/>
      <c r="BY194" s="515"/>
      <c r="BZ194" s="515"/>
      <c r="CA194" s="515"/>
      <c r="CB194" s="515"/>
    </row>
    <row r="195">
      <c r="X195" s="1225" t="s">
        <v>66</v>
      </c>
      <c r="Y195" s="1062">
        <v>524288.0</v>
      </c>
      <c r="Z195" s="1063">
        <v>0.21697726749254467</v>
      </c>
      <c r="AA195" s="1064">
        <v>0.25087996553825476</v>
      </c>
      <c r="AB195" s="1064">
        <v>0.28478266358396487</v>
      </c>
      <c r="AC195" s="1064">
        <v>0.3186853616296749</v>
      </c>
      <c r="AD195" s="1064">
        <v>0.35258805967538503</v>
      </c>
      <c r="AE195" s="1064">
        <v>0.3864907577210952</v>
      </c>
      <c r="AF195" s="1064">
        <v>0.42039345576680526</v>
      </c>
      <c r="AG195" s="577"/>
      <c r="AJ195" s="1062">
        <v>1000000.0</v>
      </c>
      <c r="AK195" s="727">
        <v>0.1203153536984451</v>
      </c>
      <c r="AL195" s="728">
        <v>0.12711834680201567</v>
      </c>
      <c r="AM195" s="729">
        <v>0.1337890273731917</v>
      </c>
      <c r="AN195" s="1150">
        <v>0.14035330081305256</v>
      </c>
      <c r="AO195" s="1151">
        <v>0.14683707252267758</v>
      </c>
      <c r="AP195" s="732">
        <v>0.14941384353190332</v>
      </c>
      <c r="AQ195" s="733">
        <v>0.15198353707413312</v>
      </c>
      <c r="AR195" s="734">
        <v>0.15454781109503604</v>
      </c>
      <c r="AS195" s="1152">
        <v>0.15710832354028112</v>
      </c>
      <c r="AT195" s="1153">
        <v>0.1596667323555375</v>
      </c>
      <c r="AU195" s="610"/>
      <c r="AV195" s="1100"/>
      <c r="AW195" s="1054">
        <f>F118</f>
        <v>0.05938136471</v>
      </c>
      <c r="AX195" s="1062">
        <v>1.0</v>
      </c>
      <c r="AY195" s="1056">
        <f t="shared" ref="AY195:BB195" si="12">AX195+1</f>
        <v>2</v>
      </c>
      <c r="AZ195" s="1056">
        <f t="shared" si="12"/>
        <v>3</v>
      </c>
      <c r="BA195" s="1056">
        <f t="shared" si="12"/>
        <v>4</v>
      </c>
      <c r="BB195" s="1056">
        <f t="shared" si="12"/>
        <v>5</v>
      </c>
      <c r="BC195" s="1062">
        <v>10.0</v>
      </c>
      <c r="BD195" s="1062">
        <v>15.0</v>
      </c>
      <c r="BE195" s="1062">
        <v>20.0</v>
      </c>
      <c r="BF195" s="1062">
        <v>25.0</v>
      </c>
      <c r="BG195" s="1062">
        <v>30.0</v>
      </c>
      <c r="BH195" s="1062">
        <v>35.0</v>
      </c>
      <c r="BI195" s="1062">
        <v>40.0</v>
      </c>
      <c r="BJ195" s="1062">
        <v>45.0</v>
      </c>
      <c r="BK195" s="1062">
        <v>50.0</v>
      </c>
      <c r="BM195" s="515"/>
      <c r="BN195" s="515"/>
      <c r="BO195" s="515"/>
      <c r="BP195" s="515"/>
      <c r="BQ195" s="515"/>
      <c r="BR195" s="515"/>
      <c r="BS195" s="515"/>
      <c r="BT195" s="515"/>
      <c r="BU195" s="515"/>
      <c r="BV195" s="515"/>
      <c r="BW195" s="515"/>
      <c r="BX195" s="515"/>
      <c r="BY195" s="515"/>
      <c r="BZ195" s="515"/>
      <c r="CA195" s="515"/>
      <c r="CB195" s="515"/>
    </row>
    <row r="196">
      <c r="Y196" s="1062">
        <v>1000000.0</v>
      </c>
      <c r="Z196" s="1063">
        <v>0.15710832354028112</v>
      </c>
      <c r="AA196" s="1064">
        <v>0.18165649909345</v>
      </c>
      <c r="AB196" s="1064">
        <v>0.20620467464661893</v>
      </c>
      <c r="AC196" s="1064">
        <v>0.23075285019978792</v>
      </c>
      <c r="AD196" s="1064">
        <v>0.2553010257529568</v>
      </c>
      <c r="AE196" s="1064">
        <v>0.2798492013061257</v>
      </c>
      <c r="AF196" s="1064">
        <v>0.30439737685929463</v>
      </c>
      <c r="AG196" s="577"/>
      <c r="AJ196" s="1056">
        <f t="shared" ref="AJ196:AJ213" si="14">AJ195+500000</f>
        <v>1500000</v>
      </c>
      <c r="AK196" s="751">
        <v>0.09823707492789045</v>
      </c>
      <c r="AL196" s="752">
        <v>0.10379169553703073</v>
      </c>
      <c r="AM196" s="753">
        <v>0.10923828341585702</v>
      </c>
      <c r="AN196" s="1156">
        <v>0.11459799023577803</v>
      </c>
      <c r="AO196" s="1157">
        <v>0.1198919676682028</v>
      </c>
      <c r="AP196" s="756">
        <v>0.1219958923870693</v>
      </c>
      <c r="AQ196" s="757">
        <v>0.12409403837833201</v>
      </c>
      <c r="AR196" s="758">
        <v>0.12618775934896098</v>
      </c>
      <c r="AS196" s="1158">
        <v>0.1282784090059265</v>
      </c>
      <c r="AT196" s="1159">
        <v>0.1303673410561987</v>
      </c>
      <c r="AU196" s="610"/>
      <c r="AV196" s="1226" t="s">
        <v>73</v>
      </c>
      <c r="AW196" s="1072">
        <f>AK193</f>
        <v>0.7</v>
      </c>
      <c r="AX196" s="1073">
        <v>0.08507580248102849</v>
      </c>
      <c r="AY196" s="1073">
        <v>0.08507580248102849</v>
      </c>
      <c r="AZ196" s="1073">
        <v>0.08507580248102849</v>
      </c>
      <c r="BA196" s="1073">
        <v>0.08507580248102849</v>
      </c>
      <c r="BB196" s="1073">
        <v>0.08507580248102849</v>
      </c>
      <c r="BC196" s="1073">
        <v>0.08507580248102849</v>
      </c>
      <c r="BD196" s="1073">
        <v>0.08507580248102849</v>
      </c>
      <c r="BE196" s="1073">
        <v>0.08507580248102849</v>
      </c>
      <c r="BF196" s="1073">
        <v>0.08507580248102849</v>
      </c>
      <c r="BG196" s="1073">
        <v>0.08507580248102849</v>
      </c>
      <c r="BH196" s="1073">
        <v>0.08507580248102849</v>
      </c>
      <c r="BI196" s="1073">
        <v>0.08507580248102849</v>
      </c>
      <c r="BJ196" s="1073">
        <v>0.08507580248102849</v>
      </c>
      <c r="BK196" s="1073">
        <v>0.08507580248102849</v>
      </c>
      <c r="BM196" s="1100"/>
      <c r="BN196" s="1054">
        <f>F118</f>
        <v>0.05938136471</v>
      </c>
      <c r="BO196" s="1062">
        <v>1.0</v>
      </c>
      <c r="BP196" s="1056">
        <f t="shared" ref="BP196:BS196" si="13">BO196+1</f>
        <v>2</v>
      </c>
      <c r="BQ196" s="1056">
        <f t="shared" si="13"/>
        <v>3</v>
      </c>
      <c r="BR196" s="1056">
        <f t="shared" si="13"/>
        <v>4</v>
      </c>
      <c r="BS196" s="1056">
        <f t="shared" si="13"/>
        <v>5</v>
      </c>
      <c r="BT196" s="1062">
        <v>10.0</v>
      </c>
      <c r="BU196" s="1062">
        <v>15.0</v>
      </c>
      <c r="BV196" s="1062">
        <v>20.0</v>
      </c>
      <c r="BW196" s="1062">
        <v>25.0</v>
      </c>
      <c r="BX196" s="1062">
        <v>30.0</v>
      </c>
      <c r="BY196" s="1062">
        <v>35.0</v>
      </c>
      <c r="BZ196" s="1062">
        <v>40.0</v>
      </c>
      <c r="CA196" s="1062">
        <v>45.0</v>
      </c>
      <c r="CB196" s="1062">
        <v>50.0</v>
      </c>
    </row>
    <row r="197">
      <c r="Y197" s="1056">
        <f t="shared" ref="Y197:Y214" si="15">Y196+500000</f>
        <v>1500000</v>
      </c>
      <c r="Z197" s="1063">
        <v>0.1282784090059265</v>
      </c>
      <c r="AA197" s="1064">
        <v>0.1483219104131025</v>
      </c>
      <c r="AB197" s="1064">
        <v>0.16836541182027853</v>
      </c>
      <c r="AC197" s="1064">
        <v>0.18840891322745457</v>
      </c>
      <c r="AD197" s="1064">
        <v>0.20845241463463057</v>
      </c>
      <c r="AE197" s="1064">
        <v>0.2284959160418066</v>
      </c>
      <c r="AF197" s="1064">
        <v>0.24853941744898259</v>
      </c>
      <c r="AG197" s="577"/>
      <c r="AJ197" s="1056">
        <f t="shared" si="14"/>
        <v>2000000</v>
      </c>
      <c r="AK197" s="740">
        <v>0.08507580248102849</v>
      </c>
      <c r="AL197" s="766">
        <v>0.08988624503692856</v>
      </c>
      <c r="AM197" s="775">
        <v>0.0946031285039365</v>
      </c>
      <c r="AN197" s="799">
        <v>0.09924477076682484</v>
      </c>
      <c r="AO197" s="1163">
        <v>0.10382948971036621</v>
      </c>
      <c r="AP197" s="778">
        <v>0.10565154196455462</v>
      </c>
      <c r="AQ197" s="779">
        <v>0.10746858969383656</v>
      </c>
      <c r="AR197" s="780">
        <v>0.10928180524283754</v>
      </c>
      <c r="AS197" s="1164">
        <v>0.11109236095618286</v>
      </c>
      <c r="AT197" s="1165">
        <v>0.11290142917849809</v>
      </c>
      <c r="AU197" s="610"/>
      <c r="AW197" s="1072">
        <v>0.75</v>
      </c>
      <c r="AX197" s="1075">
        <v>0.08988624503692857</v>
      </c>
      <c r="AY197" s="1075">
        <v>0.08988624503692857</v>
      </c>
      <c r="AZ197" s="1075">
        <v>0.08988624503692859</v>
      </c>
      <c r="BA197" s="1075">
        <v>0.08988624503692857</v>
      </c>
      <c r="BB197" s="1075">
        <v>0.08988624503692856</v>
      </c>
      <c r="BC197" s="1075">
        <v>0.08988624503692856</v>
      </c>
      <c r="BD197" s="1075">
        <v>0.08988624503692857</v>
      </c>
      <c r="BE197" s="1075">
        <v>0.08988624503692856</v>
      </c>
      <c r="BF197" s="1075">
        <v>0.08988624503692857</v>
      </c>
      <c r="BG197" s="1075">
        <v>0.08988624503692857</v>
      </c>
      <c r="BH197" s="1075">
        <v>0.08988624503692857</v>
      </c>
      <c r="BI197" s="1075">
        <v>0.08988624503692856</v>
      </c>
      <c r="BJ197" s="1075">
        <v>0.08988624503692857</v>
      </c>
      <c r="BK197" s="1075">
        <v>0.08988624503692857</v>
      </c>
      <c r="BM197" s="1225" t="s">
        <v>66</v>
      </c>
      <c r="BN197" s="1062">
        <v>525288.0</v>
      </c>
      <c r="BO197" s="1073">
        <v>0.21677063738509517</v>
      </c>
      <c r="BP197" s="1073">
        <v>0.21677063738509517</v>
      </c>
      <c r="BQ197" s="1073">
        <v>0.21677063738509517</v>
      </c>
      <c r="BR197" s="1073">
        <v>0.21677063738509517</v>
      </c>
      <c r="BS197" s="1073">
        <v>0.2167706373850952</v>
      </c>
      <c r="BT197" s="1073">
        <v>0.2167706373850952</v>
      </c>
      <c r="BU197" s="1073">
        <v>0.21677063738509517</v>
      </c>
      <c r="BV197" s="1073">
        <v>0.2167706373850952</v>
      </c>
      <c r="BW197" s="1073">
        <v>0.21677063738509517</v>
      </c>
      <c r="BX197" s="1073">
        <v>0.21677063738509517</v>
      </c>
      <c r="BY197" s="1073">
        <v>0.2167706373850952</v>
      </c>
      <c r="BZ197" s="1073">
        <v>0.2167706373850952</v>
      </c>
      <c r="CA197" s="1073">
        <v>0.21677063738509517</v>
      </c>
      <c r="CB197" s="1073">
        <v>0.21677063738509517</v>
      </c>
    </row>
    <row r="198">
      <c r="Y198" s="1056">
        <f t="shared" si="15"/>
        <v>2000000</v>
      </c>
      <c r="Z198" s="1063">
        <v>0.11109236095618286</v>
      </c>
      <c r="AA198" s="1064">
        <v>0.12845054235558648</v>
      </c>
      <c r="AB198" s="1064">
        <v>0.14580872375499</v>
      </c>
      <c r="AC198" s="1064">
        <v>0.16316690515439355</v>
      </c>
      <c r="AD198" s="1064">
        <v>0.18052508655379712</v>
      </c>
      <c r="AE198" s="1064">
        <v>0.1978832679532008</v>
      </c>
      <c r="AF198" s="1064">
        <v>0.21524144935260428</v>
      </c>
      <c r="AG198" s="577"/>
      <c r="AJ198" s="1056">
        <f t="shared" si="14"/>
        <v>2500000</v>
      </c>
      <c r="AK198" s="795">
        <v>0.07609411103516998</v>
      </c>
      <c r="AL198" s="714">
        <v>0.08039670165791016</v>
      </c>
      <c r="AM198" s="740">
        <v>0.08461561048758</v>
      </c>
      <c r="AN198" s="1168">
        <v>0.0887672215384017</v>
      </c>
      <c r="AO198" s="1169">
        <v>0.09286791882459751</v>
      </c>
      <c r="AP198" s="798">
        <v>0.09449761190416632</v>
      </c>
      <c r="AQ198" s="715">
        <v>0.09612282880058075</v>
      </c>
      <c r="AR198" s="751">
        <v>0.09774461809075104</v>
      </c>
      <c r="AS198" s="1170">
        <v>0.09936402835158736</v>
      </c>
      <c r="AT198" s="1171">
        <v>0.10098210816000001</v>
      </c>
      <c r="AU198" s="610"/>
      <c r="AW198" s="1072">
        <v>0.8</v>
      </c>
      <c r="AX198" s="1073">
        <v>0.0946031285039365</v>
      </c>
      <c r="AY198" s="1073">
        <v>0.0946031285039365</v>
      </c>
      <c r="AZ198" s="1073">
        <v>0.0946031285039365</v>
      </c>
      <c r="BA198" s="1073">
        <v>0.0946031285039365</v>
      </c>
      <c r="BB198" s="1073">
        <v>0.09460312850393648</v>
      </c>
      <c r="BC198" s="1073">
        <v>0.09460312850393648</v>
      </c>
      <c r="BD198" s="1073">
        <v>0.0946031285039365</v>
      </c>
      <c r="BE198" s="1073">
        <v>0.09460312850393648</v>
      </c>
      <c r="BF198" s="1073">
        <v>0.0946031285039365</v>
      </c>
      <c r="BG198" s="1073">
        <v>0.0946031285039365</v>
      </c>
      <c r="BH198" s="1073">
        <v>0.0946031285039365</v>
      </c>
      <c r="BI198" s="1073">
        <v>0.09460312850393648</v>
      </c>
      <c r="BJ198" s="1073">
        <v>0.09460312850393648</v>
      </c>
      <c r="BK198" s="1073">
        <v>0.0946031285039365</v>
      </c>
      <c r="BN198" s="1077">
        <v>1000000.0</v>
      </c>
      <c r="BO198" s="1078">
        <v>0.15710832354028112</v>
      </c>
      <c r="BP198" s="1078">
        <v>0.15710832354028112</v>
      </c>
      <c r="BQ198" s="1078">
        <v>0.15710832354028112</v>
      </c>
      <c r="BR198" s="1078">
        <v>0.15710832354028112</v>
      </c>
      <c r="BS198" s="1078">
        <v>0.15710832354028112</v>
      </c>
      <c r="BT198" s="1078">
        <v>0.15710832354028112</v>
      </c>
      <c r="BU198" s="1078">
        <v>0.15710832354028112</v>
      </c>
      <c r="BV198" s="1078">
        <v>0.15710832354028112</v>
      </c>
      <c r="BW198" s="1078">
        <v>0.15710832354028112</v>
      </c>
      <c r="BX198" s="1078">
        <v>0.15710832354028112</v>
      </c>
      <c r="BY198" s="1078">
        <v>0.15710832354028112</v>
      </c>
      <c r="BZ198" s="1078">
        <v>0.15710832354028112</v>
      </c>
      <c r="CA198" s="1078">
        <v>0.15710832354028112</v>
      </c>
      <c r="CB198" s="1112">
        <v>0.15710832354028112</v>
      </c>
    </row>
    <row r="199">
      <c r="Y199" s="1056">
        <f t="shared" si="15"/>
        <v>2500000</v>
      </c>
      <c r="Z199" s="1063">
        <v>0.09936402835158736</v>
      </c>
      <c r="AA199" s="1064">
        <v>0.1148896577815229</v>
      </c>
      <c r="AB199" s="1064">
        <v>0.1304152872114584</v>
      </c>
      <c r="AC199" s="1064">
        <v>0.14594091664139394</v>
      </c>
      <c r="AD199" s="1064">
        <v>0.1614665460713295</v>
      </c>
      <c r="AE199" s="1064">
        <v>0.17699217550126503</v>
      </c>
      <c r="AF199" s="1064">
        <v>0.19251780493120055</v>
      </c>
      <c r="AG199" s="577"/>
      <c r="AJ199" s="1056">
        <f t="shared" si="14"/>
        <v>3000000</v>
      </c>
      <c r="AK199" s="764">
        <v>0.0694641018454423</v>
      </c>
      <c r="AL199" s="739">
        <v>0.07339181174508395</v>
      </c>
      <c r="AM199" s="795">
        <v>0.07724313096853044</v>
      </c>
      <c r="AN199" s="714">
        <v>0.08103301600606841</v>
      </c>
      <c r="AO199" s="1174">
        <v>0.08477642334798449</v>
      </c>
      <c r="AP199" s="813">
        <v>0.08626412278380102</v>
      </c>
      <c r="AQ199" s="814">
        <v>0.08774773604214223</v>
      </c>
      <c r="AR199" s="766">
        <v>0.08922822033838645</v>
      </c>
      <c r="AS199" s="1175">
        <v>0.09070653288791211</v>
      </c>
      <c r="AT199" s="1176">
        <v>0.09218363090609752</v>
      </c>
      <c r="AU199" s="610"/>
      <c r="AW199" s="1072">
        <v>0.85</v>
      </c>
      <c r="AX199" s="1073">
        <v>0.09924477076682484</v>
      </c>
      <c r="AY199" s="1073">
        <v>0.09924477076682484</v>
      </c>
      <c r="AZ199" s="1073">
        <v>0.09924477076682484</v>
      </c>
      <c r="BA199" s="1073">
        <v>0.09924477076682484</v>
      </c>
      <c r="BB199" s="1073">
        <v>0.09924477076682484</v>
      </c>
      <c r="BC199" s="1073">
        <v>0.09924477076682484</v>
      </c>
      <c r="BD199" s="1073">
        <v>0.09924477076682484</v>
      </c>
      <c r="BE199" s="1073">
        <v>0.09924477076682484</v>
      </c>
      <c r="BF199" s="1073">
        <v>0.09924477076682484</v>
      </c>
      <c r="BG199" s="1073">
        <v>0.09924477076682484</v>
      </c>
      <c r="BH199" s="1073">
        <v>0.09924477076682484</v>
      </c>
      <c r="BI199" s="1073">
        <v>0.09924477076682484</v>
      </c>
      <c r="BJ199" s="1073">
        <v>0.09924477076682484</v>
      </c>
      <c r="BK199" s="1073">
        <v>0.09924477076682484</v>
      </c>
      <c r="BN199" s="1056">
        <f t="shared" ref="BN199:BN216" si="16">BN198+500000</f>
        <v>1500000</v>
      </c>
      <c r="BO199" s="1073">
        <v>0.1282784090059265</v>
      </c>
      <c r="BP199" s="1073">
        <v>0.1282784090059265</v>
      </c>
      <c r="BQ199" s="1073">
        <v>0.1282784090059265</v>
      </c>
      <c r="BR199" s="1073">
        <v>0.1282784090059265</v>
      </c>
      <c r="BS199" s="1073">
        <v>0.1282784090059265</v>
      </c>
      <c r="BT199" s="1073">
        <v>0.1282784090059265</v>
      </c>
      <c r="BU199" s="1073">
        <v>0.1282784090059265</v>
      </c>
      <c r="BV199" s="1073">
        <v>0.1282784090059265</v>
      </c>
      <c r="BW199" s="1073">
        <v>0.1282784090059265</v>
      </c>
      <c r="BX199" s="1073">
        <v>0.1282784090059265</v>
      </c>
      <c r="BY199" s="1073">
        <v>0.1282784090059265</v>
      </c>
      <c r="BZ199" s="1073">
        <v>0.1282784090059265</v>
      </c>
      <c r="CA199" s="1073">
        <v>0.1282784090059265</v>
      </c>
      <c r="CB199" s="1073">
        <v>0.1282784090059265</v>
      </c>
    </row>
    <row r="200">
      <c r="Y200" s="1056">
        <f t="shared" si="15"/>
        <v>3000000</v>
      </c>
      <c r="Z200" s="1063">
        <v>0.09070653288791211</v>
      </c>
      <c r="AA200" s="1064">
        <v>0.10487942865164837</v>
      </c>
      <c r="AB200" s="1064">
        <v>0.11905232441538469</v>
      </c>
      <c r="AC200" s="1064">
        <v>0.13322522017912092</v>
      </c>
      <c r="AD200" s="1064">
        <v>0.1473981159428572</v>
      </c>
      <c r="AE200" s="1064">
        <v>0.16157101170659346</v>
      </c>
      <c r="AF200" s="1064">
        <v>0.17574390747032975</v>
      </c>
      <c r="AG200" s="577"/>
      <c r="AJ200" s="1056">
        <f t="shared" si="14"/>
        <v>3500000</v>
      </c>
      <c r="AK200" s="831">
        <v>0.06431126170115807</v>
      </c>
      <c r="AL200" s="832">
        <v>0.06794761447232192</v>
      </c>
      <c r="AM200" s="833">
        <v>0.0715132432200291</v>
      </c>
      <c r="AN200" s="856">
        <v>0.075021994963609</v>
      </c>
      <c r="AO200" s="1177">
        <v>0.07848771672239105</v>
      </c>
      <c r="AP200" s="836">
        <v>0.07986505876249027</v>
      </c>
      <c r="AQ200" s="714">
        <v>0.08123861773735161</v>
      </c>
      <c r="AR200" s="837">
        <v>0.08260927985621216</v>
      </c>
      <c r="AS200" s="1178">
        <v>0.08397793132830901</v>
      </c>
      <c r="AT200" s="740">
        <v>0.08534545836287924</v>
      </c>
      <c r="AU200" s="610"/>
      <c r="AW200" s="1072">
        <v>0.9</v>
      </c>
      <c r="AX200" s="1073">
        <v>0.10382948971036621</v>
      </c>
      <c r="AY200" s="1073">
        <v>0.10382948971036621</v>
      </c>
      <c r="AZ200" s="1073">
        <v>0.10382948971036621</v>
      </c>
      <c r="BA200" s="1073">
        <v>0.10382948971036621</v>
      </c>
      <c r="BB200" s="1073">
        <v>0.10382948971036621</v>
      </c>
      <c r="BC200" s="1073">
        <v>0.10382948971036621</v>
      </c>
      <c r="BD200" s="1073">
        <v>0.10382948971036621</v>
      </c>
      <c r="BE200" s="1073">
        <v>0.10382948971036621</v>
      </c>
      <c r="BF200" s="1073">
        <v>0.1038294897103662</v>
      </c>
      <c r="BG200" s="1073">
        <v>0.10382948971036621</v>
      </c>
      <c r="BH200" s="1073">
        <v>0.10382948971036621</v>
      </c>
      <c r="BI200" s="1073">
        <v>0.10382948971036621</v>
      </c>
      <c r="BJ200" s="1073">
        <v>0.10382948971036621</v>
      </c>
      <c r="BK200" s="1073">
        <v>0.1038294897103662</v>
      </c>
      <c r="BN200" s="1056">
        <f t="shared" si="16"/>
        <v>2000000</v>
      </c>
      <c r="BO200" s="1073">
        <v>0.11109236095618286</v>
      </c>
      <c r="BP200" s="1073">
        <v>0.11109236095618286</v>
      </c>
      <c r="BQ200" s="1073">
        <v>0.11109236095618287</v>
      </c>
      <c r="BR200" s="1073">
        <v>0.11109236095618286</v>
      </c>
      <c r="BS200" s="1073">
        <v>0.11109236095618288</v>
      </c>
      <c r="BT200" s="1073">
        <v>0.11109236095618288</v>
      </c>
      <c r="BU200" s="1073">
        <v>0.11109236095618287</v>
      </c>
      <c r="BV200" s="1073">
        <v>0.11109236095618288</v>
      </c>
      <c r="BW200" s="1073">
        <v>0.11109236095618288</v>
      </c>
      <c r="BX200" s="1073">
        <v>0.11109236095618287</v>
      </c>
      <c r="BY200" s="1073">
        <v>0.11109236095618287</v>
      </c>
      <c r="BZ200" s="1073">
        <v>0.11109236095618288</v>
      </c>
      <c r="CA200" s="1073">
        <v>0.11109236095618287</v>
      </c>
      <c r="CB200" s="1073">
        <v>0.11109236095618288</v>
      </c>
    </row>
    <row r="201">
      <c r="Y201" s="1056">
        <f t="shared" si="15"/>
        <v>3500000</v>
      </c>
      <c r="Z201" s="1063">
        <v>0.083977931328309</v>
      </c>
      <c r="AA201" s="1064">
        <v>0.09709948309835731</v>
      </c>
      <c r="AB201" s="1064">
        <v>0.11022103486840559</v>
      </c>
      <c r="AC201" s="1064">
        <v>0.12334258663845385</v>
      </c>
      <c r="AD201" s="1064">
        <v>0.13646413840850213</v>
      </c>
      <c r="AE201" s="1064">
        <v>0.14958569017855045</v>
      </c>
      <c r="AF201" s="1064">
        <v>0.1627072419485987</v>
      </c>
      <c r="AG201" s="577"/>
      <c r="AJ201" s="1056">
        <f t="shared" si="14"/>
        <v>4000000</v>
      </c>
      <c r="AK201" s="763">
        <v>0.06015767684922255</v>
      </c>
      <c r="AL201" s="852">
        <v>0.06355917340100783</v>
      </c>
      <c r="AM201" s="853">
        <v>0.06689451368659585</v>
      </c>
      <c r="AN201" s="890">
        <v>0.07017665040652628</v>
      </c>
      <c r="AO201" s="1180">
        <v>0.07341853626133879</v>
      </c>
      <c r="AP201" s="856">
        <v>0.07470692176595166</v>
      </c>
      <c r="AQ201" s="857">
        <v>0.07599176853706656</v>
      </c>
      <c r="AR201" s="795">
        <v>0.07727390554751802</v>
      </c>
      <c r="AS201" s="1177">
        <v>0.07855416177014056</v>
      </c>
      <c r="AT201" s="836">
        <v>0.07983336617776875</v>
      </c>
      <c r="AU201" s="610"/>
      <c r="AW201" s="1072">
        <v>0.92</v>
      </c>
      <c r="AX201" s="1073">
        <v>0.10565154196455462</v>
      </c>
      <c r="AY201" s="1073">
        <v>0.10565154196455462</v>
      </c>
      <c r="AZ201" s="1073">
        <v>0.10565154196455462</v>
      </c>
      <c r="BA201" s="1073">
        <v>0.10565154196455462</v>
      </c>
      <c r="BB201" s="1073">
        <v>0.1056515419645546</v>
      </c>
      <c r="BC201" s="1073">
        <v>0.1056515419645546</v>
      </c>
      <c r="BD201" s="1073">
        <v>0.10565154196455462</v>
      </c>
      <c r="BE201" s="1073">
        <v>0.1056515419645546</v>
      </c>
      <c r="BF201" s="1073">
        <v>0.10565154196455462</v>
      </c>
      <c r="BG201" s="1073">
        <v>0.10565154196455462</v>
      </c>
      <c r="BH201" s="1073">
        <v>0.1056515419645546</v>
      </c>
      <c r="BI201" s="1073">
        <v>0.1056515419645546</v>
      </c>
      <c r="BJ201" s="1073">
        <v>0.10565154196455462</v>
      </c>
      <c r="BK201" s="1073">
        <v>0.10565154196455462</v>
      </c>
      <c r="BN201" s="1056">
        <f t="shared" si="16"/>
        <v>2500000</v>
      </c>
      <c r="BO201" s="1073">
        <v>0.09936402835158736</v>
      </c>
      <c r="BP201" s="1073">
        <v>0.09936402835158736</v>
      </c>
      <c r="BQ201" s="1073">
        <v>0.09936402835158738</v>
      </c>
      <c r="BR201" s="1073">
        <v>0.09936402835158736</v>
      </c>
      <c r="BS201" s="1073">
        <v>0.09936402835158736</v>
      </c>
      <c r="BT201" s="1073">
        <v>0.09936402835158736</v>
      </c>
      <c r="BU201" s="1073">
        <v>0.09936402835158736</v>
      </c>
      <c r="BV201" s="1073">
        <v>0.09936402835158736</v>
      </c>
      <c r="BW201" s="1073">
        <v>0.09936402835158736</v>
      </c>
      <c r="BX201" s="1073">
        <v>0.09936402835158736</v>
      </c>
      <c r="BY201" s="1073">
        <v>0.09936402835158736</v>
      </c>
      <c r="BZ201" s="1073">
        <v>0.09936402835158736</v>
      </c>
      <c r="CA201" s="1073">
        <v>0.09936402835158738</v>
      </c>
      <c r="CB201" s="1073">
        <v>0.09936402835158736</v>
      </c>
    </row>
    <row r="202">
      <c r="Y202" s="1056">
        <f t="shared" si="15"/>
        <v>4000000</v>
      </c>
      <c r="Z202" s="1063">
        <v>0.07855416177014056</v>
      </c>
      <c r="AA202" s="1064">
        <v>0.090828249546725</v>
      </c>
      <c r="AB202" s="1064">
        <v>0.10310233732330946</v>
      </c>
      <c r="AC202" s="1064">
        <v>0.11537642509989396</v>
      </c>
      <c r="AD202" s="1064">
        <v>0.1276505128764784</v>
      </c>
      <c r="AE202" s="1064">
        <v>0.13992460065306286</v>
      </c>
      <c r="AF202" s="1064">
        <v>0.15219868842964732</v>
      </c>
      <c r="AG202" s="577"/>
      <c r="AJ202" s="1056">
        <f t="shared" si="14"/>
        <v>4500000</v>
      </c>
      <c r="AK202" s="867">
        <v>0.056717201654018994</v>
      </c>
      <c r="AL202" s="868">
        <v>0.05992416335795237</v>
      </c>
      <c r="AM202" s="869">
        <v>0.06306875233595767</v>
      </c>
      <c r="AN202" s="1182">
        <v>0.06616318051121656</v>
      </c>
      <c r="AO202" s="1183">
        <v>0.06921965980691078</v>
      </c>
      <c r="AP202" s="872">
        <v>0.07043436130970308</v>
      </c>
      <c r="AQ202" s="873">
        <v>0.07164572646255772</v>
      </c>
      <c r="AR202" s="874">
        <v>0.07285453682855834</v>
      </c>
      <c r="AS202" s="1184">
        <v>0.07406157397078858</v>
      </c>
      <c r="AT202" s="1185">
        <v>0.07526761945233205</v>
      </c>
      <c r="AU202" s="610"/>
      <c r="AW202" s="1072">
        <v>0.94</v>
      </c>
      <c r="AX202" s="1073">
        <v>0.10746858969383656</v>
      </c>
      <c r="AY202" s="1073">
        <v>0.10746858969383656</v>
      </c>
      <c r="AZ202" s="1073">
        <v>0.10746858969383656</v>
      </c>
      <c r="BA202" s="1073">
        <v>0.10746858969383656</v>
      </c>
      <c r="BB202" s="1073">
        <v>0.10746858969383656</v>
      </c>
      <c r="BC202" s="1073">
        <v>0.10746858969383656</v>
      </c>
      <c r="BD202" s="1073">
        <v>0.10746858969383656</v>
      </c>
      <c r="BE202" s="1073">
        <v>0.10746858969383656</v>
      </c>
      <c r="BF202" s="1073">
        <v>0.10746858969383656</v>
      </c>
      <c r="BG202" s="1073">
        <v>0.10746858969383656</v>
      </c>
      <c r="BH202" s="1073">
        <v>0.10746858969383655</v>
      </c>
      <c r="BI202" s="1073">
        <v>0.10746858969383656</v>
      </c>
      <c r="BJ202" s="1073">
        <v>0.10746858969383656</v>
      </c>
      <c r="BK202" s="1073">
        <v>0.10746858969383656</v>
      </c>
      <c r="BN202" s="1056">
        <f t="shared" si="16"/>
        <v>3000000</v>
      </c>
      <c r="BO202" s="1073">
        <v>0.09070653288791211</v>
      </c>
      <c r="BP202" s="1073">
        <v>0.09070653288791211</v>
      </c>
      <c r="BQ202" s="1073">
        <v>0.09070653288791211</v>
      </c>
      <c r="BR202" s="1073">
        <v>0.09070653288791211</v>
      </c>
      <c r="BS202" s="1073">
        <v>0.09070653288791211</v>
      </c>
      <c r="BT202" s="1073">
        <v>0.09070653288791211</v>
      </c>
      <c r="BU202" s="1073">
        <v>0.09070653288791211</v>
      </c>
      <c r="BV202" s="1073">
        <v>0.09070653288791211</v>
      </c>
      <c r="BW202" s="1073">
        <v>0.09070653288791211</v>
      </c>
      <c r="BX202" s="1073">
        <v>0.09070653288791211</v>
      </c>
      <c r="BY202" s="1073">
        <v>0.09070653288791211</v>
      </c>
      <c r="BZ202" s="1073">
        <v>0.09070653288791211</v>
      </c>
      <c r="CA202" s="1073">
        <v>0.09070653288791211</v>
      </c>
      <c r="CB202" s="1073">
        <v>0.09070653288791211</v>
      </c>
    </row>
    <row r="203">
      <c r="Y203" s="1056">
        <f t="shared" si="15"/>
        <v>4500000</v>
      </c>
      <c r="Z203" s="1063">
        <v>0.07406157397078858</v>
      </c>
      <c r="AA203" s="1064">
        <v>0.08563369490372429</v>
      </c>
      <c r="AB203" s="1064">
        <v>0.09720581583665998</v>
      </c>
      <c r="AC203" s="1064">
        <v>0.10877793676959573</v>
      </c>
      <c r="AD203" s="1064">
        <v>0.12035005770253143</v>
      </c>
      <c r="AE203" s="1064">
        <v>0.13192217863546718</v>
      </c>
      <c r="AF203" s="1064">
        <v>0.14349429956840284</v>
      </c>
      <c r="AG203" s="577"/>
      <c r="AJ203" s="1056">
        <f t="shared" si="14"/>
        <v>5000000</v>
      </c>
      <c r="AK203" s="887">
        <v>0.05380666192133078</v>
      </c>
      <c r="AL203" s="844">
        <v>0.056849052927340014</v>
      </c>
      <c r="AM203" s="763">
        <v>0.05983227197000736</v>
      </c>
      <c r="AN203" s="916">
        <v>0.0627679042968924</v>
      </c>
      <c r="AO203" s="713">
        <v>0.06566753515555472</v>
      </c>
      <c r="AP203" s="853">
        <v>0.06681990218337061</v>
      </c>
      <c r="AQ203" s="832">
        <v>0.06796910407172424</v>
      </c>
      <c r="AR203" s="786">
        <v>0.06911588227645933</v>
      </c>
      <c r="AS203" s="1186">
        <v>0.0702609782534198</v>
      </c>
      <c r="AT203" s="890">
        <v>0.0714051334584494</v>
      </c>
      <c r="AU203" s="610"/>
      <c r="AW203" s="1072">
        <v>0.96</v>
      </c>
      <c r="AX203" s="1073">
        <v>0.10928180524283754</v>
      </c>
      <c r="AY203" s="1073">
        <v>0.10928180524283754</v>
      </c>
      <c r="AZ203" s="1073">
        <v>0.10928180524283752</v>
      </c>
      <c r="BA203" s="1073">
        <v>0.10928180524283754</v>
      </c>
      <c r="BB203" s="1073">
        <v>0.10928180524283752</v>
      </c>
      <c r="BC203" s="1073">
        <v>0.10928180524283752</v>
      </c>
      <c r="BD203" s="1073">
        <v>0.10928180524283752</v>
      </c>
      <c r="BE203" s="1073">
        <v>0.10928180524283752</v>
      </c>
      <c r="BF203" s="1073">
        <v>0.10928180524283752</v>
      </c>
      <c r="BG203" s="1073">
        <v>0.10928180524283752</v>
      </c>
      <c r="BH203" s="1073">
        <v>0.10928180524283752</v>
      </c>
      <c r="BI203" s="1073">
        <v>0.10928180524283752</v>
      </c>
      <c r="BJ203" s="1073">
        <v>0.10928180524283752</v>
      </c>
      <c r="BK203" s="1073">
        <v>0.10928180524283752</v>
      </c>
      <c r="BN203" s="1056">
        <f t="shared" si="16"/>
        <v>3500000</v>
      </c>
      <c r="BO203" s="1073">
        <v>0.083977931328309</v>
      </c>
      <c r="BP203" s="1073">
        <v>0.083977931328309</v>
      </c>
      <c r="BQ203" s="1073">
        <v>0.083977931328309</v>
      </c>
      <c r="BR203" s="1073">
        <v>0.083977931328309</v>
      </c>
      <c r="BS203" s="1073">
        <v>0.083977931328309</v>
      </c>
      <c r="BT203" s="1073">
        <v>0.083977931328309</v>
      </c>
      <c r="BU203" s="1073">
        <v>0.083977931328309</v>
      </c>
      <c r="BV203" s="1073">
        <v>0.083977931328309</v>
      </c>
      <c r="BW203" s="1073">
        <v>0.083977931328309</v>
      </c>
      <c r="BX203" s="1073">
        <v>0.083977931328309</v>
      </c>
      <c r="BY203" s="1073">
        <v>0.083977931328309</v>
      </c>
      <c r="BZ203" s="1073">
        <v>0.083977931328309</v>
      </c>
      <c r="CA203" s="1073">
        <v>0.083977931328309</v>
      </c>
      <c r="CB203" s="1073">
        <v>0.083977931328309</v>
      </c>
    </row>
    <row r="204">
      <c r="Y204" s="1056">
        <f t="shared" si="15"/>
        <v>5000000</v>
      </c>
      <c r="Z204" s="1063">
        <v>0.0702609782534198</v>
      </c>
      <c r="AA204" s="1064">
        <v>0.08123925610551663</v>
      </c>
      <c r="AB204" s="1064">
        <v>0.09221753395761348</v>
      </c>
      <c r="AC204" s="1064">
        <v>0.10319581180971032</v>
      </c>
      <c r="AD204" s="1064">
        <v>0.11417408966180713</v>
      </c>
      <c r="AE204" s="1064">
        <v>0.12515236751390402</v>
      </c>
      <c r="AF204" s="1064">
        <v>0.13613064536600084</v>
      </c>
      <c r="AG204" s="577"/>
      <c r="AJ204" s="1056">
        <f t="shared" si="14"/>
        <v>5500000</v>
      </c>
      <c r="AK204" s="804">
        <v>0.05130263919417428</v>
      </c>
      <c r="AL204" s="821">
        <v>0.05420344520026132</v>
      </c>
      <c r="AM204" s="902">
        <v>0.057047832952969696</v>
      </c>
      <c r="AN204" s="763">
        <v>0.059846848552434564</v>
      </c>
      <c r="AO204" s="1187">
        <v>0.06261153809879116</v>
      </c>
      <c r="AP204" s="852">
        <v>0.06371027694889377</v>
      </c>
      <c r="AQ204" s="831">
        <v>0.06480599795692932</v>
      </c>
      <c r="AR204" s="853">
        <v>0.06589940807330646</v>
      </c>
      <c r="AS204" s="713">
        <v>0.06699121424843389</v>
      </c>
      <c r="AT204" s="832">
        <v>0.06808212343272023</v>
      </c>
      <c r="AU204" s="610"/>
      <c r="AW204" s="1080">
        <v>0.98</v>
      </c>
      <c r="AX204" s="1601">
        <v>0.11109236095618286</v>
      </c>
      <c r="AY204" s="1601">
        <v>0.11109236095618286</v>
      </c>
      <c r="AZ204" s="1601">
        <v>0.11109236095618287</v>
      </c>
      <c r="BA204" s="1601">
        <v>0.11109236095618286</v>
      </c>
      <c r="BB204" s="1601">
        <v>0.11109236095618288</v>
      </c>
      <c r="BC204" s="1601">
        <v>0.11109236095618288</v>
      </c>
      <c r="BD204" s="1601">
        <v>0.11109236095618287</v>
      </c>
      <c r="BE204" s="1601">
        <v>0.11109236095618288</v>
      </c>
      <c r="BF204" s="1601">
        <v>0.11109236095618288</v>
      </c>
      <c r="BG204" s="1601">
        <v>0.11109236095618287</v>
      </c>
      <c r="BH204" s="1601">
        <v>0.11109236095618287</v>
      </c>
      <c r="BI204" s="1601">
        <v>0.11109236095618288</v>
      </c>
      <c r="BJ204" s="1601">
        <v>0.11109236095618287</v>
      </c>
      <c r="BK204" s="1602">
        <v>0.11109236095618288</v>
      </c>
      <c r="BN204" s="1056">
        <f t="shared" si="16"/>
        <v>4000000</v>
      </c>
      <c r="BO204" s="1073">
        <v>0.07855416177014056</v>
      </c>
      <c r="BP204" s="1073">
        <v>0.07855416177014056</v>
      </c>
      <c r="BQ204" s="1073">
        <v>0.07855416177014056</v>
      </c>
      <c r="BR204" s="1073">
        <v>0.07855416177014056</v>
      </c>
      <c r="BS204" s="1073">
        <v>0.07855416177014056</v>
      </c>
      <c r="BT204" s="1073">
        <v>0.07855416177014056</v>
      </c>
      <c r="BU204" s="1073">
        <v>0.07855416177014056</v>
      </c>
      <c r="BV204" s="1073">
        <v>0.07855416177014056</v>
      </c>
      <c r="BW204" s="1073">
        <v>0.07855416177014056</v>
      </c>
      <c r="BX204" s="1073">
        <v>0.07855416177014056</v>
      </c>
      <c r="BY204" s="1073">
        <v>0.07855416177014056</v>
      </c>
      <c r="BZ204" s="1073">
        <v>0.07855416177014056</v>
      </c>
      <c r="CA204" s="1073">
        <v>0.07855416177014056</v>
      </c>
      <c r="CB204" s="1073">
        <v>0.07855416177014056</v>
      </c>
    </row>
    <row r="205">
      <c r="Y205" s="1056">
        <f t="shared" si="15"/>
        <v>5500000</v>
      </c>
      <c r="Z205" s="1063">
        <v>0.06699121424843389</v>
      </c>
      <c r="AA205" s="1064">
        <v>0.07745859147475169</v>
      </c>
      <c r="AB205" s="1064">
        <v>0.08792596870106949</v>
      </c>
      <c r="AC205" s="1064">
        <v>0.09839334592738727</v>
      </c>
      <c r="AD205" s="1064">
        <v>0.10886072315370508</v>
      </c>
      <c r="AE205" s="1064">
        <v>0.11932810038002285</v>
      </c>
      <c r="AF205" s="1064">
        <v>0.12979547760634066</v>
      </c>
      <c r="AG205" s="577"/>
      <c r="AJ205" s="1056">
        <f t="shared" si="14"/>
        <v>6000000</v>
      </c>
      <c r="AK205" s="843">
        <v>0.049118537463945226</v>
      </c>
      <c r="AL205" s="804">
        <v>0.051895847768515364</v>
      </c>
      <c r="AM205" s="914">
        <v>0.05461914170792851</v>
      </c>
      <c r="AN205" s="902">
        <v>0.057298995117889016</v>
      </c>
      <c r="AO205" s="1188">
        <v>0.0599459838341014</v>
      </c>
      <c r="AP205" s="763">
        <v>0.06099794619353465</v>
      </c>
      <c r="AQ205" s="822">
        <v>0.062047019189166004</v>
      </c>
      <c r="AR205" s="916">
        <v>0.06309387967448049</v>
      </c>
      <c r="AS205" s="1189">
        <v>0.06413920450296325</v>
      </c>
      <c r="AT205" s="831">
        <v>0.06518367052809936</v>
      </c>
      <c r="AU205" s="610"/>
      <c r="AW205" s="1072">
        <v>1.0</v>
      </c>
      <c r="AX205" s="577">
        <v>0.11290142917849809</v>
      </c>
      <c r="AY205" s="577">
        <v>0.11290142917849809</v>
      </c>
      <c r="AZ205" s="577">
        <v>0.11290142917849809</v>
      </c>
      <c r="BA205" s="577">
        <v>0.11290142917849809</v>
      </c>
      <c r="BB205" s="577">
        <v>0.11290142917849808</v>
      </c>
      <c r="BC205" s="577">
        <v>0.11290142917849808</v>
      </c>
      <c r="BD205" s="577">
        <v>0.11290142917849809</v>
      </c>
      <c r="BE205" s="577">
        <v>0.11290142917849808</v>
      </c>
      <c r="BF205" s="577">
        <v>0.11290142917849809</v>
      </c>
      <c r="BG205" s="577">
        <v>0.11290142917849809</v>
      </c>
      <c r="BH205" s="577">
        <v>0.11290142917849809</v>
      </c>
      <c r="BI205" s="577">
        <v>0.11290142917849808</v>
      </c>
      <c r="BJ205" s="577">
        <v>0.11290142917849809</v>
      </c>
      <c r="BK205" s="577">
        <v>0.11290142917849809</v>
      </c>
      <c r="BN205" s="1056">
        <f t="shared" si="16"/>
        <v>4500000</v>
      </c>
      <c r="BO205" s="594">
        <v>0.07406157397078858</v>
      </c>
      <c r="BP205" s="594">
        <v>0.07406157397078858</v>
      </c>
      <c r="BQ205" s="594">
        <v>0.07406157397078857</v>
      </c>
      <c r="BR205" s="594">
        <v>0.07406157397078858</v>
      </c>
      <c r="BS205" s="594">
        <v>0.07406157397078858</v>
      </c>
      <c r="BT205" s="594">
        <v>0.07406157397078858</v>
      </c>
      <c r="BU205" s="594">
        <v>0.07406157397078858</v>
      </c>
      <c r="BV205" s="594">
        <v>0.07406157397078858</v>
      </c>
      <c r="BW205" s="594">
        <v>0.07406157397078858</v>
      </c>
      <c r="BX205" s="594">
        <v>0.07406157397078858</v>
      </c>
      <c r="BY205" s="594">
        <v>0.07406157397078858</v>
      </c>
      <c r="BZ205" s="594">
        <v>0.07406157397078858</v>
      </c>
      <c r="CA205" s="594">
        <v>0.07406157397078858</v>
      </c>
      <c r="CB205" s="594">
        <v>0.07406157397078858</v>
      </c>
    </row>
    <row r="206">
      <c r="D206" s="213"/>
      <c r="G206" s="214"/>
      <c r="H206" s="214"/>
      <c r="I206" s="214"/>
      <c r="J206" s="214"/>
      <c r="K206" s="214"/>
      <c r="L206" s="214"/>
      <c r="M206" s="214"/>
      <c r="N206" s="214"/>
      <c r="O206" s="214"/>
      <c r="P206" s="214"/>
      <c r="Q206" s="214"/>
      <c r="R206" s="214"/>
      <c r="S206" s="214"/>
      <c r="T206" s="214"/>
      <c r="U206" s="214"/>
      <c r="V206" s="214"/>
      <c r="W206" s="214"/>
      <c r="Y206" s="1056">
        <f t="shared" si="15"/>
        <v>6000000</v>
      </c>
      <c r="Z206" s="1063">
        <v>0.06413920450296325</v>
      </c>
      <c r="AA206" s="1064">
        <v>0.07416095520655125</v>
      </c>
      <c r="AB206" s="1064">
        <v>0.08418270591013927</v>
      </c>
      <c r="AC206" s="1064">
        <v>0.09420445661372728</v>
      </c>
      <c r="AD206" s="1064">
        <v>0.10422620731731529</v>
      </c>
      <c r="AE206" s="1064">
        <v>0.1142479580209033</v>
      </c>
      <c r="AF206" s="1064">
        <v>0.12426970872449129</v>
      </c>
      <c r="AG206" s="577"/>
      <c r="AJ206" s="1056">
        <f t="shared" si="14"/>
        <v>6500000</v>
      </c>
      <c r="AK206" s="820">
        <v>0.047191564330245336</v>
      </c>
      <c r="AL206" s="762">
        <v>0.0498599177599333</v>
      </c>
      <c r="AM206" s="804">
        <v>0.052476373944654146</v>
      </c>
      <c r="AN206" s="1192">
        <v>0.05505109381868562</v>
      </c>
      <c r="AO206" s="1193">
        <v>0.05759423831630553</v>
      </c>
      <c r="AP206" s="931">
        <v>0.05860493105923648</v>
      </c>
      <c r="AQ206" s="932">
        <v>0.05961284779121979</v>
      </c>
      <c r="AR206" s="763">
        <v>0.060618638812049236</v>
      </c>
      <c r="AS206" s="1194">
        <v>0.06162295442151862</v>
      </c>
      <c r="AT206" s="822">
        <v>0.0626264449194217</v>
      </c>
      <c r="AU206" s="610"/>
      <c r="AV206" s="610"/>
      <c r="BN206" s="1056">
        <f t="shared" si="16"/>
        <v>5000000</v>
      </c>
      <c r="BO206" s="577">
        <v>0.0702609782534198</v>
      </c>
      <c r="BP206" s="577">
        <v>0.0702609782534198</v>
      </c>
      <c r="BQ206" s="577">
        <v>0.0702609782534198</v>
      </c>
      <c r="BR206" s="577">
        <v>0.0702609782534198</v>
      </c>
      <c r="BS206" s="577">
        <v>0.0702609782534198</v>
      </c>
      <c r="BT206" s="577">
        <v>0.0702609782534198</v>
      </c>
      <c r="BU206" s="577">
        <v>0.0702609782534198</v>
      </c>
      <c r="BV206" s="577">
        <v>0.0702609782534198</v>
      </c>
      <c r="BW206" s="577">
        <v>0.0702609782534198</v>
      </c>
      <c r="BX206" s="577">
        <v>0.0702609782534198</v>
      </c>
      <c r="BY206" s="577">
        <v>0.0702609782534198</v>
      </c>
      <c r="BZ206" s="577">
        <v>0.0702609782534198</v>
      </c>
      <c r="CA206" s="577">
        <v>0.0702609782534198</v>
      </c>
      <c r="CB206" s="577">
        <v>0.0702609782534198</v>
      </c>
    </row>
    <row r="207">
      <c r="D207" s="173"/>
      <c r="E207" s="216"/>
      <c r="F207" s="214"/>
      <c r="G207" s="214"/>
      <c r="H207" s="214"/>
      <c r="I207" s="214"/>
      <c r="J207" s="214"/>
      <c r="K207" s="214"/>
      <c r="L207" s="214"/>
      <c r="M207" s="214"/>
      <c r="N207" s="214"/>
      <c r="O207" s="214"/>
      <c r="P207" s="214"/>
      <c r="Q207" s="214"/>
      <c r="R207" s="214"/>
      <c r="S207" s="214"/>
      <c r="T207" s="214"/>
      <c r="U207" s="214"/>
      <c r="V207" s="214"/>
      <c r="W207" s="214"/>
      <c r="Y207" s="1056">
        <f t="shared" si="15"/>
        <v>6500000</v>
      </c>
      <c r="Z207" s="1063">
        <v>0.06162295442151862</v>
      </c>
      <c r="AA207" s="1064">
        <v>0.0712515410498809</v>
      </c>
      <c r="AB207" s="1064">
        <v>0.0808801276782432</v>
      </c>
      <c r="AC207" s="1064">
        <v>0.09050871430660544</v>
      </c>
      <c r="AD207" s="1064">
        <v>0.10013730093496775</v>
      </c>
      <c r="AE207" s="1064">
        <v>0.10976588756333004</v>
      </c>
      <c r="AF207" s="1064">
        <v>0.11939447419169234</v>
      </c>
      <c r="AG207" s="577"/>
      <c r="AJ207" s="1056">
        <f t="shared" si="14"/>
        <v>7000000</v>
      </c>
      <c r="AK207" s="944">
        <v>0.04547492925555159</v>
      </c>
      <c r="AL207" s="880">
        <v>0.048046218958828046</v>
      </c>
      <c r="AM207" s="762">
        <v>0.05056749922552548</v>
      </c>
      <c r="AN207" s="887">
        <v>0.053048561376910955</v>
      </c>
      <c r="AO207" s="1195">
        <v>0.05549919673425152</v>
      </c>
      <c r="AP207" s="844">
        <v>0.05647312463081898</v>
      </c>
      <c r="AQ207" s="902">
        <v>0.05744437749630307</v>
      </c>
      <c r="AR207" s="931">
        <v>0.058413581975264875</v>
      </c>
      <c r="AS207" s="1196">
        <v>0.05938136471226553</v>
      </c>
      <c r="AT207" s="763">
        <v>0.060348352351866065</v>
      </c>
      <c r="AU207" s="610"/>
      <c r="AV207" s="610"/>
      <c r="AW207" s="610"/>
      <c r="AX207" s="610"/>
      <c r="AY207" s="610"/>
      <c r="AZ207" s="610"/>
      <c r="BA207" s="610"/>
      <c r="BB207" s="610"/>
      <c r="BC207" s="610"/>
      <c r="BD207" s="610"/>
      <c r="BE207" s="610"/>
      <c r="BF207" s="610"/>
      <c r="BG207" s="610"/>
      <c r="BH207" s="610"/>
      <c r="BI207" s="610"/>
      <c r="BJ207" s="610"/>
      <c r="BK207" s="610"/>
      <c r="BL207" s="610"/>
      <c r="BN207" s="1056">
        <f t="shared" si="16"/>
        <v>5500000</v>
      </c>
      <c r="BO207" s="577">
        <v>0.06699121424843389</v>
      </c>
      <c r="BP207" s="577">
        <v>0.06699121424843389</v>
      </c>
      <c r="BQ207" s="577">
        <v>0.06699121424843389</v>
      </c>
      <c r="BR207" s="577">
        <v>0.06699121424843389</v>
      </c>
      <c r="BS207" s="577">
        <v>0.06699121424843389</v>
      </c>
      <c r="BT207" s="577">
        <v>0.06699121424843389</v>
      </c>
      <c r="BU207" s="577">
        <v>0.06699121424843389</v>
      </c>
      <c r="BV207" s="577">
        <v>0.06699121424843389</v>
      </c>
      <c r="BW207" s="577">
        <v>0.06699121424843389</v>
      </c>
      <c r="BX207" s="577">
        <v>0.06699121424843389</v>
      </c>
      <c r="BY207" s="577">
        <v>0.06699121424843389</v>
      </c>
      <c r="BZ207" s="577">
        <v>0.06699121424843389</v>
      </c>
      <c r="CA207" s="577">
        <v>0.06699121424843389</v>
      </c>
      <c r="CB207" s="577">
        <v>0.06699121424843389</v>
      </c>
    </row>
    <row r="208">
      <c r="D208" s="173"/>
      <c r="E208" s="216"/>
      <c r="F208" s="214"/>
      <c r="G208" s="174"/>
      <c r="H208" s="174"/>
      <c r="I208" s="174"/>
      <c r="J208" s="174"/>
      <c r="K208" s="174"/>
      <c r="L208" s="174"/>
      <c r="M208" s="174"/>
      <c r="N208" s="174"/>
      <c r="O208" s="174"/>
      <c r="P208" s="174"/>
      <c r="Q208" s="174"/>
      <c r="R208" s="174"/>
      <c r="S208" s="174"/>
      <c r="T208" s="174"/>
      <c r="U208" s="174"/>
      <c r="V208" s="174"/>
      <c r="W208" s="174"/>
      <c r="Y208" s="1056">
        <f t="shared" si="15"/>
        <v>7000000</v>
      </c>
      <c r="Z208" s="1063">
        <v>0.059381364712265516</v>
      </c>
      <c r="AA208" s="1064">
        <v>0.068659702948557</v>
      </c>
      <c r="AB208" s="1064">
        <v>0.07793804118484848</v>
      </c>
      <c r="AC208" s="1064">
        <v>0.08721637942113998</v>
      </c>
      <c r="AD208" s="1064">
        <v>0.09649471765743146</v>
      </c>
      <c r="AE208" s="1064">
        <v>0.10577305589372293</v>
      </c>
      <c r="AF208" s="1064">
        <v>0.1150513941300144</v>
      </c>
      <c r="AG208" s="577"/>
      <c r="AJ208" s="1056">
        <f t="shared" si="14"/>
        <v>7500000</v>
      </c>
      <c r="AK208" s="803">
        <v>0.04393295548990065</v>
      </c>
      <c r="AL208" s="956">
        <v>0.04641705734415244</v>
      </c>
      <c r="AM208" s="843">
        <v>0.04885284549264882</v>
      </c>
      <c r="AN208" s="804">
        <v>0.05124977925041137</v>
      </c>
      <c r="AO208" s="1199">
        <v>0.053617317932461654</v>
      </c>
      <c r="AP208" s="914">
        <v>0.054558221670647195</v>
      </c>
      <c r="AQ208" s="844">
        <v>0.055496541083283606</v>
      </c>
      <c r="AR208" s="844">
        <v>0.05643288156653228</v>
      </c>
      <c r="AS208" s="1193">
        <v>0.057367848516554576</v>
      </c>
      <c r="AT208" s="1200">
        <v>0.05830204732951189</v>
      </c>
      <c r="AU208" s="610"/>
      <c r="AV208" s="610"/>
      <c r="AW208" s="610"/>
      <c r="AX208" s="610"/>
      <c r="AY208" s="610"/>
      <c r="AZ208" s="610"/>
      <c r="BA208" s="610"/>
      <c r="BB208" s="610"/>
      <c r="BC208" s="610"/>
      <c r="BD208" s="610"/>
      <c r="BE208" s="610"/>
      <c r="BF208" s="610"/>
      <c r="BG208" s="610"/>
      <c r="BH208" s="610"/>
      <c r="BI208" s="610"/>
      <c r="BJ208" s="610"/>
      <c r="BK208" s="610"/>
      <c r="BL208" s="610"/>
      <c r="BN208" s="1056">
        <f t="shared" si="16"/>
        <v>6000000</v>
      </c>
      <c r="BO208" s="577">
        <v>0.06413920450296325</v>
      </c>
      <c r="BP208" s="577">
        <v>0.06413920450296325</v>
      </c>
      <c r="BQ208" s="577">
        <v>0.06413920450296325</v>
      </c>
      <c r="BR208" s="577">
        <v>0.06413920450296325</v>
      </c>
      <c r="BS208" s="577">
        <v>0.06413920450296325</v>
      </c>
      <c r="BT208" s="577">
        <v>0.06413920450296325</v>
      </c>
      <c r="BU208" s="577">
        <v>0.06413920450296325</v>
      </c>
      <c r="BV208" s="577">
        <v>0.06413920450296325</v>
      </c>
      <c r="BW208" s="577">
        <v>0.06413920450296325</v>
      </c>
      <c r="BX208" s="577">
        <v>0.06413920450296325</v>
      </c>
      <c r="BY208" s="577">
        <v>0.06413920450296325</v>
      </c>
      <c r="BZ208" s="577">
        <v>0.06413920450296325</v>
      </c>
      <c r="CA208" s="577">
        <v>0.06413920450296325</v>
      </c>
      <c r="CB208" s="577">
        <v>0.06413920450296325</v>
      </c>
    </row>
    <row r="209">
      <c r="D209" s="218"/>
      <c r="E209" s="219"/>
      <c r="F209" s="174"/>
      <c r="G209" s="220"/>
      <c r="H209" s="220"/>
      <c r="I209" s="220"/>
      <c r="J209" s="220"/>
      <c r="K209" s="220"/>
      <c r="L209" s="220"/>
      <c r="M209" s="220"/>
      <c r="N209" s="220"/>
      <c r="O209" s="220"/>
      <c r="P209" s="220"/>
      <c r="Q209" s="220"/>
      <c r="R209" s="220"/>
      <c r="S209" s="220"/>
      <c r="T209" s="220"/>
      <c r="U209" s="220"/>
      <c r="V209" s="220"/>
      <c r="W209" s="220"/>
      <c r="Y209" s="1056">
        <f t="shared" si="15"/>
        <v>7500000</v>
      </c>
      <c r="Z209" s="1063">
        <v>0.05736784851655456</v>
      </c>
      <c r="AA209" s="1064">
        <v>0.06633157484726622</v>
      </c>
      <c r="AB209" s="1064">
        <v>0.07529530117797789</v>
      </c>
      <c r="AC209" s="1064">
        <v>0.08425902750868954</v>
      </c>
      <c r="AD209" s="1064">
        <v>0.09322275383940118</v>
      </c>
      <c r="AE209" s="1064">
        <v>0.10218648017011284</v>
      </c>
      <c r="AF209" s="1064">
        <v>0.11115020650082447</v>
      </c>
      <c r="AG209" s="577"/>
      <c r="AJ209" s="1056">
        <f t="shared" si="14"/>
        <v>8000000</v>
      </c>
      <c r="AK209" s="967">
        <v>0.04253790124051424</v>
      </c>
      <c r="AL209" s="861">
        <v>0.04494312251846428</v>
      </c>
      <c r="AM209" s="880">
        <v>0.04730156425196825</v>
      </c>
      <c r="AN209" s="762">
        <v>0.04962238538341242</v>
      </c>
      <c r="AO209" s="1205">
        <v>0.051914744855183104</v>
      </c>
      <c r="AP209" s="887">
        <v>0.05282577098227731</v>
      </c>
      <c r="AQ209" s="887">
        <v>0.05373429484691828</v>
      </c>
      <c r="AR209" s="914">
        <v>0.05464090262141877</v>
      </c>
      <c r="AS209" s="1195">
        <v>0.05554618047809143</v>
      </c>
      <c r="AT209" s="844">
        <v>0.056450714589249044</v>
      </c>
      <c r="AU209" s="610"/>
      <c r="AV209" s="610"/>
      <c r="AW209" s="610"/>
      <c r="AX209" s="610"/>
      <c r="AY209" s="610"/>
      <c r="AZ209" s="610"/>
      <c r="BA209" s="610"/>
      <c r="BB209" s="610"/>
      <c r="BC209" s="610"/>
      <c r="BD209" s="610"/>
      <c r="BE209" s="610"/>
      <c r="BF209" s="610"/>
      <c r="BG209" s="610"/>
      <c r="BH209" s="610"/>
      <c r="BI209" s="610"/>
      <c r="BJ209" s="610"/>
      <c r="BK209" s="610"/>
      <c r="BL209" s="610"/>
      <c r="BN209" s="1056">
        <f t="shared" si="16"/>
        <v>6500000</v>
      </c>
      <c r="BO209" s="577">
        <v>0.06162295442151862</v>
      </c>
      <c r="BP209" s="577">
        <v>0.06162295442151862</v>
      </c>
      <c r="BQ209" s="577">
        <v>0.06162295442151862</v>
      </c>
      <c r="BR209" s="577">
        <v>0.06162295442151862</v>
      </c>
      <c r="BS209" s="577">
        <v>0.061622954421518626</v>
      </c>
      <c r="BT209" s="577">
        <v>0.061622954421518626</v>
      </c>
      <c r="BU209" s="577">
        <v>0.06162295442151862</v>
      </c>
      <c r="BV209" s="577">
        <v>0.061622954421518626</v>
      </c>
      <c r="BW209" s="577">
        <v>0.06162295442151862</v>
      </c>
      <c r="BX209" s="577">
        <v>0.06162295442151862</v>
      </c>
      <c r="BY209" s="577">
        <v>0.06162295442151862</v>
      </c>
      <c r="BZ209" s="577">
        <v>0.061622954421518626</v>
      </c>
      <c r="CA209" s="577">
        <v>0.06162295442151862</v>
      </c>
      <c r="CB209" s="577">
        <v>0.06162295442151862</v>
      </c>
    </row>
    <row r="210">
      <c r="E210" s="174"/>
      <c r="F210" s="220"/>
      <c r="G210" s="175"/>
      <c r="H210" s="175"/>
      <c r="I210" s="175"/>
      <c r="J210" s="175"/>
      <c r="K210" s="175"/>
      <c r="L210" s="175"/>
      <c r="M210" s="175"/>
      <c r="N210" s="175"/>
      <c r="O210" s="175"/>
      <c r="P210" s="175"/>
      <c r="Q210" s="175"/>
      <c r="R210" s="175"/>
      <c r="S210" s="175"/>
      <c r="T210" s="175"/>
      <c r="U210" s="175"/>
      <c r="V210" s="175"/>
      <c r="W210" s="175"/>
      <c r="Y210" s="1056">
        <f t="shared" si="15"/>
        <v>8000000</v>
      </c>
      <c r="Z210" s="1063">
        <v>0.05554618047809143</v>
      </c>
      <c r="AA210" s="1064">
        <v>0.06422527117779324</v>
      </c>
      <c r="AB210" s="1064">
        <v>0.072904361877495</v>
      </c>
      <c r="AC210" s="1064">
        <v>0.08158345257719678</v>
      </c>
      <c r="AD210" s="1064">
        <v>0.09026254327689856</v>
      </c>
      <c r="AE210" s="1064">
        <v>0.0989416339766004</v>
      </c>
      <c r="AF210" s="1064">
        <v>0.10762072467630214</v>
      </c>
      <c r="AG210" s="577"/>
      <c r="AJ210" s="1056">
        <f t="shared" si="14"/>
        <v>8500000</v>
      </c>
      <c r="AK210" s="980">
        <v>0.041267825860407704</v>
      </c>
      <c r="AL210" s="981">
        <v>0.04360123324440091</v>
      </c>
      <c r="AM210" s="982">
        <v>0.04588925780418953</v>
      </c>
      <c r="AN210" s="1005">
        <v>0.0481407850190389</v>
      </c>
      <c r="AO210" s="1208">
        <v>0.05036470036821433</v>
      </c>
      <c r="AP210" s="985">
        <v>0.05124852553285123</v>
      </c>
      <c r="AQ210" s="985">
        <v>0.05212992314633573</v>
      </c>
      <c r="AR210" s="986">
        <v>0.05300946187934081</v>
      </c>
      <c r="AS210" s="1209">
        <v>0.05388771040253945</v>
      </c>
      <c r="AT210" s="1210">
        <v>0.054765237386604645</v>
      </c>
      <c r="AU210" s="610"/>
      <c r="AV210" s="610"/>
      <c r="AW210" s="610"/>
      <c r="AX210" s="610"/>
      <c r="AY210" s="610"/>
      <c r="AZ210" s="610"/>
      <c r="BA210" s="610"/>
      <c r="BB210" s="610"/>
      <c r="BC210" s="610"/>
      <c r="BD210" s="610"/>
      <c r="BE210" s="610"/>
      <c r="BF210" s="610"/>
      <c r="BG210" s="610"/>
      <c r="BH210" s="610"/>
      <c r="BI210" s="610"/>
      <c r="BJ210" s="610"/>
      <c r="BK210" s="610"/>
      <c r="BL210" s="610"/>
      <c r="BN210" s="1056">
        <f t="shared" si="16"/>
        <v>7000000</v>
      </c>
      <c r="BO210" s="577">
        <v>0.059381364712265516</v>
      </c>
      <c r="BP210" s="577">
        <v>0.059381364712265516</v>
      </c>
      <c r="BQ210" s="577">
        <v>0.05938136471226552</v>
      </c>
      <c r="BR210" s="577">
        <v>0.059381364712265516</v>
      </c>
      <c r="BS210" s="577">
        <v>0.05938136471226553</v>
      </c>
      <c r="BT210" s="577">
        <v>0.05938136471226553</v>
      </c>
      <c r="BU210" s="577">
        <v>0.05938136471226552</v>
      </c>
      <c r="BV210" s="577">
        <v>0.05938136471226553</v>
      </c>
      <c r="BW210" s="577">
        <v>0.05938136471226552</v>
      </c>
      <c r="BX210" s="577">
        <v>0.05938136471226552</v>
      </c>
      <c r="BY210" s="577">
        <v>0.05938136471226552</v>
      </c>
      <c r="BZ210" s="577">
        <v>0.05938136471226553</v>
      </c>
      <c r="CA210" s="577">
        <v>0.05938136471226552</v>
      </c>
      <c r="CB210" s="577">
        <v>0.05938136471226552</v>
      </c>
    </row>
    <row r="211">
      <c r="E211" s="174"/>
      <c r="F211" s="175"/>
      <c r="G211" s="220"/>
      <c r="H211" s="220"/>
      <c r="I211" s="220"/>
      <c r="J211" s="220"/>
      <c r="K211" s="220"/>
      <c r="L211" s="220"/>
      <c r="M211" s="220"/>
      <c r="N211" s="220"/>
      <c r="O211" s="220"/>
      <c r="P211" s="220"/>
      <c r="Q211" s="220"/>
      <c r="R211" s="220"/>
      <c r="S211" s="220"/>
      <c r="T211" s="220"/>
      <c r="U211" s="220"/>
      <c r="V211" s="220"/>
      <c r="W211" s="220"/>
      <c r="Y211" s="1056">
        <f t="shared" si="15"/>
        <v>8500000</v>
      </c>
      <c r="Z211" s="1063">
        <v>0.05388771040253945</v>
      </c>
      <c r="AA211" s="1064">
        <v>0.06230766515293625</v>
      </c>
      <c r="AB211" s="1064">
        <v>0.07072761990333302</v>
      </c>
      <c r="AC211" s="1064">
        <v>0.0791475746537298</v>
      </c>
      <c r="AD211" s="1064">
        <v>0.0875675294041266</v>
      </c>
      <c r="AE211" s="1064">
        <v>0.0959874841545234</v>
      </c>
      <c r="AF211" s="1064">
        <v>0.10440743890492019</v>
      </c>
      <c r="AG211" s="577"/>
      <c r="AI211" s="1222"/>
      <c r="AJ211" s="1056">
        <f t="shared" si="14"/>
        <v>9000000</v>
      </c>
      <c r="AK211" s="994">
        <v>0.0401051178994817</v>
      </c>
      <c r="AL211" s="967">
        <v>0.04237278226733856</v>
      </c>
      <c r="AM211" s="861">
        <v>0.044596342457730566</v>
      </c>
      <c r="AN211" s="820">
        <v>0.04678443360435084</v>
      </c>
      <c r="AO211" s="737">
        <v>0.04894569084089253</v>
      </c>
      <c r="AP211" s="762">
        <v>0.049804614510634435</v>
      </c>
      <c r="AQ211" s="785">
        <v>0.05066117902471102</v>
      </c>
      <c r="AR211" s="804">
        <v>0.05151593703167867</v>
      </c>
      <c r="AS211" s="1205">
        <v>0.052369441180093707</v>
      </c>
      <c r="AT211" s="887">
        <v>0.053222244118512486</v>
      </c>
      <c r="AU211" s="610"/>
      <c r="AV211" s="610"/>
      <c r="AW211" s="610"/>
      <c r="AX211" s="610"/>
      <c r="AY211" s="610"/>
      <c r="AZ211" s="610"/>
      <c r="BA211" s="610"/>
      <c r="BB211" s="610"/>
      <c r="BC211" s="610"/>
      <c r="BD211" s="610"/>
      <c r="BE211" s="610"/>
      <c r="BF211" s="610"/>
      <c r="BG211" s="610"/>
      <c r="BH211" s="610"/>
      <c r="BI211" s="610"/>
      <c r="BJ211" s="610"/>
      <c r="BK211" s="610"/>
      <c r="BL211" s="610"/>
      <c r="BN211" s="1056">
        <f t="shared" si="16"/>
        <v>7500000</v>
      </c>
      <c r="BO211" s="577">
        <v>0.05736784851655456</v>
      </c>
      <c r="BP211" s="577">
        <v>0.05736784851655456</v>
      </c>
      <c r="BQ211" s="577">
        <v>0.05736784851655457</v>
      </c>
      <c r="BR211" s="577">
        <v>0.05736784851655456</v>
      </c>
      <c r="BS211" s="577">
        <v>0.05736784851655456</v>
      </c>
      <c r="BT211" s="577">
        <v>0.05736784851655456</v>
      </c>
      <c r="BU211" s="577">
        <v>0.057367848516554555</v>
      </c>
      <c r="BV211" s="577">
        <v>0.05736784851655456</v>
      </c>
      <c r="BW211" s="577">
        <v>0.05736784851655456</v>
      </c>
      <c r="BX211" s="577">
        <v>0.057367848516554555</v>
      </c>
      <c r="BY211" s="577">
        <v>0.05736784851655456</v>
      </c>
      <c r="BZ211" s="577">
        <v>0.05736784851655456</v>
      </c>
      <c r="CA211" s="577">
        <v>0.057367848516554555</v>
      </c>
      <c r="CB211" s="577">
        <v>0.05736784851655456</v>
      </c>
    </row>
    <row r="212">
      <c r="E212" s="174"/>
      <c r="F212" s="220"/>
      <c r="G212" s="220"/>
      <c r="H212" s="220"/>
      <c r="I212" s="220"/>
      <c r="J212" s="220"/>
      <c r="K212" s="220"/>
      <c r="L212" s="220"/>
      <c r="M212" s="220"/>
      <c r="N212" s="220"/>
      <c r="O212" s="220"/>
      <c r="P212" s="220"/>
      <c r="Q212" s="220"/>
      <c r="R212" s="220"/>
      <c r="S212" s="220"/>
      <c r="T212" s="220"/>
      <c r="U212" s="220"/>
      <c r="V212" s="220"/>
      <c r="W212" s="220"/>
      <c r="X212" s="1222"/>
      <c r="Y212" s="1056">
        <f t="shared" si="15"/>
        <v>9000000</v>
      </c>
      <c r="Z212" s="1063">
        <v>0.0523694411800937</v>
      </c>
      <c r="AA212" s="1064">
        <v>0.06055216636448333</v>
      </c>
      <c r="AB212" s="1064">
        <v>0.06873489154887298</v>
      </c>
      <c r="AC212" s="1064">
        <v>0.07691761673326263</v>
      </c>
      <c r="AD212" s="1064">
        <v>0.08510034191765226</v>
      </c>
      <c r="AE212" s="1064">
        <v>0.09328306710204191</v>
      </c>
      <c r="AF212" s="1064">
        <v>0.10146579228643154</v>
      </c>
      <c r="AG212" s="610"/>
      <c r="AI212" s="1222"/>
      <c r="AJ212" s="1056">
        <f t="shared" si="14"/>
        <v>9500000</v>
      </c>
      <c r="AK212" s="1002">
        <v>0.03903545532162421</v>
      </c>
      <c r="AL212" s="980">
        <v>0.04124263774003221</v>
      </c>
      <c r="AM212" s="981">
        <v>0.0434068923043633</v>
      </c>
      <c r="AN212" s="982">
        <v>0.04553662383657359</v>
      </c>
      <c r="AO212" s="1215">
        <v>0.047640237158619196</v>
      </c>
      <c r="AP212" s="1005">
        <v>0.048476252068709494</v>
      </c>
      <c r="AQ212" s="1006">
        <v>0.049309970745291615</v>
      </c>
      <c r="AR212" s="1007">
        <v>0.050141931096970745</v>
      </c>
      <c r="AS212" s="1216">
        <v>0.05097267103235207</v>
      </c>
      <c r="AT212" s="985">
        <v>0.0518027284600408</v>
      </c>
      <c r="AU212" s="610"/>
      <c r="AV212" s="610"/>
      <c r="AW212" s="610"/>
      <c r="AX212" s="610"/>
      <c r="AY212" s="610"/>
      <c r="AZ212" s="610"/>
      <c r="BA212" s="610"/>
      <c r="BB212" s="610"/>
      <c r="BC212" s="610"/>
      <c r="BD212" s="610"/>
      <c r="BE212" s="610"/>
      <c r="BF212" s="610"/>
      <c r="BG212" s="610"/>
      <c r="BH212" s="610"/>
      <c r="BI212" s="610"/>
      <c r="BJ212" s="610"/>
      <c r="BK212" s="610"/>
      <c r="BL212" s="610"/>
      <c r="BN212" s="1056">
        <f t="shared" si="16"/>
        <v>8000000</v>
      </c>
      <c r="BO212" s="577">
        <v>0.05554618047809143</v>
      </c>
      <c r="BP212" s="577">
        <v>0.05554618047809143</v>
      </c>
      <c r="BQ212" s="577">
        <v>0.055546180478091435</v>
      </c>
      <c r="BR212" s="577">
        <v>0.05554618047809143</v>
      </c>
      <c r="BS212" s="577">
        <v>0.05554618047809144</v>
      </c>
      <c r="BT212" s="577">
        <v>0.05554618047809144</v>
      </c>
      <c r="BU212" s="577">
        <v>0.055546180478091435</v>
      </c>
      <c r="BV212" s="577">
        <v>0.05554618047809144</v>
      </c>
      <c r="BW212" s="577">
        <v>0.05554618047809144</v>
      </c>
      <c r="BX212" s="577">
        <v>0.055546180478091435</v>
      </c>
      <c r="BY212" s="577">
        <v>0.055546180478091435</v>
      </c>
      <c r="BZ212" s="577">
        <v>0.05554618047809144</v>
      </c>
      <c r="CA212" s="577">
        <v>0.055546180478091435</v>
      </c>
      <c r="CB212" s="577">
        <v>0.05554618047809144</v>
      </c>
    </row>
    <row r="213">
      <c r="E213" s="174"/>
      <c r="F213" s="220"/>
      <c r="G213" s="220"/>
      <c r="H213" s="220"/>
      <c r="I213" s="220"/>
      <c r="J213" s="220"/>
      <c r="K213" s="220"/>
      <c r="L213" s="220"/>
      <c r="M213" s="220"/>
      <c r="N213" s="220"/>
      <c r="O213" s="220"/>
      <c r="P213" s="220"/>
      <c r="Q213" s="220"/>
      <c r="R213" s="220"/>
      <c r="S213" s="220"/>
      <c r="T213" s="220"/>
      <c r="U213" s="220"/>
      <c r="V213" s="220"/>
      <c r="W213" s="220"/>
      <c r="X213" s="1222"/>
      <c r="Y213" s="1056">
        <f t="shared" si="15"/>
        <v>9500000</v>
      </c>
      <c r="Z213" s="1063">
        <v>0.05097267103235207</v>
      </c>
      <c r="AA213" s="1064">
        <v>0.05893715088115708</v>
      </c>
      <c r="AB213" s="1064">
        <v>0.0669016307299621</v>
      </c>
      <c r="AC213" s="1064">
        <v>0.07486611057876709</v>
      </c>
      <c r="AD213" s="1064">
        <v>0.08283059042757213</v>
      </c>
      <c r="AE213" s="1064">
        <v>0.0907950702763771</v>
      </c>
      <c r="AF213" s="1064">
        <v>0.09875955012518213</v>
      </c>
      <c r="AG213" s="610"/>
      <c r="AI213" s="1222"/>
      <c r="AJ213" s="1056">
        <f t="shared" si="14"/>
        <v>10000000</v>
      </c>
      <c r="AK213" s="819">
        <v>0.03804705551758499</v>
      </c>
      <c r="AL213" s="994">
        <v>0.04019835082895508</v>
      </c>
      <c r="AM213" s="967">
        <v>0.04230780524379</v>
      </c>
      <c r="AN213" s="861">
        <v>0.04438361076920085</v>
      </c>
      <c r="AO213" s="1219">
        <v>0.046433959412298755</v>
      </c>
      <c r="AP213" s="880">
        <v>0.04724880595208316</v>
      </c>
      <c r="AQ213" s="880">
        <v>0.048061414400290374</v>
      </c>
      <c r="AR213" s="843">
        <v>0.04887230904537552</v>
      </c>
      <c r="AS213" s="1220">
        <v>0.04968201417579368</v>
      </c>
      <c r="AT213" s="762">
        <v>0.05049105408000001</v>
      </c>
      <c r="AU213" s="610"/>
      <c r="AV213" s="610"/>
      <c r="AW213" s="610"/>
      <c r="AX213" s="610"/>
      <c r="AY213" s="610"/>
      <c r="AZ213" s="610"/>
      <c r="BA213" s="610"/>
      <c r="BB213" s="610"/>
      <c r="BC213" s="610"/>
      <c r="BD213" s="610"/>
      <c r="BE213" s="610"/>
      <c r="BF213" s="610"/>
      <c r="BG213" s="610"/>
      <c r="BH213" s="610"/>
      <c r="BI213" s="610"/>
      <c r="BJ213" s="610"/>
      <c r="BK213" s="610"/>
      <c r="BL213" s="610"/>
      <c r="BN213" s="1056">
        <f t="shared" si="16"/>
        <v>8500000</v>
      </c>
      <c r="BO213" s="594">
        <v>0.05388771040253945</v>
      </c>
      <c r="BP213" s="594">
        <v>0.05388771040253945</v>
      </c>
      <c r="BQ213" s="594">
        <v>0.05388771040253945</v>
      </c>
      <c r="BR213" s="594">
        <v>0.05388771040253945</v>
      </c>
      <c r="BS213" s="594">
        <v>0.05388771040253945</v>
      </c>
      <c r="BT213" s="594">
        <v>0.05388771040253945</v>
      </c>
      <c r="BU213" s="594">
        <v>0.05388771040253945</v>
      </c>
      <c r="BV213" s="594">
        <v>0.05388771040253945</v>
      </c>
      <c r="BW213" s="594">
        <v>0.05388771040253945</v>
      </c>
      <c r="BX213" s="594">
        <v>0.05388771040253945</v>
      </c>
      <c r="BY213" s="594">
        <v>0.05388771040253946</v>
      </c>
      <c r="BZ213" s="594">
        <v>0.05388771040253945</v>
      </c>
      <c r="CA213" s="594">
        <v>0.05388771040253945</v>
      </c>
      <c r="CB213" s="594">
        <v>0.05388771040253945</v>
      </c>
    </row>
    <row r="214">
      <c r="E214" s="174"/>
      <c r="F214" s="220"/>
      <c r="G214" s="220"/>
      <c r="H214" s="220"/>
      <c r="I214" s="220"/>
      <c r="J214" s="220"/>
      <c r="K214" s="220"/>
      <c r="L214" s="220"/>
      <c r="M214" s="220"/>
      <c r="N214" s="220"/>
      <c r="O214" s="220"/>
      <c r="P214" s="220"/>
      <c r="Q214" s="220"/>
      <c r="R214" s="220"/>
      <c r="S214" s="220"/>
      <c r="T214" s="220"/>
      <c r="U214" s="220"/>
      <c r="V214" s="220"/>
      <c r="W214" s="220"/>
      <c r="X214" s="1222"/>
      <c r="Y214" s="1056">
        <f t="shared" si="15"/>
        <v>10000000</v>
      </c>
      <c r="Z214" s="1091">
        <v>0.04968201417579368</v>
      </c>
      <c r="AA214" s="1064">
        <v>0.05744482889076145</v>
      </c>
      <c r="AB214" s="1064">
        <v>0.0652076436057292</v>
      </c>
      <c r="AC214" s="1064">
        <v>0.07297045832069697</v>
      </c>
      <c r="AD214" s="1064">
        <v>0.08073327303566474</v>
      </c>
      <c r="AE214" s="1064">
        <v>0.08849608775063252</v>
      </c>
      <c r="AF214" s="1064">
        <v>0.09625890246560027</v>
      </c>
      <c r="AG214" s="610"/>
      <c r="AI214" s="610"/>
      <c r="AJ214" s="610"/>
      <c r="AK214" s="610"/>
      <c r="AL214" s="610"/>
      <c r="AM214" s="610"/>
      <c r="AN214" s="610"/>
      <c r="AO214" s="610"/>
      <c r="AP214" s="610"/>
      <c r="AQ214" s="610"/>
      <c r="AR214" s="610"/>
      <c r="AS214" s="610"/>
      <c r="AT214" s="610"/>
      <c r="AU214" s="610"/>
      <c r="AV214" s="610"/>
      <c r="AW214" s="610"/>
      <c r="AX214" s="610"/>
      <c r="AY214" s="610"/>
      <c r="AZ214" s="610"/>
      <c r="BA214" s="610"/>
      <c r="BB214" s="610"/>
      <c r="BC214" s="610"/>
      <c r="BD214" s="610"/>
      <c r="BE214" s="610"/>
      <c r="BF214" s="610"/>
      <c r="BG214" s="610"/>
      <c r="BH214" s="610"/>
      <c r="BI214" s="610"/>
      <c r="BJ214" s="610"/>
      <c r="BK214" s="610"/>
      <c r="BL214" s="610"/>
      <c r="BM214" s="1227"/>
      <c r="BN214" s="1056">
        <f t="shared" si="16"/>
        <v>9000000</v>
      </c>
      <c r="BO214" s="577">
        <v>0.0523694411800937</v>
      </c>
      <c r="BP214" s="577">
        <v>0.0523694411800937</v>
      </c>
      <c r="BQ214" s="577">
        <v>0.052369441180093707</v>
      </c>
      <c r="BR214" s="577">
        <v>0.0523694411800937</v>
      </c>
      <c r="BS214" s="577">
        <v>0.0523694411800937</v>
      </c>
      <c r="BT214" s="577">
        <v>0.0523694411800937</v>
      </c>
      <c r="BU214" s="577">
        <v>0.0523694411800937</v>
      </c>
      <c r="BV214" s="577">
        <v>0.0523694411800937</v>
      </c>
      <c r="BW214" s="577">
        <v>0.0523694411800937</v>
      </c>
      <c r="BX214" s="577">
        <v>0.0523694411800937</v>
      </c>
      <c r="BY214" s="577">
        <v>0.0523694411800937</v>
      </c>
      <c r="BZ214" s="577">
        <v>0.0523694411800937</v>
      </c>
      <c r="CA214" s="577">
        <v>0.05236944118009369</v>
      </c>
      <c r="CB214" s="577">
        <v>0.0523694411800937</v>
      </c>
    </row>
    <row r="215">
      <c r="E215" s="174"/>
      <c r="F215" s="220"/>
      <c r="G215" s="220"/>
      <c r="H215" s="220"/>
      <c r="I215" s="220"/>
      <c r="J215" s="220"/>
      <c r="K215" s="220"/>
      <c r="L215" s="220"/>
      <c r="M215" s="220"/>
      <c r="N215" s="220"/>
      <c r="O215" s="220"/>
      <c r="P215" s="220"/>
      <c r="Q215" s="220"/>
      <c r="R215" s="220"/>
      <c r="S215" s="220"/>
      <c r="T215" s="220"/>
      <c r="U215" s="220"/>
      <c r="V215" s="220"/>
      <c r="W215" s="220"/>
      <c r="BM215" s="1227"/>
      <c r="BN215" s="1056">
        <f t="shared" si="16"/>
        <v>9500000</v>
      </c>
      <c r="BO215" s="594">
        <v>0.05097267103235207</v>
      </c>
      <c r="BP215" s="594">
        <v>0.05097267103235207</v>
      </c>
      <c r="BQ215" s="594">
        <v>0.05097267103235207</v>
      </c>
      <c r="BR215" s="594">
        <v>0.05097267103235207</v>
      </c>
      <c r="BS215" s="594">
        <v>0.05097267103235207</v>
      </c>
      <c r="BT215" s="594">
        <v>0.05097267103235207</v>
      </c>
      <c r="BU215" s="594">
        <v>0.05097267103235207</v>
      </c>
      <c r="BV215" s="594">
        <v>0.05097267103235207</v>
      </c>
      <c r="BW215" s="594">
        <v>0.05097267103235207</v>
      </c>
      <c r="BX215" s="594">
        <v>0.05097267103235207</v>
      </c>
      <c r="BY215" s="594">
        <v>0.05097267103235207</v>
      </c>
      <c r="BZ215" s="594">
        <v>0.05097267103235207</v>
      </c>
      <c r="CA215" s="594">
        <v>0.050972671032352077</v>
      </c>
      <c r="CB215" s="594">
        <v>0.05097267103235207</v>
      </c>
    </row>
    <row r="216">
      <c r="E216" s="174"/>
      <c r="F216" s="220"/>
      <c r="G216" s="220"/>
      <c r="H216" s="220"/>
      <c r="I216" s="220"/>
      <c r="J216" s="220"/>
      <c r="K216" s="220"/>
      <c r="L216" s="220"/>
      <c r="M216" s="220"/>
      <c r="N216" s="220"/>
      <c r="O216" s="220"/>
      <c r="P216" s="220"/>
      <c r="Q216" s="220"/>
      <c r="R216" s="220"/>
      <c r="S216" s="220"/>
      <c r="T216" s="220"/>
      <c r="U216" s="220"/>
      <c r="V216" s="220"/>
      <c r="W216" s="220"/>
      <c r="BM216" s="1222"/>
      <c r="BN216" s="1056">
        <f t="shared" si="16"/>
        <v>10000000</v>
      </c>
      <c r="BO216" s="594">
        <v>0.04968201417579368</v>
      </c>
      <c r="BP216" s="594">
        <v>0.04968201417579368</v>
      </c>
      <c r="BQ216" s="594">
        <v>0.04968201417579369</v>
      </c>
      <c r="BR216" s="594">
        <v>0.04968201417579368</v>
      </c>
      <c r="BS216" s="594">
        <v>0.04968201417579368</v>
      </c>
      <c r="BT216" s="594">
        <v>0.04968201417579368</v>
      </c>
      <c r="BU216" s="594">
        <v>0.04968201417579368</v>
      </c>
      <c r="BV216" s="594">
        <v>0.04968201417579368</v>
      </c>
      <c r="BW216" s="594">
        <v>0.04968201417579368</v>
      </c>
      <c r="BX216" s="594">
        <v>0.04968201417579368</v>
      </c>
      <c r="BY216" s="594">
        <v>0.04968201417579368</v>
      </c>
      <c r="BZ216" s="594">
        <v>0.04968201417579368</v>
      </c>
      <c r="CA216" s="594">
        <v>0.04968201417579369</v>
      </c>
      <c r="CB216" s="594">
        <v>0.04968201417579368</v>
      </c>
    </row>
    <row r="217">
      <c r="E217" s="174"/>
      <c r="F217" s="220"/>
      <c r="G217" s="175"/>
      <c r="H217" s="175"/>
      <c r="I217" s="175"/>
      <c r="J217" s="175"/>
      <c r="K217" s="175"/>
      <c r="L217" s="175"/>
      <c r="M217" s="175"/>
      <c r="N217" s="175"/>
      <c r="O217" s="175"/>
      <c r="P217" s="175"/>
      <c r="Q217" s="175"/>
      <c r="R217" s="175"/>
      <c r="S217" s="175"/>
      <c r="T217" s="175"/>
      <c r="U217" s="175"/>
      <c r="V217" s="175"/>
      <c r="W217" s="175"/>
    </row>
    <row r="218">
      <c r="E218" s="174"/>
      <c r="F218" s="175"/>
      <c r="G218" s="220"/>
      <c r="H218" s="220"/>
      <c r="I218" s="220"/>
      <c r="J218" s="220"/>
      <c r="K218" s="220"/>
      <c r="L218" s="220"/>
      <c r="M218" s="220"/>
      <c r="N218" s="220"/>
      <c r="O218" s="220"/>
      <c r="P218" s="220"/>
      <c r="Q218" s="220"/>
      <c r="R218" s="220"/>
      <c r="S218" s="220"/>
      <c r="T218" s="220"/>
      <c r="U218" s="220"/>
      <c r="V218" s="220"/>
      <c r="W218" s="220"/>
    </row>
    <row r="219">
      <c r="E219" s="174"/>
      <c r="F219" s="220"/>
      <c r="G219" s="220"/>
      <c r="H219" s="220"/>
      <c r="I219" s="220"/>
      <c r="J219" s="220"/>
      <c r="K219" s="220"/>
      <c r="L219" s="220"/>
      <c r="M219" s="220"/>
      <c r="N219" s="220"/>
      <c r="O219" s="220"/>
      <c r="P219" s="220"/>
      <c r="Q219" s="220"/>
      <c r="R219" s="220"/>
      <c r="S219" s="220"/>
      <c r="T219" s="220"/>
      <c r="U219" s="220"/>
      <c r="V219" s="220"/>
      <c r="W219" s="220"/>
    </row>
    <row r="220">
      <c r="E220" s="174"/>
      <c r="F220" s="220"/>
      <c r="G220" s="220"/>
      <c r="H220" s="220"/>
      <c r="I220" s="220"/>
      <c r="J220" s="220"/>
      <c r="K220" s="220"/>
      <c r="L220" s="220"/>
      <c r="M220" s="220"/>
      <c r="N220" s="220"/>
      <c r="O220" s="220"/>
      <c r="P220" s="220"/>
      <c r="Q220" s="220"/>
      <c r="R220" s="220"/>
      <c r="S220" s="220"/>
      <c r="T220" s="220"/>
      <c r="U220" s="220"/>
      <c r="V220" s="220"/>
      <c r="W220" s="220"/>
      <c r="X220" s="1476" t="s">
        <v>217</v>
      </c>
      <c r="Y220" s="556"/>
      <c r="Z220" s="556"/>
      <c r="AA220" s="556"/>
      <c r="AB220" s="556"/>
      <c r="AC220" s="556"/>
      <c r="AD220" s="556"/>
      <c r="AE220" s="556"/>
      <c r="AF220" s="556"/>
      <c r="AG220" s="556"/>
      <c r="AH220" s="556"/>
      <c r="AI220" s="556"/>
      <c r="AJ220" s="556"/>
      <c r="AK220" s="556"/>
      <c r="AL220" s="556"/>
      <c r="AM220" s="556"/>
      <c r="AN220" s="556"/>
      <c r="AO220" s="556"/>
      <c r="AP220" s="556"/>
      <c r="AQ220" s="556"/>
      <c r="AR220" s="556"/>
      <c r="AS220" s="556"/>
      <c r="AT220" s="556"/>
      <c r="AU220" s="556"/>
      <c r="AV220" s="556"/>
      <c r="AW220" s="556"/>
      <c r="AX220" s="556"/>
      <c r="AY220" s="556"/>
      <c r="AZ220" s="556"/>
      <c r="BA220" s="556"/>
      <c r="BB220" s="556"/>
      <c r="BC220" s="556"/>
      <c r="BD220" s="556"/>
      <c r="BE220" s="556"/>
      <c r="BF220" s="556"/>
      <c r="BG220" s="556"/>
      <c r="BH220" s="556"/>
      <c r="BI220" s="556"/>
      <c r="BJ220" s="556"/>
      <c r="BK220" s="556"/>
      <c r="BL220" s="556"/>
      <c r="BM220" s="556"/>
      <c r="BN220" s="556"/>
      <c r="BO220" s="556"/>
      <c r="BP220" s="556"/>
      <c r="BQ220" s="556"/>
      <c r="BR220" s="556"/>
      <c r="BS220" s="556"/>
      <c r="BT220" s="556"/>
      <c r="BU220" s="556"/>
      <c r="BV220" s="556"/>
      <c r="BW220" s="556"/>
      <c r="BX220" s="556"/>
      <c r="BY220" s="556"/>
      <c r="BZ220" s="556"/>
      <c r="CA220" s="556"/>
      <c r="CB220" s="557"/>
    </row>
    <row r="221">
      <c r="E221" s="174"/>
      <c r="F221" s="220"/>
      <c r="G221" s="220"/>
      <c r="H221" s="220"/>
      <c r="I221" s="220"/>
      <c r="J221" s="220"/>
      <c r="K221" s="220"/>
      <c r="L221" s="220"/>
      <c r="M221" s="220"/>
      <c r="N221" s="220"/>
      <c r="O221" s="220"/>
      <c r="P221" s="220"/>
      <c r="Q221" s="220"/>
      <c r="R221" s="220"/>
      <c r="S221" s="220"/>
      <c r="T221" s="220"/>
      <c r="U221" s="220"/>
      <c r="V221" s="220"/>
      <c r="W221" s="220"/>
      <c r="X221" s="559"/>
      <c r="CB221" s="560"/>
    </row>
    <row r="222">
      <c r="E222" s="174"/>
      <c r="F222" s="220"/>
      <c r="G222" s="220"/>
      <c r="H222" s="220"/>
      <c r="I222" s="220"/>
      <c r="J222" s="220"/>
      <c r="K222" s="220"/>
      <c r="L222" s="220"/>
      <c r="M222" s="220"/>
      <c r="N222" s="220"/>
      <c r="O222" s="220"/>
      <c r="P222" s="220"/>
      <c r="Q222" s="220"/>
      <c r="R222" s="220"/>
      <c r="S222" s="220"/>
      <c r="T222" s="220"/>
      <c r="U222" s="220"/>
      <c r="V222" s="220"/>
      <c r="W222" s="220"/>
      <c r="X222" s="559"/>
      <c r="CB222" s="560"/>
    </row>
    <row r="223">
      <c r="E223" s="174"/>
      <c r="F223" s="220"/>
      <c r="G223" s="220"/>
      <c r="H223" s="220"/>
      <c r="I223" s="220"/>
      <c r="J223" s="220"/>
      <c r="K223" s="220"/>
      <c r="L223" s="220"/>
      <c r="M223" s="220"/>
      <c r="N223" s="220"/>
      <c r="O223" s="220"/>
      <c r="P223" s="220"/>
      <c r="Q223" s="220"/>
      <c r="R223" s="220"/>
      <c r="S223" s="220"/>
      <c r="T223" s="220"/>
      <c r="U223" s="220"/>
      <c r="V223" s="220"/>
      <c r="W223" s="220"/>
      <c r="X223" s="574"/>
      <c r="Y223" s="575"/>
      <c r="Z223" s="575"/>
      <c r="AA223" s="575"/>
      <c r="AB223" s="575"/>
      <c r="AC223" s="575"/>
      <c r="AD223" s="575"/>
      <c r="AE223" s="575"/>
      <c r="AF223" s="575"/>
      <c r="AG223" s="575"/>
      <c r="AH223" s="575"/>
      <c r="AI223" s="575"/>
      <c r="AJ223" s="575"/>
      <c r="AK223" s="575"/>
      <c r="AL223" s="575"/>
      <c r="AM223" s="575"/>
      <c r="AN223" s="575"/>
      <c r="AO223" s="575"/>
      <c r="AP223" s="575"/>
      <c r="AQ223" s="575"/>
      <c r="AR223" s="575"/>
      <c r="AS223" s="575"/>
      <c r="AT223" s="575"/>
      <c r="AU223" s="575"/>
      <c r="AV223" s="575"/>
      <c r="AW223" s="575"/>
      <c r="AX223" s="575"/>
      <c r="AY223" s="575"/>
      <c r="AZ223" s="575"/>
      <c r="BA223" s="575"/>
      <c r="BB223" s="575"/>
      <c r="BC223" s="575"/>
      <c r="BD223" s="575"/>
      <c r="BE223" s="575"/>
      <c r="BF223" s="575"/>
      <c r="BG223" s="575"/>
      <c r="BH223" s="575"/>
      <c r="BI223" s="575"/>
      <c r="BJ223" s="575"/>
      <c r="BK223" s="575"/>
      <c r="BL223" s="575"/>
      <c r="BM223" s="575"/>
      <c r="BN223" s="575"/>
      <c r="BO223" s="575"/>
      <c r="BP223" s="575"/>
      <c r="BQ223" s="575"/>
      <c r="BR223" s="575"/>
      <c r="BS223" s="575"/>
      <c r="BT223" s="575"/>
      <c r="BU223" s="575"/>
      <c r="BV223" s="575"/>
      <c r="BW223" s="575"/>
      <c r="BX223" s="575"/>
      <c r="BY223" s="575"/>
      <c r="BZ223" s="575"/>
      <c r="CA223" s="575"/>
      <c r="CB223" s="576"/>
    </row>
    <row r="224">
      <c r="E224" s="174"/>
      <c r="F224" s="220"/>
      <c r="G224" s="220"/>
      <c r="H224" s="220"/>
      <c r="I224" s="220"/>
      <c r="J224" s="220"/>
      <c r="K224" s="220"/>
      <c r="L224" s="220"/>
      <c r="M224" s="220"/>
      <c r="N224" s="220"/>
      <c r="O224" s="220"/>
      <c r="P224" s="220"/>
      <c r="Q224" s="220"/>
      <c r="R224" s="220"/>
      <c r="S224" s="220"/>
      <c r="T224" s="220"/>
      <c r="U224" s="220"/>
      <c r="V224" s="220"/>
      <c r="W224" s="220"/>
    </row>
    <row r="225">
      <c r="E225" s="174"/>
      <c r="F225" s="220"/>
      <c r="G225" s="220"/>
      <c r="H225" s="220"/>
      <c r="I225" s="220"/>
      <c r="J225" s="220"/>
      <c r="K225" s="220"/>
      <c r="L225" s="220"/>
      <c r="M225" s="220"/>
      <c r="N225" s="220"/>
      <c r="O225" s="220"/>
      <c r="P225" s="220"/>
      <c r="Q225" s="220"/>
      <c r="R225" s="220"/>
      <c r="S225" s="220"/>
      <c r="T225" s="220"/>
      <c r="U225" s="220"/>
    </row>
    <row r="226">
      <c r="E226" s="174"/>
      <c r="F226" s="220"/>
      <c r="G226" s="220"/>
      <c r="H226" s="220"/>
      <c r="I226" s="220"/>
      <c r="J226" s="220"/>
      <c r="K226" s="220"/>
      <c r="L226" s="220"/>
      <c r="M226" s="220"/>
      <c r="N226" s="220"/>
      <c r="O226" s="220"/>
      <c r="P226" s="220"/>
      <c r="Q226" s="220"/>
      <c r="R226" s="220"/>
      <c r="S226" s="220"/>
      <c r="T226" s="220"/>
      <c r="U226" s="220"/>
    </row>
    <row r="227">
      <c r="E227" s="174"/>
      <c r="F227" s="220"/>
      <c r="G227" s="220"/>
      <c r="H227" s="220"/>
      <c r="I227" s="220"/>
      <c r="J227" s="220"/>
      <c r="K227" s="220"/>
      <c r="L227" s="220"/>
      <c r="M227" s="220"/>
      <c r="N227" s="220"/>
      <c r="O227" s="220"/>
      <c r="P227" s="220"/>
      <c r="Q227" s="220"/>
      <c r="R227" s="220"/>
      <c r="S227" s="220"/>
      <c r="T227" s="220"/>
      <c r="U227" s="220"/>
    </row>
    <row r="228">
      <c r="E228" s="174"/>
      <c r="F228" s="220"/>
      <c r="G228" s="220"/>
      <c r="H228" s="220"/>
      <c r="I228" s="220"/>
      <c r="J228" s="220"/>
      <c r="K228" s="220"/>
      <c r="L228" s="220"/>
      <c r="M228" s="220"/>
      <c r="N228" s="220"/>
      <c r="O228" s="220"/>
      <c r="P228" s="220"/>
      <c r="Q228" s="220"/>
      <c r="R228" s="220"/>
      <c r="S228" s="220"/>
      <c r="T228" s="220"/>
      <c r="U228" s="220"/>
    </row>
    <row r="229">
      <c r="E229" s="174"/>
      <c r="F229" s="220"/>
      <c r="G229" s="220"/>
      <c r="H229" s="220"/>
      <c r="I229" s="220"/>
      <c r="J229" s="220"/>
      <c r="K229" s="220"/>
      <c r="L229" s="220"/>
      <c r="M229" s="220"/>
      <c r="N229" s="220"/>
      <c r="O229" s="220"/>
      <c r="P229" s="220"/>
      <c r="Q229" s="220"/>
      <c r="R229" s="220"/>
      <c r="S229" s="220"/>
      <c r="T229" s="220"/>
      <c r="U229" s="220"/>
    </row>
    <row r="230">
      <c r="E230" s="174"/>
      <c r="F230" s="220"/>
      <c r="G230" s="220"/>
      <c r="H230" s="220"/>
      <c r="I230" s="220"/>
      <c r="J230" s="220"/>
      <c r="K230" s="220"/>
      <c r="L230" s="220"/>
      <c r="M230" s="220"/>
      <c r="N230" s="220"/>
      <c r="O230" s="220"/>
      <c r="P230" s="220"/>
      <c r="Q230" s="220"/>
      <c r="R230" s="220"/>
      <c r="S230" s="220"/>
      <c r="T230" s="220"/>
      <c r="U230" s="220"/>
    </row>
    <row r="231">
      <c r="E231" s="174"/>
      <c r="F231" s="220"/>
      <c r="G231" s="220"/>
      <c r="H231" s="220"/>
      <c r="I231" s="220"/>
      <c r="J231" s="220"/>
      <c r="K231" s="220"/>
      <c r="L231" s="220"/>
      <c r="M231" s="220"/>
      <c r="N231" s="220"/>
      <c r="O231" s="220"/>
      <c r="P231" s="220"/>
      <c r="Q231" s="220"/>
      <c r="R231" s="220"/>
      <c r="S231" s="220"/>
      <c r="T231" s="220"/>
      <c r="U231" s="220"/>
    </row>
    <row r="232">
      <c r="E232" s="174"/>
      <c r="F232" s="220"/>
      <c r="G232" s="220"/>
      <c r="H232" s="220"/>
      <c r="I232" s="220"/>
      <c r="J232" s="220"/>
      <c r="K232" s="220"/>
      <c r="L232" s="220"/>
      <c r="M232" s="220"/>
      <c r="N232" s="220"/>
      <c r="O232" s="220"/>
      <c r="P232" s="220"/>
      <c r="Q232" s="220"/>
      <c r="R232" s="220"/>
      <c r="S232" s="220"/>
      <c r="T232" s="220"/>
      <c r="U232" s="220"/>
    </row>
    <row r="233">
      <c r="E233" s="174"/>
      <c r="F233" s="220"/>
      <c r="G233" s="220"/>
      <c r="H233" s="220"/>
      <c r="I233" s="220"/>
      <c r="J233" s="220"/>
      <c r="K233" s="220"/>
      <c r="L233" s="220"/>
      <c r="M233" s="220"/>
      <c r="N233" s="220"/>
      <c r="O233" s="220"/>
      <c r="P233" s="220"/>
      <c r="Q233" s="220"/>
      <c r="R233" s="220"/>
      <c r="S233" s="220"/>
      <c r="T233" s="220"/>
      <c r="U233" s="220"/>
    </row>
    <row r="234">
      <c r="E234" s="174"/>
      <c r="F234" s="220"/>
      <c r="G234" s="220"/>
      <c r="H234" s="220"/>
      <c r="I234" s="220"/>
      <c r="J234" s="220"/>
      <c r="K234" s="220"/>
      <c r="L234" s="220"/>
      <c r="M234" s="220"/>
      <c r="N234" s="220"/>
      <c r="O234" s="220"/>
      <c r="P234" s="220"/>
      <c r="Q234" s="220"/>
      <c r="R234" s="220"/>
      <c r="S234" s="220"/>
      <c r="T234" s="220"/>
      <c r="U234" s="220"/>
      <c r="V234" s="220"/>
      <c r="W234" s="220"/>
    </row>
    <row r="235">
      <c r="E235" s="174"/>
      <c r="F235" s="220"/>
      <c r="G235" s="220"/>
      <c r="H235" s="220"/>
      <c r="I235" s="220"/>
      <c r="J235" s="220"/>
      <c r="K235" s="220"/>
      <c r="L235" s="220"/>
      <c r="M235" s="220"/>
      <c r="N235" s="220"/>
      <c r="O235" s="220"/>
      <c r="P235" s="220"/>
      <c r="Q235" s="220"/>
      <c r="R235" s="220"/>
      <c r="S235" s="220"/>
      <c r="T235" s="220"/>
      <c r="U235" s="220"/>
      <c r="V235" s="220"/>
      <c r="W235" s="220"/>
    </row>
    <row r="236">
      <c r="E236" s="174"/>
      <c r="F236" s="220"/>
      <c r="G236" s="220"/>
      <c r="H236" s="220"/>
      <c r="I236" s="220"/>
      <c r="J236" s="220"/>
      <c r="K236" s="220"/>
      <c r="L236" s="220"/>
      <c r="M236" s="220"/>
      <c r="N236" s="220"/>
      <c r="O236" s="220"/>
      <c r="P236" s="220"/>
      <c r="Q236" s="220"/>
      <c r="R236" s="220"/>
      <c r="S236" s="220"/>
      <c r="T236" s="220"/>
      <c r="U236" s="220"/>
      <c r="V236" s="220"/>
      <c r="W236" s="220"/>
    </row>
    <row r="237">
      <c r="E237" s="174"/>
      <c r="F237" s="220"/>
      <c r="G237" s="220"/>
      <c r="H237" s="220"/>
      <c r="I237" s="220"/>
      <c r="J237" s="220"/>
      <c r="K237" s="220"/>
      <c r="L237" s="220"/>
      <c r="M237" s="220"/>
      <c r="N237" s="220"/>
      <c r="O237" s="220"/>
      <c r="P237" s="220"/>
      <c r="Q237" s="220"/>
      <c r="R237" s="220"/>
      <c r="S237" s="220"/>
      <c r="T237" s="220"/>
      <c r="U237" s="220"/>
      <c r="V237" s="220"/>
      <c r="W237" s="220"/>
    </row>
    <row r="238">
      <c r="E238" s="174"/>
      <c r="F238" s="220"/>
      <c r="G238" s="220"/>
      <c r="H238" s="220"/>
      <c r="I238" s="220"/>
      <c r="J238" s="220"/>
      <c r="K238" s="220"/>
      <c r="L238" s="220"/>
      <c r="M238" s="220"/>
      <c r="N238" s="220"/>
      <c r="O238" s="220"/>
      <c r="P238" s="220"/>
      <c r="Q238" s="220"/>
      <c r="R238" s="220"/>
      <c r="S238" s="220"/>
      <c r="T238" s="220"/>
      <c r="U238" s="220"/>
      <c r="V238" s="220"/>
      <c r="W238" s="220"/>
    </row>
    <row r="239">
      <c r="E239" s="174"/>
      <c r="F239" s="220"/>
      <c r="G239" s="220"/>
      <c r="H239" s="220"/>
      <c r="I239" s="220"/>
      <c r="J239" s="220"/>
      <c r="K239" s="220"/>
      <c r="L239" s="220"/>
      <c r="M239" s="220"/>
      <c r="N239" s="220"/>
      <c r="O239" s="220"/>
      <c r="P239" s="220"/>
      <c r="Q239" s="220"/>
      <c r="R239" s="220"/>
      <c r="S239" s="220"/>
      <c r="T239" s="220"/>
      <c r="U239" s="220"/>
      <c r="V239" s="220"/>
      <c r="W239" s="220"/>
      <c r="X239" s="1134"/>
    </row>
    <row r="240">
      <c r="E240" s="174"/>
      <c r="F240" s="220"/>
      <c r="G240" s="220"/>
      <c r="H240" s="220"/>
      <c r="I240" s="220"/>
      <c r="J240" s="220"/>
      <c r="K240" s="220"/>
      <c r="L240" s="220"/>
      <c r="M240" s="220"/>
      <c r="N240" s="220"/>
      <c r="O240" s="220"/>
      <c r="P240" s="220"/>
      <c r="Q240" s="220"/>
      <c r="R240" s="220"/>
      <c r="S240" s="220"/>
      <c r="T240" s="220"/>
      <c r="U240" s="220"/>
      <c r="V240" s="220"/>
      <c r="W240" s="220"/>
    </row>
    <row r="241">
      <c r="E241" s="174"/>
      <c r="F241" s="220"/>
      <c r="G241" s="220"/>
      <c r="H241" s="220"/>
      <c r="I241" s="220"/>
      <c r="J241" s="220"/>
      <c r="K241" s="220"/>
      <c r="L241" s="220"/>
      <c r="M241" s="220"/>
      <c r="N241" s="220"/>
      <c r="O241" s="220"/>
      <c r="P241" s="220"/>
      <c r="Q241" s="220"/>
      <c r="R241" s="220"/>
      <c r="S241" s="220"/>
      <c r="T241" s="220"/>
      <c r="U241" s="220"/>
      <c r="V241" s="220"/>
      <c r="W241" s="220"/>
    </row>
    <row r="242">
      <c r="E242" s="174"/>
      <c r="F242" s="220"/>
      <c r="G242" s="220"/>
      <c r="H242" s="220"/>
      <c r="I242" s="220"/>
      <c r="J242" s="220"/>
      <c r="K242" s="220"/>
      <c r="L242" s="220"/>
      <c r="M242" s="220"/>
      <c r="N242" s="220"/>
      <c r="O242" s="220"/>
      <c r="P242" s="220"/>
      <c r="Q242" s="220"/>
      <c r="R242" s="220"/>
      <c r="S242" s="220"/>
      <c r="T242" s="220"/>
      <c r="U242" s="220"/>
      <c r="V242" s="220"/>
      <c r="W242" s="220"/>
    </row>
    <row r="243">
      <c r="E243" s="174"/>
      <c r="F243" s="220"/>
      <c r="G243" s="220"/>
      <c r="H243" s="220"/>
      <c r="I243" s="220"/>
      <c r="J243" s="220"/>
      <c r="K243" s="220"/>
      <c r="L243" s="220"/>
      <c r="M243" s="220"/>
      <c r="N243" s="220"/>
      <c r="O243" s="220"/>
      <c r="P243" s="220"/>
      <c r="Q243" s="220"/>
      <c r="R243" s="220"/>
      <c r="S243" s="220"/>
      <c r="T243" s="220"/>
      <c r="U243" s="220"/>
      <c r="V243" s="220"/>
      <c r="W243" s="220"/>
    </row>
    <row r="244">
      <c r="E244" s="174"/>
      <c r="F244" s="220"/>
      <c r="G244" s="220"/>
      <c r="H244" s="220"/>
      <c r="I244" s="220"/>
      <c r="J244" s="220"/>
      <c r="K244" s="220"/>
      <c r="L244" s="220"/>
      <c r="M244" s="220"/>
      <c r="N244" s="220"/>
      <c r="O244" s="220"/>
      <c r="P244" s="220"/>
      <c r="Q244" s="220"/>
      <c r="R244" s="220"/>
      <c r="S244" s="220"/>
      <c r="T244" s="220"/>
      <c r="U244" s="220"/>
      <c r="V244" s="220"/>
      <c r="W244" s="220"/>
    </row>
    <row r="245">
      <c r="E245" s="174"/>
      <c r="F245" s="220"/>
      <c r="G245" s="220"/>
      <c r="H245" s="220"/>
      <c r="I245" s="220"/>
      <c r="J245" s="220"/>
      <c r="K245" s="220"/>
      <c r="L245" s="220"/>
      <c r="M245" s="220"/>
      <c r="N245" s="220"/>
      <c r="O245" s="220"/>
      <c r="P245" s="220"/>
      <c r="Q245" s="220"/>
      <c r="R245" s="220"/>
      <c r="S245" s="220"/>
      <c r="T245" s="220"/>
      <c r="U245" s="220"/>
      <c r="V245" s="220"/>
      <c r="W245" s="220"/>
    </row>
    <row r="246">
      <c r="E246" s="174"/>
      <c r="F246" s="220"/>
      <c r="G246" s="220"/>
      <c r="H246" s="220"/>
      <c r="I246" s="220"/>
      <c r="J246" s="220"/>
      <c r="K246" s="220"/>
      <c r="L246" s="220"/>
      <c r="M246" s="220"/>
      <c r="N246" s="220"/>
      <c r="O246" s="220"/>
      <c r="P246" s="220"/>
      <c r="Q246" s="220"/>
      <c r="R246" s="220"/>
      <c r="S246" s="220"/>
      <c r="T246" s="220"/>
      <c r="U246" s="220"/>
      <c r="V246" s="220"/>
      <c r="W246" s="220"/>
      <c r="BS246" s="171"/>
    </row>
    <row r="247">
      <c r="E247" s="174"/>
      <c r="F247" s="220"/>
      <c r="G247" s="175"/>
      <c r="H247" s="175"/>
      <c r="I247" s="175"/>
      <c r="J247" s="175"/>
      <c r="K247" s="175"/>
      <c r="L247" s="175"/>
      <c r="M247" s="175"/>
      <c r="N247" s="175"/>
      <c r="O247" s="175"/>
      <c r="P247" s="175"/>
      <c r="Q247" s="175"/>
      <c r="R247" s="175"/>
      <c r="S247" s="175"/>
      <c r="T247" s="175"/>
      <c r="U247" s="175"/>
      <c r="V247" s="175"/>
      <c r="W247" s="175"/>
      <c r="BS247" s="172"/>
    </row>
    <row r="248">
      <c r="E248" s="174"/>
      <c r="F248" s="175"/>
      <c r="BS248" s="173"/>
    </row>
    <row r="249">
      <c r="BS249" s="174"/>
    </row>
    <row r="250">
      <c r="BS250" s="175"/>
    </row>
    <row r="251">
      <c r="BS251" s="175"/>
      <c r="CZ251" s="38"/>
    </row>
    <row r="252">
      <c r="BC252" s="176"/>
      <c r="BD252" s="177"/>
      <c r="BE252" s="51"/>
      <c r="BF252" s="51"/>
      <c r="BG252" s="51"/>
      <c r="BH252" s="51"/>
      <c r="BI252" s="51"/>
      <c r="BJ252" s="51"/>
      <c r="BK252" s="51"/>
      <c r="BL252" s="51"/>
      <c r="BM252" s="51"/>
      <c r="BN252" s="51"/>
      <c r="BO252" s="51"/>
      <c r="BP252" s="51"/>
      <c r="BQ252" s="51"/>
      <c r="BR252" s="51"/>
      <c r="BS252" s="175"/>
      <c r="CG252" s="580"/>
      <c r="CH252" s="569"/>
      <c r="CI252" s="569"/>
      <c r="CJ252" s="569"/>
      <c r="CK252" s="569"/>
      <c r="CL252" s="569"/>
      <c r="CM252" s="569"/>
      <c r="CN252" s="569"/>
      <c r="CO252" s="569"/>
      <c r="CP252" s="569"/>
      <c r="CQ252" s="569"/>
      <c r="CR252" s="569"/>
      <c r="CS252" s="569"/>
      <c r="CT252" s="569"/>
      <c r="CU252" s="569"/>
      <c r="CV252" s="569"/>
    </row>
    <row r="253">
      <c r="BC253" s="176"/>
      <c r="BD253" s="177"/>
      <c r="BE253" s="51"/>
      <c r="BF253" s="51"/>
      <c r="BG253" s="51"/>
      <c r="BH253" s="51"/>
      <c r="BI253" s="51"/>
      <c r="BJ253" s="51"/>
      <c r="BK253" s="51"/>
      <c r="BL253" s="51"/>
      <c r="BM253" s="51"/>
      <c r="BN253" s="51"/>
      <c r="BO253" s="51"/>
      <c r="BP253" s="51"/>
      <c r="BQ253" s="51"/>
      <c r="BR253" s="51"/>
      <c r="BS253" s="175"/>
      <c r="CG253" s="584"/>
      <c r="CH253" s="581"/>
      <c r="CI253" s="581"/>
    </row>
    <row r="254">
      <c r="BC254" s="176"/>
      <c r="BD254" s="177"/>
      <c r="BE254" s="51"/>
      <c r="BF254" s="51"/>
      <c r="BG254" s="51"/>
      <c r="BH254" s="51"/>
      <c r="BI254" s="51"/>
      <c r="BJ254" s="51"/>
      <c r="BK254" s="51"/>
      <c r="BL254" s="51"/>
      <c r="BM254" s="51"/>
      <c r="BN254" s="51"/>
      <c r="BO254" s="51"/>
      <c r="BP254" s="51"/>
      <c r="BQ254" s="51"/>
      <c r="BR254" s="51"/>
      <c r="BS254" s="175"/>
      <c r="CG254" s="584"/>
      <c r="CH254" s="581"/>
      <c r="CI254" s="581"/>
      <c r="CJ254" s="581"/>
      <c r="CK254" s="581"/>
      <c r="CL254" s="581"/>
      <c r="CM254" s="581"/>
      <c r="CN254" s="581"/>
      <c r="CO254" s="581"/>
      <c r="CP254" s="581"/>
      <c r="CQ254" s="581"/>
      <c r="CR254" s="581"/>
      <c r="CS254" s="581"/>
      <c r="CT254" s="581"/>
      <c r="CU254" s="581"/>
      <c r="CV254" s="581"/>
    </row>
    <row r="255">
      <c r="BC255" s="176"/>
      <c r="BD255" s="177"/>
      <c r="BE255" s="51"/>
      <c r="BF255" s="51"/>
      <c r="BG255" s="51"/>
      <c r="BH255" s="51"/>
      <c r="BI255" s="51"/>
      <c r="BJ255" s="51"/>
      <c r="BK255" s="51"/>
      <c r="BL255" s="51"/>
      <c r="BM255" s="51"/>
      <c r="BN255" s="51"/>
      <c r="BO255" s="51"/>
      <c r="BP255" s="51"/>
      <c r="BQ255" s="51"/>
      <c r="BR255" s="51"/>
      <c r="BS255" s="175"/>
      <c r="BZ255" s="23"/>
      <c r="CG255" s="584"/>
      <c r="CH255" s="581"/>
      <c r="CI255" s="581"/>
      <c r="CJ255" s="581"/>
      <c r="CK255" s="581"/>
      <c r="CL255" s="581"/>
      <c r="CM255" s="581"/>
      <c r="CN255" s="581"/>
      <c r="CO255" s="581"/>
      <c r="CP255" s="581"/>
      <c r="CQ255" s="581"/>
      <c r="CR255" s="581"/>
      <c r="CS255" s="581"/>
      <c r="CT255" s="581"/>
      <c r="CU255" s="581"/>
      <c r="CV255" s="581"/>
    </row>
    <row r="256">
      <c r="X256" s="1221" t="s">
        <v>218</v>
      </c>
      <c r="Y256" s="1222"/>
      <c r="Z256" s="1222"/>
      <c r="AA256" s="1222"/>
      <c r="AB256" s="1222"/>
      <c r="AC256" s="1222"/>
      <c r="AD256" s="1222"/>
      <c r="AE256" s="1222"/>
      <c r="AF256" s="1222"/>
      <c r="AG256" s="610"/>
      <c r="AH256" s="1221" t="s">
        <v>218</v>
      </c>
      <c r="AI256" s="1222"/>
      <c r="AJ256" s="1222"/>
      <c r="AK256" s="1222"/>
      <c r="AL256" s="1222"/>
      <c r="AM256" s="1222"/>
      <c r="AN256" s="1222"/>
      <c r="AO256" s="1222"/>
      <c r="AP256" s="1222"/>
      <c r="AQ256" s="1222"/>
      <c r="AR256" s="1222"/>
      <c r="AS256" s="1222"/>
      <c r="AT256" s="610"/>
      <c r="AU256" s="1221" t="s">
        <v>219</v>
      </c>
      <c r="AV256" s="1222"/>
      <c r="AW256" s="1222"/>
      <c r="AX256" s="1222"/>
      <c r="AY256" s="1222"/>
      <c r="AZ256" s="1222"/>
      <c r="BA256" s="1222"/>
      <c r="BB256" s="1222"/>
      <c r="BC256" s="1222"/>
      <c r="BD256" s="1222"/>
      <c r="BE256" s="1222"/>
      <c r="BF256" s="1222"/>
      <c r="BG256" s="1222"/>
      <c r="BH256" s="1222"/>
      <c r="BI256" s="1222"/>
      <c r="BJ256" s="1222"/>
      <c r="BL256" s="1221" t="s">
        <v>220</v>
      </c>
      <c r="BM256" s="1222"/>
      <c r="BN256" s="1222"/>
      <c r="BO256" s="1222"/>
      <c r="BP256" s="1222"/>
      <c r="BQ256" s="1222"/>
      <c r="BR256" s="1222"/>
      <c r="BS256" s="1222"/>
      <c r="BT256" s="1222"/>
      <c r="BU256" s="1222"/>
      <c r="BV256" s="1222"/>
      <c r="BW256" s="1222"/>
      <c r="BX256" s="1222"/>
      <c r="BY256" s="1222"/>
      <c r="BZ256" s="1222"/>
      <c r="CA256" s="1222"/>
      <c r="CP256" s="610"/>
      <c r="DH256" s="1568"/>
      <c r="DI256" s="1569"/>
      <c r="DJ256" s="1569"/>
      <c r="DK256" s="1569"/>
      <c r="DL256" s="1569"/>
      <c r="DM256" s="535"/>
      <c r="DN256" s="535"/>
      <c r="DO256" s="535"/>
      <c r="DP256" s="535"/>
      <c r="DQ256" s="535"/>
      <c r="DR256" s="535"/>
      <c r="DS256" s="535"/>
      <c r="DT256" s="535"/>
      <c r="DU256" s="535"/>
      <c r="DV256" s="535"/>
      <c r="DW256" s="535"/>
    </row>
    <row r="257">
      <c r="X257" s="1586" t="s">
        <v>207</v>
      </c>
      <c r="Y257" s="515"/>
      <c r="Z257" s="515"/>
      <c r="AA257" s="515"/>
      <c r="AB257" s="515"/>
      <c r="AC257" s="515"/>
      <c r="AD257" s="515"/>
      <c r="AE257" s="515"/>
      <c r="AF257" s="515"/>
      <c r="AG257" s="610"/>
      <c r="AH257" s="1586" t="s">
        <v>208</v>
      </c>
      <c r="AI257" s="515"/>
      <c r="AJ257" s="515"/>
      <c r="AK257" s="515"/>
      <c r="AL257" s="515"/>
      <c r="AM257" s="515"/>
      <c r="AN257" s="515"/>
      <c r="AO257" s="515"/>
      <c r="AP257" s="515"/>
      <c r="AQ257" s="515"/>
      <c r="AR257" s="515"/>
      <c r="AS257" s="515"/>
      <c r="AT257" s="610"/>
      <c r="AU257" s="1224" t="s">
        <v>58</v>
      </c>
      <c r="AV257" s="1052"/>
      <c r="AW257" s="1052" t="s">
        <v>44</v>
      </c>
      <c r="BL257" s="1224" t="s">
        <v>58</v>
      </c>
      <c r="BM257" s="1052"/>
      <c r="BN257" s="1052" t="s">
        <v>44</v>
      </c>
      <c r="CP257" s="610"/>
      <c r="DH257" s="1570"/>
      <c r="DI257" s="535"/>
      <c r="DJ257" s="535"/>
    </row>
    <row r="258">
      <c r="X258" s="1586" t="s">
        <v>221</v>
      </c>
      <c r="Y258" s="515"/>
      <c r="Z258" s="515"/>
      <c r="AA258" s="515"/>
      <c r="AB258" s="515"/>
      <c r="AC258" s="515"/>
      <c r="AD258" s="515"/>
      <c r="AE258" s="515"/>
      <c r="AF258" s="515"/>
      <c r="AG258" s="610"/>
      <c r="AH258" s="1586" t="s">
        <v>221</v>
      </c>
      <c r="AI258" s="515"/>
      <c r="AJ258" s="515"/>
      <c r="AK258" s="515"/>
      <c r="AL258" s="515"/>
      <c r="AM258" s="515"/>
      <c r="AN258" s="515"/>
      <c r="AO258" s="515"/>
      <c r="AP258" s="515"/>
      <c r="AQ258" s="515"/>
      <c r="AR258" s="515"/>
      <c r="AS258" s="515"/>
      <c r="AT258" s="610"/>
      <c r="AU258" s="1224" t="s">
        <v>63</v>
      </c>
      <c r="AV258" s="1052"/>
      <c r="AW258" s="1052"/>
      <c r="AX258" s="1052"/>
      <c r="AY258" s="1052"/>
      <c r="AZ258" s="1052"/>
      <c r="BA258" s="1052"/>
      <c r="BB258" s="1052"/>
      <c r="BC258" s="1052"/>
      <c r="BD258" s="1052"/>
      <c r="BE258" s="1052"/>
      <c r="BF258" s="1052"/>
      <c r="BG258" s="1052"/>
      <c r="BH258" s="1052"/>
      <c r="BI258" s="1052"/>
      <c r="BJ258" s="1052"/>
      <c r="BL258" s="1224" t="s">
        <v>63</v>
      </c>
      <c r="BM258" s="1052"/>
      <c r="BN258" s="1052"/>
      <c r="BO258" s="1052"/>
      <c r="BP258" s="1052"/>
      <c r="BQ258" s="1052"/>
      <c r="BR258" s="1052"/>
      <c r="BS258" s="1052"/>
      <c r="BT258" s="1052"/>
      <c r="BU258" s="1052"/>
      <c r="BV258" s="1052"/>
      <c r="BW258" s="1052"/>
      <c r="BX258" s="1052"/>
      <c r="BY258" s="1052"/>
      <c r="BZ258" s="1052"/>
      <c r="CA258" s="1052"/>
      <c r="CP258" s="610"/>
      <c r="DH258" s="1570"/>
      <c r="DI258" s="1569"/>
      <c r="DJ258" s="535"/>
      <c r="DK258" s="535"/>
      <c r="DL258" s="535"/>
      <c r="DM258" s="535"/>
      <c r="DN258" s="535"/>
      <c r="DO258" s="535"/>
      <c r="DP258" s="535"/>
      <c r="DQ258" s="535"/>
      <c r="DR258" s="535"/>
      <c r="DS258" s="535"/>
      <c r="DT258" s="535"/>
      <c r="DU258" s="535"/>
      <c r="DV258" s="535"/>
      <c r="DW258" s="535"/>
    </row>
    <row r="259">
      <c r="X259" s="1586" t="s">
        <v>208</v>
      </c>
      <c r="Y259" s="515"/>
      <c r="Z259" s="515"/>
      <c r="AA259" s="515"/>
      <c r="AB259" s="515"/>
      <c r="AC259" s="515"/>
      <c r="AD259" s="515"/>
      <c r="AE259" s="515"/>
      <c r="AF259" s="515"/>
      <c r="AG259" s="610"/>
      <c r="AH259" s="1224" t="s">
        <v>58</v>
      </c>
      <c r="AI259" s="1100"/>
      <c r="AJ259" s="1100"/>
      <c r="AK259" s="1100"/>
      <c r="AL259" s="1101" t="s">
        <v>59</v>
      </c>
      <c r="AM259" s="1101"/>
      <c r="AN259" s="1101"/>
      <c r="AO259" s="1101"/>
      <c r="AP259" s="1101"/>
      <c r="AQ259" s="1101"/>
      <c r="AR259" s="1101"/>
      <c r="AS259" s="1101"/>
      <c r="AT259" s="610"/>
      <c r="AU259" s="1224" t="s">
        <v>222</v>
      </c>
      <c r="AV259" s="1052"/>
      <c r="AW259" s="1052"/>
      <c r="AX259" s="1052"/>
      <c r="AY259" s="1052"/>
      <c r="AZ259" s="1052"/>
      <c r="BA259" s="1052"/>
      <c r="BB259" s="1052"/>
      <c r="BC259" s="1052"/>
      <c r="BD259" s="1052"/>
      <c r="BE259" s="1052"/>
      <c r="BF259" s="1052"/>
      <c r="BG259" s="1052"/>
      <c r="BH259" s="1052"/>
      <c r="BI259" s="1052"/>
      <c r="BJ259" s="1052"/>
      <c r="BL259" s="1224" t="s">
        <v>222</v>
      </c>
      <c r="BM259" s="1052"/>
      <c r="BN259" s="1052"/>
      <c r="BO259" s="1052"/>
      <c r="BP259" s="1052"/>
      <c r="BQ259" s="1052"/>
      <c r="BR259" s="1052"/>
      <c r="BS259" s="1052"/>
      <c r="BT259" s="1052"/>
      <c r="BU259" s="1052"/>
      <c r="BV259" s="1052"/>
      <c r="BW259" s="1052"/>
      <c r="BX259" s="1052"/>
      <c r="BY259" s="1052"/>
      <c r="BZ259" s="1052"/>
      <c r="CA259" s="1052"/>
      <c r="CP259" s="610"/>
      <c r="DH259" s="1570"/>
      <c r="DI259" s="1569"/>
      <c r="DJ259" s="535"/>
      <c r="DK259" s="535"/>
      <c r="DL259" s="535"/>
      <c r="DM259" s="535"/>
      <c r="DN259" s="535"/>
      <c r="DO259" s="535"/>
      <c r="DP259" s="535"/>
      <c r="DQ259" s="535"/>
      <c r="DR259" s="535"/>
      <c r="DS259" s="535"/>
      <c r="DT259" s="535"/>
      <c r="DU259" s="535"/>
      <c r="DV259" s="535"/>
      <c r="DW259" s="535"/>
    </row>
    <row r="260">
      <c r="X260" s="1052" t="s">
        <v>57</v>
      </c>
      <c r="AG260" s="610"/>
      <c r="AH260" s="1100"/>
      <c r="AI260" s="683">
        <f>$F$127</f>
        <v>0.03886053138</v>
      </c>
      <c r="AJ260" s="684">
        <f t="shared" ref="AJ260:AL260" si="17">AK260-0.05</f>
        <v>0.7</v>
      </c>
      <c r="AK260" s="684">
        <f t="shared" si="17"/>
        <v>0.75</v>
      </c>
      <c r="AL260" s="684">
        <f t="shared" si="17"/>
        <v>0.8</v>
      </c>
      <c r="AM260" s="684">
        <v>0.85</v>
      </c>
      <c r="AN260" s="684">
        <v>0.9</v>
      </c>
      <c r="AO260" s="684">
        <f t="shared" ref="AO260:AS260" si="18">AN260+0.02</f>
        <v>0.92</v>
      </c>
      <c r="AP260" s="684">
        <f t="shared" si="18"/>
        <v>0.94</v>
      </c>
      <c r="AQ260" s="684">
        <f t="shared" si="18"/>
        <v>0.96</v>
      </c>
      <c r="AR260" s="684">
        <f t="shared" si="18"/>
        <v>0.98</v>
      </c>
      <c r="AS260" s="684">
        <f t="shared" si="18"/>
        <v>1</v>
      </c>
      <c r="AT260" s="610"/>
      <c r="AU260" s="1586" t="s">
        <v>221</v>
      </c>
      <c r="AV260" s="515"/>
      <c r="AW260" s="515"/>
      <c r="AX260" s="515"/>
      <c r="AY260" s="515"/>
      <c r="AZ260" s="515"/>
      <c r="BA260" s="515"/>
      <c r="BB260" s="515"/>
      <c r="BC260" s="515"/>
      <c r="BD260" s="515"/>
      <c r="BE260" s="515"/>
      <c r="BF260" s="515"/>
      <c r="BG260" s="515"/>
      <c r="BH260" s="515"/>
      <c r="BI260" s="515"/>
      <c r="BJ260" s="515"/>
      <c r="BL260" s="1586" t="s">
        <v>221</v>
      </c>
      <c r="BM260" s="515"/>
      <c r="BN260" s="515"/>
      <c r="BO260" s="515"/>
      <c r="BP260" s="515"/>
      <c r="BQ260" s="515"/>
      <c r="BR260" s="515"/>
      <c r="BS260" s="515"/>
      <c r="BT260" s="515"/>
      <c r="BU260" s="515"/>
      <c r="BV260" s="515"/>
      <c r="BW260" s="515"/>
      <c r="BX260" s="515"/>
      <c r="BY260" s="515"/>
      <c r="BZ260" s="515"/>
      <c r="CA260" s="515"/>
      <c r="CP260" s="610"/>
      <c r="DH260" s="535"/>
      <c r="DI260" s="544"/>
      <c r="DJ260" s="543"/>
      <c r="DK260" s="543"/>
      <c r="DL260" s="543"/>
      <c r="DM260" s="543"/>
      <c r="DN260" s="543"/>
      <c r="DO260" s="543"/>
      <c r="DP260" s="543"/>
      <c r="DQ260" s="543"/>
      <c r="DR260" s="543"/>
      <c r="DS260" s="543"/>
      <c r="DT260" s="543"/>
      <c r="DU260" s="543"/>
      <c r="DV260" s="543"/>
      <c r="DW260" s="543"/>
    </row>
    <row r="261">
      <c r="X261" s="1100"/>
      <c r="Y261" s="1103">
        <f>$F$127</f>
        <v>0.03886053138</v>
      </c>
      <c r="Z261" s="680">
        <v>64.0</v>
      </c>
      <c r="AA261" s="681">
        <f t="shared" ref="AA261:AF261" si="19">Z261+10</f>
        <v>74</v>
      </c>
      <c r="AB261" s="681">
        <f t="shared" si="19"/>
        <v>84</v>
      </c>
      <c r="AC261" s="681">
        <f t="shared" si="19"/>
        <v>94</v>
      </c>
      <c r="AD261" s="681">
        <f t="shared" si="19"/>
        <v>104</v>
      </c>
      <c r="AE261" s="681">
        <f t="shared" si="19"/>
        <v>114</v>
      </c>
      <c r="AF261" s="681">
        <f t="shared" si="19"/>
        <v>124</v>
      </c>
      <c r="AG261" s="610"/>
      <c r="AH261" s="1225" t="s">
        <v>66</v>
      </c>
      <c r="AI261" s="1062">
        <v>524288.0</v>
      </c>
      <c r="AJ261" s="704">
        <v>0.14463531213742545</v>
      </c>
      <c r="AK261" s="705">
        <v>0.1540307077544178</v>
      </c>
      <c r="AL261" s="706">
        <v>0.16324337077591766</v>
      </c>
      <c r="AM261" s="1144">
        <v>0.17230907832062142</v>
      </c>
      <c r="AN261" s="1234">
        <v>0.18126360750722564</v>
      </c>
      <c r="AO261" s="709">
        <v>0.18482230331618743</v>
      </c>
      <c r="AP261" s="710">
        <v>0.18837122466244122</v>
      </c>
      <c r="AQ261" s="711">
        <v>0.19191266128158374</v>
      </c>
      <c r="AR261" s="712">
        <v>0.19544890290921138</v>
      </c>
      <c r="AS261" s="1141">
        <v>0.19898223928092076</v>
      </c>
      <c r="AT261" s="610"/>
      <c r="AU261" s="1100"/>
      <c r="AV261" s="1054">
        <f>F126</f>
        <v>1865.305506</v>
      </c>
      <c r="AW261" s="1062">
        <v>1.0</v>
      </c>
      <c r="AX261" s="1056">
        <f t="shared" ref="AX261:BA261" si="20">AW261+1</f>
        <v>2</v>
      </c>
      <c r="AY261" s="1056">
        <f t="shared" si="20"/>
        <v>3</v>
      </c>
      <c r="AZ261" s="1056">
        <f t="shared" si="20"/>
        <v>4</v>
      </c>
      <c r="BA261" s="1056">
        <f t="shared" si="20"/>
        <v>5</v>
      </c>
      <c r="BB261" s="1062">
        <v>10.0</v>
      </c>
      <c r="BC261" s="1062">
        <v>15.0</v>
      </c>
      <c r="BD261" s="1062">
        <v>20.0</v>
      </c>
      <c r="BE261" s="1062">
        <v>25.0</v>
      </c>
      <c r="BF261" s="1062">
        <v>30.0</v>
      </c>
      <c r="BG261" s="1062">
        <v>35.0</v>
      </c>
      <c r="BH261" s="1062">
        <v>40.0</v>
      </c>
      <c r="BI261" s="1062">
        <v>45.0</v>
      </c>
      <c r="BJ261" s="1062">
        <v>50.0</v>
      </c>
      <c r="BL261" s="1100"/>
      <c r="BM261" s="1054">
        <f>$F$127</f>
        <v>0.03886053138</v>
      </c>
      <c r="BN261" s="1062">
        <v>1.0</v>
      </c>
      <c r="BO261" s="1056">
        <f t="shared" ref="BO261:BR261" si="21">BN261+1</f>
        <v>2</v>
      </c>
      <c r="BP261" s="1056">
        <f t="shared" si="21"/>
        <v>3</v>
      </c>
      <c r="BQ261" s="1056">
        <f t="shared" si="21"/>
        <v>4</v>
      </c>
      <c r="BR261" s="1056">
        <f t="shared" si="21"/>
        <v>5</v>
      </c>
      <c r="BS261" s="1062">
        <v>10.0</v>
      </c>
      <c r="BT261" s="1062">
        <v>15.0</v>
      </c>
      <c r="BU261" s="1062">
        <v>20.0</v>
      </c>
      <c r="BV261" s="1062">
        <v>25.0</v>
      </c>
      <c r="BW261" s="1062">
        <v>30.0</v>
      </c>
      <c r="BX261" s="1062">
        <v>35.0</v>
      </c>
      <c r="BY261" s="1062">
        <v>40.0</v>
      </c>
      <c r="BZ261" s="1062">
        <v>45.0</v>
      </c>
      <c r="CA261" s="1062">
        <v>50.0</v>
      </c>
      <c r="CP261" s="610"/>
      <c r="DH261" s="551"/>
      <c r="DI261" s="543"/>
      <c r="DJ261" s="1581"/>
      <c r="DK261" s="1581"/>
      <c r="DL261" s="1581"/>
      <c r="DM261" s="1581"/>
      <c r="DN261" s="1581"/>
      <c r="DO261" s="1581"/>
      <c r="DP261" s="1581"/>
      <c r="DQ261" s="1581"/>
      <c r="DR261" s="1581"/>
      <c r="DS261" s="1581"/>
      <c r="DT261" s="1581"/>
      <c r="DU261" s="1581"/>
      <c r="DV261" s="1581"/>
      <c r="DW261" s="1581"/>
    </row>
    <row r="262">
      <c r="X262" s="1225" t="s">
        <v>66</v>
      </c>
      <c r="Y262" s="1062">
        <v>524288.0</v>
      </c>
      <c r="Z262" s="1066">
        <v>0.19544890290921133</v>
      </c>
      <c r="AA262" s="590">
        <v>0.2293516009549214</v>
      </c>
      <c r="AB262" s="590">
        <v>0.2632542990006315</v>
      </c>
      <c r="AC262" s="590">
        <v>0.2971569970463416</v>
      </c>
      <c r="AD262" s="590">
        <v>0.3310596950920517</v>
      </c>
      <c r="AE262" s="590">
        <v>0.36496239313776185</v>
      </c>
      <c r="AF262" s="590">
        <v>0.3988650911834719</v>
      </c>
      <c r="AG262" s="610"/>
      <c r="AI262" s="1077">
        <v>1000000.0</v>
      </c>
      <c r="AJ262" s="1571">
        <v>0.09878698911511177</v>
      </c>
      <c r="AK262" s="1572">
        <v>0.10558998221868234</v>
      </c>
      <c r="AL262" s="1573">
        <v>0.11226066278985837</v>
      </c>
      <c r="AM262" s="1574">
        <v>0.11882493622971924</v>
      </c>
      <c r="AN262" s="1575">
        <v>0.12530870793934426</v>
      </c>
      <c r="AO262" s="1576">
        <v>0.12788547894857</v>
      </c>
      <c r="AP262" s="1577">
        <v>0.13045517249079977</v>
      </c>
      <c r="AQ262" s="1578">
        <v>0.13301944651170272</v>
      </c>
      <c r="AR262" s="1579">
        <v>0.13557995895694777</v>
      </c>
      <c r="AS262" s="1580">
        <v>0.13813836777220417</v>
      </c>
      <c r="AT262" s="610"/>
      <c r="AU262" s="1225" t="s">
        <v>66</v>
      </c>
      <c r="AV262" s="1062">
        <v>524288.0</v>
      </c>
      <c r="AW262" s="1266">
        <v>3752.6189358568577</v>
      </c>
      <c r="AX262" s="1266">
        <v>7900.930806518402</v>
      </c>
      <c r="AY262" s="1266">
        <v>12049.25991513424</v>
      </c>
      <c r="AZ262" s="1266">
        <v>16197.60624487043</v>
      </c>
      <c r="BA262" s="1266">
        <v>20345.969778909475</v>
      </c>
      <c r="BB262" s="1266">
        <v>41088.04492618369</v>
      </c>
      <c r="BC262" s="1266">
        <v>61830.54766782877</v>
      </c>
      <c r="BD262" s="1266">
        <v>82573.47592005544</v>
      </c>
      <c r="BE262" s="1266">
        <v>103316.82760922934</v>
      </c>
      <c r="BF262" s="1266">
        <v>124060.6006718215</v>
      </c>
      <c r="BG262" s="1266">
        <v>144804.79305435918</v>
      </c>
      <c r="BH262" s="1266">
        <v>165549.40271337674</v>
      </c>
      <c r="BI262" s="1266">
        <v>186294.4276153669</v>
      </c>
      <c r="BJ262" s="1266">
        <v>207039.86573673232</v>
      </c>
      <c r="BL262" s="1225" t="s">
        <v>66</v>
      </c>
      <c r="BM262" s="1062">
        <v>524288.0</v>
      </c>
      <c r="BN262" s="1073">
        <v>0.19544890290921133</v>
      </c>
      <c r="BO262" s="1073">
        <v>0.20575340641975007</v>
      </c>
      <c r="BP262" s="1073">
        <v>0.20918854019330277</v>
      </c>
      <c r="BQ262" s="1073">
        <v>0.21090633131341707</v>
      </c>
      <c r="BR262" s="1073">
        <v>0.2119371851969737</v>
      </c>
      <c r="BS262" s="1073">
        <v>0.21400023399054005</v>
      </c>
      <c r="BT262" s="1073">
        <v>0.21468940162440545</v>
      </c>
      <c r="BU262" s="1073">
        <v>0.21503509354181105</v>
      </c>
      <c r="BV262" s="1073">
        <v>0.2152433908525611</v>
      </c>
      <c r="BW262" s="1073">
        <v>0.21538298727746788</v>
      </c>
      <c r="BX262" s="1073">
        <v>0.2154833229975583</v>
      </c>
      <c r="BY262" s="1073">
        <v>0.21555911811637596</v>
      </c>
      <c r="BZ262" s="1073">
        <v>0.21561855048074874</v>
      </c>
      <c r="CA262" s="1073">
        <v>0.21566652680909618</v>
      </c>
      <c r="CP262" s="610"/>
      <c r="DI262" s="543"/>
      <c r="DJ262" s="1437"/>
      <c r="DK262" s="1437"/>
      <c r="DL262" s="1437"/>
      <c r="DM262" s="1437"/>
      <c r="DN262" s="1437"/>
      <c r="DO262" s="1437"/>
      <c r="DP262" s="1437"/>
      <c r="DQ262" s="1437"/>
      <c r="DR262" s="1437"/>
      <c r="DS262" s="1437"/>
      <c r="DT262" s="1437"/>
      <c r="DU262" s="1437"/>
      <c r="DV262" s="1437"/>
      <c r="DW262" s="1437"/>
    </row>
    <row r="263">
      <c r="Y263" s="1062">
        <v>1000000.0</v>
      </c>
      <c r="Z263" s="1068">
        <v>0.13557995895694777</v>
      </c>
      <c r="AA263" s="591">
        <v>0.16012813451011668</v>
      </c>
      <c r="AB263" s="591">
        <v>0.1846763100632856</v>
      </c>
      <c r="AC263" s="591">
        <v>0.2092244856164546</v>
      </c>
      <c r="AD263" s="591">
        <v>0.23377266116962347</v>
      </c>
      <c r="AE263" s="591">
        <v>0.2583208367227924</v>
      </c>
      <c r="AF263" s="591">
        <v>0.2828690122759613</v>
      </c>
      <c r="AG263" s="610"/>
      <c r="AI263" s="1056">
        <f t="shared" ref="AI263:AI280" si="22">AI262+500000</f>
        <v>1500000</v>
      </c>
      <c r="AJ263" s="751">
        <v>0.07670871034455712</v>
      </c>
      <c r="AK263" s="752">
        <v>0.0822633309536974</v>
      </c>
      <c r="AL263" s="753">
        <v>0.08770991883252369</v>
      </c>
      <c r="AM263" s="1156">
        <v>0.09306962565244471</v>
      </c>
      <c r="AN263" s="1154">
        <v>0.09836360308486948</v>
      </c>
      <c r="AO263" s="756">
        <v>0.10046752780373597</v>
      </c>
      <c r="AP263" s="757">
        <v>0.10256567379499867</v>
      </c>
      <c r="AQ263" s="758">
        <v>0.10465939476562765</v>
      </c>
      <c r="AR263" s="759">
        <v>0.10675004442259317</v>
      </c>
      <c r="AS263" s="1159">
        <v>0.10883897647286539</v>
      </c>
      <c r="AT263" s="610"/>
      <c r="AV263" s="1603">
        <v>1000000.0</v>
      </c>
      <c r="AW263" s="1604">
        <v>2603.1352119733974</v>
      </c>
      <c r="AX263" s="1604">
        <v>5601.963358751482</v>
      </c>
      <c r="AY263" s="1604">
        <v>8600.80874348386</v>
      </c>
      <c r="AZ263" s="1604">
        <v>11599.67134933659</v>
      </c>
      <c r="BA263" s="1604">
        <v>14598.551159492172</v>
      </c>
      <c r="BB263" s="1604">
        <v>29593.20768734909</v>
      </c>
      <c r="BC263" s="1604">
        <v>44588.29180957686</v>
      </c>
      <c r="BD263" s="1604">
        <v>59583.80144238623</v>
      </c>
      <c r="BE263" s="1604">
        <v>74579.73451214284</v>
      </c>
      <c r="BF263" s="1604">
        <v>89576.0889553177</v>
      </c>
      <c r="BG263" s="1604">
        <v>104572.86271843807</v>
      </c>
      <c r="BH263" s="1604">
        <v>119570.05375803831</v>
      </c>
      <c r="BI263" s="1604">
        <v>134567.6600406112</v>
      </c>
      <c r="BJ263" s="1605">
        <v>149565.67954255932</v>
      </c>
      <c r="BM263" s="1603">
        <v>1000000.0</v>
      </c>
      <c r="BN263" s="1606">
        <v>0.13557995895694777</v>
      </c>
      <c r="BO263" s="1606">
        <v>0.14588446246748651</v>
      </c>
      <c r="BP263" s="1606">
        <v>0.14931959624103924</v>
      </c>
      <c r="BQ263" s="1606">
        <v>0.15103738736115352</v>
      </c>
      <c r="BR263" s="1606">
        <v>0.15206824124471013</v>
      </c>
      <c r="BS263" s="1606">
        <v>0.15413129003827652</v>
      </c>
      <c r="BT263" s="1606">
        <v>0.1548204576721419</v>
      </c>
      <c r="BU263" s="1606">
        <v>0.15516614958954747</v>
      </c>
      <c r="BV263" s="1606">
        <v>0.15537444690029759</v>
      </c>
      <c r="BW263" s="1606">
        <v>0.15551404332520433</v>
      </c>
      <c r="BX263" s="1606">
        <v>0.15561437904529477</v>
      </c>
      <c r="BY263" s="1606">
        <v>0.15569017416411238</v>
      </c>
      <c r="BZ263" s="1606">
        <v>0.15574960652848518</v>
      </c>
      <c r="CA263" s="1607">
        <v>0.15579758285683262</v>
      </c>
      <c r="CP263" s="610"/>
      <c r="DI263" s="543"/>
      <c r="DJ263" s="1581"/>
      <c r="DK263" s="1581"/>
      <c r="DL263" s="1581"/>
      <c r="DM263" s="1581"/>
      <c r="DN263" s="1581"/>
      <c r="DO263" s="1581"/>
      <c r="DP263" s="1581"/>
      <c r="DQ263" s="1581"/>
      <c r="DR263" s="1581"/>
      <c r="DS263" s="1581"/>
      <c r="DT263" s="1581"/>
      <c r="DU263" s="1581"/>
      <c r="DV263" s="1581"/>
      <c r="DW263" s="1581"/>
    </row>
    <row r="264">
      <c r="Y264" s="1056">
        <f t="shared" ref="Y264:Y281" si="23">Y263+500000</f>
        <v>1500000</v>
      </c>
      <c r="Z264" s="1066">
        <v>0.10675004442259317</v>
      </c>
      <c r="AA264" s="590">
        <v>0.12679354582976918</v>
      </c>
      <c r="AB264" s="590">
        <v>0.1468370472369452</v>
      </c>
      <c r="AC264" s="590">
        <v>0.16688054864412125</v>
      </c>
      <c r="AD264" s="590">
        <v>0.18692405005129722</v>
      </c>
      <c r="AE264" s="590">
        <v>0.20696755145847326</v>
      </c>
      <c r="AF264" s="590">
        <v>0.22701105286564924</v>
      </c>
      <c r="AG264" s="610"/>
      <c r="AI264" s="1056">
        <f t="shared" si="22"/>
        <v>2000000</v>
      </c>
      <c r="AJ264" s="740">
        <v>0.06354743789769515</v>
      </c>
      <c r="AK264" s="766">
        <v>0.06835788045359524</v>
      </c>
      <c r="AL264" s="775">
        <v>0.07307476392060316</v>
      </c>
      <c r="AM264" s="799">
        <v>0.0777164061834915</v>
      </c>
      <c r="AN264" s="752">
        <v>0.08230112512703289</v>
      </c>
      <c r="AO264" s="778">
        <v>0.0841231773812213</v>
      </c>
      <c r="AP264" s="779">
        <v>0.08594022511050324</v>
      </c>
      <c r="AQ264" s="780">
        <v>0.0877534406595042</v>
      </c>
      <c r="AR264" s="781">
        <v>0.08956399637284954</v>
      </c>
      <c r="AS264" s="1165">
        <v>0.09137306459516475</v>
      </c>
      <c r="AT264" s="610"/>
      <c r="AV264" s="1608">
        <f t="shared" ref="AV264:AV281" si="24">AV263+500000</f>
        <v>1500000</v>
      </c>
      <c r="AW264" s="1266">
        <v>2049.600852913789</v>
      </c>
      <c r="AX264" s="1266">
        <v>4494.894640632265</v>
      </c>
      <c r="AY264" s="1266">
        <v>6940.205666305033</v>
      </c>
      <c r="AZ264" s="1266">
        <v>9385.533913098156</v>
      </c>
      <c r="BA264" s="1266">
        <v>11830.879364194127</v>
      </c>
      <c r="BB264" s="1266">
        <v>24057.864096753</v>
      </c>
      <c r="BC264" s="1266">
        <v>36285.27642368273</v>
      </c>
      <c r="BD264" s="1266">
        <v>48513.11426119405</v>
      </c>
      <c r="BE264" s="1266">
        <v>60741.3755356526</v>
      </c>
      <c r="BF264" s="1266">
        <v>72970.05818352943</v>
      </c>
      <c r="BG264" s="1266">
        <v>85199.16015135177</v>
      </c>
      <c r="BH264" s="1266">
        <v>97428.67939565395</v>
      </c>
      <c r="BI264" s="1266">
        <v>109658.61388292878</v>
      </c>
      <c r="BJ264" s="1609">
        <v>121888.96158957884</v>
      </c>
      <c r="BM264" s="1608">
        <f t="shared" ref="BM264:BM281" si="25">BM263+500000</f>
        <v>1500000</v>
      </c>
      <c r="BN264" s="1073">
        <v>0.10675004442259317</v>
      </c>
      <c r="BO264" s="1073">
        <v>0.1170545479331319</v>
      </c>
      <c r="BP264" s="1073">
        <v>0.12048968170668461</v>
      </c>
      <c r="BQ264" s="1073">
        <v>0.1222074728267989</v>
      </c>
      <c r="BR264" s="1073">
        <v>0.12323832671035548</v>
      </c>
      <c r="BS264" s="1073">
        <v>0.12530137550392187</v>
      </c>
      <c r="BT264" s="1073">
        <v>0.12599054313778724</v>
      </c>
      <c r="BU264" s="1073">
        <v>0.12633623505519284</v>
      </c>
      <c r="BV264" s="1073">
        <v>0.12654453236594293</v>
      </c>
      <c r="BW264" s="1073">
        <v>0.1266841287908497</v>
      </c>
      <c r="BX264" s="1073">
        <v>0.12678446451094014</v>
      </c>
      <c r="BY264" s="1073">
        <v>0.12686025962975775</v>
      </c>
      <c r="BZ264" s="1073">
        <v>0.12691969199413053</v>
      </c>
      <c r="CA264" s="1610">
        <v>0.12696766832247797</v>
      </c>
      <c r="CP264" s="610"/>
      <c r="DI264" s="543"/>
      <c r="DJ264" s="1581"/>
      <c r="DK264" s="1581"/>
      <c r="DL264" s="1581"/>
      <c r="DM264" s="1581"/>
      <c r="DN264" s="1581"/>
      <c r="DO264" s="1581"/>
      <c r="DP264" s="1581"/>
      <c r="DQ264" s="1581"/>
      <c r="DR264" s="1581"/>
      <c r="DS264" s="1581"/>
      <c r="DT264" s="1581"/>
      <c r="DU264" s="1581"/>
      <c r="DV264" s="1581"/>
      <c r="DW264" s="1581"/>
    </row>
    <row r="265">
      <c r="Y265" s="1056">
        <f t="shared" si="23"/>
        <v>2000000</v>
      </c>
      <c r="Z265" s="1066">
        <v>0.08956399637284954</v>
      </c>
      <c r="AA265" s="590">
        <v>0.10692217777225314</v>
      </c>
      <c r="AB265" s="590">
        <v>0.12428035917165665</v>
      </c>
      <c r="AC265" s="590">
        <v>0.1416385405710602</v>
      </c>
      <c r="AD265" s="590">
        <v>0.15899672197046377</v>
      </c>
      <c r="AE265" s="590">
        <v>0.17635490336986745</v>
      </c>
      <c r="AF265" s="590">
        <v>0.19371308476927096</v>
      </c>
      <c r="AG265" s="610"/>
      <c r="AI265" s="1056">
        <f t="shared" si="22"/>
        <v>2500000</v>
      </c>
      <c r="AJ265" s="795">
        <v>0.05456574645183664</v>
      </c>
      <c r="AK265" s="714">
        <v>0.05886833707457683</v>
      </c>
      <c r="AL265" s="740">
        <v>0.06308724590424668</v>
      </c>
      <c r="AM265" s="1168">
        <v>0.06723885695506837</v>
      </c>
      <c r="AN265" s="1287">
        <v>0.07133955424126417</v>
      </c>
      <c r="AO265" s="798">
        <v>0.07296924732083297</v>
      </c>
      <c r="AP265" s="715">
        <v>0.07459446421724741</v>
      </c>
      <c r="AQ265" s="751">
        <v>0.0762162535074177</v>
      </c>
      <c r="AR265" s="799">
        <v>0.07783566376825403</v>
      </c>
      <c r="AS265" s="1171">
        <v>0.07945374357666668</v>
      </c>
      <c r="AT265" s="610"/>
      <c r="AV265" s="1611">
        <f t="shared" si="24"/>
        <v>2000000</v>
      </c>
      <c r="AW265" s="1612">
        <v>1719.628730358711</v>
      </c>
      <c r="AX265" s="1612">
        <v>3834.9503955221094</v>
      </c>
      <c r="AY265" s="1612">
        <v>5950.289298639801</v>
      </c>
      <c r="AZ265" s="1612">
        <v>8065.645422877843</v>
      </c>
      <c r="BA265" s="1612">
        <v>10181.01875141874</v>
      </c>
      <c r="BB265" s="1612">
        <v>20758.142871202228</v>
      </c>
      <c r="BC265" s="1612">
        <v>31335.694585356563</v>
      </c>
      <c r="BD265" s="1612">
        <v>41913.671810092506</v>
      </c>
      <c r="BE265" s="1612">
        <v>52492.07247177567</v>
      </c>
      <c r="BF265" s="1612">
        <v>63070.894506877106</v>
      </c>
      <c r="BG265" s="1612">
        <v>73650.13586192405</v>
      </c>
      <c r="BH265" s="1612">
        <v>84229.79449345086</v>
      </c>
      <c r="BI265" s="1612">
        <v>94809.86836795029</v>
      </c>
      <c r="BJ265" s="1613">
        <v>105390.35546182498</v>
      </c>
      <c r="BM265" s="1611">
        <f t="shared" si="25"/>
        <v>2000000</v>
      </c>
      <c r="BN265" s="1614">
        <v>0.08956399637284954</v>
      </c>
      <c r="BO265" s="1614">
        <v>0.09986849988338826</v>
      </c>
      <c r="BP265" s="1614">
        <v>0.103303633656941</v>
      </c>
      <c r="BQ265" s="1614">
        <v>0.10502142477705524</v>
      </c>
      <c r="BR265" s="1614">
        <v>0.10605227866061187</v>
      </c>
      <c r="BS265" s="1614">
        <v>0.10811532745417828</v>
      </c>
      <c r="BT265" s="1614">
        <v>0.10880449508804362</v>
      </c>
      <c r="BU265" s="1614">
        <v>0.10915018700544923</v>
      </c>
      <c r="BV265" s="1614">
        <v>0.10935848431619931</v>
      </c>
      <c r="BW265" s="1614">
        <v>0.10949808074110609</v>
      </c>
      <c r="BX265" s="1614">
        <v>0.1095984164611965</v>
      </c>
      <c r="BY265" s="1614">
        <v>0.10967421158001414</v>
      </c>
      <c r="BZ265" s="1614">
        <v>0.10973364394438691</v>
      </c>
      <c r="CA265" s="1615">
        <v>0.10978162027273435</v>
      </c>
      <c r="CP265" s="610"/>
      <c r="DI265" s="543"/>
      <c r="DJ265" s="1581"/>
      <c r="DK265" s="1581"/>
      <c r="DL265" s="1581"/>
      <c r="DM265" s="1581"/>
      <c r="DN265" s="1581"/>
      <c r="DO265" s="1581"/>
      <c r="DP265" s="1581"/>
      <c r="DQ265" s="1581"/>
      <c r="DR265" s="1581"/>
      <c r="DS265" s="1581"/>
      <c r="DT265" s="1581"/>
      <c r="DU265" s="1581"/>
      <c r="DV265" s="1581"/>
      <c r="DW265" s="1581"/>
    </row>
    <row r="266">
      <c r="Y266" s="1056">
        <f t="shared" si="23"/>
        <v>2500000</v>
      </c>
      <c r="Z266" s="1066">
        <v>0.07783566376825403</v>
      </c>
      <c r="AA266" s="590">
        <v>0.09336129319818956</v>
      </c>
      <c r="AB266" s="590">
        <v>0.10888692262812508</v>
      </c>
      <c r="AC266" s="590">
        <v>0.12441255205806061</v>
      </c>
      <c r="AD266" s="590">
        <v>0.13993818148799617</v>
      </c>
      <c r="AE266" s="590">
        <v>0.1554638109179317</v>
      </c>
      <c r="AF266" s="590">
        <v>0.1709894403478672</v>
      </c>
      <c r="AG266" s="610"/>
      <c r="AI266" s="1056">
        <f t="shared" si="22"/>
        <v>3000000</v>
      </c>
      <c r="AJ266" s="764">
        <v>0.04793573726210896</v>
      </c>
      <c r="AK266" s="739">
        <v>0.05186344716175063</v>
      </c>
      <c r="AL266" s="795">
        <v>0.0557147663851971</v>
      </c>
      <c r="AM266" s="714">
        <v>0.05950465142273508</v>
      </c>
      <c r="AN266" s="740">
        <v>0.06324805876465116</v>
      </c>
      <c r="AO266" s="813">
        <v>0.06473575820046769</v>
      </c>
      <c r="AP266" s="814">
        <v>0.06621937145880889</v>
      </c>
      <c r="AQ266" s="766">
        <v>0.06769985575505312</v>
      </c>
      <c r="AR266" s="815">
        <v>0.06917816830457878</v>
      </c>
      <c r="AS266" s="1176">
        <v>0.07065526632276418</v>
      </c>
      <c r="AT266" s="610"/>
      <c r="AV266" s="1056">
        <f t="shared" si="24"/>
        <v>2500000</v>
      </c>
      <c r="AW266" s="1266">
        <v>1494.4447443504773</v>
      </c>
      <c r="AX266" s="1266">
        <v>3384.5824235056425</v>
      </c>
      <c r="AY266" s="1266">
        <v>5274.7373406151</v>
      </c>
      <c r="AZ266" s="1266">
        <v>7164.909478844909</v>
      </c>
      <c r="BA266" s="1266">
        <v>9055.09882137757</v>
      </c>
      <c r="BB266" s="1266">
        <v>18506.30301111989</v>
      </c>
      <c r="BC266" s="1266">
        <v>27957.934795233057</v>
      </c>
      <c r="BD266" s="1266">
        <v>37409.99208992783</v>
      </c>
      <c r="BE266" s="1266">
        <v>46862.47282156982</v>
      </c>
      <c r="BF266" s="1266">
        <v>56315.374926630095</v>
      </c>
      <c r="BG266" s="1266">
        <v>65768.69635163587</v>
      </c>
      <c r="BH266" s="1266">
        <v>75222.4350531215</v>
      </c>
      <c r="BI266" s="1266">
        <v>84676.58899757978</v>
      </c>
      <c r="BJ266" s="1266">
        <v>94131.15616141328</v>
      </c>
      <c r="BM266" s="1056">
        <f t="shared" si="25"/>
        <v>2500000</v>
      </c>
      <c r="BN266" s="1073">
        <v>0.07783566376825403</v>
      </c>
      <c r="BO266" s="1073">
        <v>0.08814016727879277</v>
      </c>
      <c r="BP266" s="1073">
        <v>0.09157530105234549</v>
      </c>
      <c r="BQ266" s="1073">
        <v>0.09329309217245975</v>
      </c>
      <c r="BR266" s="1073">
        <v>0.09432394605601636</v>
      </c>
      <c r="BS266" s="1073">
        <v>0.09638699484958275</v>
      </c>
      <c r="BT266" s="1073">
        <v>0.09707616248344811</v>
      </c>
      <c r="BU266" s="1073">
        <v>0.09742185440085373</v>
      </c>
      <c r="BV266" s="1073">
        <v>0.09763015171160379</v>
      </c>
      <c r="BW266" s="1073">
        <v>0.09776974813651058</v>
      </c>
      <c r="BX266" s="1073">
        <v>0.097870083856601</v>
      </c>
      <c r="BY266" s="1073">
        <v>0.09794587897541862</v>
      </c>
      <c r="BZ266" s="1073">
        <v>0.0980053113397914</v>
      </c>
      <c r="CA266" s="1073">
        <v>0.09805328766813884</v>
      </c>
      <c r="CP266" s="610"/>
      <c r="DI266" s="543"/>
      <c r="DJ266" s="1581"/>
      <c r="DK266" s="1581"/>
      <c r="DL266" s="1581"/>
      <c r="DM266" s="1581"/>
      <c r="DN266" s="1581"/>
      <c r="DO266" s="1581"/>
      <c r="DP266" s="1581"/>
      <c r="DQ266" s="1581"/>
      <c r="DR266" s="1581"/>
      <c r="DS266" s="1581"/>
      <c r="DT266" s="1581"/>
      <c r="DU266" s="1581"/>
      <c r="DV266" s="1581"/>
      <c r="DW266" s="1581"/>
    </row>
    <row r="267">
      <c r="Y267" s="1056">
        <f t="shared" si="23"/>
        <v>3000000</v>
      </c>
      <c r="Z267" s="1066">
        <v>0.06917816830457878</v>
      </c>
      <c r="AA267" s="590">
        <v>0.08335106406831505</v>
      </c>
      <c r="AB267" s="590">
        <v>0.09752395983205135</v>
      </c>
      <c r="AC267" s="590">
        <v>0.1116968555957876</v>
      </c>
      <c r="AD267" s="590">
        <v>0.12586975135952388</v>
      </c>
      <c r="AE267" s="590">
        <v>0.14004264712326014</v>
      </c>
      <c r="AF267" s="590">
        <v>0.1542155428869964</v>
      </c>
      <c r="AG267" s="610"/>
      <c r="AI267" s="1056">
        <f t="shared" si="22"/>
        <v>3500000</v>
      </c>
      <c r="AJ267" s="831">
        <v>0.04278289711782473</v>
      </c>
      <c r="AK267" s="832">
        <v>0.046419249888988594</v>
      </c>
      <c r="AL267" s="833">
        <v>0.049984878636695755</v>
      </c>
      <c r="AM267" s="856">
        <v>0.053493630380275665</v>
      </c>
      <c r="AN267" s="787">
        <v>0.05695935213905772</v>
      </c>
      <c r="AO267" s="836">
        <v>0.058336694179156934</v>
      </c>
      <c r="AP267" s="714">
        <v>0.05971025315401827</v>
      </c>
      <c r="AQ267" s="837">
        <v>0.06108091527287882</v>
      </c>
      <c r="AR267" s="838">
        <v>0.062449566744975676</v>
      </c>
      <c r="AS267" s="740">
        <v>0.0638170937795459</v>
      </c>
      <c r="AT267" s="610"/>
      <c r="AV267" s="1056">
        <f t="shared" si="24"/>
        <v>3000000</v>
      </c>
      <c r="AW267" s="1266">
        <v>1328.2208314479126</v>
      </c>
      <c r="AX267" s="1266">
        <v>3052.1345977005126</v>
      </c>
      <c r="AY267" s="1266">
        <v>4776.065601907405</v>
      </c>
      <c r="AZ267" s="1266">
        <v>6500.013827234649</v>
      </c>
      <c r="BA267" s="1266">
        <v>8223.979256864746</v>
      </c>
      <c r="BB267" s="1266">
        <v>16844.06388209424</v>
      </c>
      <c r="BC267" s="1266">
        <v>25464.576101694587</v>
      </c>
      <c r="BD267" s="1266">
        <v>34085.51383187653</v>
      </c>
      <c r="BE267" s="1266">
        <v>42706.8749990057</v>
      </c>
      <c r="BF267" s="1266">
        <v>51328.657539553154</v>
      </c>
      <c r="BG267" s="1266">
        <v>59950.8594000461</v>
      </c>
      <c r="BH267" s="1266">
        <v>68573.4785370189</v>
      </c>
      <c r="BI267" s="1266">
        <v>77196.51291696435</v>
      </c>
      <c r="BJ267" s="1266">
        <v>85819.96051628503</v>
      </c>
      <c r="BM267" s="1056">
        <f t="shared" si="25"/>
        <v>3000000</v>
      </c>
      <c r="BN267" s="1073">
        <v>0.06917816830457878</v>
      </c>
      <c r="BO267" s="1073">
        <v>0.07948267181511752</v>
      </c>
      <c r="BP267" s="1073">
        <v>0.08291780558867022</v>
      </c>
      <c r="BQ267" s="1073">
        <v>0.0846355967087845</v>
      </c>
      <c r="BR267" s="1073">
        <v>0.08566645059234111</v>
      </c>
      <c r="BS267" s="1073">
        <v>0.0877294993859075</v>
      </c>
      <c r="BT267" s="1073">
        <v>0.08841866701977287</v>
      </c>
      <c r="BU267" s="1073">
        <v>0.08876435893717846</v>
      </c>
      <c r="BV267" s="1073">
        <v>0.08897265624792854</v>
      </c>
      <c r="BW267" s="1073">
        <v>0.08911225267283533</v>
      </c>
      <c r="BX267" s="1073">
        <v>0.08921258839292574</v>
      </c>
      <c r="BY267" s="1073">
        <v>0.08928838351174337</v>
      </c>
      <c r="BZ267" s="1073">
        <v>0.08934781587611615</v>
      </c>
      <c r="CA267" s="1073">
        <v>0.08939579220446357</v>
      </c>
      <c r="CP267" s="610"/>
      <c r="DI267" s="543"/>
      <c r="DJ267" s="1581"/>
      <c r="DK267" s="1581"/>
      <c r="DL267" s="1581"/>
      <c r="DM267" s="1581"/>
      <c r="DN267" s="1581"/>
      <c r="DO267" s="1581"/>
      <c r="DP267" s="1581"/>
      <c r="DQ267" s="1581"/>
      <c r="DR267" s="1581"/>
      <c r="DS267" s="1581"/>
      <c r="DT267" s="1581"/>
      <c r="DU267" s="1581"/>
      <c r="DV267" s="1581"/>
      <c r="DW267" s="1581"/>
    </row>
    <row r="268">
      <c r="Y268" s="1056">
        <f t="shared" si="23"/>
        <v>3500000</v>
      </c>
      <c r="Z268" s="1066">
        <v>0.062449566744975656</v>
      </c>
      <c r="AA268" s="590">
        <v>0.07557111851502399</v>
      </c>
      <c r="AB268" s="590">
        <v>0.08869267028507226</v>
      </c>
      <c r="AC268" s="590">
        <v>0.10181422205512052</v>
      </c>
      <c r="AD268" s="590">
        <v>0.1149357738251688</v>
      </c>
      <c r="AE268" s="590">
        <v>0.12805732559521713</v>
      </c>
      <c r="AF268" s="590">
        <v>0.14117887736526538</v>
      </c>
      <c r="AG268" s="610"/>
      <c r="AI268" s="1056">
        <f t="shared" si="22"/>
        <v>4000000</v>
      </c>
      <c r="AJ268" s="763">
        <v>0.03862931226588921</v>
      </c>
      <c r="AK268" s="852">
        <v>0.0420308088176745</v>
      </c>
      <c r="AL268" s="853">
        <v>0.04536614910326252</v>
      </c>
      <c r="AM268" s="890">
        <v>0.04864828582319295</v>
      </c>
      <c r="AN268" s="739">
        <v>0.05189017167800546</v>
      </c>
      <c r="AO268" s="856">
        <v>0.053178557182618325</v>
      </c>
      <c r="AP268" s="857">
        <v>0.05446340395373322</v>
      </c>
      <c r="AQ268" s="795">
        <v>0.055745540964184694</v>
      </c>
      <c r="AR268" s="787">
        <v>0.05702579718680722</v>
      </c>
      <c r="AS268" s="836">
        <v>0.058305001594435406</v>
      </c>
      <c r="AT268" s="610"/>
      <c r="AV268" s="1056">
        <f t="shared" si="24"/>
        <v>3500000</v>
      </c>
      <c r="AW268" s="1266">
        <v>1199.0316815035326</v>
      </c>
      <c r="AX268" s="1266">
        <v>2793.756297811753</v>
      </c>
      <c r="AY268" s="1266">
        <v>4388.498152074266</v>
      </c>
      <c r="AZ268" s="1266">
        <v>5983.25722745713</v>
      </c>
      <c r="BA268" s="1266">
        <v>7578.033507142847</v>
      </c>
      <c r="BB268" s="1266">
        <v>15552.172382650442</v>
      </c>
      <c r="BC268" s="1266">
        <v>23526.738852528888</v>
      </c>
      <c r="BD268" s="1266">
        <v>31501.73083298893</v>
      </c>
      <c r="BE268" s="1266">
        <v>39477.1462503962</v>
      </c>
      <c r="BF268" s="1266">
        <v>47452.983041221756</v>
      </c>
      <c r="BG268" s="1266">
        <v>55429.239151992806</v>
      </c>
      <c r="BH268" s="1266">
        <v>63405.91253924372</v>
      </c>
      <c r="BI268" s="1266">
        <v>71383.00116946726</v>
      </c>
      <c r="BJ268" s="1266">
        <v>79360.50301906605</v>
      </c>
      <c r="BM268" s="1056">
        <f t="shared" si="25"/>
        <v>3500000</v>
      </c>
      <c r="BN268" s="1073">
        <v>0.062449566744975656</v>
      </c>
      <c r="BO268" s="1073">
        <v>0.0727540702555144</v>
      </c>
      <c r="BP268" s="1073">
        <v>0.07618920402906712</v>
      </c>
      <c r="BQ268" s="1073">
        <v>0.07790699514918138</v>
      </c>
      <c r="BR268" s="1073">
        <v>0.078937849032738</v>
      </c>
      <c r="BS268" s="1073">
        <v>0.08100089782630439</v>
      </c>
      <c r="BT268" s="1073">
        <v>0.08169006546016976</v>
      </c>
      <c r="BU268" s="1073">
        <v>0.08203575737757535</v>
      </c>
      <c r="BV268" s="1073">
        <v>0.08224405468832542</v>
      </c>
      <c r="BW268" s="1073">
        <v>0.08238365111323222</v>
      </c>
      <c r="BX268" s="1073">
        <v>0.08248398683332263</v>
      </c>
      <c r="BY268" s="1073">
        <v>0.08255978195214025</v>
      </c>
      <c r="BZ268" s="1073">
        <v>0.08261921431651303</v>
      </c>
      <c r="CA268" s="1073">
        <v>0.08266719064486047</v>
      </c>
      <c r="CP268" s="610"/>
      <c r="DI268" s="543"/>
      <c r="DJ268" s="1581"/>
      <c r="DK268" s="1581"/>
      <c r="DL268" s="1581"/>
      <c r="DM268" s="1581"/>
      <c r="DN268" s="1581"/>
      <c r="DO268" s="1581"/>
      <c r="DP268" s="1581"/>
      <c r="DQ268" s="1581"/>
      <c r="DR268" s="1581"/>
      <c r="DS268" s="1581"/>
      <c r="DT268" s="1581"/>
      <c r="DU268" s="1581"/>
      <c r="DV268" s="1581"/>
      <c r="DW268" s="1581"/>
    </row>
    <row r="269">
      <c r="Y269" s="1056">
        <f t="shared" si="23"/>
        <v>4000000</v>
      </c>
      <c r="Z269" s="1066">
        <v>0.05702579718680722</v>
      </c>
      <c r="AA269" s="590">
        <v>0.06929988496339166</v>
      </c>
      <c r="AB269" s="590">
        <v>0.08157397273997612</v>
      </c>
      <c r="AC269" s="590">
        <v>0.09384806051656064</v>
      </c>
      <c r="AD269" s="590">
        <v>0.10612214829314508</v>
      </c>
      <c r="AE269" s="590">
        <v>0.11839623606972954</v>
      </c>
      <c r="AF269" s="590">
        <v>0.130670323846314</v>
      </c>
      <c r="AG269" s="610"/>
      <c r="AI269" s="1056">
        <f t="shared" si="22"/>
        <v>4500000</v>
      </c>
      <c r="AJ269" s="867">
        <v>0.03518883707068566</v>
      </c>
      <c r="AK269" s="868">
        <v>0.03839579877461904</v>
      </c>
      <c r="AL269" s="869">
        <v>0.041540387752624336</v>
      </c>
      <c r="AM269" s="1182">
        <v>0.04463481592788322</v>
      </c>
      <c r="AN269" s="1333">
        <v>0.04769129522357745</v>
      </c>
      <c r="AO269" s="872">
        <v>0.048905996726369756</v>
      </c>
      <c r="AP269" s="873">
        <v>0.05011736187922438</v>
      </c>
      <c r="AQ269" s="874">
        <v>0.05132617224522501</v>
      </c>
      <c r="AR269" s="875">
        <v>0.05253320938745525</v>
      </c>
      <c r="AS269" s="1185">
        <v>0.05373925486899871</v>
      </c>
      <c r="AT269" s="610"/>
      <c r="AV269" s="1056">
        <f t="shared" si="24"/>
        <v>4000000</v>
      </c>
      <c r="AW269" s="1266">
        <v>1094.8953059866985</v>
      </c>
      <c r="AX269" s="1266">
        <v>2585.483546778085</v>
      </c>
      <c r="AY269" s="1266">
        <v>4076.0890255237637</v>
      </c>
      <c r="AZ269" s="1266">
        <v>5566.711725389794</v>
      </c>
      <c r="BA269" s="1266">
        <v>7057.351629558678</v>
      </c>
      <c r="BB269" s="1266">
        <v>14510.808627482103</v>
      </c>
      <c r="BC269" s="1266">
        <v>21964.693219776378</v>
      </c>
      <c r="BD269" s="1266">
        <v>29419.003322652254</v>
      </c>
      <c r="BE269" s="1266">
        <v>36873.73686247536</v>
      </c>
      <c r="BF269" s="1266">
        <v>44328.89177571674</v>
      </c>
      <c r="BG269" s="1266">
        <v>51784.46600890362</v>
      </c>
      <c r="BH269" s="1266">
        <v>59240.457518570365</v>
      </c>
      <c r="BI269" s="1266">
        <v>66696.86427120974</v>
      </c>
      <c r="BJ269" s="1266">
        <v>74153.68424322436</v>
      </c>
      <c r="BM269" s="1056">
        <f t="shared" si="25"/>
        <v>4000000</v>
      </c>
      <c r="BN269" s="1073">
        <v>0.05702579718680722</v>
      </c>
      <c r="BO269" s="1073">
        <v>0.06733030069734597</v>
      </c>
      <c r="BP269" s="1073">
        <v>0.07076543447089867</v>
      </c>
      <c r="BQ269" s="1073">
        <v>0.07248322559101295</v>
      </c>
      <c r="BR269" s="1073">
        <v>0.07351407947456956</v>
      </c>
      <c r="BS269" s="1073">
        <v>0.07557712826813595</v>
      </c>
      <c r="BT269" s="1073">
        <v>0.07626629590200132</v>
      </c>
      <c r="BU269" s="1073">
        <v>0.07661198781940691</v>
      </c>
      <c r="BV269" s="1073">
        <v>0.076820285130157</v>
      </c>
      <c r="BW269" s="1073">
        <v>0.07695988155506378</v>
      </c>
      <c r="BX269" s="1073">
        <v>0.07706021727515419</v>
      </c>
      <c r="BY269" s="1073">
        <v>0.07713601239397183</v>
      </c>
      <c r="BZ269" s="1073">
        <v>0.0771954447583446</v>
      </c>
      <c r="CA269" s="1073">
        <v>0.07724342108669204</v>
      </c>
      <c r="CP269" s="610"/>
      <c r="DI269" s="543"/>
      <c r="DJ269" s="1437"/>
      <c r="DK269" s="1437"/>
      <c r="DL269" s="1437"/>
      <c r="DM269" s="1437"/>
      <c r="DN269" s="1437"/>
      <c r="DO269" s="1437"/>
      <c r="DP269" s="1437"/>
      <c r="DQ269" s="1437"/>
      <c r="DR269" s="1437"/>
      <c r="DS269" s="1437"/>
      <c r="DT269" s="1437"/>
      <c r="DU269" s="1437"/>
      <c r="DV269" s="1437"/>
      <c r="DW269" s="1437"/>
    </row>
    <row r="270">
      <c r="Y270" s="1056">
        <f t="shared" si="23"/>
        <v>4500000</v>
      </c>
      <c r="Z270" s="1068">
        <v>0.05253320938745525</v>
      </c>
      <c r="AA270" s="591">
        <v>0.06410533032039095</v>
      </c>
      <c r="AB270" s="591">
        <v>0.07567745125332664</v>
      </c>
      <c r="AC270" s="591">
        <v>0.08724957218626239</v>
      </c>
      <c r="AD270" s="591">
        <v>0.0988216931191981</v>
      </c>
      <c r="AE270" s="591">
        <v>0.11039381405213386</v>
      </c>
      <c r="AF270" s="591">
        <v>0.12196593498506952</v>
      </c>
      <c r="AG270" s="610"/>
      <c r="AI270" s="1056">
        <f t="shared" si="22"/>
        <v>5000000</v>
      </c>
      <c r="AJ270" s="887">
        <v>0.03227829733799745</v>
      </c>
      <c r="AK270" s="844">
        <v>0.03532068834400668</v>
      </c>
      <c r="AL270" s="763">
        <v>0.038303907386674024</v>
      </c>
      <c r="AM270" s="916">
        <v>0.041239539713559065</v>
      </c>
      <c r="AN270" s="853">
        <v>0.04413917057222139</v>
      </c>
      <c r="AO270" s="853">
        <v>0.04529153760003727</v>
      </c>
      <c r="AP270" s="832">
        <v>0.0464407394883909</v>
      </c>
      <c r="AQ270" s="786">
        <v>0.047587517693126004</v>
      </c>
      <c r="AR270" s="890">
        <v>0.048732613670086466</v>
      </c>
      <c r="AS270" s="890">
        <v>0.04987676887511606</v>
      </c>
      <c r="AT270" s="610"/>
      <c r="AV270" s="1056">
        <f t="shared" si="24"/>
        <v>4500000</v>
      </c>
      <c r="AW270" s="1359">
        <v>1008.6376202391408</v>
      </c>
      <c r="AX270" s="1359">
        <v>2412.9681752829692</v>
      </c>
      <c r="AY270" s="1359">
        <v>3817.315968281089</v>
      </c>
      <c r="AZ270" s="1359">
        <v>5221.680982399563</v>
      </c>
      <c r="BA270" s="1359">
        <v>6626.063200820888</v>
      </c>
      <c r="BB270" s="1359">
        <v>13648.231770006523</v>
      </c>
      <c r="BC270" s="1359">
        <v>20670.82793356301</v>
      </c>
      <c r="BD270" s="1359">
        <v>27693.849607701093</v>
      </c>
      <c r="BE270" s="1359">
        <v>34717.294718786405</v>
      </c>
      <c r="BF270" s="1359">
        <v>41741.16120329</v>
      </c>
      <c r="BG270" s="1359">
        <v>48765.44700773909</v>
      </c>
      <c r="BH270" s="1359">
        <v>55790.150088668044</v>
      </c>
      <c r="BI270" s="1359">
        <v>62815.26841256962</v>
      </c>
      <c r="BJ270" s="1359">
        <v>69840.79995584645</v>
      </c>
      <c r="BM270" s="1056">
        <f t="shared" si="25"/>
        <v>4500000</v>
      </c>
      <c r="BN270" s="594">
        <v>0.05253320938745525</v>
      </c>
      <c r="BO270" s="594">
        <v>0.06283771289799399</v>
      </c>
      <c r="BP270" s="594">
        <v>0.06627284667154669</v>
      </c>
      <c r="BQ270" s="594">
        <v>0.06799063779166098</v>
      </c>
      <c r="BR270" s="594">
        <v>0.06902149167521758</v>
      </c>
      <c r="BS270" s="594">
        <v>0.07108454046878397</v>
      </c>
      <c r="BT270" s="594">
        <v>0.07177370810264934</v>
      </c>
      <c r="BU270" s="594">
        <v>0.07211940002005493</v>
      </c>
      <c r="BV270" s="594">
        <v>0.072327697330805</v>
      </c>
      <c r="BW270" s="594">
        <v>0.0724672937557118</v>
      </c>
      <c r="BX270" s="594">
        <v>0.07256762947580221</v>
      </c>
      <c r="BY270" s="594">
        <v>0.07264342459461985</v>
      </c>
      <c r="BZ270" s="594">
        <v>0.07270285695899262</v>
      </c>
      <c r="CA270" s="594">
        <v>0.07275083328734006</v>
      </c>
      <c r="CP270" s="610"/>
      <c r="DI270" s="543"/>
      <c r="DJ270" s="1581"/>
      <c r="DK270" s="1581"/>
      <c r="DL270" s="1581"/>
      <c r="DM270" s="1581"/>
      <c r="DN270" s="1581"/>
      <c r="DO270" s="1581"/>
      <c r="DP270" s="1581"/>
      <c r="DQ270" s="1581"/>
      <c r="DR270" s="1581"/>
      <c r="DS270" s="1581"/>
      <c r="DT270" s="1581"/>
      <c r="DU270" s="1581"/>
      <c r="DV270" s="1581"/>
      <c r="DW270" s="1581"/>
    </row>
    <row r="271">
      <c r="Y271" s="1056">
        <f t="shared" si="23"/>
        <v>5000000</v>
      </c>
      <c r="Z271" s="1066">
        <v>0.048732613670086466</v>
      </c>
      <c r="AA271" s="590">
        <v>0.059710891522183306</v>
      </c>
      <c r="AB271" s="590">
        <v>0.07068916937428014</v>
      </c>
      <c r="AC271" s="590">
        <v>0.08166744722637699</v>
      </c>
      <c r="AD271" s="590">
        <v>0.09264572507847381</v>
      </c>
      <c r="AE271" s="590">
        <v>0.10362400293057068</v>
      </c>
      <c r="AF271" s="590">
        <v>0.1146022807826675</v>
      </c>
      <c r="AG271" s="610"/>
      <c r="AI271" s="1056">
        <f t="shared" si="22"/>
        <v>5500000</v>
      </c>
      <c r="AJ271" s="804">
        <v>0.029774274610840947</v>
      </c>
      <c r="AK271" s="821">
        <v>0.03267508061692798</v>
      </c>
      <c r="AL271" s="902">
        <v>0.03551946836963637</v>
      </c>
      <c r="AM271" s="763">
        <v>0.03831848396910123</v>
      </c>
      <c r="AN271" s="822">
        <v>0.04108317351545783</v>
      </c>
      <c r="AO271" s="852">
        <v>0.04218191236556043</v>
      </c>
      <c r="AP271" s="831">
        <v>0.04327763337359598</v>
      </c>
      <c r="AQ271" s="853">
        <v>0.04437104348997313</v>
      </c>
      <c r="AR271" s="853">
        <v>0.04546284966510056</v>
      </c>
      <c r="AS271" s="832">
        <v>0.046553758849386895</v>
      </c>
      <c r="AT271" s="610"/>
      <c r="AV271" s="1056">
        <f t="shared" si="24"/>
        <v>5000000</v>
      </c>
      <c r="AW271" s="1369">
        <v>935.6661824656602</v>
      </c>
      <c r="AX271" s="1369">
        <v>2267.025299736008</v>
      </c>
      <c r="AY271" s="1369">
        <v>3598.401654960648</v>
      </c>
      <c r="AZ271" s="1369">
        <v>4929.79523130564</v>
      </c>
      <c r="BA271" s="1369">
        <v>6261.206011953484</v>
      </c>
      <c r="BB271" s="1369">
        <v>12918.517392271717</v>
      </c>
      <c r="BC271" s="1369">
        <v>19576.2563669608</v>
      </c>
      <c r="BD271" s="1369">
        <v>26234.42085223148</v>
      </c>
      <c r="BE271" s="1369">
        <v>32893.008774449394</v>
      </c>
      <c r="BF271" s="1369">
        <v>39552.01807008558</v>
      </c>
      <c r="BG271" s="1369">
        <v>46211.446685667266</v>
      </c>
      <c r="BH271" s="1369">
        <v>52871.29257772882</v>
      </c>
      <c r="BI271" s="1369">
        <v>59531.553712762994</v>
      </c>
      <c r="BJ271" s="1369">
        <v>66192.22806717243</v>
      </c>
      <c r="BM271" s="1056">
        <f t="shared" si="25"/>
        <v>5000000</v>
      </c>
      <c r="BN271" s="577">
        <v>0.048732613670086466</v>
      </c>
      <c r="BO271" s="577">
        <v>0.05903711718062521</v>
      </c>
      <c r="BP271" s="577">
        <v>0.06247225095417792</v>
      </c>
      <c r="BQ271" s="577">
        <v>0.06419004207429219</v>
      </c>
      <c r="BR271" s="577">
        <v>0.0652208959578488</v>
      </c>
      <c r="BS271" s="577">
        <v>0.06728394475141519</v>
      </c>
      <c r="BT271" s="577">
        <v>0.06797311238528055</v>
      </c>
      <c r="BU271" s="577">
        <v>0.06831880430268615</v>
      </c>
      <c r="BV271" s="577">
        <v>0.06852710161343624</v>
      </c>
      <c r="BW271" s="577">
        <v>0.06866669803834302</v>
      </c>
      <c r="BX271" s="577">
        <v>0.06876703375843343</v>
      </c>
      <c r="BY271" s="577">
        <v>0.06884282887725107</v>
      </c>
      <c r="BZ271" s="577">
        <v>0.06890226124162384</v>
      </c>
      <c r="CA271" s="577">
        <v>0.06895023756997128</v>
      </c>
      <c r="CP271" s="610"/>
      <c r="DI271" s="543"/>
      <c r="DJ271" s="1581"/>
      <c r="DK271" s="1581"/>
      <c r="DL271" s="1581"/>
      <c r="DM271" s="1581"/>
      <c r="DN271" s="1581"/>
      <c r="DO271" s="1581"/>
      <c r="DP271" s="1581"/>
      <c r="DQ271" s="1581"/>
      <c r="DR271" s="1581"/>
      <c r="DS271" s="1581"/>
      <c r="DT271" s="1581"/>
      <c r="DU271" s="1581"/>
      <c r="DV271" s="1581"/>
      <c r="DW271" s="1581"/>
    </row>
    <row r="272">
      <c r="Y272" s="1056">
        <f t="shared" si="23"/>
        <v>5500000</v>
      </c>
      <c r="Z272" s="1066">
        <v>0.04546284966510056</v>
      </c>
      <c r="AA272" s="590">
        <v>0.055930226891418355</v>
      </c>
      <c r="AB272" s="590">
        <v>0.06639760411773615</v>
      </c>
      <c r="AC272" s="590">
        <v>0.07686498134405392</v>
      </c>
      <c r="AD272" s="590">
        <v>0.08733235857037175</v>
      </c>
      <c r="AE272" s="590">
        <v>0.09779973579668952</v>
      </c>
      <c r="AF272" s="590">
        <v>0.10826711302300734</v>
      </c>
      <c r="AG272" s="610"/>
      <c r="AI272" s="1056">
        <f t="shared" si="22"/>
        <v>6000000</v>
      </c>
      <c r="AJ272" s="843">
        <v>0.027590172880611892</v>
      </c>
      <c r="AK272" s="804">
        <v>0.03036748318518203</v>
      </c>
      <c r="AL272" s="914">
        <v>0.033090777124595176</v>
      </c>
      <c r="AM272" s="902">
        <v>0.03577063053455568</v>
      </c>
      <c r="AN272" s="763">
        <v>0.038417619250768066</v>
      </c>
      <c r="AO272" s="763">
        <v>0.03946958161020132</v>
      </c>
      <c r="AP272" s="822">
        <v>0.04051865460583267</v>
      </c>
      <c r="AQ272" s="916">
        <v>0.04156551509114715</v>
      </c>
      <c r="AR272" s="852">
        <v>0.04261083991962992</v>
      </c>
      <c r="AS272" s="831">
        <v>0.04365530594476602</v>
      </c>
      <c r="AT272" s="610"/>
      <c r="AV272" s="1056">
        <f t="shared" si="24"/>
        <v>5500000</v>
      </c>
      <c r="AW272" s="1369">
        <v>872.8867135699307</v>
      </c>
      <c r="AX272" s="1369">
        <v>2141.466361944549</v>
      </c>
      <c r="AY272" s="1369">
        <v>3410.0632482734595</v>
      </c>
      <c r="AZ272" s="1369">
        <v>4678.6773557227225</v>
      </c>
      <c r="BA272" s="1369">
        <v>5947.308667474837</v>
      </c>
      <c r="BB272" s="1369">
        <v>12290.722703314423</v>
      </c>
      <c r="BC272" s="1369">
        <v>18634.56433352486</v>
      </c>
      <c r="BD272" s="1369">
        <v>24978.831474316892</v>
      </c>
      <c r="BE272" s="1369">
        <v>31323.52205205616</v>
      </c>
      <c r="BF272" s="1369">
        <v>37668.6340032137</v>
      </c>
      <c r="BG272" s="1369">
        <v>44014.165274316736</v>
      </c>
      <c r="BH272" s="1369">
        <v>50360.11382189964</v>
      </c>
      <c r="BI272" s="1369">
        <v>56706.47761245517</v>
      </c>
      <c r="BJ272" s="1369">
        <v>63053.25462238595</v>
      </c>
      <c r="BM272" s="1056">
        <f t="shared" si="25"/>
        <v>5500000</v>
      </c>
      <c r="BN272" s="577">
        <v>0.04546284966510056</v>
      </c>
      <c r="BO272" s="577">
        <v>0.0557673531756393</v>
      </c>
      <c r="BP272" s="577">
        <v>0.05920248694919201</v>
      </c>
      <c r="BQ272" s="577">
        <v>0.060920278069306284</v>
      </c>
      <c r="BR272" s="577">
        <v>0.06195113195286289</v>
      </c>
      <c r="BS272" s="577">
        <v>0.06401418074642928</v>
      </c>
      <c r="BT272" s="577">
        <v>0.06470334838029465</v>
      </c>
      <c r="BU272" s="577">
        <v>0.06504904029770024</v>
      </c>
      <c r="BV272" s="577">
        <v>0.06525733760845033</v>
      </c>
      <c r="BW272" s="577">
        <v>0.06539693403335713</v>
      </c>
      <c r="BX272" s="577">
        <v>0.06549726975344752</v>
      </c>
      <c r="BY272" s="577">
        <v>0.06557306487226516</v>
      </c>
      <c r="BZ272" s="577">
        <v>0.06563249723663793</v>
      </c>
      <c r="CA272" s="577">
        <v>0.06568047356498537</v>
      </c>
      <c r="CP272" s="610"/>
      <c r="DI272" s="543"/>
      <c r="DJ272" s="1581"/>
      <c r="DK272" s="1581"/>
      <c r="DL272" s="1581"/>
      <c r="DM272" s="1581"/>
      <c r="DN272" s="1581"/>
      <c r="DO272" s="1581"/>
      <c r="DP272" s="1581"/>
      <c r="DQ272" s="1581"/>
      <c r="DR272" s="1581"/>
      <c r="DS272" s="1581"/>
      <c r="DT272" s="1581"/>
      <c r="DU272" s="1581"/>
      <c r="DV272" s="1581"/>
      <c r="DW272" s="1581"/>
    </row>
    <row r="273">
      <c r="Y273" s="1056">
        <f t="shared" si="23"/>
        <v>6000000</v>
      </c>
      <c r="Z273" s="1066">
        <v>0.04261083991962992</v>
      </c>
      <c r="AA273" s="590">
        <v>0.05263259062321792</v>
      </c>
      <c r="AB273" s="590">
        <v>0.06265434132680593</v>
      </c>
      <c r="AC273" s="590">
        <v>0.07267609203039394</v>
      </c>
      <c r="AD273" s="590">
        <v>0.08269784273398194</v>
      </c>
      <c r="AE273" s="590">
        <v>0.09271959343756997</v>
      </c>
      <c r="AF273" s="590">
        <v>0.10274134414115797</v>
      </c>
      <c r="AG273" s="610"/>
      <c r="AI273" s="1056">
        <f t="shared" si="22"/>
        <v>6500000</v>
      </c>
      <c r="AJ273" s="820">
        <v>0.025663199746912002</v>
      </c>
      <c r="AK273" s="762">
        <v>0.02833155317659997</v>
      </c>
      <c r="AL273" s="804">
        <v>0.030948009361320816</v>
      </c>
      <c r="AM273" s="1192">
        <v>0.03352272923535229</v>
      </c>
      <c r="AN273" s="902">
        <v>0.036065873732972195</v>
      </c>
      <c r="AO273" s="931">
        <v>0.03707656647590315</v>
      </c>
      <c r="AP273" s="932">
        <v>0.03808448320788645</v>
      </c>
      <c r="AQ273" s="763">
        <v>0.0390902742287159</v>
      </c>
      <c r="AR273" s="738">
        <v>0.040094589838185285</v>
      </c>
      <c r="AS273" s="822">
        <v>0.04109808033608837</v>
      </c>
      <c r="AT273" s="610"/>
      <c r="AV273" s="1056">
        <f t="shared" si="24"/>
        <v>6000000</v>
      </c>
      <c r="AW273" s="1369">
        <v>818.1281264568944</v>
      </c>
      <c r="AX273" s="1369">
        <v>2031.9491877184764</v>
      </c>
      <c r="AY273" s="1369">
        <v>3245.7874869343505</v>
      </c>
      <c r="AZ273" s="1369">
        <v>4459.643007270577</v>
      </c>
      <c r="BA273" s="1369">
        <v>5673.515731909655</v>
      </c>
      <c r="BB273" s="1369">
        <v>11743.136832184058</v>
      </c>
      <c r="BC273" s="1369">
        <v>17813.18552682931</v>
      </c>
      <c r="BD273" s="1369">
        <v>23883.659732056163</v>
      </c>
      <c r="BE273" s="1369">
        <v>29954.557374230248</v>
      </c>
      <c r="BF273" s="1369">
        <v>36025.8763898226</v>
      </c>
      <c r="BG273" s="1369">
        <v>42097.614725360465</v>
      </c>
      <c r="BH273" s="1369">
        <v>48169.770337378184</v>
      </c>
      <c r="BI273" s="1369">
        <v>54242.341192368534</v>
      </c>
      <c r="BJ273" s="1369">
        <v>60315.32526673413</v>
      </c>
      <c r="BM273" s="1056">
        <f t="shared" si="25"/>
        <v>6000000</v>
      </c>
      <c r="BN273" s="577">
        <v>0.04261083991962992</v>
      </c>
      <c r="BO273" s="577">
        <v>0.052915343430168654</v>
      </c>
      <c r="BP273" s="577">
        <v>0.05635047720372136</v>
      </c>
      <c r="BQ273" s="577">
        <v>0.05806826832383564</v>
      </c>
      <c r="BR273" s="577">
        <v>0.05909912220739224</v>
      </c>
      <c r="BS273" s="577">
        <v>0.06116217100095864</v>
      </c>
      <c r="BT273" s="577">
        <v>0.061851338634824</v>
      </c>
      <c r="BU273" s="577">
        <v>0.06219703055222959</v>
      </c>
      <c r="BV273" s="577">
        <v>0.062405327862979684</v>
      </c>
      <c r="BW273" s="577">
        <v>0.06254492428788647</v>
      </c>
      <c r="BX273" s="577">
        <v>0.06264526000797688</v>
      </c>
      <c r="BY273" s="577">
        <v>0.06272105512679452</v>
      </c>
      <c r="BZ273" s="577">
        <v>0.06278048749116728</v>
      </c>
      <c r="CA273" s="577">
        <v>0.06282846381951472</v>
      </c>
      <c r="CP273" s="610"/>
      <c r="DI273" s="543"/>
      <c r="DJ273" s="1581"/>
      <c r="DK273" s="1581"/>
      <c r="DL273" s="1581"/>
      <c r="DM273" s="1581"/>
      <c r="DN273" s="1581"/>
      <c r="DO273" s="1581"/>
      <c r="DP273" s="1581"/>
      <c r="DQ273" s="1581"/>
      <c r="DR273" s="1581"/>
      <c r="DS273" s="1581"/>
      <c r="DT273" s="1581"/>
      <c r="DU273" s="1581"/>
      <c r="DV273" s="1581"/>
      <c r="DW273" s="1581"/>
    </row>
    <row r="274">
      <c r="Y274" s="1056">
        <f t="shared" si="23"/>
        <v>6500000</v>
      </c>
      <c r="Z274" s="1066">
        <v>0.040094589838185285</v>
      </c>
      <c r="AA274" s="590">
        <v>0.049723176466547565</v>
      </c>
      <c r="AB274" s="590">
        <v>0.059351763094909867</v>
      </c>
      <c r="AC274" s="590">
        <v>0.0689803497232721</v>
      </c>
      <c r="AD274" s="590">
        <v>0.07860893635163442</v>
      </c>
      <c r="AE274" s="590">
        <v>0.08823752297999671</v>
      </c>
      <c r="AF274" s="590">
        <v>0.09786610960835901</v>
      </c>
      <c r="AG274" s="610"/>
      <c r="AI274" s="1056">
        <f t="shared" si="22"/>
        <v>7000000</v>
      </c>
      <c r="AJ274" s="944">
        <v>0.023946564672218257</v>
      </c>
      <c r="AK274" s="880">
        <v>0.026517854375494712</v>
      </c>
      <c r="AL274" s="762">
        <v>0.029039134642192148</v>
      </c>
      <c r="AM274" s="887">
        <v>0.03152019679357762</v>
      </c>
      <c r="AN274" s="844">
        <v>0.03397083215091819</v>
      </c>
      <c r="AO274" s="844">
        <v>0.034944760047485646</v>
      </c>
      <c r="AP274" s="902">
        <v>0.035916012912969746</v>
      </c>
      <c r="AQ274" s="931">
        <v>0.03688521739193154</v>
      </c>
      <c r="AR274" s="932">
        <v>0.037853000128932196</v>
      </c>
      <c r="AS274" s="763">
        <v>0.03881998776853273</v>
      </c>
      <c r="AT274" s="610"/>
      <c r="AV274" s="1056">
        <f t="shared" si="24"/>
        <v>6500000</v>
      </c>
      <c r="AW274" s="1369">
        <v>769.8161248931575</v>
      </c>
      <c r="AX274" s="1369">
        <v>1935.3251845910027</v>
      </c>
      <c r="AY274" s="1369">
        <v>3100.85148224314</v>
      </c>
      <c r="AZ274" s="1369">
        <v>4266.3950010156295</v>
      </c>
      <c r="BA274" s="1369">
        <v>5431.955724090972</v>
      </c>
      <c r="BB274" s="1369">
        <v>11260.016816546691</v>
      </c>
      <c r="BC274" s="1369">
        <v>17088.50550337326</v>
      </c>
      <c r="BD274" s="1369">
        <v>22917.41970078143</v>
      </c>
      <c r="BE274" s="1369">
        <v>28746.757335136826</v>
      </c>
      <c r="BF274" s="1369">
        <v>34576.5163429105</v>
      </c>
      <c r="BG274" s="1369">
        <v>40406.69467062967</v>
      </c>
      <c r="BH274" s="1369">
        <v>46237.290274828716</v>
      </c>
      <c r="BI274" s="1369">
        <v>52068.301122000375</v>
      </c>
      <c r="BJ274" s="1369">
        <v>57899.72518854729</v>
      </c>
      <c r="BM274" s="1056">
        <f t="shared" si="25"/>
        <v>6500000</v>
      </c>
      <c r="BN274" s="577">
        <v>0.040094589838185285</v>
      </c>
      <c r="BO274" s="577">
        <v>0.05039909334872403</v>
      </c>
      <c r="BP274" s="577">
        <v>0.053834227122276736</v>
      </c>
      <c r="BQ274" s="577">
        <v>0.05555201824239101</v>
      </c>
      <c r="BR274" s="577">
        <v>0.05658287212594762</v>
      </c>
      <c r="BS274" s="577">
        <v>0.05864592091951402</v>
      </c>
      <c r="BT274" s="577">
        <v>0.05933508855337938</v>
      </c>
      <c r="BU274" s="577">
        <v>0.05968078047078497</v>
      </c>
      <c r="BV274" s="577">
        <v>0.05988907778153506</v>
      </c>
      <c r="BW274" s="577">
        <v>0.06002867420644184</v>
      </c>
      <c r="BX274" s="577">
        <v>0.06012900992653225</v>
      </c>
      <c r="BY274" s="577">
        <v>0.06020480504534989</v>
      </c>
      <c r="BZ274" s="577">
        <v>0.06026423740972266</v>
      </c>
      <c r="CA274" s="577">
        <v>0.06031221373807009</v>
      </c>
      <c r="CP274" s="610"/>
      <c r="DI274" s="543"/>
      <c r="DJ274" s="1581"/>
      <c r="DK274" s="1581"/>
      <c r="DL274" s="1581"/>
      <c r="DM274" s="1581"/>
      <c r="DN274" s="1581"/>
      <c r="DO274" s="1581"/>
      <c r="DP274" s="1581"/>
      <c r="DQ274" s="1581"/>
      <c r="DR274" s="1581"/>
      <c r="DS274" s="1581"/>
      <c r="DT274" s="1581"/>
      <c r="DU274" s="1581"/>
      <c r="DV274" s="1581"/>
      <c r="DW274" s="1581"/>
    </row>
    <row r="275">
      <c r="Y275" s="1056">
        <f t="shared" si="23"/>
        <v>7000000</v>
      </c>
      <c r="Z275" s="1066">
        <v>0.03785300012893218</v>
      </c>
      <c r="AA275" s="590">
        <v>0.047131338365223666</v>
      </c>
      <c r="AB275" s="590">
        <v>0.05640967660151515</v>
      </c>
      <c r="AC275" s="590">
        <v>0.06568801483780665</v>
      </c>
      <c r="AD275" s="590">
        <v>0.07496635307409813</v>
      </c>
      <c r="AE275" s="590">
        <v>0.08424469131038959</v>
      </c>
      <c r="AF275" s="590">
        <v>0.09352302954668107</v>
      </c>
      <c r="AG275" s="610"/>
      <c r="AI275" s="1056">
        <f t="shared" si="22"/>
        <v>7500000</v>
      </c>
      <c r="AJ275" s="803">
        <v>0.022404590906567313</v>
      </c>
      <c r="AK275" s="956">
        <v>0.024888692760819106</v>
      </c>
      <c r="AL275" s="843">
        <v>0.02732448090931549</v>
      </c>
      <c r="AM275" s="804">
        <v>0.02972141466707803</v>
      </c>
      <c r="AN275" s="887">
        <v>0.03208895334912832</v>
      </c>
      <c r="AO275" s="914">
        <v>0.03302985708731386</v>
      </c>
      <c r="AP275" s="844">
        <v>0.03396817649995027</v>
      </c>
      <c r="AQ275" s="844">
        <v>0.03490451698319894</v>
      </c>
      <c r="AR275" s="902">
        <v>0.03583948393322124</v>
      </c>
      <c r="AS275" s="1200">
        <v>0.03677368274617856</v>
      </c>
      <c r="AT275" s="610"/>
      <c r="AV275" s="1056">
        <f t="shared" si="24"/>
        <v>7000000</v>
      </c>
      <c r="AW275" s="1369">
        <v>726.7776024754979</v>
      </c>
      <c r="AX275" s="1369">
        <v>1849.2481397556835</v>
      </c>
      <c r="AY275" s="1369">
        <v>2971.7359149901617</v>
      </c>
      <c r="AZ275" s="1369">
        <v>4094.240911344991</v>
      </c>
      <c r="BA275" s="1369">
        <v>5216.7631120026745</v>
      </c>
      <c r="BB275" s="1369">
        <v>10829.631592370097</v>
      </c>
      <c r="BC275" s="1369">
        <v>16442.927667108368</v>
      </c>
      <c r="BD275" s="1369">
        <v>22056.64925242824</v>
      </c>
      <c r="BE275" s="1369">
        <v>27670.79427469534</v>
      </c>
      <c r="BF275" s="1369">
        <v>33285.360670380716</v>
      </c>
      <c r="BG275" s="1369">
        <v>38900.346386011595</v>
      </c>
      <c r="BH275" s="1369">
        <v>44515.74937812234</v>
      </c>
      <c r="BI275" s="1369">
        <v>50131.5676132057</v>
      </c>
      <c r="BJ275" s="1369">
        <v>55747.79906766432</v>
      </c>
      <c r="BM275" s="1056">
        <f t="shared" si="25"/>
        <v>7000000</v>
      </c>
      <c r="BN275" s="577">
        <v>0.03785300012893218</v>
      </c>
      <c r="BO275" s="577">
        <v>0.048157503639470925</v>
      </c>
      <c r="BP275" s="577">
        <v>0.05159263741302364</v>
      </c>
      <c r="BQ275" s="577">
        <v>0.05331042853313791</v>
      </c>
      <c r="BR275" s="577">
        <v>0.054341282416694524</v>
      </c>
      <c r="BS275" s="577">
        <v>0.05640433121026092</v>
      </c>
      <c r="BT275" s="577">
        <v>0.057093498844126275</v>
      </c>
      <c r="BU275" s="577">
        <v>0.05743919076153187</v>
      </c>
      <c r="BV275" s="577">
        <v>0.05764748807228196</v>
      </c>
      <c r="BW275" s="577">
        <v>0.057787084497188744</v>
      </c>
      <c r="BX275" s="577">
        <v>0.05788742021727916</v>
      </c>
      <c r="BY275" s="577">
        <v>0.057963215336096795</v>
      </c>
      <c r="BZ275" s="577">
        <v>0.05802264770046956</v>
      </c>
      <c r="CA275" s="577">
        <v>0.058070624028817</v>
      </c>
      <c r="CP275" s="610"/>
      <c r="DI275" s="543"/>
      <c r="DJ275" s="1581"/>
      <c r="DK275" s="1581"/>
      <c r="DL275" s="1581"/>
      <c r="DM275" s="1581"/>
      <c r="DN275" s="1581"/>
      <c r="DO275" s="1581"/>
      <c r="DP275" s="1581"/>
      <c r="DQ275" s="1581"/>
      <c r="DR275" s="1581"/>
      <c r="DS275" s="1581"/>
      <c r="DT275" s="1581"/>
      <c r="DU275" s="1581"/>
      <c r="DV275" s="1581"/>
      <c r="DW275" s="1581"/>
    </row>
    <row r="276">
      <c r="Y276" s="1056">
        <f t="shared" si="23"/>
        <v>7500000</v>
      </c>
      <c r="Z276" s="1066">
        <v>0.03583948393322123</v>
      </c>
      <c r="AA276" s="590">
        <v>0.04480321026393288</v>
      </c>
      <c r="AB276" s="590">
        <v>0.05376693659464455</v>
      </c>
      <c r="AC276" s="590">
        <v>0.0627306629253562</v>
      </c>
      <c r="AD276" s="590">
        <v>0.07169438925606783</v>
      </c>
      <c r="AE276" s="590">
        <v>0.0806581155867795</v>
      </c>
      <c r="AF276" s="590">
        <v>0.08962184191749115</v>
      </c>
      <c r="AG276" s="610"/>
      <c r="AI276" s="1056">
        <f t="shared" si="22"/>
        <v>8000000</v>
      </c>
      <c r="AJ276" s="967">
        <v>0.02100953665718091</v>
      </c>
      <c r="AK276" s="861">
        <v>0.02341475793513095</v>
      </c>
      <c r="AL276" s="880">
        <v>0.025773199668634915</v>
      </c>
      <c r="AM276" s="762">
        <v>0.028094020800079084</v>
      </c>
      <c r="AN276" s="804">
        <v>0.030386380271849773</v>
      </c>
      <c r="AO276" s="887">
        <v>0.031297406398943975</v>
      </c>
      <c r="AP276" s="887">
        <v>0.03220593026358495</v>
      </c>
      <c r="AQ276" s="914">
        <v>0.033112538038085434</v>
      </c>
      <c r="AR276" s="844">
        <v>0.034017815894758094</v>
      </c>
      <c r="AS276" s="844">
        <v>0.03492235000591571</v>
      </c>
      <c r="AT276" s="610"/>
      <c r="AV276" s="1056">
        <f t="shared" si="24"/>
        <v>7500000</v>
      </c>
      <c r="AW276" s="1369">
        <v>688.1180915178476</v>
      </c>
      <c r="AX276" s="1369">
        <v>1771.9291178403828</v>
      </c>
      <c r="AY276" s="1369">
        <v>2855.7573821172105</v>
      </c>
      <c r="AZ276" s="1369">
        <v>3939.60286751439</v>
      </c>
      <c r="BA276" s="1369">
        <v>5023.465557214422</v>
      </c>
      <c r="BB276" s="1369">
        <v>10443.036482793592</v>
      </c>
      <c r="BC276" s="1369">
        <v>15863.035002743612</v>
      </c>
      <c r="BD276" s="1369">
        <v>21283.45903327523</v>
      </c>
      <c r="BE276" s="1369">
        <v>26704.30650075408</v>
      </c>
      <c r="BF276" s="1369">
        <v>32125.5753416512</v>
      </c>
      <c r="BG276" s="1369">
        <v>37547.26350249383</v>
      </c>
      <c r="BH276" s="1369">
        <v>42969.36893981632</v>
      </c>
      <c r="BI276" s="1369">
        <v>48391.889620111426</v>
      </c>
      <c r="BJ276" s="1369">
        <v>53814.82351978179</v>
      </c>
      <c r="BM276" s="1056">
        <f t="shared" si="25"/>
        <v>7500000</v>
      </c>
      <c r="BN276" s="577">
        <v>0.03583948393322123</v>
      </c>
      <c r="BO276" s="577">
        <v>0.04614398744375997</v>
      </c>
      <c r="BP276" s="577">
        <v>0.04957912121731268</v>
      </c>
      <c r="BQ276" s="577">
        <v>0.05129691233742695</v>
      </c>
      <c r="BR276" s="577">
        <v>0.05232776622098356</v>
      </c>
      <c r="BS276" s="577">
        <v>0.05439081501454996</v>
      </c>
      <c r="BT276" s="577">
        <v>0.05507998264841532</v>
      </c>
      <c r="BU276" s="577">
        <v>0.05542567456582091</v>
      </c>
      <c r="BV276" s="577">
        <v>0.055633971876571</v>
      </c>
      <c r="BW276" s="577">
        <v>0.05577356830147778</v>
      </c>
      <c r="BX276" s="577">
        <v>0.055873904021568194</v>
      </c>
      <c r="BY276" s="577">
        <v>0.055949699140385833</v>
      </c>
      <c r="BZ276" s="577">
        <v>0.05600913150475859</v>
      </c>
      <c r="CA276" s="577">
        <v>0.05605710783310603</v>
      </c>
      <c r="CP276" s="610"/>
      <c r="DI276" s="543"/>
      <c r="DJ276" s="1581"/>
      <c r="DK276" s="1581"/>
      <c r="DL276" s="1581"/>
      <c r="DM276" s="1581"/>
      <c r="DN276" s="1581"/>
      <c r="DO276" s="1581"/>
      <c r="DP276" s="1581"/>
      <c r="DQ276" s="1581"/>
      <c r="DR276" s="1581"/>
      <c r="DS276" s="1581"/>
      <c r="DT276" s="1581"/>
      <c r="DU276" s="1581"/>
      <c r="DV276" s="1581"/>
      <c r="DW276" s="1581"/>
    </row>
    <row r="277">
      <c r="Y277" s="1056">
        <f t="shared" si="23"/>
        <v>8000000</v>
      </c>
      <c r="Z277" s="1066">
        <v>0.034017815894758094</v>
      </c>
      <c r="AA277" s="590">
        <v>0.0426969065944599</v>
      </c>
      <c r="AB277" s="590">
        <v>0.05137599729416166</v>
      </c>
      <c r="AC277" s="590">
        <v>0.060055087993863436</v>
      </c>
      <c r="AD277" s="590">
        <v>0.06873417869356523</v>
      </c>
      <c r="AE277" s="590">
        <v>0.07741326939326706</v>
      </c>
      <c r="AF277" s="590">
        <v>0.08609236009296882</v>
      </c>
      <c r="AG277" s="610"/>
      <c r="AI277" s="1056">
        <f t="shared" si="22"/>
        <v>8500000</v>
      </c>
      <c r="AJ277" s="980">
        <v>0.019739461277074374</v>
      </c>
      <c r="AK277" s="981">
        <v>0.022072868661067578</v>
      </c>
      <c r="AL277" s="982">
        <v>0.024360893220856196</v>
      </c>
      <c r="AM277" s="1005">
        <v>0.026612420435705567</v>
      </c>
      <c r="AN277" s="1007">
        <v>0.028836335784880998</v>
      </c>
      <c r="AO277" s="985">
        <v>0.029720160949517897</v>
      </c>
      <c r="AP277" s="985">
        <v>0.030601558563002396</v>
      </c>
      <c r="AQ277" s="986">
        <v>0.031481097296007475</v>
      </c>
      <c r="AR277" s="986">
        <v>0.03235934581920612</v>
      </c>
      <c r="AS277" s="1210">
        <v>0.03323687280327131</v>
      </c>
      <c r="AT277" s="610"/>
      <c r="AV277" s="1056">
        <f t="shared" si="24"/>
        <v>8000000</v>
      </c>
      <c r="AW277" s="1369">
        <v>653.1420651793554</v>
      </c>
      <c r="AX277" s="1369">
        <v>1701.9770651633985</v>
      </c>
      <c r="AY277" s="1369">
        <v>2750.8293031017342</v>
      </c>
      <c r="AZ277" s="1369">
        <v>3799.698762160421</v>
      </c>
      <c r="BA277" s="1369">
        <v>4848.585425521962</v>
      </c>
      <c r="BB277" s="1369">
        <v>10093.276219408672</v>
      </c>
      <c r="BC277" s="1369">
        <v>15338.394607666232</v>
      </c>
      <c r="BD277" s="1369">
        <v>20583.93850650539</v>
      </c>
      <c r="BE277" s="1369">
        <v>25829.90584229178</v>
      </c>
      <c r="BF277" s="1369">
        <v>31076.29455149644</v>
      </c>
      <c r="BG277" s="1369">
        <v>36323.102580646606</v>
      </c>
      <c r="BH277" s="1369">
        <v>41570.32788627664</v>
      </c>
      <c r="BI277" s="1369">
        <v>46817.96843487929</v>
      </c>
      <c r="BJ277" s="1369">
        <v>52066.022202857195</v>
      </c>
      <c r="BM277" s="1056">
        <f t="shared" si="25"/>
        <v>8000000</v>
      </c>
      <c r="BN277" s="577">
        <v>0.034017815894758094</v>
      </c>
      <c r="BO277" s="577">
        <v>0.04432231940529684</v>
      </c>
      <c r="BP277" s="577">
        <v>0.04775745317884955</v>
      </c>
      <c r="BQ277" s="577">
        <v>0.04947524429896382</v>
      </c>
      <c r="BR277" s="577">
        <v>0.050506098182520436</v>
      </c>
      <c r="BS277" s="577">
        <v>0.052569146976086834</v>
      </c>
      <c r="BT277" s="577">
        <v>0.053258314609952194</v>
      </c>
      <c r="BU277" s="577">
        <v>0.053604006527357785</v>
      </c>
      <c r="BV277" s="577">
        <v>0.053812303838107874</v>
      </c>
      <c r="BW277" s="577">
        <v>0.053951900263014656</v>
      </c>
      <c r="BX277" s="577">
        <v>0.05405223598310507</v>
      </c>
      <c r="BY277" s="577">
        <v>0.054128031101922706</v>
      </c>
      <c r="BZ277" s="577">
        <v>0.05418746346629547</v>
      </c>
      <c r="CA277" s="577">
        <v>0.05423543979464291</v>
      </c>
      <c r="CP277" s="610"/>
      <c r="DI277" s="543"/>
      <c r="DJ277" s="1437"/>
      <c r="DK277" s="1437"/>
      <c r="DL277" s="1437"/>
      <c r="DM277" s="1437"/>
      <c r="DN277" s="1437"/>
      <c r="DO277" s="1437"/>
      <c r="DP277" s="1437"/>
      <c r="DQ277" s="1437"/>
      <c r="DR277" s="1437"/>
      <c r="DS277" s="1437"/>
      <c r="DT277" s="1437"/>
      <c r="DU277" s="1437"/>
      <c r="DV277" s="1437"/>
      <c r="DW277" s="1437"/>
    </row>
    <row r="278">
      <c r="Y278" s="1056">
        <f t="shared" si="23"/>
        <v>8500000</v>
      </c>
      <c r="Z278" s="1068">
        <v>0.03235934581920612</v>
      </c>
      <c r="AA278" s="591">
        <v>0.04077930056960292</v>
      </c>
      <c r="AB278" s="591">
        <v>0.04919925531999969</v>
      </c>
      <c r="AC278" s="591">
        <v>0.057619210070396464</v>
      </c>
      <c r="AD278" s="591">
        <v>0.06603916482079328</v>
      </c>
      <c r="AE278" s="591">
        <v>0.07445911957119006</v>
      </c>
      <c r="AF278" s="591">
        <v>0.08287907432158685</v>
      </c>
      <c r="AG278" s="610"/>
      <c r="AH278" s="1406"/>
      <c r="AI278" s="1056">
        <f t="shared" si="22"/>
        <v>9000000</v>
      </c>
      <c r="AJ278" s="994">
        <v>0.018576753316148366</v>
      </c>
      <c r="AK278" s="967">
        <v>0.020844417684005224</v>
      </c>
      <c r="AL278" s="861">
        <v>0.02306797787439723</v>
      </c>
      <c r="AM278" s="820">
        <v>0.025256069021017506</v>
      </c>
      <c r="AN278" s="843">
        <v>0.027417326257559195</v>
      </c>
      <c r="AO278" s="762">
        <v>0.028276249927301097</v>
      </c>
      <c r="AP278" s="785">
        <v>0.029132814441377684</v>
      </c>
      <c r="AQ278" s="804">
        <v>0.029987572448345337</v>
      </c>
      <c r="AR278" s="804">
        <v>0.030841076596760372</v>
      </c>
      <c r="AS278" s="887">
        <v>0.03169387953517915</v>
      </c>
      <c r="AT278" s="610"/>
      <c r="AV278" s="1056">
        <f t="shared" si="24"/>
        <v>8500000</v>
      </c>
      <c r="AW278" s="1359">
        <v>621.2994397287574</v>
      </c>
      <c r="AX278" s="1359">
        <v>1638.2918142622025</v>
      </c>
      <c r="AY278" s="1359">
        <v>2655.3014267499398</v>
      </c>
      <c r="AZ278" s="1359">
        <v>3672.328260358029</v>
      </c>
      <c r="BA278" s="1359">
        <v>4689.3722982689715</v>
      </c>
      <c r="BB278" s="1359">
        <v>9774.84996490269</v>
      </c>
      <c r="BC278" s="1359">
        <v>14860.755225907262</v>
      </c>
      <c r="BD278" s="1359">
        <v>19947.08599749343</v>
      </c>
      <c r="BE278" s="1359">
        <v>25033.840206026827</v>
      </c>
      <c r="BF278" s="1359">
        <v>30121.0157879785</v>
      </c>
      <c r="BG278" s="1359">
        <v>35208.61068987568</v>
      </c>
      <c r="BH278" s="1359">
        <v>40296.622868252714</v>
      </c>
      <c r="BI278" s="1359">
        <v>45385.050289602375</v>
      </c>
      <c r="BJ278" s="1359">
        <v>50473.89093032729</v>
      </c>
      <c r="BM278" s="1056">
        <f t="shared" si="25"/>
        <v>8500000</v>
      </c>
      <c r="BN278" s="594">
        <v>0.03235934581920612</v>
      </c>
      <c r="BO278" s="594">
        <v>0.04266384932974485</v>
      </c>
      <c r="BP278" s="594">
        <v>0.04609898310329757</v>
      </c>
      <c r="BQ278" s="594">
        <v>0.04781677422341184</v>
      </c>
      <c r="BR278" s="594">
        <v>0.04884762810696845</v>
      </c>
      <c r="BS278" s="594">
        <v>0.05091067690053485</v>
      </c>
      <c r="BT278" s="594">
        <v>0.05159984453440022</v>
      </c>
      <c r="BU278" s="594">
        <v>0.0519455364518058</v>
      </c>
      <c r="BV278" s="594">
        <v>0.05215383376255589</v>
      </c>
      <c r="BW278" s="594">
        <v>0.05229343018746267</v>
      </c>
      <c r="BX278" s="594">
        <v>0.05239376590755309</v>
      </c>
      <c r="BY278" s="594">
        <v>0.05246956102637072</v>
      </c>
      <c r="BZ278" s="594">
        <v>0.05252899339074349</v>
      </c>
      <c r="CA278" s="594">
        <v>0.05257696971909093</v>
      </c>
      <c r="CP278" s="610"/>
      <c r="DH278" s="573"/>
      <c r="DI278" s="543"/>
      <c r="DJ278" s="1581"/>
      <c r="DK278" s="1581"/>
      <c r="DL278" s="1581"/>
      <c r="DM278" s="1581"/>
      <c r="DN278" s="1581"/>
      <c r="DO278" s="1581"/>
      <c r="DP278" s="1581"/>
      <c r="DQ278" s="1581"/>
      <c r="DR278" s="1581"/>
      <c r="DS278" s="1581"/>
      <c r="DT278" s="1581"/>
      <c r="DU278" s="1581"/>
      <c r="DV278" s="1581"/>
      <c r="DW278" s="1581"/>
    </row>
    <row r="279">
      <c r="X279" s="1222"/>
      <c r="Y279" s="1056">
        <f t="shared" si="23"/>
        <v>9000000</v>
      </c>
      <c r="Z279" s="1066">
        <v>0.030841076596760365</v>
      </c>
      <c r="AA279" s="590">
        <v>0.039023801781149996</v>
      </c>
      <c r="AB279" s="590">
        <v>0.04720652696553964</v>
      </c>
      <c r="AC279" s="590">
        <v>0.05538925214992929</v>
      </c>
      <c r="AD279" s="590">
        <v>0.06357197733431891</v>
      </c>
      <c r="AE279" s="590">
        <v>0.07175470251870858</v>
      </c>
      <c r="AF279" s="590">
        <v>0.0799374277030982</v>
      </c>
      <c r="AG279" s="610"/>
      <c r="AH279" s="1222"/>
      <c r="AI279" s="1056">
        <f t="shared" si="22"/>
        <v>9500000</v>
      </c>
      <c r="AJ279" s="1002">
        <v>0.017507090738290872</v>
      </c>
      <c r="AK279" s="980">
        <v>0.019714273156698877</v>
      </c>
      <c r="AL279" s="981">
        <v>0.021878527721029967</v>
      </c>
      <c r="AM279" s="982">
        <v>0.02400825925324026</v>
      </c>
      <c r="AN279" s="1413">
        <v>0.026111872575285862</v>
      </c>
      <c r="AO279" s="1005">
        <v>0.026947887485376163</v>
      </c>
      <c r="AP279" s="1006">
        <v>0.027781606161958284</v>
      </c>
      <c r="AQ279" s="1007">
        <v>0.02861356651363741</v>
      </c>
      <c r="AR279" s="1008">
        <v>0.029444306449018735</v>
      </c>
      <c r="AS279" s="985">
        <v>0.03027436387670747</v>
      </c>
      <c r="AT279" s="610"/>
      <c r="AU279" s="1227"/>
      <c r="AV279" s="1056">
        <f t="shared" si="24"/>
        <v>9000000</v>
      </c>
      <c r="AW279" s="1369">
        <v>592.148670657799</v>
      </c>
      <c r="AX279" s="1369">
        <v>1579.9902761202857</v>
      </c>
      <c r="AY279" s="1369">
        <v>2567.849119537065</v>
      </c>
      <c r="AZ279" s="1369">
        <v>3555.7251840741956</v>
      </c>
      <c r="BA279" s="1369">
        <v>4543.618452914179</v>
      </c>
      <c r="BB279" s="1369">
        <v>9483.342274193106</v>
      </c>
      <c r="BC279" s="1369">
        <v>14423.493689842886</v>
      </c>
      <c r="BD279" s="1369">
        <v>19364.07061607426</v>
      </c>
      <c r="BE279" s="1369">
        <v>24305.070979252865</v>
      </c>
      <c r="BF279" s="1369">
        <v>29246.49271584975</v>
      </c>
      <c r="BG279" s="1369">
        <v>34188.33377239213</v>
      </c>
      <c r="BH279" s="1369">
        <v>39130.59210541438</v>
      </c>
      <c r="BI279" s="1369">
        <v>44073.26568140924</v>
      </c>
      <c r="BJ279" s="1369">
        <v>49016.352476779364</v>
      </c>
      <c r="BL279" s="1227"/>
      <c r="BM279" s="1056">
        <f t="shared" si="25"/>
        <v>9000000</v>
      </c>
      <c r="BN279" s="577">
        <v>0.030841076596760365</v>
      </c>
      <c r="BO279" s="577">
        <v>0.04114558010729911</v>
      </c>
      <c r="BP279" s="577">
        <v>0.044580713880851816</v>
      </c>
      <c r="BQ279" s="577">
        <v>0.046298505000966085</v>
      </c>
      <c r="BR279" s="577">
        <v>0.0473293588845227</v>
      </c>
      <c r="BS279" s="577">
        <v>0.0493924076780891</v>
      </c>
      <c r="BT279" s="577">
        <v>0.050081575311954465</v>
      </c>
      <c r="BU279" s="577">
        <v>0.05042726722936005</v>
      </c>
      <c r="BV279" s="577">
        <v>0.05063556454011014</v>
      </c>
      <c r="BW279" s="577">
        <v>0.05077516096501693</v>
      </c>
      <c r="BX279" s="577">
        <v>0.05087549668510733</v>
      </c>
      <c r="BY279" s="577">
        <v>0.05095129180392497</v>
      </c>
      <c r="BZ279" s="577">
        <v>0.05101072416829773</v>
      </c>
      <c r="CA279" s="577">
        <v>0.05105870049664517</v>
      </c>
      <c r="CP279" s="610"/>
      <c r="DH279" s="573"/>
      <c r="DI279" s="543"/>
      <c r="DJ279" s="1437"/>
      <c r="DK279" s="1437"/>
      <c r="DL279" s="1437"/>
      <c r="DM279" s="1437"/>
      <c r="DN279" s="1437"/>
      <c r="DO279" s="1437"/>
      <c r="DP279" s="1437"/>
      <c r="DQ279" s="1437"/>
      <c r="DR279" s="1437"/>
      <c r="DS279" s="1437"/>
      <c r="DT279" s="1437"/>
      <c r="DU279" s="1437"/>
      <c r="DV279" s="1437"/>
      <c r="DW279" s="1437"/>
    </row>
    <row r="280">
      <c r="X280" s="1222"/>
      <c r="Y280" s="1056">
        <f t="shared" si="23"/>
        <v>9500000</v>
      </c>
      <c r="Z280" s="1068">
        <v>0.029444306449018735</v>
      </c>
      <c r="AA280" s="591">
        <v>0.037408786297823744</v>
      </c>
      <c r="AB280" s="591">
        <v>0.04537326614662875</v>
      </c>
      <c r="AC280" s="591">
        <v>0.05333774599543375</v>
      </c>
      <c r="AD280" s="591">
        <v>0.061302225844238785</v>
      </c>
      <c r="AE280" s="591">
        <v>0.06926670569304375</v>
      </c>
      <c r="AF280" s="591">
        <v>0.07723118554184878</v>
      </c>
      <c r="AG280" s="610"/>
      <c r="AH280" s="1222"/>
      <c r="AI280" s="1056">
        <f t="shared" si="22"/>
        <v>10000000</v>
      </c>
      <c r="AJ280" s="819">
        <v>0.016518690934251658</v>
      </c>
      <c r="AK280" s="994">
        <v>0.018669986245621745</v>
      </c>
      <c r="AL280" s="967">
        <v>0.020779440660456665</v>
      </c>
      <c r="AM280" s="861">
        <v>0.022855246185867522</v>
      </c>
      <c r="AN280" s="956">
        <v>0.024905594828965424</v>
      </c>
      <c r="AO280" s="880">
        <v>0.025720441368749826</v>
      </c>
      <c r="AP280" s="880">
        <v>0.02653304981695704</v>
      </c>
      <c r="AQ280" s="843">
        <v>0.027343944462042184</v>
      </c>
      <c r="AR280" s="762">
        <v>0.02815364959246035</v>
      </c>
      <c r="AS280" s="762">
        <v>0.028962689496666673</v>
      </c>
      <c r="AT280" s="610"/>
      <c r="AU280" s="1227"/>
      <c r="AV280" s="1056">
        <f t="shared" si="24"/>
        <v>9500000</v>
      </c>
      <c r="AW280" s="1359">
        <v>565.3306838211597</v>
      </c>
      <c r="AX280" s="1359">
        <v>1526.3543024470068</v>
      </c>
      <c r="AY280" s="1359">
        <v>2487.3951590271467</v>
      </c>
      <c r="AZ280" s="1359">
        <v>3448.453236727639</v>
      </c>
      <c r="BA280" s="1359">
        <v>4409.528518730983</v>
      </c>
      <c r="BB280" s="1359">
        <v>9215.162405826713</v>
      </c>
      <c r="BC280" s="1359">
        <v>14021.223887293296</v>
      </c>
      <c r="BD280" s="1359">
        <v>18827.710879341474</v>
      </c>
      <c r="BE280" s="1359">
        <v>23634.621308336882</v>
      </c>
      <c r="BF280" s="1359">
        <v>28441.953110750568</v>
      </c>
      <c r="BG280" s="1359">
        <v>33249.704233109755</v>
      </c>
      <c r="BH280" s="1359">
        <v>38057.872631948805</v>
      </c>
      <c r="BI280" s="1359">
        <v>42866.45627376048</v>
      </c>
      <c r="BJ280" s="1359">
        <v>47675.4531349474</v>
      </c>
      <c r="BL280" s="1227"/>
      <c r="BM280" s="1056">
        <f t="shared" si="25"/>
        <v>9500000</v>
      </c>
      <c r="BN280" s="594">
        <v>0.029444306449018735</v>
      </c>
      <c r="BO280" s="594">
        <v>0.03974880995955747</v>
      </c>
      <c r="BP280" s="594">
        <v>0.043183943733110186</v>
      </c>
      <c r="BQ280" s="594">
        <v>0.04490173485322446</v>
      </c>
      <c r="BR280" s="594">
        <v>0.04593258873678107</v>
      </c>
      <c r="BS280" s="594">
        <v>0.04799563753034747</v>
      </c>
      <c r="BT280" s="594">
        <v>0.048684805164212835</v>
      </c>
      <c r="BU280" s="594">
        <v>0.04903049708161842</v>
      </c>
      <c r="BV280" s="594">
        <v>0.0492387943923685</v>
      </c>
      <c r="BW280" s="594">
        <v>0.04937839081727529</v>
      </c>
      <c r="BX280" s="594">
        <v>0.04947872653736571</v>
      </c>
      <c r="BY280" s="594">
        <v>0.04955452165618334</v>
      </c>
      <c r="BZ280" s="594">
        <v>0.04961395402055611</v>
      </c>
      <c r="CA280" s="594">
        <v>0.04966193034890354</v>
      </c>
      <c r="CP280" s="610"/>
      <c r="DH280" s="535"/>
      <c r="DI280" s="543"/>
      <c r="DJ280" s="1437"/>
      <c r="DK280" s="1437"/>
      <c r="DL280" s="1437"/>
      <c r="DM280" s="1437"/>
      <c r="DN280" s="1437"/>
      <c r="DO280" s="1437"/>
      <c r="DP280" s="1437"/>
      <c r="DQ280" s="1437"/>
      <c r="DR280" s="1437"/>
      <c r="DS280" s="1437"/>
      <c r="DT280" s="1437"/>
      <c r="DU280" s="1437"/>
      <c r="DV280" s="1437"/>
      <c r="DW280" s="1437"/>
    </row>
    <row r="281">
      <c r="X281" s="1222"/>
      <c r="Y281" s="1056">
        <f t="shared" si="23"/>
        <v>10000000</v>
      </c>
      <c r="Z281" s="1105">
        <v>0.02815364959246035</v>
      </c>
      <c r="AA281" s="591">
        <v>0.03591646430742811</v>
      </c>
      <c r="AB281" s="591">
        <v>0.043679279022395864</v>
      </c>
      <c r="AC281" s="591">
        <v>0.05144209373736364</v>
      </c>
      <c r="AD281" s="591">
        <v>0.059204908452331416</v>
      </c>
      <c r="AE281" s="591">
        <v>0.06696772316729917</v>
      </c>
      <c r="AF281" s="591">
        <v>0.07473053788226693</v>
      </c>
      <c r="AU281" s="1222"/>
      <c r="AV281" s="1056">
        <f t="shared" si="24"/>
        <v>10000000</v>
      </c>
      <c r="AW281" s="1359">
        <v>540.5500721752387</v>
      </c>
      <c r="AX281" s="1359">
        <v>1476.7930791551648</v>
      </c>
      <c r="AY281" s="1359">
        <v>2413.0533240893838</v>
      </c>
      <c r="AZ281" s="1359">
        <v>3349.330790143955</v>
      </c>
      <c r="BA281" s="1359">
        <v>4285.625460501377</v>
      </c>
      <c r="BB281" s="1359">
        <v>8967.356289367503</v>
      </c>
      <c r="BC281" s="1359">
        <v>13649.51471260448</v>
      </c>
      <c r="BD281" s="1359">
        <v>18332.098646423052</v>
      </c>
      <c r="BE281" s="1359">
        <v>23015.106017188857</v>
      </c>
      <c r="BF281" s="1359">
        <v>27698.534761372935</v>
      </c>
      <c r="BG281" s="1359">
        <v>32382.382825502515</v>
      </c>
      <c r="BH281" s="1359">
        <v>37066.64816611196</v>
      </c>
      <c r="BI281" s="1359">
        <v>41751.32874969403</v>
      </c>
      <c r="BJ281" s="1359">
        <v>46436.42255265135</v>
      </c>
      <c r="BL281" s="1222"/>
      <c r="BM281" s="1056">
        <f t="shared" si="25"/>
        <v>10000000</v>
      </c>
      <c r="BN281" s="594">
        <v>0.02815364959246035</v>
      </c>
      <c r="BO281" s="594">
        <v>0.03845815310299908</v>
      </c>
      <c r="BP281" s="594">
        <v>0.0418932868765518</v>
      </c>
      <c r="BQ281" s="594">
        <v>0.04361107799666608</v>
      </c>
      <c r="BR281" s="594">
        <v>0.04464193188022268</v>
      </c>
      <c r="BS281" s="594">
        <v>0.04670498067378907</v>
      </c>
      <c r="BT281" s="594">
        <v>0.04739414830765444</v>
      </c>
      <c r="BU281" s="594">
        <v>0.04773984022506003</v>
      </c>
      <c r="BV281" s="594">
        <v>0.04794813753581012</v>
      </c>
      <c r="BW281" s="594">
        <v>0.0480877339607169</v>
      </c>
      <c r="BX281" s="594">
        <v>0.04818806968080731</v>
      </c>
      <c r="BY281" s="594">
        <v>0.04826386479962495</v>
      </c>
      <c r="BZ281" s="594">
        <v>0.04832329716399772</v>
      </c>
      <c r="CA281" s="594">
        <v>0.04837127349234515</v>
      </c>
    </row>
    <row r="287">
      <c r="X287" s="1476" t="s">
        <v>198</v>
      </c>
      <c r="Y287" s="556"/>
      <c r="Z287" s="556"/>
      <c r="AA287" s="556"/>
      <c r="AB287" s="556"/>
      <c r="AC287" s="556"/>
      <c r="AD287" s="556"/>
      <c r="AE287" s="556"/>
      <c r="AF287" s="556"/>
      <c r="AG287" s="556"/>
      <c r="AH287" s="556"/>
      <c r="AI287" s="556"/>
      <c r="AJ287" s="556"/>
      <c r="AK287" s="556"/>
      <c r="AL287" s="556"/>
      <c r="AM287" s="556"/>
      <c r="AN287" s="556"/>
      <c r="AO287" s="556"/>
      <c r="AP287" s="556"/>
      <c r="AQ287" s="556"/>
      <c r="AR287" s="556"/>
      <c r="AS287" s="556"/>
      <c r="AT287" s="556"/>
      <c r="AU287" s="556"/>
      <c r="AV287" s="556"/>
      <c r="AW287" s="556"/>
      <c r="AX287" s="556"/>
      <c r="AY287" s="556"/>
      <c r="AZ287" s="556"/>
      <c r="BA287" s="556"/>
      <c r="BB287" s="556"/>
      <c r="BC287" s="556"/>
      <c r="BD287" s="556"/>
      <c r="BE287" s="556"/>
      <c r="BF287" s="556"/>
      <c r="BG287" s="556"/>
      <c r="BH287" s="556"/>
      <c r="BI287" s="556"/>
      <c r="BJ287" s="556"/>
      <c r="BK287" s="556"/>
      <c r="BL287" s="556"/>
      <c r="BM287" s="556"/>
      <c r="BN287" s="556"/>
      <c r="BO287" s="556"/>
      <c r="BP287" s="556"/>
      <c r="BQ287" s="556"/>
      <c r="BR287" s="556"/>
      <c r="BS287" s="556"/>
      <c r="BT287" s="556"/>
      <c r="BU287" s="556"/>
      <c r="BV287" s="556"/>
      <c r="BW287" s="556"/>
      <c r="BX287" s="556"/>
      <c r="BY287" s="556"/>
      <c r="BZ287" s="556"/>
      <c r="CA287" s="556"/>
      <c r="CB287" s="557"/>
    </row>
    <row r="288">
      <c r="X288" s="559"/>
      <c r="CB288" s="560"/>
    </row>
    <row r="289">
      <c r="X289" s="559"/>
      <c r="CB289" s="560"/>
    </row>
    <row r="290">
      <c r="X290" s="574"/>
      <c r="Y290" s="575"/>
      <c r="Z290" s="575"/>
      <c r="AA290" s="575"/>
      <c r="AB290" s="575"/>
      <c r="AC290" s="575"/>
      <c r="AD290" s="575"/>
      <c r="AE290" s="575"/>
      <c r="AF290" s="575"/>
      <c r="AG290" s="575"/>
      <c r="AH290" s="575"/>
      <c r="AI290" s="575"/>
      <c r="AJ290" s="575"/>
      <c r="AK290" s="575"/>
      <c r="AL290" s="575"/>
      <c r="AM290" s="575"/>
      <c r="AN290" s="575"/>
      <c r="AO290" s="575"/>
      <c r="AP290" s="575"/>
      <c r="AQ290" s="575"/>
      <c r="AR290" s="575"/>
      <c r="AS290" s="575"/>
      <c r="AT290" s="575"/>
      <c r="AU290" s="575"/>
      <c r="AV290" s="575"/>
      <c r="AW290" s="575"/>
      <c r="AX290" s="575"/>
      <c r="AY290" s="575"/>
      <c r="AZ290" s="575"/>
      <c r="BA290" s="575"/>
      <c r="BB290" s="575"/>
      <c r="BC290" s="575"/>
      <c r="BD290" s="575"/>
      <c r="BE290" s="575"/>
      <c r="BF290" s="575"/>
      <c r="BG290" s="575"/>
      <c r="BH290" s="575"/>
      <c r="BI290" s="575"/>
      <c r="BJ290" s="575"/>
      <c r="BK290" s="575"/>
      <c r="BL290" s="575"/>
      <c r="BM290" s="575"/>
      <c r="BN290" s="575"/>
      <c r="BO290" s="575"/>
      <c r="BP290" s="575"/>
      <c r="BQ290" s="575"/>
      <c r="BR290" s="575"/>
      <c r="BS290" s="575"/>
      <c r="BT290" s="575"/>
      <c r="BU290" s="575"/>
      <c r="BV290" s="575"/>
      <c r="BW290" s="575"/>
      <c r="BX290" s="575"/>
      <c r="BY290" s="575"/>
      <c r="BZ290" s="575"/>
      <c r="CA290" s="575"/>
      <c r="CB290" s="576"/>
    </row>
    <row r="295">
      <c r="BT295" s="171"/>
      <c r="BU295" s="23"/>
    </row>
    <row r="296">
      <c r="BT296" s="171"/>
      <c r="BU296" s="23"/>
    </row>
    <row r="297">
      <c r="X297" s="1134"/>
      <c r="BT297" s="171"/>
      <c r="BU297" s="23"/>
    </row>
    <row r="298">
      <c r="BT298" s="171"/>
      <c r="BU298" s="23"/>
    </row>
    <row r="299">
      <c r="BN299" s="171"/>
      <c r="BO299" s="171"/>
      <c r="BP299" s="171"/>
      <c r="BQ299" s="171"/>
      <c r="BR299" s="171"/>
      <c r="BT299" s="171"/>
      <c r="BU299" s="23"/>
    </row>
    <row r="300">
      <c r="BN300" s="172"/>
      <c r="BO300" s="172"/>
      <c r="BP300" s="172"/>
      <c r="BQ300" s="172"/>
      <c r="BR300" s="172"/>
      <c r="BT300" s="171"/>
      <c r="BU300" s="23"/>
    </row>
    <row r="301">
      <c r="BN301" s="173"/>
      <c r="BO301" s="173"/>
      <c r="BP301" s="173"/>
      <c r="BQ301" s="173"/>
      <c r="BR301" s="173"/>
      <c r="BT301" s="171"/>
      <c r="BU301" s="23"/>
    </row>
    <row r="302">
      <c r="BN302" s="174"/>
      <c r="BO302" s="174"/>
      <c r="BP302" s="174"/>
      <c r="BQ302" s="174"/>
      <c r="BR302" s="174"/>
      <c r="BT302" s="171"/>
      <c r="BU302" s="23"/>
    </row>
    <row r="303">
      <c r="BN303" s="175"/>
      <c r="BO303" s="175"/>
      <c r="BP303" s="175"/>
      <c r="BQ303" s="175"/>
      <c r="BR303" s="175"/>
      <c r="BT303" s="171"/>
      <c r="BU303" s="23"/>
    </row>
    <row r="304">
      <c r="BN304" s="175"/>
      <c r="BO304" s="175"/>
      <c r="BP304" s="175"/>
      <c r="BQ304" s="175"/>
      <c r="BR304" s="175"/>
      <c r="BT304" s="171"/>
      <c r="BU304" s="23"/>
    </row>
    <row r="305">
      <c r="BN305" s="175"/>
      <c r="BO305" s="175"/>
      <c r="BP305" s="175"/>
      <c r="BQ305" s="175"/>
      <c r="BR305" s="175"/>
      <c r="BT305" s="171"/>
      <c r="BU305" s="23"/>
    </row>
    <row r="306">
      <c r="BN306" s="175"/>
      <c r="BO306" s="175"/>
      <c r="BP306" s="175"/>
      <c r="BQ306" s="175"/>
      <c r="BR306" s="175"/>
      <c r="BT306" s="171"/>
      <c r="BU306" s="23"/>
    </row>
    <row r="307">
      <c r="BN307" s="175"/>
      <c r="BO307" s="175"/>
      <c r="BP307" s="175"/>
      <c r="BQ307" s="175"/>
      <c r="BR307" s="175"/>
      <c r="BT307" s="171"/>
      <c r="BU307" s="23"/>
    </row>
    <row r="308">
      <c r="BN308" s="175"/>
      <c r="BO308" s="175"/>
      <c r="BP308" s="175"/>
      <c r="BQ308" s="175"/>
      <c r="BR308" s="175"/>
    </row>
    <row r="309">
      <c r="BN309" s="175"/>
      <c r="BO309" s="175"/>
      <c r="BP309" s="175"/>
      <c r="BQ309" s="175"/>
      <c r="BR309" s="175"/>
    </row>
    <row r="310">
      <c r="BN310" s="175"/>
      <c r="BO310" s="175"/>
      <c r="BP310" s="175"/>
      <c r="BQ310" s="175"/>
      <c r="BR310" s="175"/>
    </row>
    <row r="311">
      <c r="BN311" s="175"/>
      <c r="BO311" s="175"/>
      <c r="BP311" s="175"/>
      <c r="BQ311" s="175"/>
      <c r="BR311" s="175"/>
    </row>
    <row r="312">
      <c r="BN312" s="175"/>
      <c r="BO312" s="175"/>
      <c r="BP312" s="175"/>
      <c r="BQ312" s="175"/>
      <c r="BR312" s="175"/>
    </row>
    <row r="313">
      <c r="BN313" s="175"/>
      <c r="BO313" s="175"/>
      <c r="BP313" s="175"/>
      <c r="BQ313" s="175"/>
      <c r="BR313" s="175"/>
    </row>
    <row r="314">
      <c r="BN314" s="175"/>
      <c r="BO314" s="175"/>
      <c r="BP314" s="175"/>
      <c r="BQ314" s="175"/>
      <c r="BR314" s="175"/>
    </row>
    <row r="315">
      <c r="BN315" s="175"/>
      <c r="BO315" s="175"/>
      <c r="BP315" s="175"/>
      <c r="BQ315" s="175"/>
      <c r="BR315" s="175"/>
    </row>
    <row r="316">
      <c r="BN316" s="175"/>
      <c r="BO316" s="175"/>
      <c r="BP316" s="175"/>
      <c r="BQ316" s="175"/>
      <c r="BR316" s="175"/>
    </row>
    <row r="317">
      <c r="BN317" s="175"/>
      <c r="BO317" s="175"/>
      <c r="BP317" s="175"/>
      <c r="BQ317" s="175"/>
      <c r="BR317" s="175"/>
    </row>
    <row r="318">
      <c r="BN318" s="175"/>
      <c r="BO318" s="175"/>
      <c r="BP318" s="175"/>
      <c r="BQ318" s="175"/>
      <c r="BR318" s="175"/>
    </row>
    <row r="319">
      <c r="BN319" s="175"/>
      <c r="BO319" s="175"/>
      <c r="BP319" s="175"/>
      <c r="BQ319" s="175"/>
      <c r="BR319" s="175"/>
    </row>
    <row r="324">
      <c r="X324" s="1221" t="s">
        <v>223</v>
      </c>
      <c r="Y324" s="1222"/>
      <c r="Z324" s="1222"/>
      <c r="AA324" s="1222"/>
      <c r="AB324" s="1222"/>
      <c r="AC324" s="1222"/>
      <c r="AD324" s="1222"/>
      <c r="AE324" s="1222"/>
      <c r="AF324" s="1222"/>
      <c r="AG324" s="610"/>
      <c r="AH324" s="1221" t="s">
        <v>86</v>
      </c>
      <c r="AI324" s="1222"/>
      <c r="AJ324" s="1222"/>
      <c r="AK324" s="1222"/>
      <c r="AL324" s="1222"/>
      <c r="AM324" s="1222"/>
      <c r="AN324" s="1222"/>
      <c r="AO324" s="1222"/>
      <c r="AP324" s="1222"/>
      <c r="AQ324" s="1222"/>
      <c r="AR324" s="1222"/>
      <c r="AS324" s="1222"/>
      <c r="AT324" s="610"/>
      <c r="AU324" s="538"/>
      <c r="AV324" s="578"/>
      <c r="AW324" s="1221" t="s">
        <v>224</v>
      </c>
      <c r="AX324" s="1222"/>
      <c r="AY324" s="1222"/>
      <c r="AZ324" s="1222"/>
      <c r="BA324" s="1222"/>
      <c r="BB324" s="1222"/>
      <c r="BC324" s="1222"/>
      <c r="BD324" s="1222"/>
      <c r="BE324" s="1222"/>
      <c r="BF324" s="1222"/>
      <c r="BG324" s="1222"/>
      <c r="BH324" s="1222"/>
      <c r="BI324" s="1222"/>
      <c r="BJ324" s="1222"/>
      <c r="BK324" s="1222"/>
      <c r="BL324" s="1222"/>
      <c r="BN324" s="1221" t="s">
        <v>86</v>
      </c>
      <c r="BO324" s="1222"/>
      <c r="BP324" s="1222"/>
      <c r="BQ324" s="1222"/>
      <c r="BR324" s="1222"/>
      <c r="BS324" s="1222"/>
      <c r="BT324" s="1222"/>
      <c r="BU324" s="1222"/>
      <c r="BV324" s="1222"/>
      <c r="BW324" s="1222"/>
      <c r="BX324" s="1222"/>
      <c r="BY324" s="1222"/>
      <c r="BZ324" s="1222"/>
      <c r="CA324" s="1222"/>
      <c r="CB324" s="1222"/>
      <c r="CC324" s="1222"/>
      <c r="CT324" s="1568"/>
      <c r="CU324" s="1569"/>
      <c r="CV324" s="1569"/>
      <c r="CW324" s="1569"/>
      <c r="CX324" s="1569"/>
      <c r="CY324" s="535"/>
      <c r="CZ324" s="535"/>
      <c r="DA324" s="535"/>
      <c r="DB324" s="535"/>
      <c r="DC324" s="535"/>
      <c r="DD324" s="535"/>
      <c r="DE324" s="535"/>
      <c r="DF324" s="535"/>
      <c r="DG324" s="535"/>
      <c r="DH324" s="535"/>
      <c r="DI324" s="535"/>
    </row>
    <row r="325">
      <c r="X325" s="1586" t="s">
        <v>207</v>
      </c>
      <c r="Y325" s="515"/>
      <c r="Z325" s="515"/>
      <c r="AA325" s="515"/>
      <c r="AB325" s="515"/>
      <c r="AC325" s="515"/>
      <c r="AD325" s="515"/>
      <c r="AE325" s="515"/>
      <c r="AF325" s="515"/>
      <c r="AG325" s="569"/>
      <c r="AH325" s="1586" t="s">
        <v>208</v>
      </c>
      <c r="AI325" s="515"/>
      <c r="AJ325" s="515"/>
      <c r="AK325" s="515"/>
      <c r="AL325" s="515"/>
      <c r="AM325" s="515"/>
      <c r="AN325" s="515"/>
      <c r="AO325" s="515"/>
      <c r="AP325" s="515"/>
      <c r="AQ325" s="515"/>
      <c r="AR325" s="515"/>
      <c r="AS325" s="515"/>
      <c r="AT325" s="610"/>
      <c r="AU325" s="541"/>
      <c r="AV325" s="578"/>
      <c r="AW325" s="1224" t="s">
        <v>58</v>
      </c>
      <c r="AX325" s="1052"/>
      <c r="AY325" s="1052" t="s">
        <v>44</v>
      </c>
      <c r="BN325" s="1224" t="s">
        <v>58</v>
      </c>
      <c r="BO325" s="1052"/>
      <c r="BP325" s="1052" t="s">
        <v>44</v>
      </c>
      <c r="CT325" s="1570"/>
      <c r="CU325" s="535"/>
      <c r="CV325" s="535"/>
    </row>
    <row r="326">
      <c r="X326" s="1586" t="s">
        <v>221</v>
      </c>
      <c r="Y326" s="515"/>
      <c r="Z326" s="515"/>
      <c r="AA326" s="515"/>
      <c r="AB326" s="515"/>
      <c r="AC326" s="515"/>
      <c r="AD326" s="515"/>
      <c r="AE326" s="515"/>
      <c r="AF326" s="515"/>
      <c r="AG326" s="596"/>
      <c r="AH326" s="1586" t="s">
        <v>221</v>
      </c>
      <c r="AI326" s="515"/>
      <c r="AJ326" s="515"/>
      <c r="AK326" s="515"/>
      <c r="AL326" s="515"/>
      <c r="AM326" s="515"/>
      <c r="AN326" s="515"/>
      <c r="AO326" s="515"/>
      <c r="AP326" s="515"/>
      <c r="AQ326" s="515"/>
      <c r="AR326" s="515"/>
      <c r="AS326" s="515"/>
      <c r="AT326" s="610"/>
      <c r="AU326" s="1582"/>
      <c r="AV326" s="1583"/>
      <c r="AW326" s="1224" t="s">
        <v>159</v>
      </c>
      <c r="AX326" s="1052"/>
      <c r="AY326" s="1052"/>
      <c r="AZ326" s="1052"/>
      <c r="BA326" s="1052"/>
      <c r="BB326" s="1052"/>
      <c r="BC326" s="1052"/>
      <c r="BD326" s="1052"/>
      <c r="BE326" s="1052"/>
      <c r="BF326" s="1052"/>
      <c r="BG326" s="1052"/>
      <c r="BH326" s="1052"/>
      <c r="BI326" s="1052"/>
      <c r="BJ326" s="1052"/>
      <c r="BK326" s="1052"/>
      <c r="BL326" s="1052"/>
      <c r="BN326" s="1224" t="s">
        <v>159</v>
      </c>
      <c r="BO326" s="1052"/>
      <c r="BP326" s="1052"/>
      <c r="BQ326" s="1052"/>
      <c r="BR326" s="1052"/>
      <c r="BS326" s="1052"/>
      <c r="BT326" s="1052"/>
      <c r="BU326" s="1052"/>
      <c r="BV326" s="1052"/>
      <c r="BW326" s="1052"/>
      <c r="BX326" s="1052"/>
      <c r="BY326" s="1052"/>
      <c r="BZ326" s="1052"/>
      <c r="CA326" s="1052"/>
      <c r="CB326" s="1052"/>
      <c r="CC326" s="1052"/>
      <c r="CT326" s="1570"/>
      <c r="CU326" s="1569"/>
      <c r="CV326" s="535"/>
      <c r="CW326" s="535"/>
      <c r="CX326" s="535"/>
      <c r="CY326" s="535"/>
      <c r="CZ326" s="535"/>
      <c r="DA326" s="535"/>
      <c r="DB326" s="535"/>
      <c r="DC326" s="535"/>
      <c r="DD326" s="535"/>
      <c r="DE326" s="535"/>
      <c r="DF326" s="535"/>
      <c r="DG326" s="535"/>
      <c r="DH326" s="535"/>
      <c r="DI326" s="535"/>
    </row>
    <row r="327">
      <c r="X327" s="1586" t="s">
        <v>208</v>
      </c>
      <c r="Y327" s="515"/>
      <c r="Z327" s="515"/>
      <c r="AA327" s="515"/>
      <c r="AB327" s="515"/>
      <c r="AC327" s="515"/>
      <c r="AD327" s="515"/>
      <c r="AE327" s="515"/>
      <c r="AF327" s="515"/>
      <c r="AG327" s="587"/>
      <c r="AH327" s="1224" t="s">
        <v>58</v>
      </c>
      <c r="AI327" s="1100"/>
      <c r="AJ327" s="1100"/>
      <c r="AK327" s="1100"/>
      <c r="AL327" s="1101" t="s">
        <v>59</v>
      </c>
      <c r="AM327" s="1101"/>
      <c r="AN327" s="1101"/>
      <c r="AO327" s="1101"/>
      <c r="AP327" s="1101"/>
      <c r="AQ327" s="1101"/>
      <c r="AR327" s="1101"/>
      <c r="AS327" s="1101"/>
      <c r="AT327" s="610"/>
      <c r="AU327" s="588"/>
      <c r="AV327" s="586"/>
      <c r="AW327" s="1224" t="s">
        <v>68</v>
      </c>
      <c r="AX327" s="1052"/>
      <c r="AY327" s="1052"/>
      <c r="AZ327" s="1052"/>
      <c r="BA327" s="1052"/>
      <c r="BB327" s="1052"/>
      <c r="BC327" s="1052"/>
      <c r="BD327" s="1052"/>
      <c r="BE327" s="1052"/>
      <c r="BF327" s="1052"/>
      <c r="BG327" s="1052"/>
      <c r="BH327" s="1052"/>
      <c r="BI327" s="1052"/>
      <c r="BJ327" s="1052"/>
      <c r="BK327" s="1052"/>
      <c r="BL327" s="1052"/>
      <c r="BN327" s="1224" t="s">
        <v>68</v>
      </c>
      <c r="BO327" s="1052"/>
      <c r="BP327" s="1052"/>
      <c r="BQ327" s="1052"/>
      <c r="BR327" s="1052"/>
      <c r="BS327" s="1052"/>
      <c r="BT327" s="1052"/>
      <c r="BU327" s="1052"/>
      <c r="BV327" s="1052"/>
      <c r="BW327" s="1052"/>
      <c r="BX327" s="1052"/>
      <c r="BY327" s="1052"/>
      <c r="BZ327" s="1052"/>
      <c r="CA327" s="1052"/>
      <c r="CB327" s="1052"/>
      <c r="CC327" s="1052"/>
      <c r="CT327" s="1570"/>
      <c r="CU327" s="1569"/>
      <c r="CV327" s="535"/>
      <c r="CW327" s="535"/>
      <c r="CX327" s="535"/>
      <c r="CY327" s="535"/>
      <c r="CZ327" s="535"/>
      <c r="DA327" s="535"/>
      <c r="DB327" s="535"/>
      <c r="DC327" s="535"/>
      <c r="DD327" s="535"/>
      <c r="DE327" s="535"/>
      <c r="DF327" s="535"/>
      <c r="DG327" s="535"/>
      <c r="DH327" s="535"/>
      <c r="DI327" s="535"/>
    </row>
    <row r="328">
      <c r="X328" s="1052" t="s">
        <v>57</v>
      </c>
      <c r="AG328" s="577"/>
      <c r="AH328" s="1100"/>
      <c r="AI328" s="683">
        <f>$F$127</f>
        <v>0.03886053138</v>
      </c>
      <c r="AJ328" s="684">
        <f t="shared" ref="AJ328:AL328" si="26">AK328-0.05</f>
        <v>0.7</v>
      </c>
      <c r="AK328" s="684">
        <f t="shared" si="26"/>
        <v>0.75</v>
      </c>
      <c r="AL328" s="684">
        <f t="shared" si="26"/>
        <v>0.8</v>
      </c>
      <c r="AM328" s="684">
        <v>0.85</v>
      </c>
      <c r="AN328" s="684">
        <v>0.9</v>
      </c>
      <c r="AO328" s="684">
        <f t="shared" ref="AO328:AS328" si="27">AN328+0.02</f>
        <v>0.92</v>
      </c>
      <c r="AP328" s="684">
        <f t="shared" si="27"/>
        <v>0.94</v>
      </c>
      <c r="AQ328" s="684">
        <f t="shared" si="27"/>
        <v>0.96</v>
      </c>
      <c r="AR328" s="684">
        <f t="shared" si="27"/>
        <v>0.98</v>
      </c>
      <c r="AS328" s="684">
        <f t="shared" si="27"/>
        <v>1</v>
      </c>
      <c r="AT328" s="610"/>
      <c r="AV328" s="586"/>
      <c r="AW328" s="1586" t="s">
        <v>221</v>
      </c>
      <c r="AX328" s="515"/>
      <c r="AY328" s="515"/>
      <c r="AZ328" s="515"/>
      <c r="BA328" s="515"/>
      <c r="BB328" s="515"/>
      <c r="BC328" s="515"/>
      <c r="BD328" s="515"/>
      <c r="BE328" s="515"/>
      <c r="BF328" s="515"/>
      <c r="BG328" s="515"/>
      <c r="BH328" s="515"/>
      <c r="BI328" s="515"/>
      <c r="BJ328" s="515"/>
      <c r="BK328" s="515"/>
      <c r="BL328" s="515"/>
      <c r="BN328" s="1586" t="s">
        <v>221</v>
      </c>
      <c r="BO328" s="515"/>
      <c r="BP328" s="515"/>
      <c r="BQ328" s="515"/>
      <c r="BR328" s="515"/>
      <c r="BS328" s="515"/>
      <c r="BT328" s="515"/>
      <c r="BU328" s="515"/>
      <c r="BV328" s="515"/>
      <c r="BW328" s="515"/>
      <c r="BX328" s="515"/>
      <c r="BY328" s="515"/>
      <c r="BZ328" s="515"/>
      <c r="CA328" s="515"/>
      <c r="CB328" s="515"/>
      <c r="CC328" s="515"/>
      <c r="CT328" s="535"/>
      <c r="CU328" s="1583"/>
      <c r="CV328" s="543"/>
      <c r="CW328" s="543"/>
      <c r="CX328" s="543"/>
      <c r="CY328" s="543"/>
      <c r="CZ328" s="543"/>
      <c r="DA328" s="543"/>
      <c r="DB328" s="543"/>
      <c r="DC328" s="543"/>
      <c r="DD328" s="543"/>
      <c r="DE328" s="543"/>
      <c r="DF328" s="543"/>
      <c r="DG328" s="543"/>
      <c r="DH328" s="543"/>
      <c r="DI328" s="543"/>
    </row>
    <row r="329">
      <c r="X329" s="1100"/>
      <c r="Y329" s="1103">
        <f>$F$127</f>
        <v>0.03886053138</v>
      </c>
      <c r="Z329" s="680">
        <v>64.0</v>
      </c>
      <c r="AA329" s="681">
        <f t="shared" ref="AA329:AF329" si="28">Z329+10</f>
        <v>74</v>
      </c>
      <c r="AB329" s="681">
        <f t="shared" si="28"/>
        <v>84</v>
      </c>
      <c r="AC329" s="681">
        <f t="shared" si="28"/>
        <v>94</v>
      </c>
      <c r="AD329" s="681">
        <f t="shared" si="28"/>
        <v>104</v>
      </c>
      <c r="AE329" s="681">
        <f t="shared" si="28"/>
        <v>114</v>
      </c>
      <c r="AF329" s="681">
        <f t="shared" si="28"/>
        <v>124</v>
      </c>
      <c r="AG329" s="594"/>
      <c r="AH329" s="1225" t="s">
        <v>66</v>
      </c>
      <c r="AI329" s="1062">
        <v>524288.0</v>
      </c>
      <c r="AJ329" s="704">
        <v>0.11486159338742544</v>
      </c>
      <c r="AK329" s="705">
        <v>0.12425698900441778</v>
      </c>
      <c r="AL329" s="706">
        <v>0.13346965202591765</v>
      </c>
      <c r="AM329" s="1144">
        <v>0.1425353595706214</v>
      </c>
      <c r="AN329" s="1234">
        <v>0.15148988875722563</v>
      </c>
      <c r="AO329" s="709">
        <v>0.15504858456618742</v>
      </c>
      <c r="AP329" s="710">
        <v>0.15859750591244123</v>
      </c>
      <c r="AQ329" s="711">
        <v>0.16213894253158373</v>
      </c>
      <c r="AR329" s="712">
        <v>0.16567518415921137</v>
      </c>
      <c r="AS329" s="1141">
        <v>0.16920852053092075</v>
      </c>
      <c r="AT329" s="610"/>
      <c r="AV329" s="587"/>
      <c r="AW329" s="1100"/>
      <c r="AX329" s="1054">
        <f>F126</f>
        <v>1865.305506</v>
      </c>
      <c r="AY329" s="1062">
        <v>50.0</v>
      </c>
      <c r="AZ329" s="1062">
        <v>100.0</v>
      </c>
      <c r="BA329" s="1062">
        <v>250.0</v>
      </c>
      <c r="BB329" s="1062">
        <v>500.0</v>
      </c>
      <c r="BC329" s="1062">
        <f t="shared" ref="BC329:BL329" si="29">BB329+250</f>
        <v>750</v>
      </c>
      <c r="BD329" s="1062">
        <f t="shared" si="29"/>
        <v>1000</v>
      </c>
      <c r="BE329" s="1062">
        <f t="shared" si="29"/>
        <v>1250</v>
      </c>
      <c r="BF329" s="1062">
        <f t="shared" si="29"/>
        <v>1500</v>
      </c>
      <c r="BG329" s="1062">
        <f t="shared" si="29"/>
        <v>1750</v>
      </c>
      <c r="BH329" s="1062">
        <f t="shared" si="29"/>
        <v>2000</v>
      </c>
      <c r="BI329" s="1062">
        <f t="shared" si="29"/>
        <v>2250</v>
      </c>
      <c r="BJ329" s="1062">
        <f t="shared" si="29"/>
        <v>2500</v>
      </c>
      <c r="BK329" s="1062">
        <f t="shared" si="29"/>
        <v>2750</v>
      </c>
      <c r="BL329" s="1062">
        <f t="shared" si="29"/>
        <v>3000</v>
      </c>
      <c r="BN329" s="1100"/>
      <c r="BO329" s="1054">
        <f>F127</f>
        <v>0.03886053138</v>
      </c>
      <c r="BP329" s="1062">
        <v>50.0</v>
      </c>
      <c r="BQ329" s="1062">
        <v>100.0</v>
      </c>
      <c r="BR329" s="1062">
        <v>250.0</v>
      </c>
      <c r="BS329" s="1062">
        <v>500.0</v>
      </c>
      <c r="BT329" s="1062">
        <f t="shared" ref="BT329:CC329" si="30">BS329+250</f>
        <v>750</v>
      </c>
      <c r="BU329" s="1062">
        <f t="shared" si="30"/>
        <v>1000</v>
      </c>
      <c r="BV329" s="1062">
        <f t="shared" si="30"/>
        <v>1250</v>
      </c>
      <c r="BW329" s="1062">
        <f t="shared" si="30"/>
        <v>1500</v>
      </c>
      <c r="BX329" s="1062">
        <f t="shared" si="30"/>
        <v>1750</v>
      </c>
      <c r="BY329" s="1062">
        <f t="shared" si="30"/>
        <v>2000</v>
      </c>
      <c r="BZ329" s="1062">
        <f t="shared" si="30"/>
        <v>2250</v>
      </c>
      <c r="CA329" s="1062">
        <f t="shared" si="30"/>
        <v>2500</v>
      </c>
      <c r="CB329" s="1062">
        <f t="shared" si="30"/>
        <v>2750</v>
      </c>
      <c r="CC329" s="1062">
        <f t="shared" si="30"/>
        <v>3000</v>
      </c>
      <c r="CT329" s="551"/>
      <c r="CU329" s="543"/>
      <c r="CV329" s="1581"/>
      <c r="CW329" s="1581"/>
      <c r="CX329" s="1581"/>
      <c r="CY329" s="1581"/>
      <c r="CZ329" s="1581"/>
      <c r="DA329" s="1581"/>
      <c r="DB329" s="1581"/>
      <c r="DC329" s="1581"/>
      <c r="DD329" s="1581"/>
      <c r="DE329" s="1581"/>
      <c r="DF329" s="1581"/>
      <c r="DG329" s="1581"/>
      <c r="DH329" s="1581"/>
      <c r="DI329" s="1581"/>
    </row>
    <row r="330">
      <c r="X330" s="1225" t="s">
        <v>66</v>
      </c>
      <c r="Y330" s="1062">
        <v>524288.0</v>
      </c>
      <c r="Z330" s="1616">
        <v>0.16567518415921134</v>
      </c>
      <c r="AA330" s="705">
        <v>0.19957788220492143</v>
      </c>
      <c r="AB330" s="706">
        <v>0.23348058025063154</v>
      </c>
      <c r="AC330" s="1144">
        <v>0.26738327829634156</v>
      </c>
      <c r="AD330" s="1234">
        <v>0.3012859763420517</v>
      </c>
      <c r="AE330" s="709">
        <v>0.3351886743877619</v>
      </c>
      <c r="AF330" s="710">
        <v>0.36909137243347195</v>
      </c>
      <c r="AG330" s="577"/>
      <c r="AI330" s="1077">
        <v>1000000.0</v>
      </c>
      <c r="AJ330" s="1571">
        <v>0.06901327036511176</v>
      </c>
      <c r="AK330" s="1572">
        <v>0.07581626346868234</v>
      </c>
      <c r="AL330" s="1573">
        <v>0.08248694403985837</v>
      </c>
      <c r="AM330" s="1574">
        <v>0.08905121747971924</v>
      </c>
      <c r="AN330" s="1575">
        <v>0.09553498918934425</v>
      </c>
      <c r="AO330" s="1576">
        <v>0.09811176019856999</v>
      </c>
      <c r="AP330" s="1577">
        <v>0.10068145374079977</v>
      </c>
      <c r="AQ330" s="1578">
        <v>0.10324572776170271</v>
      </c>
      <c r="AR330" s="1579">
        <v>0.10580624020694777</v>
      </c>
      <c r="AS330" s="1580">
        <v>0.10836464902220416</v>
      </c>
      <c r="AT330" s="610"/>
      <c r="AV330" s="587"/>
      <c r="AW330" s="1225" t="s">
        <v>66</v>
      </c>
      <c r="AX330" s="1062">
        <v>524288.0</v>
      </c>
      <c r="AY330" s="1266">
        <v>207313.1767928429</v>
      </c>
      <c r="AZ330" s="1266">
        <v>415611.3535856858</v>
      </c>
      <c r="BA330" s="1266">
        <v>1040505.8839642145</v>
      </c>
      <c r="BB330" s="1266">
        <v>2081996.767928429</v>
      </c>
      <c r="BC330" s="1266">
        <v>3123487.6518926434</v>
      </c>
      <c r="BD330" s="1266">
        <v>4164978.535856858</v>
      </c>
      <c r="BE330" s="1266">
        <v>5205484.419821072</v>
      </c>
      <c r="BF330" s="1266">
        <v>6246975.303785287</v>
      </c>
      <c r="BG330" s="1266">
        <v>7288466.187749501</v>
      </c>
      <c r="BH330" s="1266">
        <v>8329957.071713716</v>
      </c>
      <c r="BI330" s="1266">
        <v>9370462.95567793</v>
      </c>
      <c r="BJ330" s="1266">
        <v>1.0411953839642145E7</v>
      </c>
      <c r="BK330" s="1266">
        <v>1.145344472360636E7</v>
      </c>
      <c r="BL330" s="1266">
        <v>1.2494935607570574E7</v>
      </c>
      <c r="BN330" s="1225" t="s">
        <v>66</v>
      </c>
      <c r="BO330" s="1062">
        <v>524288.0</v>
      </c>
      <c r="BP330" s="1073">
        <v>0.215951225825878</v>
      </c>
      <c r="BQ330" s="1073">
        <v>0.21646424665921135</v>
      </c>
      <c r="BR330" s="1073">
        <v>0.21677205915921136</v>
      </c>
      <c r="BS330" s="1073">
        <v>0.21687466332587801</v>
      </c>
      <c r="BT330" s="1073">
        <v>0.2169088647147669</v>
      </c>
      <c r="BU330" s="1073">
        <v>0.21692596540921136</v>
      </c>
      <c r="BV330" s="1073">
        <v>0.21689518415921136</v>
      </c>
      <c r="BW330" s="1073">
        <v>0.2169088647147669</v>
      </c>
      <c r="BX330" s="1073">
        <v>0.21691863654016372</v>
      </c>
      <c r="BY330" s="1073">
        <v>0.21692596540921136</v>
      </c>
      <c r="BZ330" s="1073">
        <v>0.2169088647147669</v>
      </c>
      <c r="CA330" s="1073">
        <v>0.21691570499254467</v>
      </c>
      <c r="CB330" s="1073">
        <v>0.21692130158345377</v>
      </c>
      <c r="CC330" s="1073">
        <v>0.21692596540921136</v>
      </c>
      <c r="CU330" s="543"/>
      <c r="CV330" s="1437"/>
      <c r="CW330" s="1437"/>
      <c r="CX330" s="1437"/>
      <c r="CY330" s="1437"/>
      <c r="CZ330" s="1437"/>
      <c r="DA330" s="1437"/>
      <c r="DB330" s="1437"/>
      <c r="DC330" s="1437"/>
      <c r="DD330" s="1437"/>
      <c r="DE330" s="1437"/>
      <c r="DF330" s="1437"/>
      <c r="DG330" s="1437"/>
      <c r="DH330" s="1437"/>
      <c r="DI330" s="1437"/>
    </row>
    <row r="331">
      <c r="Y331" s="1062">
        <v>1000000.0</v>
      </c>
      <c r="Z331" s="1617">
        <v>0.10580624020694777</v>
      </c>
      <c r="AA331" s="728">
        <v>0.13035441576011667</v>
      </c>
      <c r="AB331" s="729">
        <v>0.1549025913132856</v>
      </c>
      <c r="AC331" s="1150">
        <v>0.1794507668664546</v>
      </c>
      <c r="AD331" s="1245">
        <v>0.2039989424196235</v>
      </c>
      <c r="AE331" s="732">
        <v>0.22854711797279242</v>
      </c>
      <c r="AF331" s="733">
        <v>0.2530952935259613</v>
      </c>
      <c r="AG331" s="577"/>
      <c r="AI331" s="1056">
        <f t="shared" ref="AI331:AI348" si="31">AI330+500000</f>
        <v>1500000</v>
      </c>
      <c r="AJ331" s="751">
        <v>0.04693499159455712</v>
      </c>
      <c r="AK331" s="752">
        <v>0.0524896122036974</v>
      </c>
      <c r="AL331" s="753">
        <v>0.05793620008252368</v>
      </c>
      <c r="AM331" s="1156">
        <v>0.0632959069024447</v>
      </c>
      <c r="AN331" s="1154">
        <v>0.06858988433486947</v>
      </c>
      <c r="AO331" s="756">
        <v>0.07069380905373597</v>
      </c>
      <c r="AP331" s="757">
        <v>0.07279195504499868</v>
      </c>
      <c r="AQ331" s="758">
        <v>0.07488567601562764</v>
      </c>
      <c r="AR331" s="759">
        <v>0.07697632567259317</v>
      </c>
      <c r="AS331" s="1159">
        <v>0.07906525772286538</v>
      </c>
      <c r="AT331" s="610"/>
      <c r="AV331" s="587"/>
      <c r="AX331" s="1603">
        <v>1000000.0</v>
      </c>
      <c r="AY331" s="1604">
        <v>149838.9905986699</v>
      </c>
      <c r="AZ331" s="1604">
        <v>300662.9811973398</v>
      </c>
      <c r="BA331" s="1604">
        <v>753134.9529933494</v>
      </c>
      <c r="BB331" s="1604">
        <v>1507254.9059866988</v>
      </c>
      <c r="BC331" s="1604">
        <v>2261374.858980048</v>
      </c>
      <c r="BD331" s="1604">
        <v>3015494.8119733976</v>
      </c>
      <c r="BE331" s="1604">
        <v>3768629.764966747</v>
      </c>
      <c r="BF331" s="1604">
        <v>4522749.717960096</v>
      </c>
      <c r="BG331" s="1604">
        <v>5276869.670953446</v>
      </c>
      <c r="BH331" s="1604">
        <v>6030989.623946795</v>
      </c>
      <c r="BI331" s="1604">
        <v>6784124.576940144</v>
      </c>
      <c r="BJ331" s="1604">
        <v>7538244.529933494</v>
      </c>
      <c r="BK331" s="1604">
        <v>8292364.482926843</v>
      </c>
      <c r="BL331" s="1605">
        <v>9046484.435920192</v>
      </c>
      <c r="BO331" s="1603">
        <v>1000000.0</v>
      </c>
      <c r="BP331" s="1606">
        <v>0.15608228187361448</v>
      </c>
      <c r="BQ331" s="1606">
        <v>0.1565953027069478</v>
      </c>
      <c r="BR331" s="1606">
        <v>0.1569031152069478</v>
      </c>
      <c r="BS331" s="1606">
        <v>0.15700571937361446</v>
      </c>
      <c r="BT331" s="1606">
        <v>0.15703992076250334</v>
      </c>
      <c r="BU331" s="1606">
        <v>0.1570570214569478</v>
      </c>
      <c r="BV331" s="1606">
        <v>0.15702624020694778</v>
      </c>
      <c r="BW331" s="1606">
        <v>0.15703992076250334</v>
      </c>
      <c r="BX331" s="1606">
        <v>0.1570496925879002</v>
      </c>
      <c r="BY331" s="1606">
        <v>0.1570570214569478</v>
      </c>
      <c r="BZ331" s="1606">
        <v>0.15703992076250334</v>
      </c>
      <c r="CA331" s="1606">
        <v>0.15704676104028112</v>
      </c>
      <c r="CB331" s="1606">
        <v>0.15705235763119021</v>
      </c>
      <c r="CC331" s="1607">
        <v>0.15705702145694778</v>
      </c>
      <c r="CU331" s="543"/>
      <c r="CV331" s="1581"/>
      <c r="CW331" s="1581"/>
      <c r="CX331" s="1581"/>
      <c r="CY331" s="1581"/>
      <c r="CZ331" s="1581"/>
      <c r="DA331" s="1581"/>
      <c r="DB331" s="1581"/>
      <c r="DC331" s="1581"/>
      <c r="DD331" s="1581"/>
      <c r="DE331" s="1581"/>
      <c r="DF331" s="1581"/>
      <c r="DG331" s="1581"/>
      <c r="DH331" s="1581"/>
      <c r="DI331" s="1581"/>
    </row>
    <row r="332">
      <c r="Y332" s="1056">
        <f t="shared" ref="Y332:Y349" si="32">Y331+500000</f>
        <v>1500000</v>
      </c>
      <c r="Z332" s="1618">
        <v>0.07697632567259317</v>
      </c>
      <c r="AA332" s="752">
        <v>0.09701982707976917</v>
      </c>
      <c r="AB332" s="753">
        <v>0.1170633284869452</v>
      </c>
      <c r="AC332" s="1156">
        <v>0.13710682989412123</v>
      </c>
      <c r="AD332" s="1154">
        <v>0.15715033130129724</v>
      </c>
      <c r="AE332" s="756">
        <v>0.17719383270847325</v>
      </c>
      <c r="AF332" s="757">
        <v>0.19723733411564925</v>
      </c>
      <c r="AG332" s="577"/>
      <c r="AI332" s="1056">
        <f t="shared" si="31"/>
        <v>2000000</v>
      </c>
      <c r="AJ332" s="740">
        <v>0.033773719147695155</v>
      </c>
      <c r="AK332" s="766">
        <v>0.038584161703595236</v>
      </c>
      <c r="AL332" s="775">
        <v>0.04330104517060317</v>
      </c>
      <c r="AM332" s="799">
        <v>0.0479426874334915</v>
      </c>
      <c r="AN332" s="752">
        <v>0.05252740637703288</v>
      </c>
      <c r="AO332" s="778">
        <v>0.05434945863122129</v>
      </c>
      <c r="AP332" s="779">
        <v>0.056166506360503236</v>
      </c>
      <c r="AQ332" s="780">
        <v>0.0579797219095042</v>
      </c>
      <c r="AR332" s="781">
        <v>0.059790277622849525</v>
      </c>
      <c r="AS332" s="1165">
        <v>0.06159934584516475</v>
      </c>
      <c r="AT332" s="610"/>
      <c r="AV332" s="587"/>
      <c r="AX332" s="1608">
        <f t="shared" ref="AX332:AX349" si="33">AX331+500000</f>
        <v>1500000</v>
      </c>
      <c r="AY332" s="1266">
        <v>122162.27264568943</v>
      </c>
      <c r="AZ332" s="1266">
        <v>245309.54529137886</v>
      </c>
      <c r="BA332" s="1266">
        <v>614751.3632284472</v>
      </c>
      <c r="BB332" s="1266">
        <v>1230487.7264568943</v>
      </c>
      <c r="BC332" s="1266">
        <v>1846224.0896853416</v>
      </c>
      <c r="BD332" s="1266">
        <v>2461960.4529137886</v>
      </c>
      <c r="BE332" s="1266">
        <v>3076711.816142236</v>
      </c>
      <c r="BF332" s="1266">
        <v>3692448.179370683</v>
      </c>
      <c r="BG332" s="1266">
        <v>4308184.54259913</v>
      </c>
      <c r="BH332" s="1266">
        <v>4923920.905827577</v>
      </c>
      <c r="BI332" s="1266">
        <v>5538672.269056024</v>
      </c>
      <c r="BJ332" s="1266">
        <v>6154408.632284472</v>
      </c>
      <c r="BK332" s="1266">
        <v>6770144.995512919</v>
      </c>
      <c r="BL332" s="1609">
        <v>7385881.358741366</v>
      </c>
      <c r="BO332" s="1608">
        <f t="shared" ref="BO332:BO349" si="34">BO331+500000</f>
        <v>1500000</v>
      </c>
      <c r="BP332" s="1073">
        <v>0.12725236733925982</v>
      </c>
      <c r="BQ332" s="1073">
        <v>0.12776538817259317</v>
      </c>
      <c r="BR332" s="1073">
        <v>0.12807320067259315</v>
      </c>
      <c r="BS332" s="1073">
        <v>0.12817580483925983</v>
      </c>
      <c r="BT332" s="1073">
        <v>0.1282100062281487</v>
      </c>
      <c r="BU332" s="1073">
        <v>0.12822710692259315</v>
      </c>
      <c r="BV332" s="1073">
        <v>0.12819632567259318</v>
      </c>
      <c r="BW332" s="1073">
        <v>0.1282100062281487</v>
      </c>
      <c r="BX332" s="1073">
        <v>0.12821977805354554</v>
      </c>
      <c r="BY332" s="1073">
        <v>0.12822710692259315</v>
      </c>
      <c r="BZ332" s="1073">
        <v>0.1282100062281487</v>
      </c>
      <c r="CA332" s="1073">
        <v>0.1282168465059265</v>
      </c>
      <c r="CB332" s="1073">
        <v>0.1282224430968356</v>
      </c>
      <c r="CC332" s="1610">
        <v>0.12822710692259318</v>
      </c>
      <c r="CU332" s="543"/>
      <c r="CV332" s="1581"/>
      <c r="CW332" s="1581"/>
      <c r="CX332" s="1581"/>
      <c r="CY332" s="1581"/>
      <c r="CZ332" s="1581"/>
      <c r="DA332" s="1581"/>
      <c r="DB332" s="1581"/>
      <c r="DC332" s="1581"/>
      <c r="DD332" s="1581"/>
      <c r="DE332" s="1581"/>
      <c r="DF332" s="1581"/>
      <c r="DG332" s="1581"/>
      <c r="DH332" s="1581"/>
      <c r="DI332" s="1581"/>
    </row>
    <row r="333">
      <c r="Y333" s="1056">
        <f t="shared" si="32"/>
        <v>2000000</v>
      </c>
      <c r="Z333" s="1174">
        <v>0.059790277622849525</v>
      </c>
      <c r="AA333" s="766">
        <v>0.07714845902225313</v>
      </c>
      <c r="AB333" s="775">
        <v>0.09450664042165666</v>
      </c>
      <c r="AC333" s="799">
        <v>0.11186482182106021</v>
      </c>
      <c r="AD333" s="752">
        <v>0.1292230032204638</v>
      </c>
      <c r="AE333" s="778">
        <v>0.14658118461986747</v>
      </c>
      <c r="AF333" s="779">
        <v>0.16393936601927095</v>
      </c>
      <c r="AG333" s="577"/>
      <c r="AI333" s="1056">
        <f t="shared" si="31"/>
        <v>2500000</v>
      </c>
      <c r="AJ333" s="795">
        <v>0.024792027701836652</v>
      </c>
      <c r="AK333" s="714">
        <v>0.029094618324576823</v>
      </c>
      <c r="AL333" s="740">
        <v>0.03331352715424667</v>
      </c>
      <c r="AM333" s="1168">
        <v>0.03746513820506838</v>
      </c>
      <c r="AN333" s="1287">
        <v>0.04156583549126418</v>
      </c>
      <c r="AO333" s="798">
        <v>0.04319552857083298</v>
      </c>
      <c r="AP333" s="715">
        <v>0.044820745467247416</v>
      </c>
      <c r="AQ333" s="751">
        <v>0.046442534757417706</v>
      </c>
      <c r="AR333" s="799">
        <v>0.04806194501825403</v>
      </c>
      <c r="AS333" s="1171">
        <v>0.04968002482666668</v>
      </c>
      <c r="AT333" s="610"/>
      <c r="AV333" s="587"/>
      <c r="AX333" s="1611">
        <f t="shared" si="33"/>
        <v>2000000</v>
      </c>
      <c r="AY333" s="1612">
        <v>105663.66651793556</v>
      </c>
      <c r="AZ333" s="1612">
        <v>212312.33303587112</v>
      </c>
      <c r="BA333" s="1612">
        <v>532258.3325896778</v>
      </c>
      <c r="BB333" s="1612">
        <v>1065501.6651793555</v>
      </c>
      <c r="BC333" s="1612">
        <v>1598744.9977690333</v>
      </c>
      <c r="BD333" s="1612">
        <v>2131988.330358711</v>
      </c>
      <c r="BE333" s="1612">
        <v>2664246.662948389</v>
      </c>
      <c r="BF333" s="1612">
        <v>3197489.9955380666</v>
      </c>
      <c r="BG333" s="1612">
        <v>3730733.3281277446</v>
      </c>
      <c r="BH333" s="1612">
        <v>4263976.660717422</v>
      </c>
      <c r="BI333" s="1612">
        <v>4796234.9933071</v>
      </c>
      <c r="BJ333" s="1612">
        <v>5329478.325896778</v>
      </c>
      <c r="BK333" s="1612">
        <v>5862721.658486456</v>
      </c>
      <c r="BL333" s="1613">
        <v>6395964.991076133</v>
      </c>
      <c r="BO333" s="1611">
        <f t="shared" si="34"/>
        <v>2000000</v>
      </c>
      <c r="BP333" s="1614">
        <v>0.11006631928951621</v>
      </c>
      <c r="BQ333" s="1614">
        <v>0.11057934012284955</v>
      </c>
      <c r="BR333" s="1614">
        <v>0.11088715262284954</v>
      </c>
      <c r="BS333" s="1614">
        <v>0.1109897567895162</v>
      </c>
      <c r="BT333" s="1614">
        <v>0.11102395817840509</v>
      </c>
      <c r="BU333" s="1614">
        <v>0.11104105887284954</v>
      </c>
      <c r="BV333" s="1614">
        <v>0.11101027762284954</v>
      </c>
      <c r="BW333" s="1614">
        <v>0.11102395817840509</v>
      </c>
      <c r="BX333" s="1614">
        <v>0.11103373000380193</v>
      </c>
      <c r="BY333" s="1614">
        <v>0.11104105887284954</v>
      </c>
      <c r="BZ333" s="1614">
        <v>0.11102395817840509</v>
      </c>
      <c r="CA333" s="1614">
        <v>0.11103079845618288</v>
      </c>
      <c r="CB333" s="1614">
        <v>0.11103639504709197</v>
      </c>
      <c r="CC333" s="1615">
        <v>0.11104105887284954</v>
      </c>
      <c r="CU333" s="543"/>
      <c r="CV333" s="1581"/>
      <c r="CW333" s="1581"/>
      <c r="CX333" s="1581"/>
      <c r="CY333" s="1581"/>
      <c r="CZ333" s="1581"/>
      <c r="DA333" s="1581"/>
      <c r="DB333" s="1581"/>
      <c r="DC333" s="1581"/>
      <c r="DD333" s="1581"/>
      <c r="DE333" s="1581"/>
      <c r="DF333" s="1581"/>
      <c r="DG333" s="1581"/>
      <c r="DH333" s="1581"/>
      <c r="DI333" s="1581"/>
    </row>
    <row r="334">
      <c r="Y334" s="1056">
        <f t="shared" si="32"/>
        <v>2500000</v>
      </c>
      <c r="Z334" s="1619">
        <v>0.04806194501825403</v>
      </c>
      <c r="AA334" s="714">
        <v>0.06358757444818956</v>
      </c>
      <c r="AB334" s="740">
        <v>0.07911320387812507</v>
      </c>
      <c r="AC334" s="1168">
        <v>0.0946388333080606</v>
      </c>
      <c r="AD334" s="1287">
        <v>0.11016446273799615</v>
      </c>
      <c r="AE334" s="798">
        <v>0.1256900921679317</v>
      </c>
      <c r="AF334" s="715">
        <v>0.14121572159786722</v>
      </c>
      <c r="AG334" s="577"/>
      <c r="AI334" s="1056">
        <f t="shared" si="31"/>
        <v>3000000</v>
      </c>
      <c r="AJ334" s="764">
        <v>0.01816201851210896</v>
      </c>
      <c r="AK334" s="739">
        <v>0.022089728411750626</v>
      </c>
      <c r="AL334" s="795">
        <v>0.025941047635197105</v>
      </c>
      <c r="AM334" s="714">
        <v>0.029730932672735074</v>
      </c>
      <c r="AN334" s="740">
        <v>0.03347434001465117</v>
      </c>
      <c r="AO334" s="813">
        <v>0.03496203945046769</v>
      </c>
      <c r="AP334" s="814">
        <v>0.036445652708808896</v>
      </c>
      <c r="AQ334" s="766">
        <v>0.03792613700505312</v>
      </c>
      <c r="AR334" s="815">
        <v>0.03940444955457877</v>
      </c>
      <c r="AS334" s="1176">
        <v>0.04088154757276418</v>
      </c>
      <c r="AT334" s="610"/>
      <c r="AV334" s="587"/>
      <c r="AX334" s="1056">
        <f t="shared" si="33"/>
        <v>2500000</v>
      </c>
      <c r="AY334" s="1266">
        <v>94404.46721752387</v>
      </c>
      <c r="AZ334" s="1266">
        <v>189793.93443504773</v>
      </c>
      <c r="BA334" s="1266">
        <v>475962.33608761936</v>
      </c>
      <c r="BB334" s="1266">
        <v>952909.6721752387</v>
      </c>
      <c r="BC334" s="1266">
        <v>1429857.008262858</v>
      </c>
      <c r="BD334" s="1266">
        <v>1906804.3443504774</v>
      </c>
      <c r="BE334" s="1266">
        <v>2382766.6804380966</v>
      </c>
      <c r="BF334" s="1266">
        <v>2859714.016525716</v>
      </c>
      <c r="BG334" s="1266">
        <v>3336661.3526133355</v>
      </c>
      <c r="BH334" s="1266">
        <v>3813608.688700955</v>
      </c>
      <c r="BI334" s="1266">
        <v>4289571.024788574</v>
      </c>
      <c r="BJ334" s="1266">
        <v>4766518.360876193</v>
      </c>
      <c r="BK334" s="1266">
        <v>5243465.696963813</v>
      </c>
      <c r="BL334" s="1266">
        <v>5720413.033051432</v>
      </c>
      <c r="BO334" s="1056">
        <f t="shared" si="34"/>
        <v>2500000</v>
      </c>
      <c r="BP334" s="1073">
        <v>0.09833798668492069</v>
      </c>
      <c r="BQ334" s="1073">
        <v>0.09885100751825403</v>
      </c>
      <c r="BR334" s="1073">
        <v>0.09915882001825403</v>
      </c>
      <c r="BS334" s="1073">
        <v>0.0992614241849207</v>
      </c>
      <c r="BT334" s="1073">
        <v>0.09929562557380958</v>
      </c>
      <c r="BU334" s="1073">
        <v>0.09931272626825403</v>
      </c>
      <c r="BV334" s="1073">
        <v>0.09928194501825402</v>
      </c>
      <c r="BW334" s="1073">
        <v>0.09929562557380958</v>
      </c>
      <c r="BX334" s="1073">
        <v>0.09930539739920641</v>
      </c>
      <c r="BY334" s="1073">
        <v>0.09931272626825403</v>
      </c>
      <c r="BZ334" s="1073">
        <v>0.0992956255738096</v>
      </c>
      <c r="CA334" s="1073">
        <v>0.09930246585158736</v>
      </c>
      <c r="CB334" s="1073">
        <v>0.09930806244249646</v>
      </c>
      <c r="CC334" s="1073">
        <v>0.09931272626825403</v>
      </c>
      <c r="CU334" s="543"/>
      <c r="CV334" s="1581"/>
      <c r="CW334" s="1581"/>
      <c r="CX334" s="1581"/>
      <c r="CY334" s="1581"/>
      <c r="CZ334" s="1581"/>
      <c r="DA334" s="1581"/>
      <c r="DB334" s="1581"/>
      <c r="DC334" s="1581"/>
      <c r="DD334" s="1581"/>
      <c r="DE334" s="1581"/>
      <c r="DF334" s="1581"/>
      <c r="DG334" s="1581"/>
      <c r="DH334" s="1581"/>
      <c r="DI334" s="1581"/>
    </row>
    <row r="335">
      <c r="Y335" s="1056">
        <f t="shared" si="32"/>
        <v>3000000</v>
      </c>
      <c r="Z335" s="1620">
        <v>0.03940444955457877</v>
      </c>
      <c r="AA335" s="739">
        <v>0.05357734531831504</v>
      </c>
      <c r="AB335" s="795">
        <v>0.06775024108205135</v>
      </c>
      <c r="AC335" s="714">
        <v>0.08192313684578759</v>
      </c>
      <c r="AD335" s="740">
        <v>0.09609603260952387</v>
      </c>
      <c r="AE335" s="813">
        <v>0.11026892837326015</v>
      </c>
      <c r="AF335" s="814">
        <v>0.1244418241369964</v>
      </c>
      <c r="AG335" s="577"/>
      <c r="AI335" s="1056">
        <f t="shared" si="31"/>
        <v>3500000</v>
      </c>
      <c r="AJ335" s="831">
        <v>0.013009178367824734</v>
      </c>
      <c r="AK335" s="832">
        <v>0.016645531138988593</v>
      </c>
      <c r="AL335" s="833">
        <v>0.020211159886695758</v>
      </c>
      <c r="AM335" s="856">
        <v>0.02371991163027567</v>
      </c>
      <c r="AN335" s="787">
        <v>0.027185633389057717</v>
      </c>
      <c r="AO335" s="836">
        <v>0.02856297542915693</v>
      </c>
      <c r="AP335" s="714">
        <v>0.029936534404018278</v>
      </c>
      <c r="AQ335" s="837">
        <v>0.03130719652287883</v>
      </c>
      <c r="AR335" s="838">
        <v>0.03267584799497567</v>
      </c>
      <c r="AS335" s="740">
        <v>0.03404337502954591</v>
      </c>
      <c r="AT335" s="610"/>
      <c r="AV335" s="587"/>
      <c r="AX335" s="1056">
        <f t="shared" si="33"/>
        <v>3000000</v>
      </c>
      <c r="AY335" s="1266">
        <v>86093.27157239562</v>
      </c>
      <c r="AZ335" s="1266">
        <v>173171.54314479124</v>
      </c>
      <c r="BA335" s="1266">
        <v>434406.3578619781</v>
      </c>
      <c r="BB335" s="1266">
        <v>869797.7157239562</v>
      </c>
      <c r="BC335" s="1266">
        <v>1305189.0735859345</v>
      </c>
      <c r="BD335" s="1266">
        <v>1740580.4314479125</v>
      </c>
      <c r="BE335" s="1266">
        <v>2174986.7893098905</v>
      </c>
      <c r="BF335" s="1266">
        <v>2610378.147171869</v>
      </c>
      <c r="BG335" s="1266">
        <v>3045769.505033847</v>
      </c>
      <c r="BH335" s="1266">
        <v>3481160.862895825</v>
      </c>
      <c r="BI335" s="1266">
        <v>3915567.2207578034</v>
      </c>
      <c r="BJ335" s="1266">
        <v>4350958.578619781</v>
      </c>
      <c r="BK335" s="1266">
        <v>4786349.93648176</v>
      </c>
      <c r="BL335" s="1266">
        <v>5221741.294343738</v>
      </c>
      <c r="BO335" s="1056">
        <f t="shared" si="34"/>
        <v>3000000</v>
      </c>
      <c r="BP335" s="1073">
        <v>0.08968049122124544</v>
      </c>
      <c r="BQ335" s="1073">
        <v>0.09019351205457878</v>
      </c>
      <c r="BR335" s="1073">
        <v>0.09050132455457878</v>
      </c>
      <c r="BS335" s="1073">
        <v>0.09060392872124544</v>
      </c>
      <c r="BT335" s="1073">
        <v>0.09063813011013434</v>
      </c>
      <c r="BU335" s="1073">
        <v>0.09065523080457877</v>
      </c>
      <c r="BV335" s="1073">
        <v>0.09062444955457877</v>
      </c>
      <c r="BW335" s="1073">
        <v>0.09063813011013434</v>
      </c>
      <c r="BX335" s="1073">
        <v>0.09064790193553116</v>
      </c>
      <c r="BY335" s="1073">
        <v>0.09065523080457877</v>
      </c>
      <c r="BZ335" s="1073">
        <v>0.09063813011013434</v>
      </c>
      <c r="CA335" s="1073">
        <v>0.0906449703879121</v>
      </c>
      <c r="CB335" s="1073">
        <v>0.0906505669788212</v>
      </c>
      <c r="CC335" s="1073">
        <v>0.09065523080457878</v>
      </c>
      <c r="CU335" s="543"/>
      <c r="CV335" s="1581"/>
      <c r="CW335" s="1581"/>
      <c r="CX335" s="1581"/>
      <c r="CY335" s="1581"/>
      <c r="CZ335" s="1581"/>
      <c r="DA335" s="1581"/>
      <c r="DB335" s="1581"/>
      <c r="DC335" s="1581"/>
      <c r="DD335" s="1581"/>
      <c r="DE335" s="1581"/>
      <c r="DF335" s="1581"/>
      <c r="DG335" s="1581"/>
      <c r="DH335" s="1581"/>
      <c r="DI335" s="1581"/>
    </row>
    <row r="336">
      <c r="Y336" s="1056">
        <f t="shared" si="32"/>
        <v>3500000</v>
      </c>
      <c r="Z336" s="1621">
        <v>0.032675847994975665</v>
      </c>
      <c r="AA336" s="832">
        <v>0.04579739976502398</v>
      </c>
      <c r="AB336" s="833">
        <v>0.058918951535072255</v>
      </c>
      <c r="AC336" s="856">
        <v>0.07204050330512052</v>
      </c>
      <c r="AD336" s="787">
        <v>0.08516205507516879</v>
      </c>
      <c r="AE336" s="836">
        <v>0.09828360684521713</v>
      </c>
      <c r="AF336" s="714">
        <v>0.11140515861526538</v>
      </c>
      <c r="AG336" s="594"/>
      <c r="AI336" s="1056">
        <f t="shared" si="31"/>
        <v>4000000</v>
      </c>
      <c r="AJ336" s="763">
        <v>0.008855593515889215</v>
      </c>
      <c r="AK336" s="852">
        <v>0.012257090067674501</v>
      </c>
      <c r="AL336" s="853">
        <v>0.015592430353262519</v>
      </c>
      <c r="AM336" s="890">
        <v>0.01887456707319295</v>
      </c>
      <c r="AN336" s="739">
        <v>0.02211645292800546</v>
      </c>
      <c r="AO336" s="856">
        <v>0.023404838432618327</v>
      </c>
      <c r="AP336" s="857">
        <v>0.02468968520373322</v>
      </c>
      <c r="AQ336" s="795">
        <v>0.02597182221418469</v>
      </c>
      <c r="AR336" s="787">
        <v>0.02725207843680722</v>
      </c>
      <c r="AS336" s="836">
        <v>0.028531282844435412</v>
      </c>
      <c r="AT336" s="610"/>
      <c r="AV336" s="587"/>
      <c r="AX336" s="1056">
        <f t="shared" si="33"/>
        <v>3500000</v>
      </c>
      <c r="AY336" s="1266">
        <v>79633.81407517663</v>
      </c>
      <c r="AZ336" s="1266">
        <v>160252.62815035327</v>
      </c>
      <c r="BA336" s="1266">
        <v>402109.0703758832</v>
      </c>
      <c r="BB336" s="1266">
        <v>805203.1407517664</v>
      </c>
      <c r="BC336" s="1266">
        <v>1208297.2111276495</v>
      </c>
      <c r="BD336" s="1266">
        <v>1611391.2815035328</v>
      </c>
      <c r="BE336" s="1266">
        <v>2013500.351879416</v>
      </c>
      <c r="BF336" s="1266">
        <v>2416594.422255299</v>
      </c>
      <c r="BG336" s="1266">
        <v>2819688.492631182</v>
      </c>
      <c r="BH336" s="1266">
        <v>3222782.5630070656</v>
      </c>
      <c r="BI336" s="1266">
        <v>3624891.6333829486</v>
      </c>
      <c r="BJ336" s="1266">
        <v>4027985.703758832</v>
      </c>
      <c r="BK336" s="1266">
        <v>4431079.774134715</v>
      </c>
      <c r="BL336" s="1266">
        <v>4834173.844510598</v>
      </c>
      <c r="BO336" s="1056">
        <f t="shared" si="34"/>
        <v>3500000</v>
      </c>
      <c r="BP336" s="1073">
        <v>0.08295188966164233</v>
      </c>
      <c r="BQ336" s="1073">
        <v>0.08346491049497566</v>
      </c>
      <c r="BR336" s="1073">
        <v>0.08377272299497567</v>
      </c>
      <c r="BS336" s="1073">
        <v>0.08387532716164234</v>
      </c>
      <c r="BT336" s="1073">
        <v>0.08390952855053121</v>
      </c>
      <c r="BU336" s="1073">
        <v>0.08392662924497567</v>
      </c>
      <c r="BV336" s="1073">
        <v>0.08389584799497567</v>
      </c>
      <c r="BW336" s="1073">
        <v>0.08390952855053121</v>
      </c>
      <c r="BX336" s="1073">
        <v>0.08391930037592804</v>
      </c>
      <c r="BY336" s="1073">
        <v>0.08392662924497567</v>
      </c>
      <c r="BZ336" s="1073">
        <v>0.08390952855053121</v>
      </c>
      <c r="CA336" s="1073">
        <v>0.083916368828309</v>
      </c>
      <c r="CB336" s="1073">
        <v>0.08392196541921809</v>
      </c>
      <c r="CC336" s="1073">
        <v>0.08392662924497567</v>
      </c>
      <c r="CU336" s="543"/>
      <c r="CV336" s="1581"/>
      <c r="CW336" s="1581"/>
      <c r="CX336" s="1581"/>
      <c r="CY336" s="1581"/>
      <c r="CZ336" s="1581"/>
      <c r="DA336" s="1581"/>
      <c r="DB336" s="1581"/>
      <c r="DC336" s="1581"/>
      <c r="DD336" s="1581"/>
      <c r="DE336" s="1581"/>
      <c r="DF336" s="1581"/>
      <c r="DG336" s="1581"/>
      <c r="DH336" s="1581"/>
      <c r="DI336" s="1581"/>
    </row>
    <row r="337">
      <c r="Y337" s="1056">
        <f t="shared" si="32"/>
        <v>4000000</v>
      </c>
      <c r="Z337" s="1188">
        <v>0.02725207843680722</v>
      </c>
      <c r="AA337" s="852">
        <v>0.03952616621339167</v>
      </c>
      <c r="AB337" s="853">
        <v>0.051800253989976126</v>
      </c>
      <c r="AC337" s="890">
        <v>0.06407434176656063</v>
      </c>
      <c r="AD337" s="739">
        <v>0.07634842954314508</v>
      </c>
      <c r="AE337" s="856">
        <v>0.08862251731972953</v>
      </c>
      <c r="AF337" s="857">
        <v>0.10089660509631398</v>
      </c>
      <c r="AG337" s="577"/>
      <c r="AI337" s="1056">
        <f t="shared" si="31"/>
        <v>4500000</v>
      </c>
      <c r="AJ337" s="867">
        <v>0.005415118320685662</v>
      </c>
      <c r="AK337" s="868">
        <v>0.00862208002461904</v>
      </c>
      <c r="AL337" s="869">
        <v>0.011766669002624337</v>
      </c>
      <c r="AM337" s="1182">
        <v>0.014861097177883226</v>
      </c>
      <c r="AN337" s="1333">
        <v>0.01791757647357745</v>
      </c>
      <c r="AO337" s="872">
        <v>0.019132277976369755</v>
      </c>
      <c r="AP337" s="873">
        <v>0.020343643129224383</v>
      </c>
      <c r="AQ337" s="874">
        <v>0.021552453495225013</v>
      </c>
      <c r="AR337" s="875">
        <v>0.022759490637455252</v>
      </c>
      <c r="AS337" s="1185">
        <v>0.02396553611899872</v>
      </c>
      <c r="AT337" s="610"/>
      <c r="AV337" s="587"/>
      <c r="AX337" s="1056">
        <f t="shared" si="33"/>
        <v>4000000</v>
      </c>
      <c r="AY337" s="1266">
        <v>74426.99529933494</v>
      </c>
      <c r="AZ337" s="1266">
        <v>149838.9905986699</v>
      </c>
      <c r="BA337" s="1266">
        <v>376074.9764966747</v>
      </c>
      <c r="BB337" s="1266">
        <v>753134.9529933494</v>
      </c>
      <c r="BC337" s="1266">
        <v>1130194.929490024</v>
      </c>
      <c r="BD337" s="1266">
        <v>1507254.9059866988</v>
      </c>
      <c r="BE337" s="1266">
        <v>1883329.8824833734</v>
      </c>
      <c r="BF337" s="1266">
        <v>2260389.858980048</v>
      </c>
      <c r="BG337" s="1266">
        <v>2637449.835476723</v>
      </c>
      <c r="BH337" s="1266">
        <v>3014509.8119733976</v>
      </c>
      <c r="BI337" s="1266">
        <v>3390584.788470072</v>
      </c>
      <c r="BJ337" s="1266">
        <v>3767644.764966747</v>
      </c>
      <c r="BK337" s="1266">
        <v>4144704.7414634214</v>
      </c>
      <c r="BL337" s="1266">
        <v>4521764.717960096</v>
      </c>
      <c r="BO337" s="1056">
        <f t="shared" si="34"/>
        <v>4000000</v>
      </c>
      <c r="BP337" s="1073">
        <v>0.0775281201034739</v>
      </c>
      <c r="BQ337" s="1073">
        <v>0.07804114093680724</v>
      </c>
      <c r="BR337" s="1073">
        <v>0.07834895343680723</v>
      </c>
      <c r="BS337" s="1073">
        <v>0.0784515576034739</v>
      </c>
      <c r="BT337" s="1073">
        <v>0.07848575899236278</v>
      </c>
      <c r="BU337" s="1073">
        <v>0.07850285968680723</v>
      </c>
      <c r="BV337" s="1073">
        <v>0.07847207843680723</v>
      </c>
      <c r="BW337" s="1073">
        <v>0.07848575899236278</v>
      </c>
      <c r="BX337" s="1073">
        <v>0.07849553081775962</v>
      </c>
      <c r="BY337" s="1073">
        <v>0.07850285968680723</v>
      </c>
      <c r="BZ337" s="1073">
        <v>0.07848575899236278</v>
      </c>
      <c r="CA337" s="1073">
        <v>0.07849259927014056</v>
      </c>
      <c r="CB337" s="1073">
        <v>0.07849819586104964</v>
      </c>
      <c r="CC337" s="1073">
        <v>0.07850285968680722</v>
      </c>
      <c r="CU337" s="543"/>
      <c r="CV337" s="1437"/>
      <c r="CW337" s="1437"/>
      <c r="CX337" s="1437"/>
      <c r="CY337" s="1437"/>
      <c r="CZ337" s="1437"/>
      <c r="DA337" s="1437"/>
      <c r="DB337" s="1437"/>
      <c r="DC337" s="1437"/>
      <c r="DD337" s="1437"/>
      <c r="DE337" s="1437"/>
      <c r="DF337" s="1437"/>
      <c r="DG337" s="1437"/>
      <c r="DH337" s="1437"/>
      <c r="DI337" s="1437"/>
    </row>
    <row r="338">
      <c r="Y338" s="1056">
        <f t="shared" si="32"/>
        <v>4500000</v>
      </c>
      <c r="Z338" s="1622">
        <v>0.022759490637455252</v>
      </c>
      <c r="AA338" s="868">
        <v>0.03433161157039095</v>
      </c>
      <c r="AB338" s="869">
        <v>0.04590373250332665</v>
      </c>
      <c r="AC338" s="1182">
        <v>0.05747585343626239</v>
      </c>
      <c r="AD338" s="1333">
        <v>0.0690479743691981</v>
      </c>
      <c r="AE338" s="872">
        <v>0.08062009530213385</v>
      </c>
      <c r="AF338" s="873">
        <v>0.09219221623506951</v>
      </c>
      <c r="AG338" s="577"/>
      <c r="AI338" s="1056">
        <f t="shared" si="31"/>
        <v>5000000</v>
      </c>
      <c r="AJ338" s="887">
        <v>0.00250457858799745</v>
      </c>
      <c r="AK338" s="844">
        <v>0.005546969594006678</v>
      </c>
      <c r="AL338" s="763">
        <v>0.008530188636674024</v>
      </c>
      <c r="AM338" s="916">
        <v>0.011465820963559067</v>
      </c>
      <c r="AN338" s="853">
        <v>0.014365451822221391</v>
      </c>
      <c r="AO338" s="853">
        <v>0.015517818850037272</v>
      </c>
      <c r="AP338" s="832">
        <v>0.0166670207383909</v>
      </c>
      <c r="AQ338" s="786">
        <v>0.017813798943126003</v>
      </c>
      <c r="AR338" s="890">
        <v>0.01895889492008647</v>
      </c>
      <c r="AS338" s="890">
        <v>0.02010305012511606</v>
      </c>
      <c r="AT338" s="610"/>
      <c r="AV338" s="587"/>
      <c r="AX338" s="1056">
        <f t="shared" si="33"/>
        <v>4500000</v>
      </c>
      <c r="AY338" s="1359">
        <v>70114.11101195704</v>
      </c>
      <c r="AZ338" s="1359">
        <v>141213.22202391407</v>
      </c>
      <c r="BA338" s="1359">
        <v>354510.5550597852</v>
      </c>
      <c r="BB338" s="1359">
        <v>710006.1101195704</v>
      </c>
      <c r="BC338" s="1359">
        <v>1065501.6651793555</v>
      </c>
      <c r="BD338" s="1359">
        <v>1420997.2202391408</v>
      </c>
      <c r="BE338" s="1359">
        <v>1775507.7752989258</v>
      </c>
      <c r="BF338" s="1359">
        <v>2131003.330358711</v>
      </c>
      <c r="BG338" s="1359">
        <v>2486498.885418496</v>
      </c>
      <c r="BH338" s="1359">
        <v>2841994.4404782816</v>
      </c>
      <c r="BI338" s="1359">
        <v>3196504.9955380666</v>
      </c>
      <c r="BJ338" s="1359">
        <v>3552000.5505978516</v>
      </c>
      <c r="BK338" s="1359">
        <v>3907496.105657637</v>
      </c>
      <c r="BL338" s="1359">
        <v>4262991.660717422</v>
      </c>
      <c r="BO338" s="1056">
        <f t="shared" si="34"/>
        <v>4500000</v>
      </c>
      <c r="BP338" s="594">
        <v>0.07303553230412191</v>
      </c>
      <c r="BQ338" s="594">
        <v>0.07354855313745524</v>
      </c>
      <c r="BR338" s="594">
        <v>0.07385636563745525</v>
      </c>
      <c r="BS338" s="594">
        <v>0.07395896980412192</v>
      </c>
      <c r="BT338" s="594">
        <v>0.0739931711930108</v>
      </c>
      <c r="BU338" s="594">
        <v>0.07401027188745525</v>
      </c>
      <c r="BV338" s="594">
        <v>0.07397949063745524</v>
      </c>
      <c r="BW338" s="594">
        <v>0.0739931711930108</v>
      </c>
      <c r="BX338" s="594">
        <v>0.07400294301840762</v>
      </c>
      <c r="BY338" s="594">
        <v>0.07401027188745525</v>
      </c>
      <c r="BZ338" s="594">
        <v>0.0739931711930108</v>
      </c>
      <c r="CA338" s="594">
        <v>0.07400001147078858</v>
      </c>
      <c r="CB338" s="594">
        <v>0.07400560806169768</v>
      </c>
      <c r="CC338" s="594">
        <v>0.07401027188745525</v>
      </c>
      <c r="CU338" s="543"/>
      <c r="CV338" s="1581"/>
      <c r="CW338" s="1581"/>
      <c r="CX338" s="1581"/>
      <c r="CY338" s="1581"/>
      <c r="CZ338" s="1581"/>
      <c r="DA338" s="1581"/>
      <c r="DB338" s="1581"/>
      <c r="DC338" s="1581"/>
      <c r="DD338" s="1581"/>
      <c r="DE338" s="1581"/>
      <c r="DF338" s="1581"/>
      <c r="DG338" s="1581"/>
      <c r="DH338" s="1581"/>
      <c r="DI338" s="1581"/>
    </row>
    <row r="339">
      <c r="Y339" s="1056">
        <f t="shared" si="32"/>
        <v>5000000</v>
      </c>
      <c r="Z339" s="1199">
        <v>0.01895889492008647</v>
      </c>
      <c r="AA339" s="844">
        <v>0.0299371727721833</v>
      </c>
      <c r="AB339" s="763">
        <v>0.04091545062428015</v>
      </c>
      <c r="AC339" s="916">
        <v>0.051893728476376993</v>
      </c>
      <c r="AD339" s="853">
        <v>0.0628720063284738</v>
      </c>
      <c r="AE339" s="853">
        <v>0.07385028418057069</v>
      </c>
      <c r="AF339" s="832">
        <v>0.08482856203266749</v>
      </c>
      <c r="AG339" s="577"/>
      <c r="AI339" s="1056">
        <f t="shared" si="31"/>
        <v>5500000</v>
      </c>
      <c r="AJ339" s="804">
        <v>5.558608409472754E-7</v>
      </c>
      <c r="AK339" s="821">
        <v>0.002901361866927985</v>
      </c>
      <c r="AL339" s="902">
        <v>0.005745749619636366</v>
      </c>
      <c r="AM339" s="763">
        <v>0.008544765219101235</v>
      </c>
      <c r="AN339" s="822">
        <v>0.011309454765457829</v>
      </c>
      <c r="AO339" s="852">
        <v>0.012408193615560432</v>
      </c>
      <c r="AP339" s="831">
        <v>0.013503914623595984</v>
      </c>
      <c r="AQ339" s="853">
        <v>0.014597324739973131</v>
      </c>
      <c r="AR339" s="853">
        <v>0.01568913091510056</v>
      </c>
      <c r="AS339" s="832">
        <v>0.016780040099386894</v>
      </c>
      <c r="AT339" s="610"/>
      <c r="AV339" s="587"/>
      <c r="AX339" s="1056">
        <f t="shared" si="33"/>
        <v>5000000</v>
      </c>
      <c r="AY339" s="1369">
        <v>66465.53912328302</v>
      </c>
      <c r="AZ339" s="1369">
        <v>133916.07824656603</v>
      </c>
      <c r="BA339" s="1369">
        <v>336267.69561641506</v>
      </c>
      <c r="BB339" s="1369">
        <v>673520.3912328301</v>
      </c>
      <c r="BC339" s="1369">
        <v>1010773.0868492451</v>
      </c>
      <c r="BD339" s="1369">
        <v>1348025.7824656602</v>
      </c>
      <c r="BE339" s="1369">
        <v>1684293.4780820752</v>
      </c>
      <c r="BF339" s="1369">
        <v>2021546.1736984903</v>
      </c>
      <c r="BG339" s="1369">
        <v>2358798.8693149053</v>
      </c>
      <c r="BH339" s="1369">
        <v>2696051.5649313205</v>
      </c>
      <c r="BI339" s="1369">
        <v>3032319.2605477353</v>
      </c>
      <c r="BJ339" s="1369">
        <v>3369571.9561641505</v>
      </c>
      <c r="BK339" s="1369">
        <v>3706824.6517805653</v>
      </c>
      <c r="BL339" s="1369">
        <v>4044077.3473969805</v>
      </c>
      <c r="BO339" s="1056">
        <f t="shared" si="34"/>
        <v>5000000</v>
      </c>
      <c r="BP339" s="577">
        <v>0.06923493658675314</v>
      </c>
      <c r="BQ339" s="577">
        <v>0.06974795742008648</v>
      </c>
      <c r="BR339" s="577">
        <v>0.07005576992008647</v>
      </c>
      <c r="BS339" s="577">
        <v>0.07015837408675314</v>
      </c>
      <c r="BT339" s="577">
        <v>0.07019257547564202</v>
      </c>
      <c r="BU339" s="577">
        <v>0.07020967617008647</v>
      </c>
      <c r="BV339" s="577">
        <v>0.07017889492008647</v>
      </c>
      <c r="BW339" s="577">
        <v>0.07019257547564202</v>
      </c>
      <c r="BX339" s="577">
        <v>0.07020234730103884</v>
      </c>
      <c r="BY339" s="577">
        <v>0.07020967617008647</v>
      </c>
      <c r="BZ339" s="577">
        <v>0.07019257547564202</v>
      </c>
      <c r="CA339" s="577">
        <v>0.0701994157534198</v>
      </c>
      <c r="CB339" s="577">
        <v>0.07020501234432888</v>
      </c>
      <c r="CC339" s="577">
        <v>0.07020967617008647</v>
      </c>
      <c r="CU339" s="543"/>
      <c r="CV339" s="1581"/>
      <c r="CW339" s="1581"/>
      <c r="CX339" s="1581"/>
      <c r="CY339" s="1581"/>
      <c r="CZ339" s="1581"/>
      <c r="DA339" s="1581"/>
      <c r="DB339" s="1581"/>
      <c r="DC339" s="1581"/>
      <c r="DD339" s="1581"/>
      <c r="DE339" s="1581"/>
      <c r="DF339" s="1581"/>
      <c r="DG339" s="1581"/>
      <c r="DH339" s="1581"/>
      <c r="DI339" s="1581"/>
    </row>
    <row r="340">
      <c r="Y340" s="1056">
        <f t="shared" si="32"/>
        <v>5500000</v>
      </c>
      <c r="Z340" s="1205">
        <v>0.01568913091510056</v>
      </c>
      <c r="AA340" s="821">
        <v>0.026156508141418358</v>
      </c>
      <c r="AB340" s="902">
        <v>0.036623885367736156</v>
      </c>
      <c r="AC340" s="763">
        <v>0.04709126259405393</v>
      </c>
      <c r="AD340" s="822">
        <v>0.057558639820371744</v>
      </c>
      <c r="AE340" s="852">
        <v>0.06802601704668952</v>
      </c>
      <c r="AF340" s="831">
        <v>0.07849339427300733</v>
      </c>
      <c r="AG340" s="577"/>
      <c r="AI340" s="1056">
        <f t="shared" si="31"/>
        <v>6000000</v>
      </c>
      <c r="AJ340" s="843">
        <v>-0.0021835458693881074</v>
      </c>
      <c r="AK340" s="804">
        <v>5.937644351820322E-4</v>
      </c>
      <c r="AL340" s="914">
        <v>0.003317058374595175</v>
      </c>
      <c r="AM340" s="902">
        <v>0.005996911784555685</v>
      </c>
      <c r="AN340" s="763">
        <v>0.008643900500768069</v>
      </c>
      <c r="AO340" s="763">
        <v>0.009695862860201316</v>
      </c>
      <c r="AP340" s="822">
        <v>0.01074493585583267</v>
      </c>
      <c r="AQ340" s="916">
        <v>0.011791796341147152</v>
      </c>
      <c r="AR340" s="852">
        <v>0.012837121169629918</v>
      </c>
      <c r="AS340" s="831">
        <v>0.013881587194766022</v>
      </c>
      <c r="AT340" s="610"/>
      <c r="AV340" s="587"/>
      <c r="AX340" s="1056">
        <f t="shared" si="33"/>
        <v>5500000</v>
      </c>
      <c r="AY340" s="1369">
        <v>63326.56567849654</v>
      </c>
      <c r="AZ340" s="1369">
        <v>127638.13135699308</v>
      </c>
      <c r="BA340" s="1369">
        <v>320572.82839248265</v>
      </c>
      <c r="BB340" s="1369">
        <v>642130.6567849653</v>
      </c>
      <c r="BC340" s="1369">
        <v>963688.485177448</v>
      </c>
      <c r="BD340" s="1369">
        <v>1285246.3135699306</v>
      </c>
      <c r="BE340" s="1369">
        <v>1605819.1419624134</v>
      </c>
      <c r="BF340" s="1369">
        <v>1927376.970354896</v>
      </c>
      <c r="BG340" s="1369">
        <v>2248934.798747379</v>
      </c>
      <c r="BH340" s="1369">
        <v>2570492.627139861</v>
      </c>
      <c r="BI340" s="1369">
        <v>2891065.455532344</v>
      </c>
      <c r="BJ340" s="1369">
        <v>3212623.283924827</v>
      </c>
      <c r="BK340" s="1369">
        <v>3534181.1123173097</v>
      </c>
      <c r="BL340" s="1369">
        <v>3855738.940709792</v>
      </c>
      <c r="BO340" s="1056">
        <f t="shared" si="34"/>
        <v>5500000</v>
      </c>
      <c r="BP340" s="577">
        <v>0.06596517258176723</v>
      </c>
      <c r="BQ340" s="577">
        <v>0.06647819341510056</v>
      </c>
      <c r="BR340" s="577">
        <v>0.06678600591510055</v>
      </c>
      <c r="BS340" s="577">
        <v>0.06688861008176722</v>
      </c>
      <c r="BT340" s="577">
        <v>0.06692281147065611</v>
      </c>
      <c r="BU340" s="577">
        <v>0.06693991216510055</v>
      </c>
      <c r="BV340" s="577">
        <v>0.06690913091510056</v>
      </c>
      <c r="BW340" s="577">
        <v>0.06692281147065611</v>
      </c>
      <c r="BX340" s="577">
        <v>0.06693258329605294</v>
      </c>
      <c r="BY340" s="577">
        <v>0.06693991216510055</v>
      </c>
      <c r="BZ340" s="577">
        <v>0.06692281147065611</v>
      </c>
      <c r="CA340" s="577">
        <v>0.06692965174843389</v>
      </c>
      <c r="CB340" s="577">
        <v>0.06693524833934299</v>
      </c>
      <c r="CC340" s="577">
        <v>0.06693991216510056</v>
      </c>
      <c r="CU340" s="543"/>
      <c r="CV340" s="1581"/>
      <c r="CW340" s="1581"/>
      <c r="CX340" s="1581"/>
      <c r="CY340" s="1581"/>
      <c r="CZ340" s="1581"/>
      <c r="DA340" s="1581"/>
      <c r="DB340" s="1581"/>
      <c r="DC340" s="1581"/>
      <c r="DD340" s="1581"/>
      <c r="DE340" s="1581"/>
      <c r="DF340" s="1581"/>
      <c r="DG340" s="1581"/>
      <c r="DH340" s="1581"/>
      <c r="DI340" s="1581"/>
    </row>
    <row r="341">
      <c r="Y341" s="1056">
        <f t="shared" si="32"/>
        <v>6000000</v>
      </c>
      <c r="Z341" s="737">
        <v>0.012837121169629918</v>
      </c>
      <c r="AA341" s="804">
        <v>0.02285887187321792</v>
      </c>
      <c r="AB341" s="914">
        <v>0.032880622576805935</v>
      </c>
      <c r="AC341" s="902">
        <v>0.042902373280393945</v>
      </c>
      <c r="AD341" s="763">
        <v>0.05292412398398195</v>
      </c>
      <c r="AE341" s="763">
        <v>0.06294587468756996</v>
      </c>
      <c r="AF341" s="822">
        <v>0.07296762539115796</v>
      </c>
      <c r="AG341" s="577"/>
      <c r="AI341" s="1056">
        <f t="shared" si="31"/>
        <v>6500000</v>
      </c>
      <c r="AJ341" s="820">
        <v>-0.004110519003087999</v>
      </c>
      <c r="AK341" s="762">
        <v>-0.0014421655734000302</v>
      </c>
      <c r="AL341" s="804">
        <v>0.0011742906113208149</v>
      </c>
      <c r="AM341" s="1192">
        <v>0.0037490104853522867</v>
      </c>
      <c r="AN341" s="902">
        <v>0.006292154982972195</v>
      </c>
      <c r="AO341" s="931">
        <v>0.007302847725903151</v>
      </c>
      <c r="AP341" s="932">
        <v>0.008310764457886451</v>
      </c>
      <c r="AQ341" s="763">
        <v>0.009316555478715903</v>
      </c>
      <c r="AR341" s="738">
        <v>0.010320871088185288</v>
      </c>
      <c r="AS341" s="822">
        <v>0.011324361586088365</v>
      </c>
      <c r="AT341" s="610"/>
      <c r="AV341" s="587"/>
      <c r="AX341" s="1056">
        <f t="shared" si="33"/>
        <v>6000000</v>
      </c>
      <c r="AY341" s="1369">
        <v>60588.636322844715</v>
      </c>
      <c r="AZ341" s="1369">
        <v>122162.27264568943</v>
      </c>
      <c r="BA341" s="1369">
        <v>306883.1816142236</v>
      </c>
      <c r="BB341" s="1369">
        <v>614751.3632284472</v>
      </c>
      <c r="BC341" s="1369">
        <v>922619.5448426708</v>
      </c>
      <c r="BD341" s="1369">
        <v>1230487.7264568943</v>
      </c>
      <c r="BE341" s="1369">
        <v>1537370.908071118</v>
      </c>
      <c r="BF341" s="1369">
        <v>1845239.0896853416</v>
      </c>
      <c r="BG341" s="1369">
        <v>2153107.271299565</v>
      </c>
      <c r="BH341" s="1369">
        <v>2460975.4529137886</v>
      </c>
      <c r="BI341" s="1369">
        <v>2767858.634528012</v>
      </c>
      <c r="BJ341" s="1369">
        <v>3075726.816142236</v>
      </c>
      <c r="BK341" s="1369">
        <v>3383594.9977564593</v>
      </c>
      <c r="BL341" s="1369">
        <v>3691463.179370683</v>
      </c>
      <c r="BO341" s="1056">
        <f t="shared" si="34"/>
        <v>6000000</v>
      </c>
      <c r="BP341" s="577">
        <v>0.06311316283629657</v>
      </c>
      <c r="BQ341" s="577">
        <v>0.06362618366962991</v>
      </c>
      <c r="BR341" s="577">
        <v>0.06393399616962991</v>
      </c>
      <c r="BS341" s="577">
        <v>0.06403660033629657</v>
      </c>
      <c r="BT341" s="577">
        <v>0.06407080172518548</v>
      </c>
      <c r="BU341" s="577">
        <v>0.06408790241962992</v>
      </c>
      <c r="BV341" s="577">
        <v>0.06405712116962992</v>
      </c>
      <c r="BW341" s="577">
        <v>0.06407080172518548</v>
      </c>
      <c r="BX341" s="577">
        <v>0.0640805735505823</v>
      </c>
      <c r="BY341" s="577">
        <v>0.06408790241962992</v>
      </c>
      <c r="BZ341" s="577">
        <v>0.06407080172518546</v>
      </c>
      <c r="CA341" s="577">
        <v>0.06407764200296324</v>
      </c>
      <c r="CB341" s="577">
        <v>0.06408323859387234</v>
      </c>
      <c r="CC341" s="577">
        <v>0.06408790241962992</v>
      </c>
      <c r="CU341" s="543"/>
      <c r="CV341" s="1581"/>
      <c r="CW341" s="1581"/>
      <c r="CX341" s="1581"/>
      <c r="CY341" s="1581"/>
      <c r="CZ341" s="1581"/>
      <c r="DA341" s="1581"/>
      <c r="DB341" s="1581"/>
      <c r="DC341" s="1581"/>
      <c r="DD341" s="1581"/>
      <c r="DE341" s="1581"/>
      <c r="DF341" s="1581"/>
      <c r="DG341" s="1581"/>
      <c r="DH341" s="1581"/>
      <c r="DI341" s="1581"/>
    </row>
    <row r="342">
      <c r="Y342" s="1056">
        <f t="shared" si="32"/>
        <v>6500000</v>
      </c>
      <c r="Z342" s="1623">
        <v>0.010320871088185288</v>
      </c>
      <c r="AA342" s="762">
        <v>0.019949457716547568</v>
      </c>
      <c r="AB342" s="804">
        <v>0.02957804434490986</v>
      </c>
      <c r="AC342" s="1192">
        <v>0.03920663097327211</v>
      </c>
      <c r="AD342" s="902">
        <v>0.04883521760163442</v>
      </c>
      <c r="AE342" s="931">
        <v>0.0584638042299967</v>
      </c>
      <c r="AF342" s="932">
        <v>0.06809239085835901</v>
      </c>
      <c r="AG342" s="577"/>
      <c r="AI342" s="1056">
        <f t="shared" si="31"/>
        <v>7000000</v>
      </c>
      <c r="AJ342" s="944">
        <v>-0.005827154077781742</v>
      </c>
      <c r="AK342" s="880">
        <v>-0.0032558643745052864</v>
      </c>
      <c r="AL342" s="762">
        <v>-7.345841078078526E-4</v>
      </c>
      <c r="AM342" s="887">
        <v>0.0017464780435776225</v>
      </c>
      <c r="AN342" s="844">
        <v>0.004197113400918191</v>
      </c>
      <c r="AO342" s="844">
        <v>0.0051710412974856484</v>
      </c>
      <c r="AP342" s="902">
        <v>0.006142294162969743</v>
      </c>
      <c r="AQ342" s="931">
        <v>0.007111498641931544</v>
      </c>
      <c r="AR342" s="932">
        <v>0.008079281378932197</v>
      </c>
      <c r="AS342" s="763">
        <v>0.009046269018532734</v>
      </c>
      <c r="AT342" s="610"/>
      <c r="AV342" s="587"/>
      <c r="AX342" s="1056">
        <f t="shared" si="33"/>
        <v>6500000</v>
      </c>
      <c r="AY342" s="1369">
        <v>58173.03624465787</v>
      </c>
      <c r="AZ342" s="1369">
        <v>117331.07248931575</v>
      </c>
      <c r="BA342" s="1369">
        <v>294805.1812232894</v>
      </c>
      <c r="BB342" s="1369">
        <v>590595.3624465788</v>
      </c>
      <c r="BC342" s="1369">
        <v>886385.5436698681</v>
      </c>
      <c r="BD342" s="1369">
        <v>1182175.7248931576</v>
      </c>
      <c r="BE342" s="1369">
        <v>1476980.906116447</v>
      </c>
      <c r="BF342" s="1369">
        <v>1772771.0873397363</v>
      </c>
      <c r="BG342" s="1369">
        <v>2068561.2685630256</v>
      </c>
      <c r="BH342" s="1369">
        <v>2364351.449786315</v>
      </c>
      <c r="BI342" s="1369">
        <v>2659156.6310096043</v>
      </c>
      <c r="BJ342" s="1369">
        <v>2954946.812232894</v>
      </c>
      <c r="BK342" s="1369">
        <v>3250736.993456183</v>
      </c>
      <c r="BL342" s="1369">
        <v>3546527.1746794726</v>
      </c>
      <c r="BO342" s="1056">
        <f t="shared" si="34"/>
        <v>6500000</v>
      </c>
      <c r="BP342" s="577">
        <v>0.06059691275485195</v>
      </c>
      <c r="BQ342" s="577">
        <v>0.06110993358818528</v>
      </c>
      <c r="BR342" s="577">
        <v>0.061417746088185295</v>
      </c>
      <c r="BS342" s="577">
        <v>0.06152035025485196</v>
      </c>
      <c r="BT342" s="577">
        <v>0.061554551643740844</v>
      </c>
      <c r="BU342" s="577">
        <v>0.06157165233818529</v>
      </c>
      <c r="BV342" s="577">
        <v>0.06154087108818529</v>
      </c>
      <c r="BW342" s="577">
        <v>0.061554551643740844</v>
      </c>
      <c r="BX342" s="577">
        <v>0.06156432346913767</v>
      </c>
      <c r="BY342" s="577">
        <v>0.06157165233818529</v>
      </c>
      <c r="BZ342" s="577">
        <v>0.06155455164374084</v>
      </c>
      <c r="CA342" s="577">
        <v>0.061561391921518625</v>
      </c>
      <c r="CB342" s="577">
        <v>0.06156698851242771</v>
      </c>
      <c r="CC342" s="577">
        <v>0.06157165233818529</v>
      </c>
      <c r="CU342" s="543"/>
      <c r="CV342" s="1581"/>
      <c r="CW342" s="1581"/>
      <c r="CX342" s="1581"/>
      <c r="CY342" s="1581"/>
      <c r="CZ342" s="1581"/>
      <c r="DA342" s="1581"/>
      <c r="DB342" s="1581"/>
      <c r="DC342" s="1581"/>
      <c r="DD342" s="1581"/>
      <c r="DE342" s="1581"/>
      <c r="DF342" s="1581"/>
      <c r="DG342" s="1581"/>
      <c r="DH342" s="1581"/>
      <c r="DI342" s="1581"/>
    </row>
    <row r="343">
      <c r="Y343" s="1056">
        <f t="shared" si="32"/>
        <v>7000000</v>
      </c>
      <c r="Z343" s="1624">
        <v>0.008079281378932185</v>
      </c>
      <c r="AA343" s="880">
        <v>0.017357619615223665</v>
      </c>
      <c r="AB343" s="762">
        <v>0.026635957851515145</v>
      </c>
      <c r="AC343" s="887">
        <v>0.03591429608780665</v>
      </c>
      <c r="AD343" s="844">
        <v>0.045192634324098126</v>
      </c>
      <c r="AE343" s="844">
        <v>0.054470972560389595</v>
      </c>
      <c r="AF343" s="902">
        <v>0.06374931079668106</v>
      </c>
      <c r="AG343" s="577"/>
      <c r="AI343" s="1056">
        <f t="shared" si="31"/>
        <v>7500000</v>
      </c>
      <c r="AJ343" s="803">
        <v>-0.007369127843432685</v>
      </c>
      <c r="AK343" s="956">
        <v>-0.004885025989180895</v>
      </c>
      <c r="AL343" s="843">
        <v>-0.0024492378406845107</v>
      </c>
      <c r="AM343" s="804">
        <v>-5.230408292196861E-5</v>
      </c>
      <c r="AN343" s="887">
        <v>0.002315234599128324</v>
      </c>
      <c r="AO343" s="914">
        <v>0.0032561383373138617</v>
      </c>
      <c r="AP343" s="844">
        <v>0.0041944577499502715</v>
      </c>
      <c r="AQ343" s="844">
        <v>0.00513079823319894</v>
      </c>
      <c r="AR343" s="902">
        <v>0.00606576518322124</v>
      </c>
      <c r="AS343" s="1200">
        <v>0.006999963996178558</v>
      </c>
      <c r="AT343" s="610"/>
      <c r="AV343" s="587"/>
      <c r="AX343" s="1056">
        <f t="shared" si="33"/>
        <v>7000000</v>
      </c>
      <c r="AY343" s="1369">
        <v>56021.1101237749</v>
      </c>
      <c r="AZ343" s="1369">
        <v>113027.2202475498</v>
      </c>
      <c r="BA343" s="1369">
        <v>284045.5506188745</v>
      </c>
      <c r="BB343" s="1369">
        <v>569076.101237749</v>
      </c>
      <c r="BC343" s="1369">
        <v>854106.6518566236</v>
      </c>
      <c r="BD343" s="1369">
        <v>1139137.202475498</v>
      </c>
      <c r="BE343" s="1369">
        <v>1423182.7530943726</v>
      </c>
      <c r="BF343" s="1369">
        <v>1708213.3037132472</v>
      </c>
      <c r="BG343" s="1369">
        <v>1993243.8543321216</v>
      </c>
      <c r="BH343" s="1369">
        <v>2278274.404950996</v>
      </c>
      <c r="BI343" s="1369">
        <v>2562319.955569871</v>
      </c>
      <c r="BJ343" s="1369">
        <v>2847350.506188745</v>
      </c>
      <c r="BK343" s="1369">
        <v>3132381.0568076195</v>
      </c>
      <c r="BL343" s="1369">
        <v>3417411.6074264944</v>
      </c>
      <c r="BO343" s="1056">
        <f t="shared" si="34"/>
        <v>7000000</v>
      </c>
      <c r="BP343" s="577">
        <v>0.05835532304559886</v>
      </c>
      <c r="BQ343" s="577">
        <v>0.05886834387893219</v>
      </c>
      <c r="BR343" s="577">
        <v>0.059176156378932185</v>
      </c>
      <c r="BS343" s="577">
        <v>0.05927876054559885</v>
      </c>
      <c r="BT343" s="577">
        <v>0.05931296193448775</v>
      </c>
      <c r="BU343" s="577">
        <v>0.05933006262893219</v>
      </c>
      <c r="BV343" s="577">
        <v>0.059299281378932193</v>
      </c>
      <c r="BW343" s="577">
        <v>0.05931296193448775</v>
      </c>
      <c r="BX343" s="577">
        <v>0.05932273375988457</v>
      </c>
      <c r="BY343" s="577">
        <v>0.05933006262893219</v>
      </c>
      <c r="BZ343" s="577">
        <v>0.05931296193448775</v>
      </c>
      <c r="CA343" s="577">
        <v>0.05931980221226552</v>
      </c>
      <c r="CB343" s="577">
        <v>0.05932539880317461</v>
      </c>
      <c r="CC343" s="577">
        <v>0.059330062628932194</v>
      </c>
      <c r="CU343" s="543"/>
      <c r="CV343" s="1581"/>
      <c r="CW343" s="1581"/>
      <c r="CX343" s="1581"/>
      <c r="CY343" s="1581"/>
      <c r="CZ343" s="1581"/>
      <c r="DA343" s="1581"/>
      <c r="DB343" s="1581"/>
      <c r="DC343" s="1581"/>
      <c r="DD343" s="1581"/>
      <c r="DE343" s="1581"/>
      <c r="DF343" s="1581"/>
      <c r="DG343" s="1581"/>
      <c r="DH343" s="1581"/>
      <c r="DI343" s="1581"/>
    </row>
    <row r="344">
      <c r="Y344" s="1056">
        <f t="shared" si="32"/>
        <v>7500000</v>
      </c>
      <c r="Z344" s="1625">
        <v>0.006065765183221229</v>
      </c>
      <c r="AA344" s="956">
        <v>0.015029491513932881</v>
      </c>
      <c r="AB344" s="843">
        <v>0.02399321784464456</v>
      </c>
      <c r="AC344" s="804">
        <v>0.032956944175356204</v>
      </c>
      <c r="AD344" s="887">
        <v>0.04192067050606784</v>
      </c>
      <c r="AE344" s="914">
        <v>0.050884396836779505</v>
      </c>
      <c r="AF344" s="844">
        <v>0.059848123167491135</v>
      </c>
      <c r="AG344" s="594"/>
      <c r="AI344" s="1056">
        <f t="shared" si="31"/>
        <v>8000000</v>
      </c>
      <c r="AJ344" s="967">
        <v>-0.00876418209281909</v>
      </c>
      <c r="AK344" s="861">
        <v>-0.00635896081486905</v>
      </c>
      <c r="AL344" s="880">
        <v>-0.004000519081365083</v>
      </c>
      <c r="AM344" s="762">
        <v>-0.0016796979499209168</v>
      </c>
      <c r="AN344" s="804">
        <v>6.126615218497733E-4</v>
      </c>
      <c r="AO344" s="887">
        <v>0.0015236876489439766</v>
      </c>
      <c r="AP344" s="887">
        <v>0.0024322115135849507</v>
      </c>
      <c r="AQ344" s="914">
        <v>0.0033388192880854342</v>
      </c>
      <c r="AR344" s="844">
        <v>0.004244097144758096</v>
      </c>
      <c r="AS344" s="844">
        <v>0.0051486312559157095</v>
      </c>
      <c r="AT344" s="610"/>
      <c r="AU344" s="569"/>
      <c r="AV344" s="587"/>
      <c r="AX344" s="1056">
        <f t="shared" si="33"/>
        <v>7500000</v>
      </c>
      <c r="AY344" s="1369">
        <v>54088.13457589238</v>
      </c>
      <c r="AZ344" s="1369">
        <v>109161.26915178476</v>
      </c>
      <c r="BA344" s="1369">
        <v>274380.6728794619</v>
      </c>
      <c r="BB344" s="1369">
        <v>549746.3457589238</v>
      </c>
      <c r="BC344" s="1369">
        <v>825112.0186383857</v>
      </c>
      <c r="BD344" s="1369">
        <v>1100477.6915178476</v>
      </c>
      <c r="BE344" s="1369">
        <v>1374858.3643973095</v>
      </c>
      <c r="BF344" s="1369">
        <v>1650224.0372767714</v>
      </c>
      <c r="BG344" s="1369">
        <v>1925589.7101562333</v>
      </c>
      <c r="BH344" s="1369">
        <v>2200955.383035695</v>
      </c>
      <c r="BI344" s="1369">
        <v>2475336.0559151573</v>
      </c>
      <c r="BJ344" s="1369">
        <v>2750701.728794619</v>
      </c>
      <c r="BK344" s="1369">
        <v>3026067.401674081</v>
      </c>
      <c r="BL344" s="1369">
        <v>3301433.074553543</v>
      </c>
      <c r="BO344" s="1056">
        <f t="shared" si="34"/>
        <v>7500000</v>
      </c>
      <c r="BP344" s="577">
        <v>0.05634180684988789</v>
      </c>
      <c r="BQ344" s="577">
        <v>0.056854827683221226</v>
      </c>
      <c r="BR344" s="577">
        <v>0.05716264018322123</v>
      </c>
      <c r="BS344" s="577">
        <v>0.057265244349887896</v>
      </c>
      <c r="BT344" s="577">
        <v>0.05729944573877679</v>
      </c>
      <c r="BU344" s="577">
        <v>0.057316546433221226</v>
      </c>
      <c r="BV344" s="577">
        <v>0.057285765183221225</v>
      </c>
      <c r="BW344" s="577">
        <v>0.05729944573877679</v>
      </c>
      <c r="BX344" s="577">
        <v>0.057309217564173606</v>
      </c>
      <c r="BY344" s="577">
        <v>0.057316546433221226</v>
      </c>
      <c r="BZ344" s="577">
        <v>0.05729944573877679</v>
      </c>
      <c r="CA344" s="577">
        <v>0.05730628601655456</v>
      </c>
      <c r="CB344" s="577">
        <v>0.05731188260746366</v>
      </c>
      <c r="CC344" s="577">
        <v>0.057316546433221226</v>
      </c>
      <c r="CU344" s="543"/>
      <c r="CV344" s="1581"/>
      <c r="CW344" s="1581"/>
      <c r="CX344" s="1581"/>
      <c r="CY344" s="1581"/>
      <c r="CZ344" s="1581"/>
      <c r="DA344" s="1581"/>
      <c r="DB344" s="1581"/>
      <c r="DC344" s="1581"/>
      <c r="DD344" s="1581"/>
      <c r="DE344" s="1581"/>
      <c r="DF344" s="1581"/>
      <c r="DG344" s="1581"/>
      <c r="DH344" s="1581"/>
      <c r="DI344" s="1581"/>
    </row>
    <row r="345">
      <c r="Y345" s="1056">
        <f t="shared" si="32"/>
        <v>8000000</v>
      </c>
      <c r="Z345" s="1626">
        <v>0.004244097144758096</v>
      </c>
      <c r="AA345" s="861">
        <v>0.0129231878444599</v>
      </c>
      <c r="AB345" s="880">
        <v>0.02160227854416166</v>
      </c>
      <c r="AC345" s="762">
        <v>0.03028136924386344</v>
      </c>
      <c r="AD345" s="804">
        <v>0.03896045994356522</v>
      </c>
      <c r="AE345" s="887">
        <v>0.04763955064326706</v>
      </c>
      <c r="AF345" s="887">
        <v>0.05631864134296881</v>
      </c>
      <c r="AG345" s="577"/>
      <c r="AI345" s="1056">
        <f t="shared" si="31"/>
        <v>8500000</v>
      </c>
      <c r="AJ345" s="980">
        <v>-0.010034257472925627</v>
      </c>
      <c r="AK345" s="981">
        <v>-0.007700850088932422</v>
      </c>
      <c r="AL345" s="982">
        <v>-0.005412825529143805</v>
      </c>
      <c r="AM345" s="1005">
        <v>-0.0031612983142944332</v>
      </c>
      <c r="AN345" s="1007">
        <v>-9.373829651190017E-4</v>
      </c>
      <c r="AO345" s="985">
        <v>-5.3557800482100976E-5</v>
      </c>
      <c r="AP345" s="985">
        <v>8.278398130023963E-4</v>
      </c>
      <c r="AQ345" s="986">
        <v>0.0017073785460074771</v>
      </c>
      <c r="AR345" s="986">
        <v>0.002585627069206116</v>
      </c>
      <c r="AS345" s="1210">
        <v>0.0034631540532713127</v>
      </c>
      <c r="AT345" s="610"/>
      <c r="AU345" s="569"/>
      <c r="AV345" s="587"/>
      <c r="AX345" s="1056">
        <f t="shared" si="33"/>
        <v>8000000</v>
      </c>
      <c r="AY345" s="1369">
        <v>52339.33325896778</v>
      </c>
      <c r="AZ345" s="1369">
        <v>105663.66651793556</v>
      </c>
      <c r="BA345" s="1369">
        <v>265636.6662948389</v>
      </c>
      <c r="BB345" s="1369">
        <v>532258.3325896778</v>
      </c>
      <c r="BC345" s="1369">
        <v>798879.9988845167</v>
      </c>
      <c r="BD345" s="1369">
        <v>1065501.6651793555</v>
      </c>
      <c r="BE345" s="1369">
        <v>1331138.3314741945</v>
      </c>
      <c r="BF345" s="1369">
        <v>1597759.9977690333</v>
      </c>
      <c r="BG345" s="1369">
        <v>1864381.6640638723</v>
      </c>
      <c r="BH345" s="1369">
        <v>2131003.330358711</v>
      </c>
      <c r="BI345" s="1369">
        <v>2396639.99665355</v>
      </c>
      <c r="BJ345" s="1369">
        <v>2663261.662948389</v>
      </c>
      <c r="BK345" s="1369">
        <v>2929883.329243228</v>
      </c>
      <c r="BL345" s="1369">
        <v>3196504.9955380666</v>
      </c>
      <c r="BO345" s="1056">
        <f t="shared" si="34"/>
        <v>8000000</v>
      </c>
      <c r="BP345" s="577">
        <v>0.05452013881142477</v>
      </c>
      <c r="BQ345" s="577">
        <v>0.055033159644758106</v>
      </c>
      <c r="BR345" s="577">
        <v>0.055340972144758104</v>
      </c>
      <c r="BS345" s="577">
        <v>0.05544357631142477</v>
      </c>
      <c r="BT345" s="577">
        <v>0.05547777770031365</v>
      </c>
      <c r="BU345" s="577">
        <v>0.0554948783947581</v>
      </c>
      <c r="BV345" s="577">
        <v>0.055464097144758105</v>
      </c>
      <c r="BW345" s="577">
        <v>0.05547777770031365</v>
      </c>
      <c r="BX345" s="577">
        <v>0.055487549525710486</v>
      </c>
      <c r="BY345" s="577">
        <v>0.0554948783947581</v>
      </c>
      <c r="BZ345" s="577">
        <v>0.05547777770031365</v>
      </c>
      <c r="CA345" s="577">
        <v>0.05548461797809144</v>
      </c>
      <c r="CB345" s="577">
        <v>0.05549021456900053</v>
      </c>
      <c r="CC345" s="577">
        <v>0.0554948783947581</v>
      </c>
      <c r="CU345" s="543"/>
      <c r="CV345" s="1437"/>
      <c r="CW345" s="1437"/>
      <c r="CX345" s="1437"/>
      <c r="CY345" s="1437"/>
      <c r="CZ345" s="1437"/>
      <c r="DA345" s="1437"/>
      <c r="DB345" s="1437"/>
      <c r="DC345" s="1437"/>
      <c r="DD345" s="1437"/>
      <c r="DE345" s="1437"/>
      <c r="DF345" s="1437"/>
      <c r="DG345" s="1437"/>
      <c r="DH345" s="1437"/>
      <c r="DI345" s="1437"/>
    </row>
    <row r="346">
      <c r="Y346" s="1056">
        <f t="shared" si="32"/>
        <v>8500000</v>
      </c>
      <c r="Z346" s="1627">
        <v>0.002585627069206116</v>
      </c>
      <c r="AA346" s="981">
        <v>0.011005581819602917</v>
      </c>
      <c r="AB346" s="982">
        <v>0.019425536569999693</v>
      </c>
      <c r="AC346" s="1005">
        <v>0.02784549132039647</v>
      </c>
      <c r="AD346" s="1007">
        <v>0.03626544607079327</v>
      </c>
      <c r="AE346" s="985">
        <v>0.04468540082119007</v>
      </c>
      <c r="AF346" s="985">
        <v>0.05310535557158686</v>
      </c>
      <c r="AG346" s="569"/>
      <c r="AH346" s="1406"/>
      <c r="AI346" s="1056">
        <f t="shared" si="31"/>
        <v>9000000</v>
      </c>
      <c r="AJ346" s="994">
        <v>-0.011196965433851631</v>
      </c>
      <c r="AK346" s="967">
        <v>-0.008929301065994774</v>
      </c>
      <c r="AL346" s="861">
        <v>-0.006705740875602769</v>
      </c>
      <c r="AM346" s="820">
        <v>-0.004517649728982492</v>
      </c>
      <c r="AN346" s="843">
        <v>-0.002356392492440804</v>
      </c>
      <c r="AO346" s="762">
        <v>-0.0014974688226989013</v>
      </c>
      <c r="AP346" s="785">
        <v>-6.409043086223143E-4</v>
      </c>
      <c r="AQ346" s="804">
        <v>2.13853698345338E-4</v>
      </c>
      <c r="AR346" s="804">
        <v>0.001067357846760372</v>
      </c>
      <c r="AS346" s="887">
        <v>0.0019201607851791517</v>
      </c>
      <c r="AT346" s="610"/>
      <c r="AU346" s="569"/>
      <c r="AV346" s="587"/>
      <c r="AX346" s="1056">
        <f t="shared" si="33"/>
        <v>8500000</v>
      </c>
      <c r="AY346" s="1359">
        <v>50747.201986437874</v>
      </c>
      <c r="AZ346" s="1359">
        <v>102479.40397287575</v>
      </c>
      <c r="BA346" s="1359">
        <v>257676.00993218936</v>
      </c>
      <c r="BB346" s="1359">
        <v>516337.01986437873</v>
      </c>
      <c r="BC346" s="1359">
        <v>774998.0297965681</v>
      </c>
      <c r="BD346" s="1359">
        <v>1033659.0397287575</v>
      </c>
      <c r="BE346" s="1359">
        <v>1291335.049660947</v>
      </c>
      <c r="BF346" s="1359">
        <v>1549996.0595931362</v>
      </c>
      <c r="BG346" s="1359">
        <v>1808657.0695253257</v>
      </c>
      <c r="BH346" s="1359">
        <v>2067318.079457515</v>
      </c>
      <c r="BI346" s="1359">
        <v>2324994.089389704</v>
      </c>
      <c r="BJ346" s="1359">
        <v>2583655.099321894</v>
      </c>
      <c r="BK346" s="1359">
        <v>2842316.109254083</v>
      </c>
      <c r="BL346" s="1359">
        <v>3100977.1191862724</v>
      </c>
      <c r="BO346" s="1056">
        <f t="shared" si="34"/>
        <v>8500000</v>
      </c>
      <c r="BP346" s="594">
        <v>0.05286166873587279</v>
      </c>
      <c r="BQ346" s="594">
        <v>0.05337468956920612</v>
      </c>
      <c r="BR346" s="594">
        <v>0.05368250206920612</v>
      </c>
      <c r="BS346" s="594">
        <v>0.053785106235872786</v>
      </c>
      <c r="BT346" s="594">
        <v>0.05381930762476168</v>
      </c>
      <c r="BU346" s="594">
        <v>0.053836408319206115</v>
      </c>
      <c r="BV346" s="594">
        <v>0.05380562706920612</v>
      </c>
      <c r="BW346" s="594">
        <v>0.05381930762476168</v>
      </c>
      <c r="BX346" s="594">
        <v>0.0538290794501585</v>
      </c>
      <c r="BY346" s="594">
        <v>0.053836408319206115</v>
      </c>
      <c r="BZ346" s="594">
        <v>0.05381930762476167</v>
      </c>
      <c r="CA346" s="594">
        <v>0.05382614790253946</v>
      </c>
      <c r="CB346" s="594">
        <v>0.05383174449344855</v>
      </c>
      <c r="CC346" s="594">
        <v>0.053836408319206115</v>
      </c>
      <c r="CT346" s="573"/>
      <c r="CU346" s="543"/>
      <c r="CV346" s="1581"/>
      <c r="CW346" s="1581"/>
      <c r="CX346" s="1581"/>
      <c r="CY346" s="1581"/>
      <c r="CZ346" s="1581"/>
      <c r="DA346" s="1581"/>
      <c r="DB346" s="1581"/>
      <c r="DC346" s="1581"/>
      <c r="DD346" s="1581"/>
      <c r="DE346" s="1581"/>
      <c r="DF346" s="1581"/>
      <c r="DG346" s="1581"/>
      <c r="DH346" s="1581"/>
      <c r="DI346" s="1581"/>
    </row>
    <row r="347">
      <c r="X347" s="1222"/>
      <c r="Y347" s="1056">
        <f t="shared" si="32"/>
        <v>9000000</v>
      </c>
      <c r="Z347" s="1628">
        <v>0.0010673578467603661</v>
      </c>
      <c r="AA347" s="967">
        <v>0.009250083031149998</v>
      </c>
      <c r="AB347" s="861">
        <v>0.017432808215539643</v>
      </c>
      <c r="AC347" s="820">
        <v>0.025615533399929297</v>
      </c>
      <c r="AD347" s="843">
        <v>0.03379825858431892</v>
      </c>
      <c r="AE347" s="762">
        <v>0.04198098376870858</v>
      </c>
      <c r="AF347" s="785">
        <v>0.050163708953098206</v>
      </c>
      <c r="AG347" s="610"/>
      <c r="AH347" s="1222"/>
      <c r="AI347" s="1056">
        <f t="shared" si="31"/>
        <v>9500000</v>
      </c>
      <c r="AJ347" s="1002">
        <v>-0.012266628011709125</v>
      </c>
      <c r="AK347" s="980">
        <v>-0.010059445593301124</v>
      </c>
      <c r="AL347" s="981">
        <v>-0.007895191028970032</v>
      </c>
      <c r="AM347" s="982">
        <v>-0.00576545949675974</v>
      </c>
      <c r="AN347" s="1413">
        <v>-0.0036618461747141375</v>
      </c>
      <c r="AO347" s="1005">
        <v>-0.0028258312646238376</v>
      </c>
      <c r="AP347" s="1006">
        <v>-0.001992112588041716</v>
      </c>
      <c r="AQ347" s="1007">
        <v>-0.0011601522363625882</v>
      </c>
      <c r="AR347" s="1008">
        <v>-3.294123009812644E-4</v>
      </c>
      <c r="AS347" s="985">
        <v>5.006451267074693E-4</v>
      </c>
      <c r="AT347" s="610"/>
      <c r="AW347" s="1227"/>
      <c r="AX347" s="1056">
        <f t="shared" si="33"/>
        <v>9000000</v>
      </c>
      <c r="AY347" s="1369">
        <v>49289.66353288995</v>
      </c>
      <c r="AZ347" s="1369">
        <v>99564.3270657799</v>
      </c>
      <c r="BA347" s="1369">
        <v>250388.31766444974</v>
      </c>
      <c r="BB347" s="1369">
        <v>501761.6353288995</v>
      </c>
      <c r="BC347" s="1369">
        <v>753134.9529933493</v>
      </c>
      <c r="BD347" s="1369">
        <v>1004508.270657799</v>
      </c>
      <c r="BE347" s="1369">
        <v>1254896.5883222488</v>
      </c>
      <c r="BF347" s="1369">
        <v>1506269.9059866986</v>
      </c>
      <c r="BG347" s="1369">
        <v>1757643.2236511484</v>
      </c>
      <c r="BH347" s="1369">
        <v>2009016.541315598</v>
      </c>
      <c r="BI347" s="1369">
        <v>2259404.858980048</v>
      </c>
      <c r="BJ347" s="1369">
        <v>2510778.1766444976</v>
      </c>
      <c r="BK347" s="1369">
        <v>2762151.494308947</v>
      </c>
      <c r="BL347" s="1369">
        <v>3013524.811973397</v>
      </c>
      <c r="BN347" s="1227"/>
      <c r="BO347" s="1056">
        <f t="shared" si="34"/>
        <v>9000000</v>
      </c>
      <c r="BP347" s="577">
        <v>0.05134339951342703</v>
      </c>
      <c r="BQ347" s="577">
        <v>0.051856420346760364</v>
      </c>
      <c r="BR347" s="577">
        <v>0.05216423284676036</v>
      </c>
      <c r="BS347" s="577">
        <v>0.05226683701342703</v>
      </c>
      <c r="BT347" s="577">
        <v>0.052301038402315925</v>
      </c>
      <c r="BU347" s="577">
        <v>0.05231813909676036</v>
      </c>
      <c r="BV347" s="577">
        <v>0.05228735784676036</v>
      </c>
      <c r="BW347" s="577">
        <v>0.052301038402315925</v>
      </c>
      <c r="BX347" s="577">
        <v>0.05231081022771275</v>
      </c>
      <c r="BY347" s="577">
        <v>0.05231813909676036</v>
      </c>
      <c r="BZ347" s="577">
        <v>0.052301038402315925</v>
      </c>
      <c r="CA347" s="577">
        <v>0.0523078786800937</v>
      </c>
      <c r="CB347" s="577">
        <v>0.05231347527100279</v>
      </c>
      <c r="CC347" s="577">
        <v>0.05231813909676037</v>
      </c>
      <c r="CT347" s="573"/>
      <c r="CU347" s="543"/>
      <c r="CV347" s="1437"/>
      <c r="CW347" s="1437"/>
      <c r="CX347" s="1437"/>
      <c r="CY347" s="1437"/>
      <c r="CZ347" s="1437"/>
      <c r="DA347" s="1437"/>
      <c r="DB347" s="1437"/>
      <c r="DC347" s="1437"/>
      <c r="DD347" s="1437"/>
      <c r="DE347" s="1437"/>
      <c r="DF347" s="1437"/>
      <c r="DG347" s="1437"/>
      <c r="DH347" s="1437"/>
      <c r="DI347" s="1437"/>
    </row>
    <row r="348">
      <c r="X348" s="1222"/>
      <c r="Y348" s="1056">
        <f t="shared" si="32"/>
        <v>9500000</v>
      </c>
      <c r="Z348" s="1629">
        <v>-3.294123009812644E-4</v>
      </c>
      <c r="AA348" s="980">
        <v>0.007635067547823743</v>
      </c>
      <c r="AB348" s="981">
        <v>0.015599547396628756</v>
      </c>
      <c r="AC348" s="982">
        <v>0.023564027245433758</v>
      </c>
      <c r="AD348" s="1413">
        <v>0.031528507094238795</v>
      </c>
      <c r="AE348" s="1005">
        <v>0.039492986943043755</v>
      </c>
      <c r="AF348" s="1006">
        <v>0.04745746679184879</v>
      </c>
      <c r="AG348" s="610"/>
      <c r="AH348" s="1222"/>
      <c r="AI348" s="1056">
        <f t="shared" si="31"/>
        <v>10000000</v>
      </c>
      <c r="AJ348" s="819">
        <v>-0.013255027815748341</v>
      </c>
      <c r="AK348" s="994">
        <v>-0.011103732504378254</v>
      </c>
      <c r="AL348" s="967">
        <v>-0.008994278089543334</v>
      </c>
      <c r="AM348" s="861">
        <v>-0.006918472564132478</v>
      </c>
      <c r="AN348" s="956">
        <v>-0.004868123921034577</v>
      </c>
      <c r="AO348" s="880">
        <v>-0.004053277381250175</v>
      </c>
      <c r="AP348" s="880">
        <v>-0.0032406689330429592</v>
      </c>
      <c r="AQ348" s="843">
        <v>-0.0024297742879578147</v>
      </c>
      <c r="AR348" s="762">
        <v>-0.0016200691575396498</v>
      </c>
      <c r="AS348" s="762">
        <v>-8.110292533333248E-4</v>
      </c>
      <c r="AT348" s="610"/>
      <c r="AW348" s="1227"/>
      <c r="AX348" s="1056">
        <f t="shared" si="33"/>
        <v>9500000</v>
      </c>
      <c r="AY348" s="1359">
        <v>47948.764191057984</v>
      </c>
      <c r="AZ348" s="1359">
        <v>96882.52838211597</v>
      </c>
      <c r="BA348" s="1359">
        <v>243683.82095528994</v>
      </c>
      <c r="BB348" s="1359">
        <v>488352.64191057987</v>
      </c>
      <c r="BC348" s="1359">
        <v>733021.4628658697</v>
      </c>
      <c r="BD348" s="1359">
        <v>977690.2838211597</v>
      </c>
      <c r="BE348" s="1359">
        <v>1221374.1047764497</v>
      </c>
      <c r="BF348" s="1359">
        <v>1466042.9257317395</v>
      </c>
      <c r="BG348" s="1359">
        <v>1710711.7466870295</v>
      </c>
      <c r="BH348" s="1359">
        <v>1955380.5676423195</v>
      </c>
      <c r="BI348" s="1359">
        <v>2199064.3885976095</v>
      </c>
      <c r="BJ348" s="1359">
        <v>2443733.2095528995</v>
      </c>
      <c r="BK348" s="1359">
        <v>2688402.0305081895</v>
      </c>
      <c r="BL348" s="1359">
        <v>2933070.851463479</v>
      </c>
      <c r="BN348" s="1227"/>
      <c r="BO348" s="1056">
        <f t="shared" si="34"/>
        <v>9500000</v>
      </c>
      <c r="BP348" s="594">
        <v>0.0499466293656854</v>
      </c>
      <c r="BQ348" s="594">
        <v>0.050459650199018734</v>
      </c>
      <c r="BR348" s="594">
        <v>0.05076746269901874</v>
      </c>
      <c r="BS348" s="594">
        <v>0.050870066865685404</v>
      </c>
      <c r="BT348" s="594">
        <v>0.05090426825457429</v>
      </c>
      <c r="BU348" s="594">
        <v>0.05092136894901873</v>
      </c>
      <c r="BV348" s="594">
        <v>0.05089058769901874</v>
      </c>
      <c r="BW348" s="594">
        <v>0.05090426825457429</v>
      </c>
      <c r="BX348" s="594">
        <v>0.050914040079971114</v>
      </c>
      <c r="BY348" s="594">
        <v>0.05092136894901873</v>
      </c>
      <c r="BZ348" s="594">
        <v>0.050904268254574295</v>
      </c>
      <c r="CA348" s="594">
        <v>0.050911108532352076</v>
      </c>
      <c r="CB348" s="594">
        <v>0.050916705123261165</v>
      </c>
      <c r="CC348" s="594">
        <v>0.05092136894901873</v>
      </c>
      <c r="CT348" s="535"/>
      <c r="CU348" s="543"/>
      <c r="CV348" s="1437"/>
      <c r="CW348" s="1437"/>
      <c r="CX348" s="1437"/>
      <c r="CY348" s="1437"/>
      <c r="CZ348" s="1437"/>
      <c r="DA348" s="1437"/>
      <c r="DB348" s="1437"/>
      <c r="DC348" s="1437"/>
      <c r="DD348" s="1437"/>
      <c r="DE348" s="1437"/>
      <c r="DF348" s="1437"/>
      <c r="DG348" s="1437"/>
      <c r="DH348" s="1437"/>
      <c r="DI348" s="1437"/>
    </row>
    <row r="349">
      <c r="X349" s="1222"/>
      <c r="Y349" s="1056">
        <f t="shared" si="32"/>
        <v>10000000</v>
      </c>
      <c r="Z349" s="1630">
        <v>-0.0016200691575396498</v>
      </c>
      <c r="AA349" s="994">
        <v>0.006142745557428111</v>
      </c>
      <c r="AB349" s="967">
        <v>0.013905560272395867</v>
      </c>
      <c r="AC349" s="861">
        <v>0.021668374987363636</v>
      </c>
      <c r="AD349" s="956">
        <v>0.029431189702331415</v>
      </c>
      <c r="AE349" s="880">
        <v>0.037194004417299184</v>
      </c>
      <c r="AF349" s="880">
        <v>0.044956819132266936</v>
      </c>
      <c r="AW349" s="1222"/>
      <c r="AX349" s="1056">
        <f t="shared" si="33"/>
        <v>10000000</v>
      </c>
      <c r="AY349" s="1442">
        <v>46709.73360876193</v>
      </c>
      <c r="AZ349" s="1443">
        <v>94404.46721752387</v>
      </c>
      <c r="BA349" s="1444">
        <v>237488.66804380968</v>
      </c>
      <c r="BB349" s="1445">
        <v>475962.33608761936</v>
      </c>
      <c r="BC349" s="1446">
        <v>714436.004131429</v>
      </c>
      <c r="BD349" s="1447">
        <v>952909.6721752387</v>
      </c>
      <c r="BE349" s="1448">
        <v>1190398.3402190483</v>
      </c>
      <c r="BF349" s="1447">
        <v>1428872.008262858</v>
      </c>
      <c r="BG349" s="1448">
        <v>1667345.6763066677</v>
      </c>
      <c r="BH349" s="1448">
        <v>1905819.3443504774</v>
      </c>
      <c r="BI349" s="1448">
        <v>2143308.012394287</v>
      </c>
      <c r="BJ349" s="1448">
        <v>2381781.6804380966</v>
      </c>
      <c r="BK349" s="1448">
        <v>2620255.3484819066</v>
      </c>
      <c r="BL349" s="1448">
        <v>2858729.016525716</v>
      </c>
      <c r="BN349" s="1222"/>
      <c r="BO349" s="1056">
        <f t="shared" si="34"/>
        <v>10000000</v>
      </c>
      <c r="BP349" s="591">
        <v>0.04865597250912702</v>
      </c>
      <c r="BQ349" s="1449">
        <v>0.049168993342460346</v>
      </c>
      <c r="BR349" s="1450">
        <v>0.04947680584246035</v>
      </c>
      <c r="BS349" s="1451">
        <v>0.049579410009127016</v>
      </c>
      <c r="BT349" s="1452">
        <v>0.04961361139801591</v>
      </c>
      <c r="BU349" s="1453">
        <v>0.04963071209246035</v>
      </c>
      <c r="BV349" s="1454">
        <v>0.049599930842460345</v>
      </c>
      <c r="BW349" s="1453">
        <v>0.04961361139801591</v>
      </c>
      <c r="BX349" s="1454">
        <v>0.04962338322341273</v>
      </c>
      <c r="BY349" s="1454">
        <v>0.04963071209246035</v>
      </c>
      <c r="BZ349" s="1454">
        <v>0.04961361139801591</v>
      </c>
      <c r="CA349" s="1454">
        <v>0.04962045167579368</v>
      </c>
      <c r="CB349" s="1454">
        <v>0.04962604826670278</v>
      </c>
      <c r="CC349" s="1454">
        <v>0.049630712092460345</v>
      </c>
    </row>
    <row r="350">
      <c r="X350" s="220"/>
      <c r="Y350" s="220"/>
      <c r="Z350" s="220"/>
    </row>
    <row r="351">
      <c r="X351" s="220"/>
      <c r="Y351" s="220"/>
      <c r="Z351" s="220"/>
    </row>
    <row r="352">
      <c r="X352" s="220"/>
      <c r="Y352" s="220"/>
      <c r="Z352" s="220"/>
    </row>
    <row r="353">
      <c r="X353" s="220"/>
      <c r="Y353" s="220"/>
      <c r="Z353" s="220"/>
    </row>
    <row r="354">
      <c r="X354" s="220"/>
      <c r="Y354" s="220"/>
      <c r="Z354" s="220"/>
    </row>
  </sheetData>
  <mergeCells count="54">
    <mergeCell ref="X260:AF260"/>
    <mergeCell ref="X262:X278"/>
    <mergeCell ref="CI253:CV253"/>
    <mergeCell ref="AW257:BJ257"/>
    <mergeCell ref="BN257:CA257"/>
    <mergeCell ref="DJ257:DW257"/>
    <mergeCell ref="AH261:AH277"/>
    <mergeCell ref="AU262:AU278"/>
    <mergeCell ref="X287:CB290"/>
    <mergeCell ref="X2:AE4"/>
    <mergeCell ref="X7:BH10"/>
    <mergeCell ref="B10:F12"/>
    <mergeCell ref="B14:F15"/>
    <mergeCell ref="B16:F18"/>
    <mergeCell ref="B20:F21"/>
    <mergeCell ref="B22:F24"/>
    <mergeCell ref="B46:F48"/>
    <mergeCell ref="X74:BH77"/>
    <mergeCell ref="V84:AD84"/>
    <mergeCell ref="B26:F27"/>
    <mergeCell ref="B28:F30"/>
    <mergeCell ref="B32:F33"/>
    <mergeCell ref="B34:F36"/>
    <mergeCell ref="B38:F39"/>
    <mergeCell ref="B40:F42"/>
    <mergeCell ref="B44:F45"/>
    <mergeCell ref="D209:D247"/>
    <mergeCell ref="B80:F82"/>
    <mergeCell ref="V86:V116"/>
    <mergeCell ref="B102:F105"/>
    <mergeCell ref="AK111:AS111"/>
    <mergeCell ref="AK113:AK129"/>
    <mergeCell ref="AU115:AU131"/>
    <mergeCell ref="X153:CB156"/>
    <mergeCell ref="AX191:BK191"/>
    <mergeCell ref="BO191:CB191"/>
    <mergeCell ref="X193:AF193"/>
    <mergeCell ref="AI194:AI210"/>
    <mergeCell ref="X195:X211"/>
    <mergeCell ref="AV196:AV205"/>
    <mergeCell ref="X220:CB223"/>
    <mergeCell ref="DH261:DH277"/>
    <mergeCell ref="CV325:DI325"/>
    <mergeCell ref="CT329:CT345"/>
    <mergeCell ref="AU327:AU343"/>
    <mergeCell ref="AW330:AW346"/>
    <mergeCell ref="BM197:BM213"/>
    <mergeCell ref="BL262:BL278"/>
    <mergeCell ref="AY325:BL325"/>
    <mergeCell ref="BP325:CC325"/>
    <mergeCell ref="X328:AF328"/>
    <mergeCell ref="AH329:AH345"/>
    <mergeCell ref="X330:X346"/>
    <mergeCell ref="BN330:BN346"/>
  </mergeCells>
  <conditionalFormatting sqref="CL66:DW66 CK126 AA190:AF190 AV190:BK190 BM190:CB190 CG252:CV252 AA256:AF256 AU256:BJ256 BL256:CA256 AA324:AF324 AW324:BL324 BN324:CC324">
    <cfRule type="colorScale" priority="1">
      <colorScale>
        <cfvo type="min"/>
        <cfvo type="percentile" val="50"/>
        <cfvo type="max"/>
        <color rgb="FFE67C73"/>
        <color rgb="FFFFFFFF"/>
        <color rgb="FF57BB8A"/>
      </colorScale>
    </cfRule>
  </conditionalFormatting>
  <conditionalFormatting sqref="F126:F128">
    <cfRule type="cellIs" dxfId="0" priority="2" operator="greaterThan">
      <formula>0</formula>
    </cfRule>
  </conditionalFormatting>
  <conditionalFormatting sqref="F126:F128">
    <cfRule type="cellIs" dxfId="1" priority="3" operator="lessThan">
      <formula>0</formula>
    </cfRule>
  </conditionalFormatting>
  <conditionalFormatting sqref="C108:C109 C112:C114">
    <cfRule type="cellIs" dxfId="0" priority="4" operator="equal">
      <formula>"Yes"</formula>
    </cfRule>
  </conditionalFormatting>
  <conditionalFormatting sqref="C108:C109 C112:C114">
    <cfRule type="cellIs" dxfId="1" priority="5" operator="equal">
      <formula>"No"</formula>
    </cfRule>
  </conditionalFormatting>
  <conditionalFormatting sqref="Z262:AF281 Z330:AF349">
    <cfRule type="colorScale" priority="6">
      <colorScale>
        <cfvo type="min"/>
        <cfvo type="percentile" val="10"/>
        <cfvo type="max"/>
        <color rgb="FFE67C73"/>
        <color rgb="FFFFFFFF"/>
        <color rgb="FF57BB8A"/>
      </colorScale>
    </cfRule>
  </conditionalFormatting>
  <conditionalFormatting sqref="AJ261:AS280 AJ329:AS348 Z330:AF349">
    <cfRule type="colorScale" priority="7">
      <colorScale>
        <cfvo type="min"/>
        <cfvo type="percentile" val="10"/>
        <cfvo type="max"/>
        <color rgb="FFE67C73"/>
        <color rgb="FFFFFFFF"/>
        <color rgb="FF57BB8A"/>
      </colorScale>
    </cfRule>
  </conditionalFormatting>
  <conditionalFormatting sqref="AX196:BK205">
    <cfRule type="colorScale" priority="8">
      <colorScale>
        <cfvo type="min"/>
        <cfvo type="max"/>
        <color rgb="FF57BB8A"/>
        <color rgb="FFFFFFFF"/>
      </colorScale>
    </cfRule>
  </conditionalFormatting>
  <conditionalFormatting sqref="BO197:CB216">
    <cfRule type="colorScale" priority="9">
      <colorScale>
        <cfvo type="min"/>
        <cfvo type="max"/>
        <color rgb="FFFFFFFF"/>
        <color rgb="FF57BB8A"/>
      </colorScale>
    </cfRule>
  </conditionalFormatting>
  <conditionalFormatting sqref="AW262:BJ281">
    <cfRule type="colorScale" priority="10">
      <colorScale>
        <cfvo type="min"/>
        <cfvo type="max"/>
        <color rgb="FFFFFFFF"/>
        <color rgb="FF57BB8A"/>
      </colorScale>
    </cfRule>
  </conditionalFormatting>
  <conditionalFormatting sqref="BN262:CA281">
    <cfRule type="colorScale" priority="11">
      <colorScale>
        <cfvo type="min"/>
        <cfvo type="max"/>
        <color rgb="FFFFFFFF"/>
        <color rgb="FF57BB8A"/>
      </colorScale>
    </cfRule>
  </conditionalFormatting>
  <conditionalFormatting sqref="Z195:AF214">
    <cfRule type="colorScale" priority="12">
      <colorScale>
        <cfvo type="min"/>
        <cfvo type="max"/>
        <color rgb="FFFFFFFF"/>
        <color rgb="FF57BB8A"/>
      </colorScale>
    </cfRule>
  </conditionalFormatting>
  <conditionalFormatting sqref="AY330:BL349">
    <cfRule type="colorScale" priority="13">
      <colorScale>
        <cfvo type="min"/>
        <cfvo type="max"/>
        <color rgb="FFFFFFFF"/>
        <color rgb="FF57BB8A"/>
      </colorScale>
    </cfRule>
  </conditionalFormatting>
  <conditionalFormatting sqref="BP330:CC349">
    <cfRule type="colorScale" priority="14">
      <colorScale>
        <cfvo type="min"/>
        <cfvo type="max"/>
        <color rgb="FFFFFFFF"/>
        <color rgb="FF57BB8A"/>
      </colorScale>
    </cfRule>
  </conditionalFormatting>
  <conditionalFormatting sqref="DJ261:DW280 CV329:DI348">
    <cfRule type="colorScale" priority="15">
      <colorScale>
        <cfvo type="min"/>
        <cfvo type="max"/>
        <color rgb="FFFFFFFF"/>
        <color rgb="FFE67C73"/>
      </colorScale>
    </cfRule>
  </conditionalFormatting>
  <dataValidations>
    <dataValidation type="list" allowBlank="1" sqref="C108:C109">
      <formula1>"Yes,No"</formula1>
    </dataValidation>
    <dataValidation type="list" allowBlank="1" sqref="C113">
      <formula1>"Minimum Requirements,Recommended Requirements"</formula1>
    </dataValidation>
    <dataValidation type="list" allowBlank="1" sqref="C112">
      <formula1>"Cloud,Hardware"</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38"/>
    <col customWidth="1" min="2" max="2" width="40.13"/>
    <col customWidth="1" min="3" max="3" width="25.13"/>
    <col customWidth="1" min="4" max="4" width="2.25"/>
    <col customWidth="1" min="5" max="5" width="35.75"/>
    <col customWidth="1" min="6" max="6" width="16.88"/>
    <col customWidth="1" min="7" max="8" width="2.38"/>
    <col customWidth="1" min="9" max="9" width="6.25"/>
    <col customWidth="1" min="10" max="10" width="12.0"/>
    <col customWidth="1" min="11" max="17" width="2.38"/>
    <col customWidth="1" min="18" max="18" width="4.0"/>
    <col customWidth="1" min="19" max="19" width="37.88"/>
    <col customWidth="1" hidden="1" min="20" max="20" width="13.25"/>
    <col customWidth="1" hidden="1" min="21" max="21" width="9.0"/>
    <col customWidth="1" hidden="1" min="22" max="22" width="10.75"/>
    <col customWidth="1" min="23" max="24" width="11.25"/>
    <col customWidth="1" min="25" max="25" width="11.13"/>
    <col customWidth="1" min="26" max="26" width="13.25"/>
    <col customWidth="1" min="27" max="27" width="11.25"/>
    <col customWidth="1" min="28" max="28" width="9.5"/>
    <col customWidth="1" min="29" max="30" width="9.13"/>
    <col customWidth="1" min="31" max="31" width="9.63"/>
    <col customWidth="1" min="32" max="32" width="9.38"/>
    <col customWidth="1" min="33" max="33" width="7.63"/>
    <col customWidth="1" min="34" max="34" width="9.25"/>
    <col customWidth="1" min="35" max="35" width="10.0"/>
    <col customWidth="1" min="36" max="36" width="9.0"/>
    <col customWidth="1" min="37" max="37" width="10.75"/>
    <col customWidth="1" min="38" max="38" width="7.63"/>
    <col customWidth="1" min="39" max="39" width="9.63"/>
    <col customWidth="1" min="40" max="40" width="9.13"/>
    <col customWidth="1" min="41" max="41" width="8.88"/>
    <col customWidth="1" min="42" max="43" width="9.0"/>
    <col customWidth="1" min="44" max="44" width="6.75"/>
    <col customWidth="1" min="45" max="45" width="8.13"/>
    <col customWidth="1" min="46" max="46" width="9.5"/>
    <col customWidth="1" min="47" max="47" width="21.13"/>
    <col customWidth="1" min="48" max="48" width="10.75"/>
    <col customWidth="1" min="49" max="49" width="12.0"/>
    <col customWidth="1" min="50" max="50" width="7.38"/>
    <col customWidth="1" min="51" max="51" width="11.63"/>
    <col customWidth="1" min="52" max="52" width="9.5"/>
    <col customWidth="1" min="53" max="53" width="11.0"/>
    <col customWidth="1" min="54" max="54" width="19.75"/>
    <col customWidth="1" min="55" max="55" width="15.25"/>
    <col customWidth="1" min="56" max="56" width="15.88"/>
    <col customWidth="1" min="57" max="57" width="11.75"/>
    <col customWidth="1" min="58" max="58" width="15.63"/>
    <col customWidth="1" min="59" max="61" width="12.38"/>
    <col customWidth="1" min="62" max="62" width="15.63"/>
    <col customWidth="1" min="63" max="64" width="17.13"/>
    <col customWidth="1" min="65" max="65" width="19.75"/>
    <col customWidth="1" min="66" max="66" width="15.25"/>
    <col customWidth="1" min="67" max="67" width="15.88"/>
    <col customWidth="1" min="68" max="68" width="14.63"/>
    <col customWidth="1" min="69" max="69" width="15.5"/>
    <col customWidth="1" min="70" max="70" width="17.13"/>
    <col customWidth="1" min="71" max="71" width="14.38"/>
    <col customWidth="1" min="72" max="72" width="14.13"/>
    <col customWidth="1" min="73" max="73" width="17.25"/>
    <col customWidth="1" min="74" max="74" width="6.75"/>
    <col customWidth="1" min="75" max="75" width="8.63"/>
    <col customWidth="1" min="76" max="77" width="6.75"/>
    <col customWidth="1" min="78" max="78" width="19.75"/>
    <col customWidth="1" min="79" max="79" width="20.0"/>
    <col customWidth="1" min="80" max="80" width="15.88"/>
    <col customWidth="1" min="81" max="81" width="17.13"/>
    <col customWidth="1" min="82" max="82" width="14.38"/>
    <col customWidth="1" min="83" max="83" width="17.13"/>
    <col customWidth="1" min="84" max="84" width="14.38"/>
    <col customWidth="1" min="85" max="86" width="6.75"/>
    <col customWidth="1" min="87" max="87" width="11.38"/>
    <col customWidth="1" min="88" max="88" width="20.75"/>
    <col customWidth="1" min="89" max="89" width="14.25"/>
    <col customWidth="1" min="90" max="90" width="20.0"/>
    <col customWidth="1" min="91" max="91" width="14.5"/>
    <col customWidth="1" min="92" max="92" width="17.13"/>
    <col customWidth="1" min="93" max="93" width="15.5"/>
    <col customWidth="1" min="94" max="140" width="6.75"/>
  </cols>
  <sheetData>
    <row r="1">
      <c r="A1" s="1"/>
      <c r="B1" s="1"/>
      <c r="C1" s="1"/>
      <c r="D1" s="1"/>
      <c r="F1" s="1"/>
      <c r="BK1" s="1631"/>
    </row>
    <row r="2">
      <c r="D2" s="2"/>
      <c r="F2" s="521"/>
      <c r="BA2" s="1632" t="s">
        <v>225</v>
      </c>
      <c r="BB2" s="1633"/>
      <c r="BC2" s="1633"/>
      <c r="BD2" s="1633"/>
      <c r="BE2" s="1633"/>
      <c r="BF2" s="1633"/>
      <c r="BG2" s="1633"/>
      <c r="BH2" s="1633"/>
      <c r="BI2" s="1633"/>
      <c r="BJ2" s="1633"/>
      <c r="BK2" s="1633"/>
      <c r="BL2" s="1633"/>
      <c r="BM2" s="1633"/>
      <c r="BN2" s="1633"/>
      <c r="BO2" s="1634"/>
      <c r="BP2" s="1634"/>
      <c r="BQ2" s="1634"/>
      <c r="BR2" s="1634"/>
      <c r="BS2" s="1634"/>
      <c r="BT2" s="1634"/>
      <c r="BU2" s="1634"/>
      <c r="BV2" s="1634"/>
      <c r="BW2" s="1634"/>
    </row>
    <row r="3">
      <c r="D3" s="2"/>
      <c r="F3" s="523"/>
      <c r="BA3" s="1635" t="s">
        <v>226</v>
      </c>
      <c r="BB3" s="1636" t="s">
        <v>227</v>
      </c>
      <c r="BC3" s="1636" t="s">
        <v>228</v>
      </c>
      <c r="BD3" s="1636" t="s">
        <v>229</v>
      </c>
      <c r="BE3" s="1636" t="s">
        <v>230</v>
      </c>
      <c r="BF3" s="1636" t="s">
        <v>231</v>
      </c>
      <c r="BG3" s="1636" t="s">
        <v>232</v>
      </c>
      <c r="BH3" s="1636" t="s">
        <v>233</v>
      </c>
      <c r="BI3" s="1636" t="s">
        <v>234</v>
      </c>
      <c r="BJ3" s="1636" t="s">
        <v>235</v>
      </c>
      <c r="BK3" s="1636" t="s">
        <v>236</v>
      </c>
      <c r="BL3" s="1636" t="s">
        <v>237</v>
      </c>
      <c r="BM3" s="1636" t="s">
        <v>238</v>
      </c>
      <c r="BN3" s="1636" t="s">
        <v>239</v>
      </c>
      <c r="BO3" s="1636" t="s">
        <v>240</v>
      </c>
      <c r="BP3" s="1636" t="s">
        <v>241</v>
      </c>
      <c r="BQ3" s="1637" t="s">
        <v>242</v>
      </c>
      <c r="BR3" s="1636" t="s">
        <v>243</v>
      </c>
      <c r="BS3" s="1636" t="s">
        <v>244</v>
      </c>
      <c r="BT3" s="1636" t="s">
        <v>231</v>
      </c>
      <c r="BU3" s="1636" t="s">
        <v>245</v>
      </c>
      <c r="BV3" s="1636" t="s">
        <v>246</v>
      </c>
      <c r="BW3" s="1636" t="s">
        <v>247</v>
      </c>
    </row>
    <row r="4">
      <c r="D4" s="2"/>
      <c r="F4" s="523"/>
      <c r="BA4" s="1638">
        <v>0.0</v>
      </c>
      <c r="BB4" s="1639">
        <f>W201</f>
        <v>0.00002782018141</v>
      </c>
      <c r="BC4" s="1640">
        <f>W202</f>
        <v>32.00002782</v>
      </c>
      <c r="BD4" s="1641">
        <f>(BC4-W199)/W199</f>
        <v>0.000000869380669</v>
      </c>
      <c r="BE4" s="1641">
        <f>W194</f>
        <v>0.0000008693806689</v>
      </c>
      <c r="BF4" s="1642">
        <f>W138</f>
        <v>4000000</v>
      </c>
      <c r="BG4" s="1643">
        <f>W205</f>
        <v>400</v>
      </c>
      <c r="BH4" s="1643">
        <f>W210</f>
        <v>12800</v>
      </c>
      <c r="BI4" s="1643">
        <f t="shared" ref="BI4:BI27" si="1">BC4*BG4</f>
        <v>12800.01113</v>
      </c>
      <c r="BJ4" s="1644">
        <f>W139</f>
        <v>1600000000</v>
      </c>
      <c r="BK4" s="1641">
        <f>(W147*32)/W177</f>
        <v>0.03362158703</v>
      </c>
      <c r="BL4" s="1645">
        <f>W178</f>
        <v>0.0002002152329</v>
      </c>
      <c r="BM4" s="1642">
        <f>W176</f>
        <v>22624.32132</v>
      </c>
      <c r="BN4" s="249">
        <f t="shared" ref="BN4:BN27" si="2">$C$92/12</f>
        <v>0.00375</v>
      </c>
      <c r="BO4" s="1642">
        <f>BN4*($C$42)</f>
        <v>423750</v>
      </c>
      <c r="BP4" s="1642">
        <f t="shared" ref="BP4:BP27" si="3">BO4+BM4</f>
        <v>446374.3213</v>
      </c>
      <c r="BQ4" s="1641">
        <f>BP4/C42</f>
        <v>0.003950215233</v>
      </c>
      <c r="BR4" s="1642">
        <f>($C$42+BM4) + (BN4*$C$42)</f>
        <v>113446374.3</v>
      </c>
      <c r="BS4" s="1646">
        <f t="shared" ref="BS4:BS27" si="4">BR4*BG4</f>
        <v>45378549729</v>
      </c>
      <c r="BT4" s="1647">
        <v>524288.0</v>
      </c>
      <c r="BU4" s="594">
        <v>0.19815978435215711</v>
      </c>
      <c r="BV4" s="379">
        <f>(BI4/BE31)^(1/(24/12))-1</f>
        <v>0.1755951582</v>
      </c>
      <c r="BW4" s="1648">
        <f>(BD31)*(1+(BE4/1))^(24/12)</f>
        <v>12800.03338</v>
      </c>
      <c r="CI4" s="379"/>
    </row>
    <row r="5">
      <c r="D5" s="2"/>
      <c r="BA5" s="1638">
        <f>BA4+1</f>
        <v>1</v>
      </c>
      <c r="BB5" s="1639">
        <f>X201</f>
        <v>0.174116684</v>
      </c>
      <c r="BC5" s="1640">
        <f>X202</f>
        <v>32.1741445</v>
      </c>
      <c r="BD5" s="1641">
        <f>(BC5-X199)/X199</f>
        <v>0.005442015755</v>
      </c>
      <c r="BE5" s="1641">
        <f>X194</f>
        <v>0.005441146374</v>
      </c>
      <c r="BF5" s="1642">
        <f>X138</f>
        <v>4480000</v>
      </c>
      <c r="BG5" s="1643">
        <f>X205</f>
        <v>412</v>
      </c>
      <c r="BH5" s="1643">
        <f>X210</f>
        <v>13184</v>
      </c>
      <c r="BI5" s="1643">
        <f t="shared" si="1"/>
        <v>13255.74754</v>
      </c>
      <c r="BJ5" s="1644">
        <f>X139</f>
        <v>1845760000</v>
      </c>
      <c r="BK5" s="1641">
        <f>X179</f>
        <v>0.03764820187</v>
      </c>
      <c r="BL5" s="1645">
        <f>X178</f>
        <v>0.0002118454723</v>
      </c>
      <c r="BM5" s="1642">
        <f>X176</f>
        <v>23943.33122</v>
      </c>
      <c r="BN5" s="249">
        <f t="shared" si="2"/>
        <v>0.00375</v>
      </c>
      <c r="BO5" s="1642">
        <f t="shared" ref="BO5:BO27" si="5">BN5*(BR4)</f>
        <v>425423.9037</v>
      </c>
      <c r="BP5" s="1642">
        <f t="shared" si="3"/>
        <v>449367.2349</v>
      </c>
      <c r="BQ5" s="1641">
        <f t="shared" ref="BQ5:BQ27" si="6">BP5/BR4</f>
        <v>0.003961054178</v>
      </c>
      <c r="BR5" s="1642">
        <f t="shared" ref="BR5:BR27" si="7">(BR4+BM5)+(BO5)</f>
        <v>113895741.6</v>
      </c>
      <c r="BS5" s="1646">
        <f t="shared" si="4"/>
        <v>46925045521</v>
      </c>
      <c r="BT5" s="1647">
        <v>1000000.0</v>
      </c>
      <c r="BU5" s="594">
        <v>0.14348301032844718</v>
      </c>
      <c r="BV5" s="379">
        <f>(BI5/BE32)^(1/(23/12))-1</f>
        <v>0.1444227313</v>
      </c>
      <c r="BW5" s="1648">
        <f>(BD32)*(1+(BE5/1))^(23/12)</f>
        <v>13394.33463</v>
      </c>
    </row>
    <row r="6">
      <c r="D6" s="2"/>
      <c r="BA6" s="1638">
        <v>2.0</v>
      </c>
      <c r="BB6" s="1639">
        <f>Y201</f>
        <v>0.1645246607</v>
      </c>
      <c r="BC6" s="1640">
        <f>Y202</f>
        <v>32.33866916</v>
      </c>
      <c r="BD6" s="1641">
        <f>(BC6-Y199)/Y199</f>
        <v>0.0105834114</v>
      </c>
      <c r="BE6" s="1641">
        <f>Y194</f>
        <v>0.005141395646</v>
      </c>
      <c r="BF6" s="1642">
        <f>Y138</f>
        <v>5017600</v>
      </c>
      <c r="BG6" s="1643">
        <f>Y205</f>
        <v>424.36</v>
      </c>
      <c r="BH6" s="1643">
        <f>Y210</f>
        <v>13579.52</v>
      </c>
      <c r="BI6" s="1643">
        <f t="shared" si="1"/>
        <v>13723.23765</v>
      </c>
      <c r="BJ6" s="1644">
        <f>X139</f>
        <v>1845760000</v>
      </c>
      <c r="BK6" s="1641">
        <f>Y179</f>
        <v>0.04215653676</v>
      </c>
      <c r="BL6" s="1645">
        <f>Y178</f>
        <v>0.0002241486906</v>
      </c>
      <c r="BM6" s="1642">
        <f>Y176</f>
        <v>25339.24011</v>
      </c>
      <c r="BN6" s="249">
        <f t="shared" si="2"/>
        <v>0.00375</v>
      </c>
      <c r="BO6" s="1642">
        <f t="shared" si="5"/>
        <v>427109.0308</v>
      </c>
      <c r="BP6" s="1642">
        <f t="shared" si="3"/>
        <v>452448.271</v>
      </c>
      <c r="BQ6" s="1641">
        <f t="shared" si="6"/>
        <v>0.003972477502</v>
      </c>
      <c r="BR6" s="1642">
        <f t="shared" si="7"/>
        <v>114348189.8</v>
      </c>
      <c r="BS6" s="1646">
        <f t="shared" si="4"/>
        <v>48524797835</v>
      </c>
      <c r="BT6" s="1649">
        <f t="shared" ref="BT6:BT23" si="8">BT5+500000</f>
        <v>1500000</v>
      </c>
      <c r="BU6" s="594">
        <v>0.11715338735439472</v>
      </c>
      <c r="BV6" s="379">
        <f>(BI6/BE33)^(1/(22/12))-1</f>
        <v>0.148723149</v>
      </c>
      <c r="BW6" s="1648">
        <f>(BD33)*(1+(BE6/1))^(22/12)</f>
        <v>13852.86843</v>
      </c>
    </row>
    <row r="7">
      <c r="D7" s="2"/>
      <c r="BA7" s="1638">
        <v>3.0</v>
      </c>
      <c r="BB7" s="1639">
        <f>Z201</f>
        <v>0.1554610728</v>
      </c>
      <c r="BC7" s="1640">
        <f>Z202</f>
        <v>32.49413024</v>
      </c>
      <c r="BD7" s="1641">
        <f>(BC7-Z199)/Z199</f>
        <v>0.01544156993</v>
      </c>
      <c r="BE7" s="1641">
        <f>Z194</f>
        <v>0.004858158525</v>
      </c>
      <c r="BF7" s="1642">
        <f>Z138</f>
        <v>5619712</v>
      </c>
      <c r="BG7" s="1643">
        <f>Z205</f>
        <v>437.0908</v>
      </c>
      <c r="BH7" s="1643">
        <f>Z210</f>
        <v>13986.9056</v>
      </c>
      <c r="BI7" s="1643">
        <f t="shared" si="1"/>
        <v>14202.88538</v>
      </c>
      <c r="BJ7" s="1644">
        <f>Z139</f>
        <v>2456324414</v>
      </c>
      <c r="BK7" s="1641">
        <f>Z179</f>
        <v>0.04720412608</v>
      </c>
      <c r="BL7" s="1645">
        <f>Z178</f>
        <v>0.0002371635181</v>
      </c>
      <c r="BM7" s="1642">
        <f>Z176</f>
        <v>26816.53124</v>
      </c>
      <c r="BN7" s="249">
        <f t="shared" si="2"/>
        <v>0.00375</v>
      </c>
      <c r="BO7" s="1642">
        <f t="shared" si="5"/>
        <v>428805.7119</v>
      </c>
      <c r="BP7" s="1642">
        <f t="shared" si="3"/>
        <v>455622.2431</v>
      </c>
      <c r="BQ7" s="1641">
        <f t="shared" si="6"/>
        <v>0.003984516447</v>
      </c>
      <c r="BR7" s="1642">
        <f t="shared" si="7"/>
        <v>114803812.1</v>
      </c>
      <c r="BS7" s="1646">
        <f t="shared" si="4"/>
        <v>50179690061</v>
      </c>
      <c r="BT7" s="1649">
        <f t="shared" si="8"/>
        <v>2000000</v>
      </c>
      <c r="BU7" s="594">
        <v>0.10145780958830444</v>
      </c>
      <c r="BV7" s="379">
        <f>(BI7/BE34)^(1/(21/12))-1</f>
        <v>0.153451674</v>
      </c>
      <c r="BW7" s="1648">
        <f t="shared" ref="BW7:BW27" si="9">(BD34)*(1+(BE7/1))^((22/12)*0)</f>
        <v>14202.88538</v>
      </c>
    </row>
    <row r="8">
      <c r="D8" s="2"/>
      <c r="BA8" s="1638">
        <v>4.0</v>
      </c>
      <c r="BB8" s="1639">
        <f>AA201</f>
        <v>0.146896806</v>
      </c>
      <c r="BC8" s="1640">
        <f>AA202</f>
        <v>32.64102704</v>
      </c>
      <c r="BD8" s="1641">
        <f>(BC8-AA199)/AA199</f>
        <v>0.02003209511</v>
      </c>
      <c r="BE8" s="1641">
        <f>AA194</f>
        <v>0.004590525187</v>
      </c>
      <c r="BF8" s="1642">
        <f>AA138</f>
        <v>6294077.44</v>
      </c>
      <c r="BG8" s="1643">
        <f>AA205</f>
        <v>450.203524</v>
      </c>
      <c r="BH8" s="1643">
        <f>AA210</f>
        <v>14406.51277</v>
      </c>
      <c r="BI8" s="1643">
        <f t="shared" si="1"/>
        <v>14695.1054</v>
      </c>
      <c r="BJ8" s="1644">
        <f>AA139</f>
        <v>2833615844</v>
      </c>
      <c r="BK8" s="1641">
        <f>AA179</f>
        <v>0.05285535817</v>
      </c>
      <c r="BL8" s="1645">
        <f>AA178</f>
        <v>0.0002509307653</v>
      </c>
      <c r="BM8" s="1642">
        <f>AA176</f>
        <v>28379.94923</v>
      </c>
      <c r="BN8" s="249">
        <f t="shared" si="2"/>
        <v>0.00375</v>
      </c>
      <c r="BO8" s="1642">
        <f t="shared" si="5"/>
        <v>430514.2953</v>
      </c>
      <c r="BP8" s="1642">
        <f t="shared" si="3"/>
        <v>458894.2445</v>
      </c>
      <c r="BQ8" s="1641">
        <f t="shared" si="6"/>
        <v>0.003997203893</v>
      </c>
      <c r="BR8" s="1642">
        <f t="shared" si="7"/>
        <v>115262706.3</v>
      </c>
      <c r="BS8" s="1646">
        <f t="shared" si="4"/>
        <v>51891676569</v>
      </c>
      <c r="BT8" s="1649">
        <f t="shared" si="8"/>
        <v>2500000</v>
      </c>
      <c r="BU8" s="594">
        <v>0.09074662363507148</v>
      </c>
      <c r="BV8" s="379">
        <f>(BI8/BE35)^(1/(20/12))-1</f>
        <v>0.1586755358</v>
      </c>
      <c r="BW8" s="1648">
        <f t="shared" si="9"/>
        <v>14695.1054</v>
      </c>
    </row>
    <row r="9">
      <c r="D9" s="2"/>
      <c r="BA9" s="1638">
        <v>5.0</v>
      </c>
      <c r="BB9" s="1639">
        <f>AB201</f>
        <v>0.1388043503</v>
      </c>
      <c r="BC9" s="1640">
        <f>AB202</f>
        <v>32.77983139</v>
      </c>
      <c r="BD9" s="1641">
        <f>(BC9-AB199)/AB199</f>
        <v>0.02436973106</v>
      </c>
      <c r="BE9" s="1641">
        <f>AB194</f>
        <v>0.004337635946</v>
      </c>
      <c r="BF9" s="1642">
        <f>AB138</f>
        <v>7049366.733</v>
      </c>
      <c r="BG9" s="1643">
        <f>AB205</f>
        <v>463.7096297</v>
      </c>
      <c r="BH9" s="1643">
        <f>AB210</f>
        <v>14838.70815</v>
      </c>
      <c r="BI9" s="1643">
        <f t="shared" si="1"/>
        <v>15200.32348</v>
      </c>
      <c r="BJ9" s="1644">
        <f>AB139</f>
        <v>3268859237</v>
      </c>
      <c r="BK9" s="1641">
        <f>AB179</f>
        <v>0.05918228864</v>
      </c>
      <c r="BL9" s="1645">
        <f>AB178</f>
        <v>0.0002654935416</v>
      </c>
      <c r="BM9" s="1642">
        <f>AB176</f>
        <v>30034.51532</v>
      </c>
      <c r="BN9" s="249">
        <f t="shared" si="2"/>
        <v>0.00375</v>
      </c>
      <c r="BO9" s="1642">
        <f t="shared" si="5"/>
        <v>432235.1487</v>
      </c>
      <c r="BP9" s="1642">
        <f t="shared" si="3"/>
        <v>462269.664</v>
      </c>
      <c r="BQ9" s="1641">
        <f t="shared" si="6"/>
        <v>0.004010574442</v>
      </c>
      <c r="BR9" s="1642">
        <f t="shared" si="7"/>
        <v>115724976</v>
      </c>
      <c r="BS9" s="1646">
        <f t="shared" si="4"/>
        <v>53662785760</v>
      </c>
      <c r="BT9" s="1649">
        <f t="shared" si="8"/>
        <v>3000000</v>
      </c>
      <c r="BU9" s="594">
        <v>0.08283995463726682</v>
      </c>
      <c r="BV9" s="379">
        <f>(BI9/BE36)^(1/(19/12))-1</f>
        <v>0.164476807</v>
      </c>
      <c r="BW9" s="1648">
        <f t="shared" si="9"/>
        <v>15200.32348</v>
      </c>
    </row>
    <row r="10">
      <c r="A10" s="23"/>
      <c r="B10" s="1650"/>
      <c r="C10" s="1650"/>
      <c r="D10" s="1650"/>
      <c r="E10" s="1650"/>
      <c r="F10" s="1650"/>
      <c r="G10" s="23"/>
      <c r="H10" s="23"/>
      <c r="I10" s="23"/>
      <c r="J10" s="23"/>
      <c r="K10" s="23"/>
      <c r="L10" s="23"/>
      <c r="M10" s="23"/>
      <c r="N10" s="23"/>
      <c r="O10" s="23"/>
      <c r="P10" s="23"/>
      <c r="Q10" s="23"/>
      <c r="R10" s="1651"/>
      <c r="S10" s="1651"/>
      <c r="T10" s="1651"/>
      <c r="U10" s="1651"/>
      <c r="V10" s="1651"/>
      <c r="W10" s="1651"/>
      <c r="X10" s="1651"/>
      <c r="Y10" s="1651"/>
      <c r="Z10" s="1651"/>
      <c r="AA10" s="1651"/>
      <c r="AB10" s="1651"/>
      <c r="AC10" s="1651"/>
      <c r="AD10" s="1651"/>
      <c r="AE10" s="1651"/>
      <c r="AF10" s="1651"/>
      <c r="AG10" s="1651"/>
      <c r="AH10" s="1651"/>
      <c r="AI10" s="1651"/>
      <c r="AJ10" s="1651"/>
      <c r="AK10" s="1651"/>
      <c r="AL10" s="1651"/>
      <c r="AM10" s="1651"/>
      <c r="AN10" s="1651"/>
      <c r="AO10" s="1651"/>
      <c r="AP10" s="1651"/>
      <c r="AQ10" s="1651"/>
      <c r="AR10" s="1651"/>
      <c r="AS10" s="1651"/>
      <c r="AT10" s="1651"/>
      <c r="AU10" s="1651"/>
      <c r="AV10" s="1651"/>
      <c r="AW10" s="1651"/>
      <c r="AX10" s="1651"/>
      <c r="AY10" s="1651"/>
      <c r="AZ10" s="1651"/>
      <c r="BA10" s="1638">
        <v>6.0</v>
      </c>
      <c r="BB10" s="1639">
        <f>AC201</f>
        <v>0.1311577117</v>
      </c>
      <c r="BC10" s="1640">
        <f>AC202</f>
        <v>32.91098911</v>
      </c>
      <c r="BD10" s="1641">
        <f>(BC10-AC199)/AC199</f>
        <v>0.02846840955</v>
      </c>
      <c r="BE10" s="1641">
        <f>AC194</f>
        <v>0.00409867849</v>
      </c>
      <c r="BF10" s="1642">
        <f>AC138</f>
        <v>7895290.741</v>
      </c>
      <c r="BG10" s="1643">
        <f>AC205</f>
        <v>477.6209186</v>
      </c>
      <c r="BH10" s="1643">
        <f>AC210</f>
        <v>15283.8694</v>
      </c>
      <c r="BI10" s="1643">
        <f t="shared" si="1"/>
        <v>15718.97685</v>
      </c>
      <c r="BJ10" s="1644">
        <f>AC139</f>
        <v>3770956016</v>
      </c>
      <c r="BK10" s="1641">
        <f>AC179</f>
        <v>0.06626554946</v>
      </c>
      <c r="BL10" s="1645">
        <f>AC178</f>
        <v>0.0002808973796</v>
      </c>
      <c r="BM10" s="1642">
        <f>AC176</f>
        <v>31785.54351</v>
      </c>
      <c r="BN10" s="249">
        <f t="shared" si="2"/>
        <v>0.00375</v>
      </c>
      <c r="BO10" s="1642">
        <f t="shared" si="5"/>
        <v>433968.6599</v>
      </c>
      <c r="BP10" s="1642">
        <f t="shared" si="3"/>
        <v>465754.2034</v>
      </c>
      <c r="BQ10" s="1641">
        <f t="shared" si="6"/>
        <v>0.004024664507</v>
      </c>
      <c r="BR10" s="1642">
        <f t="shared" si="7"/>
        <v>116190730.2</v>
      </c>
      <c r="BS10" s="1646">
        <f t="shared" si="4"/>
        <v>55495123284</v>
      </c>
      <c r="BT10" s="1649">
        <f t="shared" si="8"/>
        <v>3500000</v>
      </c>
      <c r="BU10" s="594">
        <v>0.076694895067428</v>
      </c>
      <c r="BV10" s="379">
        <f>(BI10/BE37)^(1/(18/12))-1</f>
        <v>0.1709567364</v>
      </c>
      <c r="BW10" s="1648">
        <f t="shared" si="9"/>
        <v>15718.97685</v>
      </c>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row>
    <row r="11">
      <c r="A11" s="23"/>
      <c r="B11" s="1650"/>
      <c r="C11" s="1650"/>
      <c r="D11" s="1650"/>
      <c r="E11" s="1650"/>
      <c r="F11" s="1650"/>
      <c r="G11" s="23"/>
      <c r="H11" s="23"/>
      <c r="I11" s="23"/>
      <c r="J11" s="23"/>
      <c r="K11" s="23"/>
      <c r="L11" s="23"/>
      <c r="M11" s="23"/>
      <c r="N11" s="23"/>
      <c r="O11" s="23"/>
      <c r="P11" s="23"/>
      <c r="Q11" s="23"/>
      <c r="R11" s="1651"/>
      <c r="S11" s="1651"/>
      <c r="T11" s="1651"/>
      <c r="U11" s="1651"/>
      <c r="V11" s="1651"/>
      <c r="W11" s="1651"/>
      <c r="X11" s="1651"/>
      <c r="Y11" s="1651"/>
      <c r="Z11" s="1651"/>
      <c r="AA11" s="1651"/>
      <c r="AB11" s="1651"/>
      <c r="AC11" s="1651"/>
      <c r="AD11" s="1651"/>
      <c r="AE11" s="1651"/>
      <c r="AF11" s="1651"/>
      <c r="AG11" s="1651"/>
      <c r="AH11" s="1651"/>
      <c r="AI11" s="1651"/>
      <c r="AJ11" s="1651"/>
      <c r="AK11" s="1651"/>
      <c r="AL11" s="1651"/>
      <c r="AM11" s="1651"/>
      <c r="AN11" s="1651"/>
      <c r="AO11" s="1651"/>
      <c r="AP11" s="1651"/>
      <c r="AQ11" s="1651"/>
      <c r="AR11" s="1651"/>
      <c r="AS11" s="1651"/>
      <c r="AT11" s="1651"/>
      <c r="AU11" s="1651"/>
      <c r="AV11" s="1651"/>
      <c r="AW11" s="1651"/>
      <c r="AX11" s="1651"/>
      <c r="AY11" s="1651"/>
      <c r="AZ11" s="1651"/>
      <c r="BA11" s="1638">
        <v>7.0</v>
      </c>
      <c r="BB11" s="1639">
        <f>AD201</f>
        <v>0.1239323286</v>
      </c>
      <c r="BC11" s="1640">
        <f>AD202</f>
        <v>33.03492143</v>
      </c>
      <c r="BD11" s="1641">
        <f>(BC11-AD199)/AD199</f>
        <v>0.03234129482</v>
      </c>
      <c r="BE11" s="1641">
        <f>AD194</f>
        <v>0.003872885269</v>
      </c>
      <c r="BF11" s="1642">
        <f>AD138</f>
        <v>8842725.63</v>
      </c>
      <c r="BG11" s="1643">
        <f>AD205</f>
        <v>491.9495462</v>
      </c>
      <c r="BH11" s="1643">
        <f>AD210</f>
        <v>15742.38548</v>
      </c>
      <c r="BI11" s="1643">
        <f t="shared" si="1"/>
        <v>16251.51461</v>
      </c>
      <c r="BJ11" s="1644">
        <f>AD139</f>
        <v>4350174860</v>
      </c>
      <c r="BK11" s="1641">
        <f>AD179</f>
        <v>0.07419536524</v>
      </c>
      <c r="BL11" s="1645">
        <f>AD178</f>
        <v>0.000297190366</v>
      </c>
      <c r="BM11" s="1642">
        <f>AD176</f>
        <v>33638.65758</v>
      </c>
      <c r="BN11" s="249">
        <f t="shared" si="2"/>
        <v>0.00375</v>
      </c>
      <c r="BO11" s="1642">
        <f t="shared" si="5"/>
        <v>435715.2382</v>
      </c>
      <c r="BP11" s="1642">
        <f t="shared" si="3"/>
        <v>469353.8958</v>
      </c>
      <c r="BQ11" s="1641">
        <f t="shared" si="6"/>
        <v>0.004039512404</v>
      </c>
      <c r="BR11" s="1642">
        <f t="shared" si="7"/>
        <v>116660084.1</v>
      </c>
      <c r="BS11" s="1646">
        <f t="shared" si="4"/>
        <v>57390875418</v>
      </c>
      <c r="BT11" s="1649">
        <f t="shared" si="8"/>
        <v>4000000</v>
      </c>
      <c r="BU11" s="594">
        <v>0.07174150516422359</v>
      </c>
      <c r="BV11" s="379">
        <f>(BI11/BE38)^(1/(17/12))-1</f>
        <v>0.1782416913</v>
      </c>
      <c r="BW11" s="1648">
        <f t="shared" si="9"/>
        <v>16251.51461</v>
      </c>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row>
    <row r="12">
      <c r="B12" s="1475" t="s">
        <v>248</v>
      </c>
      <c r="C12" s="526"/>
      <c r="D12" s="526"/>
      <c r="E12" s="526"/>
      <c r="F12" s="527"/>
      <c r="BA12" s="1638">
        <f t="shared" ref="BA12:BA27" si="10">BA11+1</f>
        <v>8</v>
      </c>
      <c r="BB12" s="1639">
        <f>AE201</f>
        <v>0.1171049928</v>
      </c>
      <c r="BC12" s="1640">
        <f>AE202</f>
        <v>33.15202643</v>
      </c>
      <c r="BD12" s="1641">
        <f>(BC12-AE199)/AE199</f>
        <v>0.03600082584</v>
      </c>
      <c r="BE12" s="1641">
        <f>AE194</f>
        <v>0.003659531026</v>
      </c>
      <c r="BF12" s="1642">
        <f>AE138</f>
        <v>9903852.705</v>
      </c>
      <c r="BG12" s="1643">
        <f>AE205</f>
        <v>506.7080326</v>
      </c>
      <c r="BH12" s="1643">
        <f>AE210</f>
        <v>16214.65704</v>
      </c>
      <c r="BI12" s="1643">
        <f t="shared" si="1"/>
        <v>16798.39809</v>
      </c>
      <c r="BJ12" s="1644">
        <f>AE139</f>
        <v>5018361719</v>
      </c>
      <c r="BK12" s="1641">
        <f>AE179</f>
        <v>0.08307268909</v>
      </c>
      <c r="BL12" s="1645">
        <f>AE178</f>
        <v>0.0003144232788</v>
      </c>
      <c r="BM12" s="1642">
        <f>AE176</f>
        <v>35599.8092</v>
      </c>
      <c r="BN12" s="249">
        <f t="shared" si="2"/>
        <v>0.00375</v>
      </c>
      <c r="BO12" s="1642">
        <f t="shared" si="5"/>
        <v>437475.3153</v>
      </c>
      <c r="BP12" s="1642">
        <f t="shared" si="3"/>
        <v>473075.1245</v>
      </c>
      <c r="BQ12" s="1641">
        <f t="shared" si="6"/>
        <v>0.004055158439</v>
      </c>
      <c r="BR12" s="1642">
        <f t="shared" si="7"/>
        <v>117133159.2</v>
      </c>
      <c r="BS12" s="1646">
        <f t="shared" si="4"/>
        <v>59352312646</v>
      </c>
      <c r="BT12" s="1649">
        <f t="shared" si="8"/>
        <v>4500000</v>
      </c>
      <c r="BU12" s="594">
        <v>0.06763853972553628</v>
      </c>
      <c r="BV12" s="379">
        <f>(BI12/BE39)^(1/(16/12))-1</f>
        <v>0.1864914539</v>
      </c>
      <c r="BW12" s="1648">
        <f t="shared" si="9"/>
        <v>16798.39809</v>
      </c>
    </row>
    <row r="13">
      <c r="B13" s="110"/>
      <c r="F13" s="78"/>
      <c r="BA13" s="1638">
        <f t="shared" si="10"/>
        <v>9</v>
      </c>
      <c r="BB13" s="1639">
        <f>AF201</f>
        <v>0.1106537749</v>
      </c>
      <c r="BC13" s="1640">
        <f>AF202</f>
        <v>33.2626802</v>
      </c>
      <c r="BD13" s="1641">
        <f>(BC13-AF199)/AF199</f>
        <v>0.03945875631</v>
      </c>
      <c r="BE13" s="1641">
        <f>AF194</f>
        <v>0.003457930466</v>
      </c>
      <c r="BF13" s="1642">
        <f>AF138</f>
        <v>11092315.03</v>
      </c>
      <c r="BG13" s="1643">
        <f>AF205</f>
        <v>521.9092735</v>
      </c>
      <c r="BH13" s="1643">
        <f>AF210</f>
        <v>16701.09675</v>
      </c>
      <c r="BI13" s="1643">
        <f t="shared" si="1"/>
        <v>17360.10126</v>
      </c>
      <c r="BJ13" s="1644">
        <f>AF139</f>
        <v>5789182079</v>
      </c>
      <c r="BK13" s="1641">
        <f>AF179</f>
        <v>0.09301047187</v>
      </c>
      <c r="BL13" s="1645">
        <f>AF178</f>
        <v>0.0003326497304</v>
      </c>
      <c r="BM13" s="1642">
        <f>AF176</f>
        <v>37675.29702</v>
      </c>
      <c r="BN13" s="249">
        <f t="shared" si="2"/>
        <v>0.00375</v>
      </c>
      <c r="BO13" s="1642">
        <f t="shared" si="5"/>
        <v>439249.347</v>
      </c>
      <c r="BP13" s="1642">
        <f t="shared" si="3"/>
        <v>476924.644</v>
      </c>
      <c r="BQ13" s="1641">
        <f t="shared" si="6"/>
        <v>0.004071645017</v>
      </c>
      <c r="BR13" s="1642">
        <f t="shared" si="7"/>
        <v>117610083.8</v>
      </c>
      <c r="BS13" s="1646">
        <f t="shared" si="4"/>
        <v>61381793420</v>
      </c>
      <c r="BT13" s="1649">
        <f t="shared" si="8"/>
        <v>5000000</v>
      </c>
      <c r="BU13" s="594">
        <v>0.06416755294214245</v>
      </c>
      <c r="BV13" s="379">
        <f>(BI13/BE40)^(1/(15/12))-1</f>
        <v>0.1959110355</v>
      </c>
      <c r="BW13" s="1648">
        <f t="shared" si="9"/>
        <v>17360.10126</v>
      </c>
    </row>
    <row r="14">
      <c r="B14" s="146"/>
      <c r="C14" s="528"/>
      <c r="D14" s="528"/>
      <c r="E14" s="528"/>
      <c r="F14" s="529"/>
      <c r="BA14" s="1638">
        <f t="shared" si="10"/>
        <v>10</v>
      </c>
      <c r="BB14" s="1639">
        <f>AG201</f>
        <v>0.1045579537</v>
      </c>
      <c r="BC14" s="1640">
        <f>AG202</f>
        <v>33.36723816</v>
      </c>
      <c r="BD14" s="1641">
        <f>(BC14-AG199)/AG199</f>
        <v>0.04272619236</v>
      </c>
      <c r="BE14" s="1641">
        <f>AG194</f>
        <v>0.003267436054</v>
      </c>
      <c r="BF14" s="1642">
        <f>AG138</f>
        <v>12423392.83</v>
      </c>
      <c r="BG14" s="1643">
        <f>AG205</f>
        <v>537.5665517</v>
      </c>
      <c r="BH14" s="1643">
        <f>AG210</f>
        <v>17202.12966</v>
      </c>
      <c r="BI14" s="1643">
        <f t="shared" si="1"/>
        <v>17937.11116</v>
      </c>
      <c r="BJ14" s="1644">
        <f>AG139</f>
        <v>6678400446</v>
      </c>
      <c r="BK14" s="1641">
        <f>AG179</f>
        <v>0.1041350806</v>
      </c>
      <c r="BL14" s="1645">
        <f>AG178</f>
        <v>0.0003519263186</v>
      </c>
      <c r="BM14" s="1642">
        <f>AG176</f>
        <v>39871.7869</v>
      </c>
      <c r="BN14" s="249">
        <f t="shared" si="2"/>
        <v>0.00375</v>
      </c>
      <c r="BO14" s="1642">
        <f t="shared" si="5"/>
        <v>441037.8144</v>
      </c>
      <c r="BP14" s="1642">
        <f t="shared" si="3"/>
        <v>480909.6013</v>
      </c>
      <c r="BQ14" s="1641">
        <f t="shared" si="6"/>
        <v>0.004089016737</v>
      </c>
      <c r="BR14" s="1642">
        <f t="shared" si="7"/>
        <v>118090993.4</v>
      </c>
      <c r="BS14" s="1646">
        <f t="shared" si="4"/>
        <v>63481768139</v>
      </c>
      <c r="BT14" s="1649">
        <f t="shared" si="8"/>
        <v>5500000</v>
      </c>
      <c r="BU14" s="594">
        <v>0.06118136117376879</v>
      </c>
      <c r="BV14" s="379">
        <f>(BI14/BE41)^(1/(14/12))-1</f>
        <v>0.2067678762</v>
      </c>
      <c r="BW14" s="1648">
        <f t="shared" si="9"/>
        <v>17937.11116</v>
      </c>
    </row>
    <row r="15">
      <c r="B15" s="1477"/>
      <c r="C15" s="1477"/>
      <c r="D15" s="1477"/>
      <c r="E15" s="1477"/>
      <c r="F15" s="1477"/>
      <c r="BA15" s="1638">
        <f t="shared" si="10"/>
        <v>11</v>
      </c>
      <c r="BB15" s="1639">
        <f>AH201</f>
        <v>0.09879794979</v>
      </c>
      <c r="BC15" s="1640">
        <f>AH202</f>
        <v>33.46603611</v>
      </c>
      <c r="BD15" s="1641">
        <f>(BC15-AH199)/AH199</f>
        <v>0.0458136283</v>
      </c>
      <c r="BE15" s="1641">
        <f>AH194</f>
        <v>0.003087435931</v>
      </c>
      <c r="BF15" s="1642">
        <f>AH138</f>
        <v>13914199.97</v>
      </c>
      <c r="BG15" s="1643">
        <f>AH205</f>
        <v>553.6935483</v>
      </c>
      <c r="BH15" s="1643">
        <f>AH210</f>
        <v>17718.19355</v>
      </c>
      <c r="BI15" s="1643">
        <f t="shared" si="1"/>
        <v>18529.92828</v>
      </c>
      <c r="BJ15" s="1644">
        <f>AH139</f>
        <v>7704202755</v>
      </c>
      <c r="BK15" s="1641">
        <f>AH179</f>
        <v>0.1165878831</v>
      </c>
      <c r="BL15" s="1645">
        <f>AH178</f>
        <v>0.0003723127839</v>
      </c>
      <c r="BM15" s="1642">
        <f>AH176</f>
        <v>42196.33333</v>
      </c>
      <c r="BN15" s="249">
        <f t="shared" si="2"/>
        <v>0.00375</v>
      </c>
      <c r="BO15" s="1642">
        <f t="shared" si="5"/>
        <v>442841.2254</v>
      </c>
      <c r="BP15" s="1642">
        <f t="shared" si="3"/>
        <v>485037.5588</v>
      </c>
      <c r="BQ15" s="1641">
        <f t="shared" si="6"/>
        <v>0.004107320504</v>
      </c>
      <c r="BR15" s="1642">
        <f t="shared" si="7"/>
        <v>118576031</v>
      </c>
      <c r="BS15" s="1646">
        <f t="shared" si="4"/>
        <v>65654783350</v>
      </c>
      <c r="BT15" s="1649">
        <f t="shared" si="8"/>
        <v>6000000</v>
      </c>
      <c r="BU15" s="594">
        <v>0.05857669367719736</v>
      </c>
      <c r="BV15" s="379">
        <f>(BI15/BE42)^(1/(13/12))-1</f>
        <v>0.1567469333</v>
      </c>
      <c r="BW15" s="1648">
        <f t="shared" si="9"/>
        <v>18529.92828</v>
      </c>
    </row>
    <row r="16">
      <c r="B16" s="1478" t="s">
        <v>249</v>
      </c>
      <c r="BA16" s="1638">
        <f t="shared" si="10"/>
        <v>12</v>
      </c>
      <c r="BB16" s="1639">
        <f>AI201</f>
        <v>0.09335526247</v>
      </c>
      <c r="BC16" s="1640">
        <f>AI202</f>
        <v>33.55939137</v>
      </c>
      <c r="BD16" s="1641">
        <f>(BC16-AI199)/AI199</f>
        <v>0.04873098025</v>
      </c>
      <c r="BE16" s="1641">
        <f>AI194</f>
        <v>0.002917351952</v>
      </c>
      <c r="BF16" s="1642">
        <f>AI138</f>
        <v>15583903.97</v>
      </c>
      <c r="BG16" s="1643">
        <f>AI205</f>
        <v>570.3043547</v>
      </c>
      <c r="BH16" s="1643">
        <f>AI210</f>
        <v>18249.73935</v>
      </c>
      <c r="BI16" s="1643">
        <f t="shared" si="1"/>
        <v>19139.06704</v>
      </c>
      <c r="BJ16" s="1644">
        <f>AI139</f>
        <v>8887568298</v>
      </c>
      <c r="BK16" s="1641">
        <f>AI179</f>
        <v>0.1305270181</v>
      </c>
      <c r="BL16" s="1645">
        <f>AI178</f>
        <v>0.0003938721742</v>
      </c>
      <c r="BM16" s="1642">
        <f>AI176</f>
        <v>44656.40207</v>
      </c>
      <c r="BN16" s="249">
        <f t="shared" si="2"/>
        <v>0.00375</v>
      </c>
      <c r="BO16" s="1642">
        <f t="shared" si="5"/>
        <v>444660.1163</v>
      </c>
      <c r="BP16" s="1642">
        <f t="shared" si="3"/>
        <v>489316.5183</v>
      </c>
      <c r="BQ16" s="1641">
        <f t="shared" si="6"/>
        <v>0.00412660564</v>
      </c>
      <c r="BR16" s="1642">
        <f t="shared" si="7"/>
        <v>119065347.5</v>
      </c>
      <c r="BS16" s="1646">
        <f t="shared" si="4"/>
        <v>67903486192</v>
      </c>
      <c r="BT16" s="1649">
        <f t="shared" si="8"/>
        <v>6500000</v>
      </c>
      <c r="BU16" s="594">
        <v>0.0562786668872144</v>
      </c>
      <c r="BV16" s="379">
        <f>(BI16/BE43)^(1/(12/12))-1</f>
        <v>0.1550734016</v>
      </c>
      <c r="BW16" s="1648">
        <f t="shared" si="9"/>
        <v>19139.06704</v>
      </c>
    </row>
    <row r="17">
      <c r="BA17" s="1638">
        <f t="shared" si="10"/>
        <v>13</v>
      </c>
      <c r="BB17" s="1639">
        <f>AJ201</f>
        <v>0.08821241041</v>
      </c>
      <c r="BC17" s="1640">
        <f>AJ202</f>
        <v>33.64760378</v>
      </c>
      <c r="BD17" s="1641">
        <f>(BC17-AJ199)/AJ199</f>
        <v>0.05148761807</v>
      </c>
      <c r="BE17" s="1641">
        <f>AJ194</f>
        <v>0.002756637825</v>
      </c>
      <c r="BF17" s="1642">
        <f>AJ138</f>
        <v>17453972.45</v>
      </c>
      <c r="BG17" s="1643">
        <f>AJ205</f>
        <v>587.4134854</v>
      </c>
      <c r="BH17" s="1643">
        <f>AJ210</f>
        <v>18797.23153</v>
      </c>
      <c r="BI17" s="1643">
        <f t="shared" si="1"/>
        <v>19765.05621</v>
      </c>
      <c r="BJ17" s="1644">
        <f>AJ139</f>
        <v>10252698789</v>
      </c>
      <c r="BK17" s="1641">
        <f>AJ179</f>
        <v>0.1461293725</v>
      </c>
      <c r="BL17" s="1645">
        <f>AJ178</f>
        <v>0.0004166710171</v>
      </c>
      <c r="BM17" s="1642">
        <f>AJ176</f>
        <v>47259.89416</v>
      </c>
      <c r="BN17" s="249">
        <f t="shared" si="2"/>
        <v>0.00375</v>
      </c>
      <c r="BO17" s="1642">
        <f t="shared" si="5"/>
        <v>446495.0532</v>
      </c>
      <c r="BP17" s="1642">
        <f t="shared" si="3"/>
        <v>493754.9474</v>
      </c>
      <c r="BQ17" s="1641">
        <f t="shared" si="6"/>
        <v>0.004146924001</v>
      </c>
      <c r="BR17" s="1642">
        <f t="shared" si="7"/>
        <v>119559102.5</v>
      </c>
      <c r="BS17" s="1646">
        <f t="shared" si="4"/>
        <v>70230629092</v>
      </c>
      <c r="BT17" s="1649">
        <f t="shared" si="8"/>
        <v>7000000</v>
      </c>
      <c r="BU17" s="594">
        <v>0.05423148038456905</v>
      </c>
      <c r="BV17" s="379">
        <f>(BI17/BE44)^(1/(11/12))-1</f>
        <v>0.1532045992</v>
      </c>
      <c r="BW17" s="1648">
        <f t="shared" si="9"/>
        <v>19765.05621</v>
      </c>
    </row>
    <row r="18">
      <c r="BA18" s="1638">
        <f t="shared" si="10"/>
        <v>14</v>
      </c>
      <c r="BB18" s="1639">
        <f>AK201</f>
        <v>0.08335287541</v>
      </c>
      <c r="BC18" s="1640">
        <f>AK202</f>
        <v>33.73095665</v>
      </c>
      <c r="BD18" s="1641">
        <f>(BC18-AK199)/AK199</f>
        <v>0.05409239543</v>
      </c>
      <c r="BE18" s="1641">
        <f>AK194</f>
        <v>0.002604777357</v>
      </c>
      <c r="BF18" s="1642">
        <f>AK138</f>
        <v>19548449.14</v>
      </c>
      <c r="BG18" s="1643">
        <f>AK205</f>
        <v>605.0358899</v>
      </c>
      <c r="BH18" s="1643">
        <f>AK210</f>
        <v>19361.14848</v>
      </c>
      <c r="BI18" s="1643">
        <f t="shared" si="1"/>
        <v>20408.43938</v>
      </c>
      <c r="BJ18" s="1644">
        <f>AK139</f>
        <v>11827513323</v>
      </c>
      <c r="BK18" s="1641">
        <f>AK179</f>
        <v>0.1635927888</v>
      </c>
      <c r="BL18" s="1645">
        <f>AK178</f>
        <v>0.0004407795001</v>
      </c>
      <c r="BM18" s="1642">
        <f>AK176</f>
        <v>50015.17125</v>
      </c>
      <c r="BN18" s="249">
        <f t="shared" si="2"/>
        <v>0.00375</v>
      </c>
      <c r="BO18" s="1642">
        <f t="shared" si="5"/>
        <v>448346.6343</v>
      </c>
      <c r="BP18" s="1642">
        <f t="shared" si="3"/>
        <v>498361.8055</v>
      </c>
      <c r="BQ18" s="1641">
        <f t="shared" si="6"/>
        <v>0.0041683301</v>
      </c>
      <c r="BR18" s="1642">
        <f t="shared" si="7"/>
        <v>120057464.3</v>
      </c>
      <c r="BS18" s="1646">
        <f t="shared" si="4"/>
        <v>72639074744</v>
      </c>
      <c r="BT18" s="1649">
        <f t="shared" si="8"/>
        <v>7500000</v>
      </c>
      <c r="BU18" s="594">
        <v>0.05239258758375816</v>
      </c>
      <c r="BV18" s="379">
        <f>(BI18/BE45)^(1/(10/12))-1</f>
        <v>0.1510801828</v>
      </c>
      <c r="BW18" s="1648">
        <f t="shared" si="9"/>
        <v>20408.43938</v>
      </c>
      <c r="CK18" s="1652"/>
    </row>
    <row r="19">
      <c r="BA19" s="1638">
        <f t="shared" si="10"/>
        <v>15</v>
      </c>
      <c r="BB19" s="1639">
        <f>AL201</f>
        <v>0.07876104933</v>
      </c>
      <c r="BC19" s="1640">
        <f>AL202</f>
        <v>33.8097177</v>
      </c>
      <c r="BD19" s="1641">
        <f>(BC19-AL199)/AL199</f>
        <v>0.05655367822</v>
      </c>
      <c r="BE19" s="1641">
        <f>AL194</f>
        <v>0.002461282791</v>
      </c>
      <c r="BF19" s="1642">
        <f>AL138</f>
        <v>21894263.04</v>
      </c>
      <c r="BG19" s="1643">
        <f>AL205</f>
        <v>623.1869666</v>
      </c>
      <c r="BH19" s="1643">
        <f>AL210</f>
        <v>19941.98293</v>
      </c>
      <c r="BI19" s="1643">
        <f t="shared" si="1"/>
        <v>21069.77542</v>
      </c>
      <c r="BJ19" s="1644">
        <f>AL139</f>
        <v>13644219369</v>
      </c>
      <c r="BK19" s="1641">
        <f>AL179</f>
        <v>0.1831385311</v>
      </c>
      <c r="BL19" s="1645">
        <f>AL178</f>
        <v>0.0004662716579</v>
      </c>
      <c r="BM19" s="1642">
        <f>AL176</f>
        <v>52931.0825</v>
      </c>
      <c r="BN19" s="249">
        <f t="shared" si="2"/>
        <v>0.00375</v>
      </c>
      <c r="BO19" s="1642">
        <f t="shared" si="5"/>
        <v>450215.491</v>
      </c>
      <c r="BP19" s="1642">
        <f t="shared" si="3"/>
        <v>503146.5735</v>
      </c>
      <c r="BQ19" s="1641">
        <f t="shared" si="6"/>
        <v>0.00419088123</v>
      </c>
      <c r="BR19" s="1642">
        <f t="shared" si="7"/>
        <v>120560610.9</v>
      </c>
      <c r="BS19" s="1646">
        <f t="shared" si="4"/>
        <v>75131801373</v>
      </c>
      <c r="BT19" s="1649">
        <f t="shared" si="8"/>
        <v>8000000</v>
      </c>
      <c r="BU19" s="594">
        <v>0.05072890479415222</v>
      </c>
      <c r="BV19" s="379">
        <f>(BI19/BE46)^(1/(9/12))-1</f>
        <v>0.1486132848</v>
      </c>
      <c r="BW19" s="1648">
        <f t="shared" si="9"/>
        <v>21069.77542</v>
      </c>
      <c r="CL19" s="1642"/>
      <c r="CM19" s="1642"/>
      <c r="CN19" s="1642"/>
      <c r="CO19" s="1642"/>
      <c r="CP19" s="1642"/>
      <c r="CQ19" s="1642"/>
      <c r="CR19" s="1642"/>
      <c r="CS19" s="1642"/>
      <c r="CT19" s="1642"/>
      <c r="CU19" s="1642"/>
      <c r="CV19" s="1642"/>
      <c r="CW19" s="1642"/>
      <c r="CX19" s="1642"/>
      <c r="CY19" s="1642"/>
      <c r="CZ19" s="1642"/>
      <c r="DA19" s="1642"/>
      <c r="DB19" s="1642"/>
      <c r="DC19" s="1642"/>
      <c r="DD19" s="1642"/>
      <c r="DE19" s="1642"/>
      <c r="DF19" s="1642"/>
      <c r="DG19" s="1642"/>
      <c r="DH19" s="1642"/>
      <c r="DI19" s="1642"/>
      <c r="DJ19" s="1642"/>
      <c r="DK19" s="1642"/>
      <c r="DL19" s="1642"/>
      <c r="DM19" s="1642"/>
      <c r="DN19" s="1642"/>
      <c r="DO19" s="1642"/>
      <c r="DP19" s="1642"/>
      <c r="DQ19" s="1642"/>
      <c r="DR19" s="1642"/>
      <c r="DS19" s="1642"/>
      <c r="DT19" s="1642"/>
      <c r="DU19" s="1642"/>
      <c r="DV19" s="1642"/>
      <c r="DW19" s="1642"/>
      <c r="DX19" s="1642"/>
      <c r="DY19" s="1642"/>
      <c r="DZ19" s="1642"/>
      <c r="EA19" s="1642"/>
      <c r="EB19" s="1642"/>
      <c r="EC19" s="1642"/>
      <c r="ED19" s="1642"/>
      <c r="EE19" s="1642"/>
      <c r="EF19" s="1642"/>
      <c r="EG19" s="1642"/>
      <c r="EH19" s="1642"/>
      <c r="EI19" s="1642"/>
      <c r="EJ19" s="1642"/>
    </row>
    <row r="20">
      <c r="B20" s="1479"/>
      <c r="C20" s="1479"/>
      <c r="D20" s="1479"/>
      <c r="E20" s="1479"/>
      <c r="F20" s="1479"/>
      <c r="BA20" s="1638">
        <f t="shared" si="10"/>
        <v>16</v>
      </c>
      <c r="BB20" s="1639">
        <f>AM201</f>
        <v>0.07442218395</v>
      </c>
      <c r="BC20" s="1640">
        <f>AM202</f>
        <v>33.88413989</v>
      </c>
      <c r="BD20" s="1641">
        <f>(BC20-AM199)/AM199</f>
        <v>0.05887937147</v>
      </c>
      <c r="BE20" s="1641">
        <f>AM194</f>
        <v>0.002325693248</v>
      </c>
      <c r="BF20" s="1642">
        <f>AM138</f>
        <v>24521574.6</v>
      </c>
      <c r="BG20" s="1643">
        <f>AM205</f>
        <v>641.8825756</v>
      </c>
      <c r="BH20" s="1643">
        <f>AM210</f>
        <v>20540.24242</v>
      </c>
      <c r="BI20" s="1643">
        <f t="shared" si="1"/>
        <v>21749.63898</v>
      </c>
      <c r="BJ20" s="1644">
        <f>AM139</f>
        <v>15739971464</v>
      </c>
      <c r="BK20" s="1641">
        <f>AM179</f>
        <v>0.2050140367</v>
      </c>
      <c r="BL20" s="1645">
        <f>AM178</f>
        <v>0.0004932255682</v>
      </c>
      <c r="BM20" s="1642">
        <f>AM176</f>
        <v>56016.99297</v>
      </c>
      <c r="BN20" s="249">
        <f t="shared" si="2"/>
        <v>0.00375</v>
      </c>
      <c r="BO20" s="1642">
        <f t="shared" si="5"/>
        <v>452102.2907</v>
      </c>
      <c r="BP20" s="1642">
        <f t="shared" si="3"/>
        <v>508119.2837</v>
      </c>
      <c r="BQ20" s="1641">
        <f t="shared" si="6"/>
        <v>0.004214637601</v>
      </c>
      <c r="BR20" s="1642">
        <f t="shared" si="7"/>
        <v>121068730.1</v>
      </c>
      <c r="BS20" s="1646">
        <f t="shared" si="4"/>
        <v>77711908328</v>
      </c>
      <c r="BT20" s="1649">
        <f t="shared" si="8"/>
        <v>8500000</v>
      </c>
      <c r="BU20" s="594">
        <v>0.04921426652663335</v>
      </c>
      <c r="BV20" s="379">
        <f>(BI20/BE47)^(1/(8/12))-1</f>
        <v>0.1456740915</v>
      </c>
      <c r="BW20" s="1648">
        <f t="shared" si="9"/>
        <v>21749.63898</v>
      </c>
      <c r="CL20" s="1642"/>
      <c r="CM20" s="1642"/>
      <c r="CN20" s="1642"/>
      <c r="CO20" s="1642"/>
      <c r="CP20" s="1642"/>
      <c r="CQ20" s="1642"/>
      <c r="CR20" s="1642"/>
      <c r="CS20" s="1642"/>
      <c r="CT20" s="1642"/>
      <c r="CU20" s="1642"/>
      <c r="CV20" s="1642"/>
      <c r="CW20" s="1642"/>
      <c r="CX20" s="1642"/>
      <c r="CY20" s="1642"/>
      <c r="CZ20" s="1642"/>
      <c r="DA20" s="1642"/>
      <c r="DB20" s="1642"/>
      <c r="DC20" s="1642"/>
      <c r="DD20" s="1642"/>
      <c r="DE20" s="1642"/>
      <c r="DF20" s="1642"/>
      <c r="DG20" s="1642"/>
      <c r="DH20" s="1642"/>
      <c r="DI20" s="1642"/>
      <c r="DJ20" s="1642"/>
      <c r="DK20" s="1642"/>
      <c r="DL20" s="1642"/>
      <c r="DM20" s="1642"/>
      <c r="DN20" s="1642"/>
      <c r="DO20" s="1642"/>
      <c r="DP20" s="1642"/>
      <c r="DQ20" s="1642"/>
      <c r="DR20" s="1642"/>
      <c r="DS20" s="1642"/>
      <c r="DT20" s="1642"/>
      <c r="DU20" s="1642"/>
      <c r="DV20" s="1642"/>
      <c r="DW20" s="1642"/>
      <c r="DX20" s="1642"/>
      <c r="DY20" s="1642"/>
      <c r="DZ20" s="1642"/>
      <c r="EA20" s="1642"/>
      <c r="EB20" s="1642"/>
      <c r="EC20" s="1642"/>
      <c r="ED20" s="1642"/>
      <c r="EE20" s="1642"/>
      <c r="EF20" s="1642"/>
      <c r="EG20" s="1642"/>
      <c r="EH20" s="1642"/>
      <c r="EI20" s="1642"/>
      <c r="EJ20" s="1642"/>
    </row>
    <row r="21">
      <c r="B21" s="1480" t="s">
        <v>133</v>
      </c>
      <c r="C21" s="526"/>
      <c r="D21" s="526"/>
      <c r="E21" s="526"/>
      <c r="F21" s="527"/>
      <c r="BA21" s="1638">
        <f t="shared" si="10"/>
        <v>17</v>
      </c>
      <c r="BB21" s="1639">
        <f>AN201</f>
        <v>0.07032234359</v>
      </c>
      <c r="BC21" s="1640">
        <f>AN202</f>
        <v>33.95446223</v>
      </c>
      <c r="BD21" s="1641">
        <f>(BC21-AN199)/AN199</f>
        <v>0.06107694471</v>
      </c>
      <c r="BE21" s="1641">
        <f>AN194</f>
        <v>0.002197573237</v>
      </c>
      <c r="BF21" s="1642">
        <f>AN138</f>
        <v>27464163.55</v>
      </c>
      <c r="BG21" s="1643">
        <f>AN205</f>
        <v>661.1390529</v>
      </c>
      <c r="BH21" s="1643">
        <f>AN210</f>
        <v>21156.44969</v>
      </c>
      <c r="BI21" s="1643">
        <f t="shared" si="1"/>
        <v>22448.621</v>
      </c>
      <c r="BJ21" s="1644">
        <f>AN139</f>
        <v>18157631081</v>
      </c>
      <c r="BK21" s="1641">
        <f>AN179</f>
        <v>0.2294959877</v>
      </c>
      <c r="BL21" s="1645">
        <f>AN178</f>
        <v>0.000521723556</v>
      </c>
      <c r="BM21" s="1642">
        <f>AN176</f>
        <v>59282.81371</v>
      </c>
      <c r="BN21" s="249">
        <f t="shared" si="2"/>
        <v>0.00375</v>
      </c>
      <c r="BO21" s="1642">
        <f t="shared" si="5"/>
        <v>454007.738</v>
      </c>
      <c r="BP21" s="1642">
        <f t="shared" si="3"/>
        <v>513290.5517</v>
      </c>
      <c r="BQ21" s="1641">
        <f t="shared" si="6"/>
        <v>0.004239662472</v>
      </c>
      <c r="BR21" s="1642">
        <f t="shared" si="7"/>
        <v>121582020.7</v>
      </c>
      <c r="BS21" s="1646">
        <f t="shared" si="4"/>
        <v>80382622008</v>
      </c>
      <c r="BT21" s="1649">
        <f t="shared" si="8"/>
        <v>9000000</v>
      </c>
      <c r="BU21" s="594">
        <v>0.04782767010948239</v>
      </c>
      <c r="BV21" s="379">
        <f>(BI21/BE48)^(1/(7/12))-1</f>
        <v>0.1420594989</v>
      </c>
      <c r="BW21" s="1648">
        <f t="shared" si="9"/>
        <v>22448.621</v>
      </c>
      <c r="CL21" s="1642"/>
      <c r="CM21" s="1642"/>
      <c r="CN21" s="1642"/>
      <c r="CO21" s="1642"/>
      <c r="CP21" s="1642"/>
      <c r="CQ21" s="1642"/>
      <c r="CR21" s="1642"/>
      <c r="CS21" s="1642"/>
      <c r="CT21" s="1642"/>
      <c r="CU21" s="1642"/>
      <c r="CV21" s="1642"/>
      <c r="CW21" s="1642"/>
      <c r="CX21" s="1642"/>
      <c r="CY21" s="1642"/>
      <c r="CZ21" s="1642"/>
      <c r="DA21" s="1642"/>
      <c r="DB21" s="1642"/>
      <c r="DC21" s="1642"/>
      <c r="DD21" s="1642"/>
      <c r="DE21" s="1642"/>
      <c r="DF21" s="1642"/>
      <c r="DG21" s="1642"/>
      <c r="DH21" s="1642"/>
      <c r="DI21" s="1642"/>
      <c r="DJ21" s="1642"/>
      <c r="DK21" s="1642"/>
      <c r="DL21" s="1642"/>
      <c r="DM21" s="1642"/>
      <c r="DN21" s="1642"/>
      <c r="DO21" s="1642"/>
      <c r="DP21" s="1642"/>
      <c r="DQ21" s="1642"/>
      <c r="DR21" s="1642"/>
      <c r="DS21" s="1642"/>
      <c r="DT21" s="1642"/>
      <c r="DU21" s="1642"/>
      <c r="DV21" s="1642"/>
      <c r="DW21" s="1642"/>
      <c r="DX21" s="1642"/>
      <c r="DY21" s="1642"/>
      <c r="DZ21" s="1642"/>
      <c r="EA21" s="1642"/>
      <c r="EB21" s="1642"/>
      <c r="EC21" s="1642"/>
      <c r="ED21" s="1642"/>
      <c r="EE21" s="1642"/>
      <c r="EF21" s="1642"/>
      <c r="EG21" s="1642"/>
      <c r="EH21" s="1642"/>
      <c r="EI21" s="1642"/>
      <c r="EJ21" s="1642"/>
    </row>
    <row r="22">
      <c r="B22" s="110"/>
      <c r="F22" s="78"/>
      <c r="J22" s="1653"/>
      <c r="BA22" s="1638">
        <f t="shared" si="10"/>
        <v>18</v>
      </c>
      <c r="BB22" s="1639">
        <f>AO201</f>
        <v>0.06644836031</v>
      </c>
      <c r="BC22" s="1640">
        <f>AO202</f>
        <v>34.02091059</v>
      </c>
      <c r="BD22" s="1641">
        <f>(BC22-AO199)/AO199</f>
        <v>0.06315345597</v>
      </c>
      <c r="BE22" s="1641">
        <f>AO194</f>
        <v>0.00207651126</v>
      </c>
      <c r="BF22" s="1642">
        <f>AO138</f>
        <v>30759863.18</v>
      </c>
      <c r="BG22" s="1643">
        <f>AO205</f>
        <v>680.9732245</v>
      </c>
      <c r="BH22" s="1643">
        <f>AO210</f>
        <v>21791.14318</v>
      </c>
      <c r="BI22" s="1643">
        <f t="shared" si="1"/>
        <v>23167.32919</v>
      </c>
      <c r="BJ22" s="1644">
        <f>AO139</f>
        <v>20946643215</v>
      </c>
      <c r="BK22" s="1641">
        <f>AO179</f>
        <v>0.2568937388</v>
      </c>
      <c r="BL22" s="1645">
        <f>AO178</f>
        <v>0.0005518524052</v>
      </c>
      <c r="BM22" s="1642">
        <f>AO176</f>
        <v>62739.03359</v>
      </c>
      <c r="BN22" s="249">
        <f t="shared" si="2"/>
        <v>0.00375</v>
      </c>
      <c r="BO22" s="1642">
        <f t="shared" si="5"/>
        <v>455932.5776</v>
      </c>
      <c r="BP22" s="1642">
        <f t="shared" si="3"/>
        <v>518671.6112</v>
      </c>
      <c r="BQ22" s="1641">
        <f t="shared" si="6"/>
        <v>0.004266022297</v>
      </c>
      <c r="BR22" s="1642">
        <f t="shared" si="7"/>
        <v>122100692.3</v>
      </c>
      <c r="BS22" s="1646">
        <f t="shared" si="4"/>
        <v>83147302147</v>
      </c>
      <c r="BT22" s="1649">
        <f t="shared" si="8"/>
        <v>9500000</v>
      </c>
      <c r="BU22" s="594">
        <v>0.04655203568720115</v>
      </c>
      <c r="BV22" s="379">
        <f>(BI22/BE49)^(1/(6/12))-1</f>
        <v>0.1374328122</v>
      </c>
      <c r="BW22" s="1648">
        <f t="shared" si="9"/>
        <v>23167.32919</v>
      </c>
      <c r="CK22" s="1654"/>
      <c r="CL22" s="1655"/>
      <c r="CM22" s="1655"/>
      <c r="CN22" s="1655"/>
      <c r="CO22" s="1655"/>
      <c r="CP22" s="1655"/>
      <c r="CQ22" s="1655"/>
      <c r="CR22" s="1655"/>
      <c r="CS22" s="1655"/>
      <c r="CT22" s="1655"/>
      <c r="CU22" s="1655"/>
      <c r="CV22" s="1655"/>
      <c r="CW22" s="1655"/>
      <c r="CX22" s="1655"/>
      <c r="CY22" s="1655"/>
      <c r="CZ22" s="1655"/>
      <c r="DA22" s="1655"/>
      <c r="DB22" s="1655"/>
      <c r="DC22" s="1655"/>
      <c r="DD22" s="1655"/>
      <c r="DE22" s="1655"/>
      <c r="DF22" s="1655"/>
      <c r="DG22" s="1655"/>
      <c r="DH22" s="1655"/>
      <c r="DI22" s="1655"/>
      <c r="DJ22" s="1655"/>
      <c r="DK22" s="1655"/>
      <c r="DL22" s="1655"/>
      <c r="DM22" s="1655"/>
      <c r="DN22" s="1655"/>
      <c r="DO22" s="1655"/>
      <c r="DP22" s="1655"/>
      <c r="DQ22" s="1655"/>
      <c r="DR22" s="1655"/>
      <c r="DS22" s="1655"/>
      <c r="DT22" s="1655"/>
      <c r="DU22" s="1655"/>
      <c r="DV22" s="1655"/>
      <c r="DW22" s="1655"/>
      <c r="DX22" s="1655"/>
      <c r="DY22" s="1655"/>
      <c r="DZ22" s="1655"/>
      <c r="EA22" s="1655"/>
      <c r="EB22" s="1655"/>
      <c r="EC22" s="1655"/>
      <c r="ED22" s="1655"/>
      <c r="EE22" s="1655"/>
      <c r="EF22" s="1655"/>
      <c r="EG22" s="1655"/>
      <c r="EH22" s="1655"/>
      <c r="EI22" s="1655"/>
      <c r="EJ22" s="1655"/>
    </row>
    <row r="23">
      <c r="B23" s="1481">
        <f>$C$38*32</f>
        <v>0</v>
      </c>
      <c r="F23" s="78"/>
      <c r="J23" s="1653"/>
      <c r="BA23" s="1638">
        <f t="shared" si="10"/>
        <v>19</v>
      </c>
      <c r="BB23" s="1639">
        <f>AP201</f>
        <v>0.06278779166</v>
      </c>
      <c r="BC23" s="1640">
        <f>AP202</f>
        <v>34.08369838</v>
      </c>
      <c r="BD23" s="1641">
        <f>(BC23-AP199)/AP199</f>
        <v>0.06511557446</v>
      </c>
      <c r="BE23" s="1641">
        <f>AP194</f>
        <v>0.001962118489</v>
      </c>
      <c r="BF23" s="1642">
        <f>AP138</f>
        <v>34451046.76</v>
      </c>
      <c r="BG23" s="1643">
        <f>AP205</f>
        <v>701.4024212</v>
      </c>
      <c r="BH23" s="1643">
        <f>AP210</f>
        <v>22444.87748</v>
      </c>
      <c r="BI23" s="1643">
        <f t="shared" si="1"/>
        <v>23906.38857</v>
      </c>
      <c r="BJ23" s="1644">
        <f>AP139</f>
        <v>24164047613</v>
      </c>
      <c r="BK23" s="1641">
        <f>AP179</f>
        <v>0.2875531416</v>
      </c>
      <c r="BL23" s="1645">
        <f>AP178</f>
        <v>0.000583703579</v>
      </c>
      <c r="BM23" s="1642">
        <f>AP176</f>
        <v>66396.75299</v>
      </c>
      <c r="BN23" s="249">
        <f t="shared" si="2"/>
        <v>0.00375</v>
      </c>
      <c r="BO23" s="1642">
        <f t="shared" si="5"/>
        <v>457877.5961</v>
      </c>
      <c r="BP23" s="1642">
        <f t="shared" si="3"/>
        <v>524274.3491</v>
      </c>
      <c r="BQ23" s="1641">
        <f t="shared" si="6"/>
        <v>0.004293786868</v>
      </c>
      <c r="BR23" s="1642">
        <f t="shared" si="7"/>
        <v>122624966.6</v>
      </c>
      <c r="BS23" s="1646">
        <f t="shared" si="4"/>
        <v>86009448510</v>
      </c>
      <c r="BT23" s="1649">
        <f t="shared" si="8"/>
        <v>10000000</v>
      </c>
      <c r="BU23" s="594">
        <v>0.04537331181753574</v>
      </c>
      <c r="BV23" s="379">
        <f>(BI23/BE50)^(1/(5/12))-1</f>
        <v>0.1311921947</v>
      </c>
      <c r="BW23" s="1648">
        <f t="shared" si="9"/>
        <v>23906.38857</v>
      </c>
      <c r="CK23" s="1654"/>
      <c r="CL23" s="1655"/>
      <c r="CM23" s="1655"/>
      <c r="CN23" s="1655"/>
      <c r="CO23" s="1655"/>
      <c r="CP23" s="1655"/>
      <c r="CQ23" s="1655"/>
      <c r="CR23" s="1655"/>
      <c r="CS23" s="1655"/>
      <c r="CT23" s="1655"/>
      <c r="CU23" s="1655"/>
      <c r="CV23" s="1655"/>
      <c r="CW23" s="1655"/>
      <c r="CX23" s="1655"/>
      <c r="CY23" s="1655"/>
      <c r="CZ23" s="1655"/>
      <c r="DA23" s="1655"/>
      <c r="DB23" s="1655"/>
      <c r="DC23" s="1655"/>
      <c r="DD23" s="1655"/>
      <c r="DE23" s="1655"/>
      <c r="DF23" s="1655"/>
      <c r="DG23" s="1655"/>
      <c r="DH23" s="1655"/>
      <c r="DI23" s="1655"/>
      <c r="DJ23" s="1655"/>
      <c r="DK23" s="1655"/>
      <c r="DL23" s="1655"/>
      <c r="DM23" s="1655"/>
      <c r="DN23" s="1655"/>
      <c r="DO23" s="1655"/>
      <c r="DP23" s="1655"/>
      <c r="DQ23" s="1655"/>
      <c r="DR23" s="1655"/>
      <c r="DS23" s="1655"/>
      <c r="DT23" s="1655"/>
      <c r="DU23" s="1655"/>
      <c r="DV23" s="1655"/>
      <c r="DW23" s="1655"/>
      <c r="DX23" s="1655"/>
      <c r="DY23" s="1655"/>
      <c r="DZ23" s="1655"/>
      <c r="EA23" s="1655"/>
      <c r="EB23" s="1655"/>
      <c r="EC23" s="1655"/>
      <c r="ED23" s="1655"/>
      <c r="EE23" s="1655"/>
      <c r="EF23" s="1655"/>
      <c r="EG23" s="1655"/>
      <c r="EH23" s="1655"/>
      <c r="EI23" s="1655"/>
      <c r="EJ23" s="1655"/>
    </row>
    <row r="24">
      <c r="B24" s="110"/>
      <c r="F24" s="78"/>
      <c r="J24" s="376"/>
      <c r="BA24" s="1638">
        <f t="shared" si="10"/>
        <v>20</v>
      </c>
      <c r="BB24" s="1639">
        <f>AQ201</f>
        <v>0.05932888063</v>
      </c>
      <c r="BC24" s="1640">
        <f>AQ202</f>
        <v>34.14302726</v>
      </c>
      <c r="BD24" s="1641">
        <f>(BC24-AQ199)/AQ199</f>
        <v>0.06696960198</v>
      </c>
      <c r="BE24" s="1641">
        <f>AQ194</f>
        <v>0.00185402752</v>
      </c>
      <c r="BF24" s="1642">
        <f>AQ138</f>
        <v>38585172.37</v>
      </c>
      <c r="BG24" s="1643">
        <f>AQ205</f>
        <v>722.4444939</v>
      </c>
      <c r="BH24" s="1643">
        <f>AQ210</f>
        <v>23118.2238</v>
      </c>
      <c r="BI24" s="1643">
        <f t="shared" si="1"/>
        <v>24666.44205</v>
      </c>
      <c r="BJ24" s="1644">
        <f>AQ139</f>
        <v>27875645326</v>
      </c>
      <c r="BK24" s="1641">
        <f>AQ179</f>
        <v>0.3218608103</v>
      </c>
      <c r="BL24" s="1645">
        <f>AQ178</f>
        <v>0.000617373449</v>
      </c>
      <c r="BM24" s="1642">
        <f>AQ176</f>
        <v>70267.71946</v>
      </c>
      <c r="BN24" s="249">
        <f t="shared" si="2"/>
        <v>0.00375</v>
      </c>
      <c r="BO24" s="1642">
        <f t="shared" si="5"/>
        <v>459843.6249</v>
      </c>
      <c r="BP24" s="1642">
        <f t="shared" si="3"/>
        <v>530111.3444</v>
      </c>
      <c r="BQ24" s="1641">
        <f t="shared" si="6"/>
        <v>0.004323029468</v>
      </c>
      <c r="BR24" s="1642">
        <f t="shared" si="7"/>
        <v>123155078</v>
      </c>
      <c r="BS24" s="1646">
        <f t="shared" si="4"/>
        <v>88972707987</v>
      </c>
      <c r="BV24" s="379">
        <f>(BI24/BE51)^(1/(4/12))-1</f>
        <v>0.1221455715</v>
      </c>
      <c r="BW24" s="1648">
        <f t="shared" si="9"/>
        <v>24666.44205</v>
      </c>
      <c r="CK24" s="23"/>
    </row>
    <row r="25">
      <c r="B25" s="146"/>
      <c r="C25" s="528"/>
      <c r="D25" s="528"/>
      <c r="E25" s="528"/>
      <c r="F25" s="529"/>
      <c r="BA25" s="1638">
        <f t="shared" si="10"/>
        <v>21</v>
      </c>
      <c r="BB25" s="1639">
        <f>AR201</f>
        <v>0.05606051797</v>
      </c>
      <c r="BC25" s="1640">
        <f>AR202</f>
        <v>34.19908778</v>
      </c>
      <c r="BD25" s="1641">
        <f>(BC25-AR199)/AR199</f>
        <v>0.06872149316</v>
      </c>
      <c r="BE25" s="1641">
        <f>AR194</f>
        <v>0.001751891187</v>
      </c>
      <c r="BF25" s="1642">
        <f>AR138</f>
        <v>43215393.06</v>
      </c>
      <c r="BG25" s="1643">
        <f>AR205</f>
        <v>744.1178287</v>
      </c>
      <c r="BH25" s="1643">
        <f>AR210</f>
        <v>23811.77052</v>
      </c>
      <c r="BI25" s="1643">
        <f t="shared" si="1"/>
        <v>25448.15094</v>
      </c>
      <c r="BJ25" s="1644">
        <f>AR139</f>
        <v>32157344448</v>
      </c>
      <c r="BK25" s="1641">
        <f>AR179</f>
        <v>0.3602488781</v>
      </c>
      <c r="BL25" s="1645">
        <f>AR178</f>
        <v>0.0006529635318</v>
      </c>
      <c r="BM25" s="1642">
        <f>AR176</f>
        <v>74364.36541</v>
      </c>
      <c r="BN25" s="249">
        <f t="shared" si="2"/>
        <v>0.00375</v>
      </c>
      <c r="BO25" s="1642">
        <f t="shared" si="5"/>
        <v>461831.5425</v>
      </c>
      <c r="BP25" s="1642">
        <f t="shared" si="3"/>
        <v>536195.9079</v>
      </c>
      <c r="BQ25" s="1641">
        <f t="shared" si="6"/>
        <v>0.004353827034</v>
      </c>
      <c r="BR25" s="1642">
        <f t="shared" si="7"/>
        <v>123691273.9</v>
      </c>
      <c r="BS25" s="1646">
        <f t="shared" si="4"/>
        <v>92040882161</v>
      </c>
      <c r="BV25" s="379">
        <f>(BI25/BE52)^(1/(3/12))-1</f>
        <v>0.1075519545</v>
      </c>
      <c r="BW25" s="1648">
        <f t="shared" si="9"/>
        <v>25448.15094</v>
      </c>
      <c r="CK25" s="152"/>
      <c r="CL25" s="1642"/>
      <c r="CM25" s="1642"/>
      <c r="CN25" s="1642"/>
      <c r="CO25" s="1642"/>
      <c r="CP25" s="1642"/>
      <c r="CQ25" s="1642"/>
      <c r="CR25" s="1642"/>
      <c r="CS25" s="1642"/>
      <c r="CT25" s="1642"/>
      <c r="CU25" s="1642"/>
      <c r="CV25" s="1642"/>
      <c r="CW25" s="1642"/>
      <c r="CX25" s="1642"/>
      <c r="CY25" s="1642"/>
      <c r="CZ25" s="1642"/>
      <c r="DA25" s="1642"/>
      <c r="DB25" s="1642"/>
      <c r="DC25" s="1642"/>
      <c r="DD25" s="1642"/>
      <c r="DE25" s="1642"/>
      <c r="DF25" s="1642"/>
      <c r="DG25" s="1642"/>
      <c r="DH25" s="1642"/>
      <c r="DI25" s="1642"/>
      <c r="DJ25" s="1642"/>
      <c r="DK25" s="1642"/>
      <c r="DL25" s="1642"/>
      <c r="DM25" s="1642"/>
      <c r="DN25" s="1642"/>
      <c r="DO25" s="1642"/>
      <c r="DP25" s="1642"/>
      <c r="DQ25" s="1642"/>
      <c r="DR25" s="1642"/>
      <c r="DS25" s="1642"/>
      <c r="DT25" s="1642"/>
      <c r="DU25" s="1642"/>
      <c r="DV25" s="1642"/>
      <c r="DW25" s="1642"/>
      <c r="DX25" s="1642"/>
      <c r="DY25" s="1642"/>
      <c r="DZ25" s="1642"/>
      <c r="EA25" s="1642"/>
      <c r="EB25" s="1642"/>
      <c r="EC25" s="1642"/>
      <c r="ED25" s="1642"/>
      <c r="EE25" s="1642"/>
      <c r="EF25" s="1642"/>
      <c r="EG25" s="1642"/>
      <c r="EH25" s="1642"/>
      <c r="EI25" s="1642"/>
      <c r="EJ25" s="1642"/>
    </row>
    <row r="26">
      <c r="B26" s="1479"/>
      <c r="C26" s="1479"/>
      <c r="D26" s="1479"/>
      <c r="E26" s="1479"/>
      <c r="F26" s="1479"/>
      <c r="BA26" s="1638">
        <f t="shared" si="10"/>
        <v>22</v>
      </c>
      <c r="BB26" s="1639">
        <f>AS201</f>
        <v>0.05297220642</v>
      </c>
      <c r="BC26" s="1640">
        <f>AS202</f>
        <v>34.25205999</v>
      </c>
      <c r="BD26" s="1641">
        <f>(BC26-AS199)/AS199</f>
        <v>0.07037687461</v>
      </c>
      <c r="BE26" s="1641">
        <f>AS194</f>
        <v>0.00165538145</v>
      </c>
      <c r="BF26" s="1642">
        <f>AS138</f>
        <v>48401240.22</v>
      </c>
      <c r="BG26" s="1643">
        <f>AS205</f>
        <v>766.4413635</v>
      </c>
      <c r="BH26" s="1643">
        <f>AS210</f>
        <v>24526.12363</v>
      </c>
      <c r="BI26" s="1643">
        <f t="shared" si="1"/>
        <v>26252.19556</v>
      </c>
      <c r="BJ26" s="1644">
        <f>AS139</f>
        <v>37096712555</v>
      </c>
      <c r="BK26" s="1641">
        <f>AS179</f>
        <v>0.4032003012</v>
      </c>
      <c r="BL26" s="1645">
        <f>AS178</f>
        <v>0.0006905807345</v>
      </c>
      <c r="BM26" s="1642">
        <f>AS176</f>
        <v>78699.84809</v>
      </c>
      <c r="BN26" s="249">
        <f t="shared" si="2"/>
        <v>0.00375</v>
      </c>
      <c r="BO26" s="1642">
        <f t="shared" si="5"/>
        <v>463842.2771</v>
      </c>
      <c r="BP26" s="1642">
        <f t="shared" si="3"/>
        <v>542542.1252</v>
      </c>
      <c r="BQ26" s="1641">
        <f t="shared" si="6"/>
        <v>0.004386260309</v>
      </c>
      <c r="BR26" s="1642">
        <f t="shared" si="7"/>
        <v>124233816</v>
      </c>
      <c r="BS26" s="1646">
        <f t="shared" si="4"/>
        <v>95217935352</v>
      </c>
      <c r="BV26" s="379">
        <f>(BI26/BE53)^(1/(2/12))-1</f>
        <v>0.07939666669</v>
      </c>
      <c r="BW26" s="1648">
        <f t="shared" si="9"/>
        <v>26252.19556</v>
      </c>
      <c r="CK26" s="1654"/>
    </row>
    <row r="27">
      <c r="B27" s="1480" t="s">
        <v>231</v>
      </c>
      <c r="C27" s="526"/>
      <c r="D27" s="526"/>
      <c r="E27" s="526"/>
      <c r="F27" s="527"/>
      <c r="BA27" s="1656">
        <f t="shared" si="10"/>
        <v>23</v>
      </c>
      <c r="BB27" s="1657">
        <f>AT201</f>
        <v>0.05005402703</v>
      </c>
      <c r="BC27" s="1658">
        <f>AT202</f>
        <v>34.30211401</v>
      </c>
      <c r="BD27" s="1659">
        <f>(BC27-AT199)/AT199</f>
        <v>0.07194106296</v>
      </c>
      <c r="BE27" s="1659">
        <f>AT194</f>
        <v>0.001564188345</v>
      </c>
      <c r="BF27" s="1660">
        <f>AT138</f>
        <v>54209389.05</v>
      </c>
      <c r="BG27" s="1661">
        <f>AT205</f>
        <v>789.4346045</v>
      </c>
      <c r="BH27" s="1661">
        <f>AT210</f>
        <v>25261.90734</v>
      </c>
      <c r="BI27" s="1661">
        <f t="shared" si="1"/>
        <v>27079.27581</v>
      </c>
      <c r="BJ27" s="1662">
        <f>AT139</f>
        <v>42794767604</v>
      </c>
      <c r="BK27" s="1659">
        <f>AT179</f>
        <v>0.451254769</v>
      </c>
      <c r="BL27" s="1663">
        <f>AT178</f>
        <v>0.000730337608</v>
      </c>
      <c r="BM27" s="1660">
        <f>AT176</f>
        <v>83288.09184</v>
      </c>
      <c r="BN27" s="1664">
        <f t="shared" si="2"/>
        <v>0.00375</v>
      </c>
      <c r="BO27" s="1660">
        <f t="shared" si="5"/>
        <v>465876.8101</v>
      </c>
      <c r="BP27" s="1660">
        <f t="shared" si="3"/>
        <v>549164.9019</v>
      </c>
      <c r="BQ27" s="1659">
        <f t="shared" si="6"/>
        <v>0.004420414019</v>
      </c>
      <c r="BR27" s="1660">
        <f t="shared" si="7"/>
        <v>124782980.9</v>
      </c>
      <c r="BS27" s="1665">
        <f t="shared" si="4"/>
        <v>98508003190</v>
      </c>
      <c r="BV27" s="379">
        <f>(BI27/BE54)^(1/(1/12))-1</f>
        <v>0</v>
      </c>
      <c r="BW27" s="1648">
        <f t="shared" si="9"/>
        <v>27079.27581</v>
      </c>
      <c r="CK27" s="23"/>
    </row>
    <row r="28">
      <c r="B28" s="110"/>
      <c r="F28" s="78"/>
      <c r="BK28" s="1631"/>
      <c r="CK28" s="23"/>
      <c r="CL28" s="1653"/>
    </row>
    <row r="29">
      <c r="B29" s="1481"/>
      <c r="F29" s="78"/>
      <c r="BA29" s="1666" t="s">
        <v>250</v>
      </c>
      <c r="BB29" s="1667"/>
      <c r="BC29" s="1667"/>
      <c r="BD29" s="1667"/>
      <c r="BE29" s="1667"/>
      <c r="BF29" s="1668"/>
      <c r="BK29" s="1631"/>
      <c r="CK29" s="23"/>
      <c r="CL29" s="1653"/>
    </row>
    <row r="30">
      <c r="B30" s="110"/>
      <c r="F30" s="78"/>
      <c r="BA30" s="1669" t="s">
        <v>226</v>
      </c>
      <c r="BB30" s="1670" t="s">
        <v>251</v>
      </c>
      <c r="BC30" s="1670" t="s">
        <v>252</v>
      </c>
      <c r="BD30" s="1670" t="s">
        <v>234</v>
      </c>
      <c r="BE30" s="1670" t="s">
        <v>253</v>
      </c>
      <c r="BF30" s="1671" t="s">
        <v>254</v>
      </c>
      <c r="BK30" s="1631"/>
    </row>
    <row r="31">
      <c r="B31" s="146"/>
      <c r="C31" s="528"/>
      <c r="D31" s="528"/>
      <c r="E31" s="528"/>
      <c r="F31" s="529"/>
      <c r="BA31" s="1672">
        <v>0.0</v>
      </c>
      <c r="BB31" s="1643">
        <f>W221</f>
        <v>11577.23324</v>
      </c>
      <c r="BC31" s="1641">
        <f>W222</f>
        <v>0.09552943971</v>
      </c>
      <c r="BD31" s="1643">
        <f>W211</f>
        <v>12800.01113</v>
      </c>
      <c r="BE31" s="1643">
        <f>W223</f>
        <v>9261.786589</v>
      </c>
      <c r="BF31" s="1673">
        <f>W224</f>
        <v>0.2764235518</v>
      </c>
      <c r="BG31" s="410"/>
      <c r="BH31" s="410"/>
      <c r="BK31" s="1631"/>
    </row>
    <row r="32">
      <c r="B32" s="1479"/>
      <c r="C32" s="1479"/>
      <c r="D32" s="1479"/>
      <c r="E32" s="1479"/>
      <c r="F32" s="1479"/>
      <c r="BA32" s="1672">
        <f>BA31+1</f>
        <v>1</v>
      </c>
      <c r="BB32" s="1643">
        <f>X221</f>
        <v>12041.88717</v>
      </c>
      <c r="BC32" s="1641">
        <f>X222</f>
        <v>0.09157238101</v>
      </c>
      <c r="BD32" s="1643">
        <f>X211</f>
        <v>13255.74754</v>
      </c>
      <c r="BE32" s="1643">
        <f>X223</f>
        <v>10235.6041</v>
      </c>
      <c r="BF32" s="1673">
        <f>X224</f>
        <v>0.2278365239</v>
      </c>
      <c r="BG32" s="1670"/>
      <c r="BH32" s="1670"/>
      <c r="BK32" s="1631"/>
      <c r="BS32" s="379">
        <f>BJ4/BS4</f>
        <v>0.03525894965</v>
      </c>
    </row>
    <row r="33">
      <c r="B33" s="1475" t="s">
        <v>134</v>
      </c>
      <c r="C33" s="526"/>
      <c r="D33" s="526"/>
      <c r="E33" s="526"/>
      <c r="F33" s="527"/>
      <c r="BA33" s="1672">
        <v>2.0</v>
      </c>
      <c r="BB33" s="1643">
        <f>Y221</f>
        <v>12521.10934</v>
      </c>
      <c r="BC33" s="1641">
        <f>Y222</f>
        <v>0.08759801017</v>
      </c>
      <c r="BD33" s="1643">
        <f>Y211</f>
        <v>13723.23765</v>
      </c>
      <c r="BE33" s="1643">
        <f>Y223</f>
        <v>10642.94294</v>
      </c>
      <c r="BF33" s="1673">
        <f>Y224</f>
        <v>0.2244583086</v>
      </c>
      <c r="BG33" s="1631"/>
      <c r="BH33" s="1631"/>
      <c r="BK33" s="1631"/>
      <c r="BS33" s="379">
        <f>BJ27/BS27</f>
        <v>0.4344293481</v>
      </c>
    </row>
    <row r="34">
      <c r="B34" s="110"/>
      <c r="F34" s="78"/>
      <c r="BA34" s="1672">
        <v>3.0</v>
      </c>
      <c r="BB34" s="1643">
        <f>Z221</f>
        <v>13015.43537</v>
      </c>
      <c r="BC34" s="1641">
        <f>Z222</f>
        <v>0.08360625147</v>
      </c>
      <c r="BD34" s="1643">
        <f>Z211</f>
        <v>14202.88538</v>
      </c>
      <c r="BE34" s="1643">
        <f>Z223</f>
        <v>11063.12007</v>
      </c>
      <c r="BF34" s="1673">
        <f>Z224</f>
        <v>0.2210653137</v>
      </c>
      <c r="BG34" s="1631"/>
      <c r="BH34" s="1631"/>
      <c r="BK34" s="1631"/>
    </row>
    <row r="35">
      <c r="B35" s="146"/>
      <c r="C35" s="528"/>
      <c r="D35" s="528"/>
      <c r="E35" s="528"/>
      <c r="F35" s="529"/>
      <c r="BA35" s="1672">
        <v>4.0</v>
      </c>
      <c r="BB35" s="1643">
        <f>AA221</f>
        <v>13525.41867</v>
      </c>
      <c r="BC35" s="1641">
        <f>AA222</f>
        <v>0.07959702882</v>
      </c>
      <c r="BD35" s="1643">
        <f>AA211</f>
        <v>14695.1054</v>
      </c>
      <c r="BE35" s="1643">
        <f>AA223</f>
        <v>11496.60587</v>
      </c>
      <c r="BF35" s="1673">
        <f>AA224</f>
        <v>0.2176574745</v>
      </c>
      <c r="BG35" s="1631"/>
      <c r="BH35" s="1631"/>
      <c r="BK35" s="1631"/>
    </row>
    <row r="36">
      <c r="B36" s="1482"/>
      <c r="C36" s="1483"/>
      <c r="D36" s="1479"/>
      <c r="E36" s="1479"/>
      <c r="F36" s="1479"/>
      <c r="BA36" s="1672">
        <v>5.0</v>
      </c>
      <c r="BB36" s="1643">
        <f>AB221</f>
        <v>14051.63099</v>
      </c>
      <c r="BC36" s="1641">
        <f>AB222</f>
        <v>0.07557026582</v>
      </c>
      <c r="BD36" s="1643">
        <f>AB211</f>
        <v>15200.32348</v>
      </c>
      <c r="BE36" s="1643">
        <f>AB223</f>
        <v>11943.88634</v>
      </c>
      <c r="BF36" s="1673">
        <f>AB224</f>
        <v>0.2142347259</v>
      </c>
      <c r="BG36" s="1631"/>
      <c r="BH36" s="1631"/>
      <c r="BK36" s="1631"/>
    </row>
    <row r="37">
      <c r="B37" s="1484" t="s">
        <v>6</v>
      </c>
      <c r="C37" s="1485"/>
      <c r="D37" s="1479"/>
      <c r="E37" s="1486" t="s">
        <v>2</v>
      </c>
      <c r="F37" s="1487"/>
      <c r="I37" s="1674"/>
      <c r="BA37" s="1672">
        <v>6.0</v>
      </c>
      <c r="BB37" s="1643">
        <f>AC221</f>
        <v>14594.66311</v>
      </c>
      <c r="BC37" s="1641">
        <f>AC222</f>
        <v>0.07152588573</v>
      </c>
      <c r="BD37" s="1643">
        <f>AC211</f>
        <v>15718.97685</v>
      </c>
      <c r="BE37" s="1643">
        <f>AC223</f>
        <v>12405.46364</v>
      </c>
      <c r="BF37" s="1673">
        <f>AC224</f>
        <v>0.2107970029</v>
      </c>
      <c r="BG37" s="1631"/>
      <c r="BH37" s="1631"/>
      <c r="BK37" s="1631"/>
    </row>
    <row r="38" ht="17.25" customHeight="1">
      <c r="B38" s="1488" t="s">
        <v>8</v>
      </c>
      <c r="C38" s="1489" t="str">
        <f>CoinGecko!D3</f>
        <v/>
      </c>
      <c r="D38" s="1483"/>
      <c r="E38" s="1490" t="s">
        <v>135</v>
      </c>
      <c r="F38" s="1491">
        <f>(C40/C39)</f>
        <v>125000</v>
      </c>
      <c r="BA38" s="1672">
        <v>7.0</v>
      </c>
      <c r="BB38" s="1643">
        <f>AD221</f>
        <v>15155.12549</v>
      </c>
      <c r="BC38" s="1641">
        <f>AD222</f>
        <v>0.06746381148</v>
      </c>
      <c r="BD38" s="1643">
        <f>AD211</f>
        <v>16251.51461</v>
      </c>
      <c r="BE38" s="1643">
        <f>AD223</f>
        <v>12881.85667</v>
      </c>
      <c r="BF38" s="1673">
        <f>AD224</f>
        <v>0.2073442398</v>
      </c>
      <c r="BG38" s="1631"/>
      <c r="BH38" s="1631"/>
      <c r="BK38" s="1631"/>
    </row>
    <row r="39" ht="13.5" customHeight="1">
      <c r="B39" s="1488" t="s">
        <v>10</v>
      </c>
      <c r="C39" s="1492">
        <v>32.0</v>
      </c>
      <c r="D39" s="1479"/>
      <c r="E39" s="1488" t="s">
        <v>5</v>
      </c>
      <c r="F39" s="1493">
        <f>C40/C39/C43</f>
        <v>1953.125</v>
      </c>
      <c r="BA39" s="1672">
        <f t="shared" ref="BA39:BA54" si="11">BA38+1</f>
        <v>8</v>
      </c>
      <c r="BB39" s="1643">
        <f>AE221</f>
        <v>15733.649</v>
      </c>
      <c r="BC39" s="1641">
        <f>AE222</f>
        <v>0.06338396566</v>
      </c>
      <c r="BD39" s="1643">
        <f>AE211</f>
        <v>16798.39809</v>
      </c>
      <c r="BE39" s="1643">
        <f>AE223</f>
        <v>13373.60165</v>
      </c>
      <c r="BF39" s="1673">
        <f>AE224</f>
        <v>0.2038763708</v>
      </c>
      <c r="BG39" s="1631"/>
      <c r="BH39" s="1631"/>
      <c r="BK39" s="1631"/>
    </row>
    <row r="40">
      <c r="B40" s="1488" t="s">
        <v>12</v>
      </c>
      <c r="C40" s="1494">
        <v>4000000.0</v>
      </c>
      <c r="D40" s="1479"/>
      <c r="E40" s="1488" t="s">
        <v>7</v>
      </c>
      <c r="F40" s="1497">
        <f>(60*60*24*365.242)/(C44*C45)</f>
        <v>82179.45</v>
      </c>
      <c r="BA40" s="1672">
        <f t="shared" si="11"/>
        <v>9</v>
      </c>
      <c r="BB40" s="1643">
        <f>AF221</f>
        <v>16330.8856</v>
      </c>
      <c r="BC40" s="1641">
        <f>AF222</f>
        <v>0.05928627051</v>
      </c>
      <c r="BD40" s="1643">
        <f>AF211</f>
        <v>17360.10126</v>
      </c>
      <c r="BE40" s="1643">
        <f>AF223</f>
        <v>13881.25276</v>
      </c>
      <c r="BF40" s="1673">
        <f>AF224</f>
        <v>0.2003933299</v>
      </c>
      <c r="BG40" s="1631"/>
      <c r="BH40" s="1631"/>
      <c r="BK40" s="1631"/>
    </row>
    <row r="41">
      <c r="B41" s="1488" t="s">
        <v>14</v>
      </c>
      <c r="C41" s="1496">
        <v>0.95</v>
      </c>
      <c r="D41" s="1479"/>
      <c r="E41" s="1488" t="s">
        <v>9</v>
      </c>
      <c r="F41" s="1497">
        <f>32 * 10^9 * C46/ sqrt(C40 * 10^9) / C50</f>
        <v>8095.43081</v>
      </c>
      <c r="BA41" s="1672">
        <f t="shared" si="11"/>
        <v>10</v>
      </c>
      <c r="BB41" s="1643">
        <f>AG221</f>
        <v>16947.50911</v>
      </c>
      <c r="BC41" s="1641">
        <f>AG222</f>
        <v>0.05517064794</v>
      </c>
      <c r="BD41" s="1643">
        <f>AG211</f>
        <v>17937.11116</v>
      </c>
      <c r="BE41" s="1643">
        <f>AG223</f>
        <v>14405.38274</v>
      </c>
      <c r="BF41" s="1673">
        <f>AG224</f>
        <v>0.1968950507</v>
      </c>
      <c r="BG41" s="1631"/>
      <c r="BH41" s="1631"/>
      <c r="BK41" s="1631"/>
    </row>
    <row r="42">
      <c r="B42" s="1488" t="s">
        <v>20</v>
      </c>
      <c r="C42" s="1494">
        <v>1.13E8</v>
      </c>
      <c r="D42" s="1479"/>
      <c r="E42" s="1488" t="s">
        <v>11</v>
      </c>
      <c r="F42" s="1497">
        <f>F41*C51*C41 + 1*(0.125*F41*C41 + 0.875*F41*(C41+C41*(1 - C41)*(1 - C52)+C41*(1 - C41)^2*(1 - 2*C52)))</f>
        <v>31110.14372</v>
      </c>
      <c r="BA42" s="1672">
        <f t="shared" si="11"/>
        <v>11</v>
      </c>
      <c r="BB42" s="1643">
        <f>AH221</f>
        <v>17584.21597</v>
      </c>
      <c r="BC42" s="1641">
        <f>AH222</f>
        <v>0.05103701952</v>
      </c>
      <c r="BD42" s="1643">
        <f>AH211</f>
        <v>18529.92828</v>
      </c>
      <c r="BE42" s="1643">
        <f>AH223</f>
        <v>15825.79437</v>
      </c>
      <c r="BF42" s="1673">
        <f>AH224</f>
        <v>0.1459333176</v>
      </c>
      <c r="BG42" s="1631"/>
      <c r="BH42" s="1631"/>
      <c r="BK42" s="1631"/>
    </row>
    <row r="43">
      <c r="B43" s="1488" t="s">
        <v>21</v>
      </c>
      <c r="C43" s="1492">
        <v>64.0</v>
      </c>
      <c r="D43" s="1479"/>
      <c r="E43" s="1488" t="s">
        <v>13</v>
      </c>
      <c r="F43" s="1497">
        <f>F41*C50</f>
        <v>32381.72324</v>
      </c>
      <c r="BA43" s="1672">
        <f t="shared" si="11"/>
        <v>12</v>
      </c>
      <c r="BB43" s="1643">
        <f>AI221</f>
        <v>18241.72602</v>
      </c>
      <c r="BC43" s="1641">
        <f>AI222</f>
        <v>0.04688530648</v>
      </c>
      <c r="BD43" s="1643">
        <f>AI211</f>
        <v>19139.06704</v>
      </c>
      <c r="BE43" s="1643">
        <f>AI223</f>
        <v>16569.5678</v>
      </c>
      <c r="BF43" s="1673">
        <f>AI224</f>
        <v>0.1342541534</v>
      </c>
      <c r="BG43" s="1631"/>
      <c r="BH43" s="1631"/>
      <c r="BK43" s="1631"/>
    </row>
    <row r="44">
      <c r="B44" s="1488" t="s">
        <v>22</v>
      </c>
      <c r="C44" s="1492">
        <v>12.0</v>
      </c>
      <c r="D44" s="1479"/>
      <c r="E44" s="1488" t="s">
        <v>15</v>
      </c>
      <c r="F44" s="1497">
        <f>(F42*F38*C41 - F43*F38*(1-C41)) *F40  / 10^9</f>
        <v>286966.0207</v>
      </c>
      <c r="BA44" s="1672">
        <f t="shared" si="11"/>
        <v>13</v>
      </c>
      <c r="BB44" s="1643">
        <f>AJ221</f>
        <v>18920.78334</v>
      </c>
      <c r="BC44" s="1641">
        <f>AJ222</f>
        <v>0.0427154297</v>
      </c>
      <c r="BD44" s="1643">
        <f>AJ211</f>
        <v>19765.05621</v>
      </c>
      <c r="BE44" s="1643">
        <f>AJ223</f>
        <v>17344.0514</v>
      </c>
      <c r="BF44" s="1673">
        <f>AJ224</f>
        <v>0.1224891439</v>
      </c>
      <c r="BG44" s="1631"/>
      <c r="BH44" s="1631"/>
      <c r="BK44" s="1631"/>
    </row>
    <row r="45">
      <c r="B45" s="1488" t="s">
        <v>24</v>
      </c>
      <c r="C45" s="1492">
        <v>32.0</v>
      </c>
      <c r="D45" s="1479"/>
      <c r="E45" s="1488" t="s">
        <v>17</v>
      </c>
      <c r="F45" s="1497">
        <f>F44/365</f>
        <v>786.2082758</v>
      </c>
      <c r="BA45" s="1672">
        <f t="shared" si="11"/>
        <v>14</v>
      </c>
      <c r="BB45" s="1643">
        <f>AK221</f>
        <v>19622.15711</v>
      </c>
      <c r="BC45" s="1641">
        <f>AK222</f>
        <v>0.03852730971</v>
      </c>
      <c r="BD45" s="1643">
        <f>AK211</f>
        <v>20408.43938</v>
      </c>
      <c r="BE45" s="1643">
        <f>AK223</f>
        <v>18150.49533</v>
      </c>
      <c r="BF45" s="1673">
        <f>AK224</f>
        <v>0.1106377615</v>
      </c>
      <c r="BG45" s="1631"/>
      <c r="BH45" s="1631"/>
      <c r="BK45" s="1631"/>
    </row>
    <row r="46">
      <c r="B46" s="1498" t="s">
        <v>26</v>
      </c>
      <c r="C46" s="1499">
        <v>64.0</v>
      </c>
      <c r="D46" s="1479"/>
      <c r="E46" s="1498" t="s">
        <v>19</v>
      </c>
      <c r="F46" s="1500">
        <f>F44/C42</f>
        <v>0.002539522307</v>
      </c>
      <c r="BA46" s="1672">
        <f t="shared" si="11"/>
        <v>15</v>
      </c>
      <c r="BB46" s="1643">
        <f>AL221</f>
        <v>20346.64247</v>
      </c>
      <c r="BC46" s="1641">
        <f>AL222</f>
        <v>0.03432086669</v>
      </c>
      <c r="BD46" s="1643">
        <f>AL211</f>
        <v>21069.77542</v>
      </c>
      <c r="BE46" s="1643">
        <f>AL223</f>
        <v>18990.19963</v>
      </c>
      <c r="BF46" s="1673">
        <f>AL224</f>
        <v>0.09869947557</v>
      </c>
      <c r="BG46" s="1631"/>
      <c r="BH46" s="1631"/>
      <c r="BK46" s="1631"/>
    </row>
    <row r="47">
      <c r="B47" s="1501"/>
      <c r="C47" s="1502"/>
      <c r="D47" s="1483"/>
      <c r="E47" s="1501"/>
      <c r="F47" s="1503"/>
      <c r="BA47" s="1672">
        <f t="shared" si="11"/>
        <v>16</v>
      </c>
      <c r="BB47" s="1643">
        <f>AM221</f>
        <v>21095.0614</v>
      </c>
      <c r="BC47" s="1641">
        <f>AM222</f>
        <v>0.03009602048</v>
      </c>
      <c r="BD47" s="1643">
        <f>AM211</f>
        <v>21749.63898</v>
      </c>
      <c r="BE47" s="1643">
        <f>AM223</f>
        <v>19864.51616</v>
      </c>
      <c r="BF47" s="1675">
        <f>AM224</f>
        <v>0.08667375262</v>
      </c>
      <c r="BG47" s="1631"/>
      <c r="BH47" s="1631"/>
      <c r="BK47" s="1631"/>
    </row>
    <row r="48">
      <c r="B48" s="1479"/>
      <c r="C48" s="1479"/>
      <c r="D48" s="1479"/>
      <c r="E48" s="1479"/>
      <c r="F48" s="1479"/>
      <c r="BA48" s="1672">
        <f t="shared" si="11"/>
        <v>17</v>
      </c>
      <c r="BB48" s="1643">
        <f>AN221</f>
        <v>21868.26375</v>
      </c>
      <c r="BC48" s="1641">
        <f>AN222</f>
        <v>0.02585269057</v>
      </c>
      <c r="BD48" s="1643">
        <f>AN211</f>
        <v>22448.621</v>
      </c>
      <c r="BE48" s="1643">
        <f>AN223</f>
        <v>20774.85056</v>
      </c>
      <c r="BF48" s="1675">
        <f>AN224</f>
        <v>0.07456005604</v>
      </c>
      <c r="BG48" s="1631"/>
      <c r="BH48" s="1631"/>
      <c r="BK48" s="1631"/>
    </row>
    <row r="49">
      <c r="B49" s="1486" t="s">
        <v>32</v>
      </c>
      <c r="C49" s="1504"/>
      <c r="D49" s="1479"/>
      <c r="E49" s="1505"/>
      <c r="F49" s="1506"/>
      <c r="BA49" s="1672">
        <f t="shared" si="11"/>
        <v>18</v>
      </c>
      <c r="BB49" s="1643">
        <f>AO221</f>
        <v>22667.12811</v>
      </c>
      <c r="BC49" s="1641">
        <f>AO222</f>
        <v>0.02159079609</v>
      </c>
      <c r="BD49" s="1643">
        <f>AO211</f>
        <v>23167.32919</v>
      </c>
      <c r="BE49" s="1643">
        <f>AO223</f>
        <v>21722.66443</v>
      </c>
      <c r="BF49" s="1675">
        <f>AO224</f>
        <v>0.06235784625</v>
      </c>
      <c r="BG49" s="1631"/>
      <c r="BH49" s="1631"/>
      <c r="BK49" s="1631"/>
    </row>
    <row r="50">
      <c r="B50" s="1488" t="s">
        <v>35</v>
      </c>
      <c r="C50" s="1492">
        <v>4.0</v>
      </c>
      <c r="D50" s="1479"/>
      <c r="E50" s="1501"/>
      <c r="F50" s="1507"/>
      <c r="BA50" s="1672">
        <f t="shared" si="11"/>
        <v>19</v>
      </c>
      <c r="BB50" s="1643">
        <f>AP221</f>
        <v>23492.56287</v>
      </c>
      <c r="BC50" s="1641">
        <f>AP222</f>
        <v>0.01731025582</v>
      </c>
      <c r="BD50" s="1643">
        <f>AP211</f>
        <v>23906.38857</v>
      </c>
      <c r="BE50" s="1643">
        <f>AP223</f>
        <v>22709.47744</v>
      </c>
      <c r="BF50" s="1675">
        <f>AP224</f>
        <v>0.05006658063</v>
      </c>
      <c r="BG50" s="1631"/>
      <c r="BH50" s="1631"/>
      <c r="BK50" s="1631"/>
    </row>
    <row r="51">
      <c r="B51" s="1488" t="s">
        <v>37</v>
      </c>
      <c r="C51" s="1492">
        <v>3.0</v>
      </c>
      <c r="D51" s="1479"/>
      <c r="E51" s="1501"/>
      <c r="F51" s="1507"/>
      <c r="BA51" s="1672">
        <f t="shared" si="11"/>
        <v>20</v>
      </c>
      <c r="BB51" s="1643">
        <f>AQ221</f>
        <v>24345.50726</v>
      </c>
      <c r="BC51" s="1641">
        <f>AQ222</f>
        <v>0.01301098819</v>
      </c>
      <c r="BD51" s="1643">
        <f>AQ211</f>
        <v>24666.44205</v>
      </c>
      <c r="BE51" s="1643">
        <f>AQ223</f>
        <v>23736.86958</v>
      </c>
      <c r="BF51" s="1675">
        <f>AQ224</f>
        <v>0.03768571349</v>
      </c>
      <c r="BG51" s="1631"/>
      <c r="BH51" s="1631"/>
      <c r="BK51" s="1631"/>
    </row>
    <row r="52">
      <c r="B52" s="1498" t="s">
        <v>39</v>
      </c>
      <c r="C52" s="1508">
        <f>1/64</f>
        <v>0.015625</v>
      </c>
      <c r="D52" s="1479"/>
      <c r="E52" s="1501"/>
      <c r="F52" s="1509"/>
      <c r="BA52" s="1672">
        <f t="shared" si="11"/>
        <v>21</v>
      </c>
      <c r="BB52" s="1643">
        <f>AR221</f>
        <v>25226.93242</v>
      </c>
      <c r="BC52" s="1641">
        <f>AR222</f>
        <v>0.008692911264</v>
      </c>
      <c r="BD52" s="1643">
        <f>AR211</f>
        <v>25448.15094</v>
      </c>
      <c r="BE52" s="1643">
        <f>AR223</f>
        <v>24806.48355</v>
      </c>
      <c r="BF52" s="1675">
        <f>AR224</f>
        <v>0.02521469608</v>
      </c>
      <c r="BG52" s="1631"/>
      <c r="BH52" s="1631"/>
      <c r="BK52" s="1631"/>
    </row>
    <row r="53">
      <c r="B53" s="1501"/>
      <c r="C53" s="1510"/>
      <c r="D53" s="1479"/>
      <c r="E53" s="1501"/>
      <c r="F53" s="1509"/>
      <c r="BA53" s="1672">
        <f t="shared" si="11"/>
        <v>22</v>
      </c>
      <c r="BB53" s="1643">
        <f>AS221</f>
        <v>26137.8425</v>
      </c>
      <c r="BC53" s="1641">
        <f>AS222</f>
        <v>0.00435594275</v>
      </c>
      <c r="BD53" s="1643">
        <f>AS211</f>
        <v>26252.19556</v>
      </c>
      <c r="BE53" s="1643">
        <f>AS223</f>
        <v>25920.02715</v>
      </c>
      <c r="BF53" s="1675">
        <f>AS224</f>
        <v>0.01265297656</v>
      </c>
      <c r="BG53" s="1631"/>
      <c r="BH53" s="1631"/>
      <c r="BK53" s="1631"/>
    </row>
    <row r="54">
      <c r="B54" s="1501"/>
      <c r="C54" s="1510"/>
      <c r="D54" s="1479"/>
      <c r="E54" s="1501"/>
      <c r="F54" s="1509"/>
      <c r="BA54" s="1676">
        <f t="shared" si="11"/>
        <v>23</v>
      </c>
      <c r="BB54" s="1677">
        <f>AT221</f>
        <v>27079.27581</v>
      </c>
      <c r="BC54" s="1678">
        <f>AT222</f>
        <v>0</v>
      </c>
      <c r="BD54" s="1677">
        <f>AT211</f>
        <v>27079.27581</v>
      </c>
      <c r="BE54" s="1677">
        <f>AT223</f>
        <v>27079.27581</v>
      </c>
      <c r="BF54" s="1679">
        <f>AT224</f>
        <v>0</v>
      </c>
      <c r="BG54" s="1631"/>
      <c r="BH54" s="1631"/>
      <c r="BK54" s="1631"/>
    </row>
    <row r="55">
      <c r="B55" s="1475" t="s">
        <v>137</v>
      </c>
      <c r="C55" s="526"/>
      <c r="D55" s="526"/>
      <c r="E55" s="526"/>
      <c r="F55" s="527"/>
      <c r="BK55" s="1631"/>
      <c r="BR55" s="1631"/>
      <c r="BS55" s="1631"/>
    </row>
    <row r="56">
      <c r="B56" s="110"/>
      <c r="F56" s="78"/>
      <c r="BA56" s="1666" t="s">
        <v>255</v>
      </c>
      <c r="BB56" s="1667"/>
      <c r="BC56" s="1667"/>
      <c r="BD56" s="1667"/>
      <c r="BE56" s="1667"/>
      <c r="BF56" s="1668"/>
      <c r="BK56" s="1631"/>
      <c r="BR56" s="1631"/>
      <c r="BS56" s="1631"/>
    </row>
    <row r="57">
      <c r="B57" s="110"/>
      <c r="F57" s="78"/>
      <c r="BA57" s="1669" t="s">
        <v>226</v>
      </c>
      <c r="BB57" s="1670" t="s">
        <v>251</v>
      </c>
      <c r="BC57" s="1670" t="s">
        <v>256</v>
      </c>
      <c r="BD57" s="1670" t="s">
        <v>234</v>
      </c>
      <c r="BE57" s="1670" t="s">
        <v>253</v>
      </c>
      <c r="BF57" s="1671" t="s">
        <v>257</v>
      </c>
      <c r="BK57" s="1631"/>
    </row>
    <row r="58">
      <c r="B58" s="146"/>
      <c r="C58" s="528"/>
      <c r="D58" s="528"/>
      <c r="E58" s="528"/>
      <c r="F58" s="529"/>
      <c r="BA58" s="1672">
        <f t="shared" ref="BA58:BF58" si="12">BA43</f>
        <v>12</v>
      </c>
      <c r="BB58" s="1643">
        <f t="shared" si="12"/>
        <v>18241.72602</v>
      </c>
      <c r="BC58" s="1641">
        <f t="shared" si="12"/>
        <v>0.04688530648</v>
      </c>
      <c r="BD58" s="1643">
        <f t="shared" si="12"/>
        <v>19139.06704</v>
      </c>
      <c r="BE58" s="1643">
        <f t="shared" si="12"/>
        <v>16569.5678</v>
      </c>
      <c r="BF58" s="1673">
        <f t="shared" si="12"/>
        <v>0.1342541534</v>
      </c>
      <c r="BK58" s="1631"/>
      <c r="BL58" s="1680"/>
      <c r="BM58" s="410"/>
      <c r="BN58" s="410"/>
      <c r="BO58" s="410"/>
      <c r="BP58" s="410"/>
      <c r="BQ58" s="410"/>
    </row>
    <row r="59">
      <c r="B59" s="1479"/>
      <c r="C59" s="1479"/>
      <c r="D59" s="1479"/>
      <c r="E59" s="1501"/>
      <c r="F59" s="1511"/>
      <c r="BA59" s="1672">
        <f t="shared" ref="BA59:BA69" si="14">BA58+1</f>
        <v>13</v>
      </c>
      <c r="BB59" s="1643">
        <f t="shared" ref="BB59:BF59" si="13">BB44</f>
        <v>18920.78334</v>
      </c>
      <c r="BC59" s="1641">
        <f t="shared" si="13"/>
        <v>0.0427154297</v>
      </c>
      <c r="BD59" s="1643">
        <f t="shared" si="13"/>
        <v>19765.05621</v>
      </c>
      <c r="BE59" s="1643">
        <f t="shared" si="13"/>
        <v>17344.0514</v>
      </c>
      <c r="BF59" s="1673">
        <f t="shared" si="13"/>
        <v>0.1224891439</v>
      </c>
      <c r="BK59" s="1631"/>
      <c r="BL59" s="153"/>
      <c r="BM59" s="153"/>
      <c r="BN59" s="153"/>
      <c r="BO59" s="153"/>
      <c r="BP59" s="153"/>
      <c r="BQ59" s="153"/>
    </row>
    <row r="60">
      <c r="B60" s="1512" t="s">
        <v>187</v>
      </c>
      <c r="C60" s="1513"/>
      <c r="D60" s="1479"/>
      <c r="E60" s="1484" t="s">
        <v>41</v>
      </c>
      <c r="F60" s="1514"/>
      <c r="M60" s="38"/>
      <c r="BA60" s="1672">
        <f t="shared" si="14"/>
        <v>14</v>
      </c>
      <c r="BB60" s="1643">
        <f t="shared" ref="BB60:BF60" si="15">BB45</f>
        <v>19622.15711</v>
      </c>
      <c r="BC60" s="1641">
        <f t="shared" si="15"/>
        <v>0.03852730971</v>
      </c>
      <c r="BD60" s="1643">
        <f t="shared" si="15"/>
        <v>20408.43938</v>
      </c>
      <c r="BE60" s="1643">
        <f t="shared" si="15"/>
        <v>18150.49533</v>
      </c>
      <c r="BF60" s="1673">
        <f t="shared" si="15"/>
        <v>0.1106377615</v>
      </c>
      <c r="BK60" s="1631"/>
      <c r="BL60" s="153"/>
      <c r="BM60" s="23"/>
      <c r="BN60" s="23"/>
      <c r="BO60" s="23"/>
      <c r="BP60" s="23"/>
      <c r="BQ60" s="23"/>
    </row>
    <row r="61">
      <c r="B61" s="1488" t="s">
        <v>33</v>
      </c>
      <c r="C61" s="1515" t="s">
        <v>34</v>
      </c>
      <c r="D61" s="1479"/>
      <c r="E61" s="1516" t="s">
        <v>43</v>
      </c>
      <c r="F61" s="1517">
        <f>C39*C69</f>
        <v>32</v>
      </c>
      <c r="J61" s="1653"/>
      <c r="BA61" s="1672">
        <f t="shared" si="14"/>
        <v>15</v>
      </c>
      <c r="BB61" s="1643">
        <f t="shared" ref="BB61:BF61" si="16">BB46</f>
        <v>20346.64247</v>
      </c>
      <c r="BC61" s="1641">
        <f t="shared" si="16"/>
        <v>0.03432086669</v>
      </c>
      <c r="BD61" s="1643">
        <f t="shared" si="16"/>
        <v>21069.77542</v>
      </c>
      <c r="BE61" s="1643">
        <f t="shared" si="16"/>
        <v>18990.19963</v>
      </c>
      <c r="BF61" s="1673">
        <f t="shared" si="16"/>
        <v>0.09869947557</v>
      </c>
      <c r="BK61" s="1631"/>
      <c r="BL61" s="153"/>
      <c r="BM61" s="23"/>
      <c r="BN61" s="23"/>
      <c r="BO61" s="23"/>
      <c r="BP61" s="23"/>
      <c r="BQ61" s="23"/>
    </row>
    <row r="62">
      <c r="B62" s="1498" t="s">
        <v>36</v>
      </c>
      <c r="C62" s="1518" t="s">
        <v>34</v>
      </c>
      <c r="D62" s="1479"/>
      <c r="E62" s="1516" t="s">
        <v>188</v>
      </c>
      <c r="F62" s="1519">
        <f>(F42*F93-F43*(1-F93))*F40/10^9/C39</f>
        <v>0.07174150516</v>
      </c>
      <c r="BA62" s="1672">
        <f t="shared" si="14"/>
        <v>16</v>
      </c>
      <c r="BB62" s="1643">
        <f t="shared" ref="BB62:BF62" si="17">BB47</f>
        <v>21095.0614</v>
      </c>
      <c r="BC62" s="1641">
        <f t="shared" si="17"/>
        <v>0.03009602048</v>
      </c>
      <c r="BD62" s="1643">
        <f t="shared" si="17"/>
        <v>21749.63898</v>
      </c>
      <c r="BE62" s="1643">
        <f t="shared" si="17"/>
        <v>19864.51616</v>
      </c>
      <c r="BF62" s="1675">
        <f t="shared" si="17"/>
        <v>0.08667375262</v>
      </c>
      <c r="BK62" s="1631"/>
      <c r="BL62" s="153"/>
      <c r="BM62" s="23"/>
      <c r="BN62" s="23"/>
      <c r="BO62" s="23"/>
      <c r="BP62" s="23"/>
      <c r="BQ62" s="23"/>
    </row>
    <row r="63">
      <c r="B63" s="1479"/>
      <c r="C63" s="1479"/>
      <c r="D63" s="1479"/>
      <c r="E63" s="1488" t="s">
        <v>189</v>
      </c>
      <c r="F63" s="1520">
        <f>F62*F61</f>
        <v>2.295728165</v>
      </c>
      <c r="BA63" s="1672">
        <f t="shared" si="14"/>
        <v>17</v>
      </c>
      <c r="BB63" s="1643">
        <f t="shared" ref="BB63:BF63" si="18">BB48</f>
        <v>21868.26375</v>
      </c>
      <c r="BC63" s="1641">
        <f t="shared" si="18"/>
        <v>0.02585269057</v>
      </c>
      <c r="BD63" s="1643">
        <f t="shared" si="18"/>
        <v>22448.621</v>
      </c>
      <c r="BE63" s="1643">
        <f t="shared" si="18"/>
        <v>20774.85056</v>
      </c>
      <c r="BF63" s="1675">
        <f t="shared" si="18"/>
        <v>0.07456005604</v>
      </c>
      <c r="BK63" s="1631"/>
      <c r="BL63" s="153"/>
      <c r="BM63" s="23"/>
      <c r="BN63" s="23"/>
      <c r="BO63" s="23"/>
      <c r="BP63" s="23"/>
      <c r="BQ63" s="23"/>
    </row>
    <row r="64">
      <c r="B64" s="1512" t="s">
        <v>190</v>
      </c>
      <c r="C64" s="1513"/>
      <c r="D64" s="1479"/>
      <c r="E64" s="1516" t="s">
        <v>47</v>
      </c>
      <c r="F64" s="1521">
        <f>F61*C38*F62</f>
        <v>0</v>
      </c>
      <c r="BA64" s="1672">
        <f t="shared" si="14"/>
        <v>18</v>
      </c>
      <c r="BB64" s="1643">
        <f t="shared" ref="BB64:BF64" si="19">BB49</f>
        <v>22667.12811</v>
      </c>
      <c r="BC64" s="1641">
        <f t="shared" si="19"/>
        <v>0.02159079609</v>
      </c>
      <c r="BD64" s="1643">
        <f t="shared" si="19"/>
        <v>23167.32919</v>
      </c>
      <c r="BE64" s="1643">
        <f t="shared" si="19"/>
        <v>21722.66443</v>
      </c>
      <c r="BF64" s="1675">
        <f t="shared" si="19"/>
        <v>0.06235784625</v>
      </c>
      <c r="BK64" s="1631"/>
      <c r="BL64" s="153"/>
      <c r="BM64" s="23"/>
      <c r="BN64" s="23"/>
      <c r="BO64" s="23"/>
      <c r="BP64" s="23"/>
      <c r="BQ64" s="23"/>
    </row>
    <row r="65">
      <c r="B65" s="1488" t="s">
        <v>191</v>
      </c>
      <c r="C65" s="1515" t="s">
        <v>192</v>
      </c>
      <c r="D65" s="1479"/>
      <c r="E65" s="1516" t="s">
        <v>49</v>
      </c>
      <c r="F65" s="1522">
        <f>F50*365.24/C40</f>
        <v>0</v>
      </c>
      <c r="BA65" s="1672">
        <f t="shared" si="14"/>
        <v>19</v>
      </c>
      <c r="BB65" s="1643">
        <f t="shared" ref="BB65:BF65" si="20">BB50</f>
        <v>23492.56287</v>
      </c>
      <c r="BC65" s="1641">
        <f t="shared" si="20"/>
        <v>0.01731025582</v>
      </c>
      <c r="BD65" s="1643">
        <f t="shared" si="20"/>
        <v>23906.38857</v>
      </c>
      <c r="BE65" s="1643">
        <f t="shared" si="20"/>
        <v>22709.47744</v>
      </c>
      <c r="BF65" s="1675">
        <f t="shared" si="20"/>
        <v>0.05006658063</v>
      </c>
      <c r="BK65" s="1631"/>
      <c r="BL65" s="153"/>
      <c r="BM65" s="23"/>
      <c r="BN65" s="23"/>
      <c r="BO65" s="23"/>
      <c r="BP65" s="23"/>
      <c r="BQ65" s="23"/>
    </row>
    <row r="66">
      <c r="B66" s="1498" t="s">
        <v>193</v>
      </c>
      <c r="C66" s="1518" t="s">
        <v>194</v>
      </c>
      <c r="D66" s="1479"/>
      <c r="E66" s="1516" t="s">
        <v>51</v>
      </c>
      <c r="F66" s="1521">
        <f>F65*F61*C38</f>
        <v>0</v>
      </c>
      <c r="BA66" s="1672">
        <f t="shared" si="14"/>
        <v>20</v>
      </c>
      <c r="BB66" s="1643">
        <f t="shared" ref="BB66:BF66" si="21">BB51</f>
        <v>24345.50726</v>
      </c>
      <c r="BC66" s="1641">
        <f t="shared" si="21"/>
        <v>0.01301098819</v>
      </c>
      <c r="BD66" s="1643">
        <f t="shared" si="21"/>
        <v>24666.44205</v>
      </c>
      <c r="BE66" s="1643">
        <f t="shared" si="21"/>
        <v>23736.86958</v>
      </c>
      <c r="BF66" s="1675">
        <f t="shared" si="21"/>
        <v>0.03768571349</v>
      </c>
      <c r="BK66" s="1631"/>
      <c r="BL66" s="153"/>
      <c r="BM66" s="23"/>
      <c r="BN66" s="23"/>
      <c r="BO66" s="23"/>
      <c r="BP66" s="23"/>
      <c r="BQ66" s="23"/>
    </row>
    <row r="67" ht="20.25" customHeight="1">
      <c r="B67" s="1501"/>
      <c r="C67" s="1523"/>
      <c r="D67" s="1524"/>
      <c r="E67" s="1525" t="s">
        <v>53</v>
      </c>
      <c r="F67" s="1526">
        <f>sum(F64+F66)</f>
        <v>0</v>
      </c>
      <c r="BA67" s="1672">
        <f t="shared" si="14"/>
        <v>21</v>
      </c>
      <c r="BB67" s="1643">
        <f t="shared" ref="BB67:BF67" si="22">BB52</f>
        <v>25226.93242</v>
      </c>
      <c r="BC67" s="1641">
        <f t="shared" si="22"/>
        <v>0.008692911264</v>
      </c>
      <c r="BD67" s="1643">
        <f t="shared" si="22"/>
        <v>25448.15094</v>
      </c>
      <c r="BE67" s="1643">
        <f t="shared" si="22"/>
        <v>24806.48355</v>
      </c>
      <c r="BF67" s="1675">
        <f t="shared" si="22"/>
        <v>0.02521469608</v>
      </c>
      <c r="BK67" s="1631"/>
      <c r="BL67" s="153"/>
      <c r="BM67" s="23"/>
      <c r="BN67" s="23"/>
      <c r="BO67" s="23"/>
      <c r="BP67" s="23"/>
      <c r="BQ67" s="23"/>
    </row>
    <row r="68">
      <c r="B68" s="1512" t="s">
        <v>40</v>
      </c>
      <c r="C68" s="1513"/>
      <c r="D68" s="1524"/>
      <c r="E68" s="1527" t="s">
        <v>56</v>
      </c>
      <c r="F68" s="1528" t="str">
        <f>(F67)/((C39*C38)*C69)</f>
        <v>#DIV/0!</v>
      </c>
      <c r="BA68" s="1672">
        <f t="shared" si="14"/>
        <v>22</v>
      </c>
      <c r="BB68" s="1643">
        <f t="shared" ref="BB68:BF68" si="23">BB53</f>
        <v>26137.8425</v>
      </c>
      <c r="BC68" s="1641">
        <f t="shared" si="23"/>
        <v>0.00435594275</v>
      </c>
      <c r="BD68" s="1643">
        <f t="shared" si="23"/>
        <v>26252.19556</v>
      </c>
      <c r="BE68" s="1643">
        <f t="shared" si="23"/>
        <v>25920.02715</v>
      </c>
      <c r="BF68" s="1675">
        <f t="shared" si="23"/>
        <v>0.01265297656</v>
      </c>
      <c r="BK68" s="1631"/>
      <c r="BL68" s="153"/>
      <c r="BM68" s="23"/>
      <c r="BN68" s="23"/>
      <c r="BO68" s="23"/>
      <c r="BP68" s="23"/>
      <c r="BQ68" s="23"/>
    </row>
    <row r="69">
      <c r="B69" s="1488" t="s">
        <v>44</v>
      </c>
      <c r="C69" s="1529">
        <v>1.0</v>
      </c>
      <c r="D69" s="1479"/>
      <c r="E69" s="1530" t="s">
        <v>61</v>
      </c>
      <c r="F69" s="1531">
        <f>IF(C65="hardware",C81*8760/1000*C72,0)</f>
        <v>0</v>
      </c>
      <c r="BA69" s="1676">
        <f t="shared" si="14"/>
        <v>23</v>
      </c>
      <c r="BB69" s="1677">
        <f t="shared" ref="BB69:BF69" si="24">BB54</f>
        <v>27079.27581</v>
      </c>
      <c r="BC69" s="1678">
        <f t="shared" si="24"/>
        <v>0</v>
      </c>
      <c r="BD69" s="1677">
        <f t="shared" si="24"/>
        <v>27079.27581</v>
      </c>
      <c r="BE69" s="1677">
        <f t="shared" si="24"/>
        <v>27079.27581</v>
      </c>
      <c r="BF69" s="1679">
        <f t="shared" si="24"/>
        <v>0</v>
      </c>
      <c r="BK69" s="1631"/>
      <c r="BL69" s="153"/>
      <c r="BM69" s="23"/>
      <c r="BN69" s="23"/>
      <c r="BO69" s="23"/>
      <c r="BP69" s="23"/>
      <c r="BQ69" s="23"/>
    </row>
    <row r="70">
      <c r="B70" s="1488" t="s">
        <v>46</v>
      </c>
      <c r="C70" s="1489">
        <f>if(C66="recommended requirements",750,250)</f>
        <v>750</v>
      </c>
      <c r="D70" s="1479"/>
      <c r="E70" s="1530" t="s">
        <v>65</v>
      </c>
      <c r="F70" s="1533">
        <f>if(C65="hardware",C70/C71*C79, 0)</f>
        <v>0</v>
      </c>
      <c r="BK70" s="1631"/>
      <c r="BL70" s="153"/>
      <c r="BM70" s="23"/>
      <c r="BN70" s="23"/>
      <c r="BO70" s="23"/>
      <c r="BP70" s="23"/>
      <c r="BQ70" s="23"/>
      <c r="EJ70" s="52"/>
    </row>
    <row r="71">
      <c r="B71" s="1488" t="s">
        <v>48</v>
      </c>
      <c r="C71" s="1529">
        <v>2.5</v>
      </c>
      <c r="D71" s="1479"/>
      <c r="E71" s="1530" t="s">
        <v>70</v>
      </c>
      <c r="F71" s="1531">
        <f>IF(C61="Yes",0,C75*12)</f>
        <v>0</v>
      </c>
      <c r="G71" s="52"/>
      <c r="H71" s="52"/>
      <c r="I71" s="52"/>
      <c r="J71" s="52"/>
      <c r="K71" s="52"/>
      <c r="L71" s="52"/>
      <c r="M71" s="52"/>
      <c r="N71" s="52"/>
      <c r="O71" s="52"/>
      <c r="P71" s="52"/>
      <c r="Q71" s="52"/>
      <c r="BK71" s="1631"/>
      <c r="BL71" s="153"/>
      <c r="BM71" s="23"/>
      <c r="BN71" s="23"/>
      <c r="BO71" s="23"/>
      <c r="BP71" s="23"/>
      <c r="BQ71" s="23"/>
    </row>
    <row r="72">
      <c r="B72" s="1488" t="s">
        <v>50</v>
      </c>
      <c r="C72" s="1536">
        <f>average(0.15,0.19,0.22,0.22,0.33,0.1936,0.11,0.2)</f>
        <v>0.2017</v>
      </c>
      <c r="D72" s="1479"/>
      <c r="E72" s="1534" t="s">
        <v>72</v>
      </c>
      <c r="F72" s="1535">
        <f>if(C62="yes",0,C76)</f>
        <v>0</v>
      </c>
      <c r="BK72" s="1631"/>
      <c r="BL72" s="153"/>
      <c r="BM72" s="23"/>
      <c r="BN72" s="23"/>
      <c r="BO72" s="23"/>
      <c r="BP72" s="23"/>
      <c r="BQ72" s="23"/>
    </row>
    <row r="73">
      <c r="B73" s="1488" t="s">
        <v>52</v>
      </c>
      <c r="C73" s="1492">
        <v>10.0</v>
      </c>
      <c r="D73" s="1479"/>
      <c r="E73" s="1534" t="s">
        <v>195</v>
      </c>
      <c r="F73" s="1535">
        <f>if(C65="cloud",12*C77*C79,0)</f>
        <v>960</v>
      </c>
      <c r="BK73" s="1631"/>
      <c r="BL73" s="153"/>
      <c r="BM73" s="23"/>
      <c r="BN73" s="23"/>
      <c r="BO73" s="23"/>
      <c r="BP73" s="23"/>
      <c r="BQ73" s="23"/>
    </row>
    <row r="74">
      <c r="B74" s="1488" t="s">
        <v>55</v>
      </c>
      <c r="C74" s="1492">
        <v>40.0</v>
      </c>
      <c r="D74" s="1479"/>
      <c r="E74" s="1534" t="s">
        <v>77</v>
      </c>
      <c r="F74" s="1535">
        <f>C78*C79</f>
        <v>25</v>
      </c>
      <c r="I74" s="63"/>
      <c r="BK74" s="1631"/>
      <c r="BL74" s="153"/>
      <c r="BM74" s="23"/>
      <c r="BN74" s="23"/>
      <c r="BO74" s="152"/>
      <c r="BP74" s="23"/>
      <c r="BQ74" s="23"/>
    </row>
    <row r="75">
      <c r="B75" s="1488" t="s">
        <v>60</v>
      </c>
      <c r="C75" s="1536">
        <f>average(31.14,36.68,37.15,39.58,67.69,72.68,57.66, 68.78)</f>
        <v>51.42</v>
      </c>
      <c r="D75" s="1479"/>
      <c r="E75" s="1537" t="s">
        <v>79</v>
      </c>
      <c r="F75" s="1538">
        <f>sum(F69:F74)</f>
        <v>985</v>
      </c>
      <c r="BK75" s="1631"/>
      <c r="BL75" s="153"/>
      <c r="BM75" s="23"/>
      <c r="BN75" s="23"/>
      <c r="BO75" s="23"/>
      <c r="BP75" s="23"/>
      <c r="BQ75" s="23"/>
    </row>
    <row r="76">
      <c r="B76" s="1488" t="s">
        <v>64</v>
      </c>
      <c r="C76" s="1541">
        <v>90.0</v>
      </c>
      <c r="D76" s="1479"/>
      <c r="E76" s="1539" t="s">
        <v>81</v>
      </c>
      <c r="F76" s="1540">
        <f>F67-F75</f>
        <v>-985</v>
      </c>
      <c r="BK76" s="1631"/>
      <c r="BL76" s="153"/>
      <c r="BM76" s="23"/>
      <c r="BN76" s="23"/>
      <c r="BO76" s="23"/>
      <c r="BP76" s="23"/>
      <c r="BQ76" s="23"/>
    </row>
    <row r="77">
      <c r="B77" s="1488" t="s">
        <v>69</v>
      </c>
      <c r="C77" s="1489">
        <f>if(C66="recommended requirements",80,40)</f>
        <v>80</v>
      </c>
      <c r="D77" s="1479"/>
      <c r="E77" s="1542" t="s">
        <v>82</v>
      </c>
      <c r="F77" s="1543" t="str">
        <f>F76/(F61*C38)</f>
        <v>#DIV/0!</v>
      </c>
      <c r="BK77" s="1631"/>
      <c r="BL77" s="153"/>
      <c r="BM77" s="23"/>
      <c r="BN77" s="23"/>
      <c r="BO77" s="23"/>
      <c r="BP77" s="23"/>
      <c r="BQ77" s="23"/>
      <c r="EJ77" s="23"/>
    </row>
    <row r="78">
      <c r="B78" s="1488" t="s">
        <v>71</v>
      </c>
      <c r="C78" s="1541">
        <v>25.0</v>
      </c>
      <c r="D78" s="1479"/>
      <c r="E78" s="1479"/>
      <c r="F78" s="1479"/>
      <c r="BK78" s="1631"/>
      <c r="BL78" s="23"/>
      <c r="BM78" s="23"/>
      <c r="BN78" s="153"/>
      <c r="BO78" s="23"/>
      <c r="BP78" s="23"/>
      <c r="BQ78" s="23"/>
      <c r="EJ78" s="87"/>
    </row>
    <row r="79">
      <c r="B79" s="1544" t="s">
        <v>147</v>
      </c>
      <c r="C79" s="1545">
        <f>IF(ISNUMBER(SEARCH("No",C65)),(ROUNDUP(C69/C80)),(ROUNDUP(C69/C80)))</f>
        <v>1</v>
      </c>
      <c r="D79" s="1479"/>
      <c r="E79" s="1479"/>
      <c r="F79" s="1479"/>
      <c r="BK79" s="1631"/>
      <c r="BL79" s="1680"/>
      <c r="BM79" s="410"/>
      <c r="BN79" s="410"/>
      <c r="BO79" s="410"/>
      <c r="BP79" s="410"/>
      <c r="BQ79" s="410"/>
      <c r="EJ79" s="87"/>
    </row>
    <row r="80">
      <c r="B80" s="1546" t="s">
        <v>149</v>
      </c>
      <c r="C80" s="1547" t="str">
        <f>IF(ISNUMBER(SEARCH("No",C65)), "16", "1000")</f>
        <v>1000</v>
      </c>
      <c r="D80" s="1479"/>
      <c r="E80" s="1479"/>
      <c r="F80" s="1479"/>
      <c r="I80" s="9" t="s">
        <v>62</v>
      </c>
      <c r="BK80" s="1631"/>
      <c r="BL80" s="153"/>
      <c r="BM80" s="153"/>
      <c r="BN80" s="153"/>
      <c r="BO80" s="153"/>
      <c r="BP80" s="153"/>
      <c r="BQ80" s="23"/>
      <c r="EJ80" s="87"/>
    </row>
    <row r="81">
      <c r="B81" s="1548" t="s">
        <v>76</v>
      </c>
      <c r="C81" s="1549">
        <f>IF(ISNUMBER(SEARCH("Yes",C65)),"N/A",((C79*C74+1024*(1-(1023/1024)^C69)*C73)))</f>
        <v>50</v>
      </c>
      <c r="D81" s="1479"/>
      <c r="E81" s="1479"/>
      <c r="F81" s="1479"/>
      <c r="BK81" s="1631"/>
      <c r="BL81" s="153"/>
      <c r="BM81" s="1681"/>
      <c r="BN81" s="1681"/>
      <c r="BO81" s="1681"/>
      <c r="BP81" s="1681"/>
      <c r="BQ81" s="23"/>
      <c r="EJ81" s="115"/>
    </row>
    <row r="82">
      <c r="B82" s="1488" t="s">
        <v>78</v>
      </c>
      <c r="C82" s="1550">
        <f>F61*C38</f>
        <v>0</v>
      </c>
      <c r="D82" s="1479"/>
      <c r="E82" s="1479"/>
      <c r="F82" s="1479"/>
      <c r="BK82" s="1631"/>
      <c r="BL82" s="153"/>
      <c r="BM82" s="1681"/>
      <c r="BN82" s="1681"/>
      <c r="BO82" s="1681"/>
      <c r="BP82" s="1681"/>
      <c r="BQ82" s="23"/>
      <c r="EJ82" s="14"/>
    </row>
    <row r="83">
      <c r="B83" s="1551"/>
      <c r="C83" s="1552"/>
      <c r="D83" s="1479"/>
      <c r="E83" s="1479"/>
      <c r="F83" s="1479"/>
      <c r="BK83" s="1631"/>
      <c r="BL83" s="153"/>
      <c r="BM83" s="1681"/>
      <c r="BN83" s="1681"/>
      <c r="BO83" s="1681"/>
      <c r="BP83" s="1681"/>
      <c r="BQ83" s="23"/>
      <c r="EJ83" s="123"/>
    </row>
    <row r="84">
      <c r="D84" s="1479"/>
      <c r="E84" s="1479"/>
      <c r="F84" s="1479"/>
      <c r="BK84" s="1631"/>
      <c r="BL84" s="153"/>
      <c r="BM84" s="1681"/>
      <c r="BN84" s="1681"/>
      <c r="BO84" s="1681"/>
      <c r="BP84" s="1681"/>
      <c r="BQ84" s="23"/>
      <c r="CC84" s="410"/>
      <c r="CD84" s="410"/>
      <c r="EJ84" s="14"/>
    </row>
    <row r="85" ht="19.5" customHeight="1">
      <c r="D85" s="1479"/>
      <c r="E85" s="1479"/>
      <c r="F85" s="1479"/>
      <c r="BK85" s="1631"/>
      <c r="BL85" s="153"/>
      <c r="BM85" s="1681"/>
      <c r="BN85" s="1681"/>
      <c r="BO85" s="1681"/>
      <c r="BP85" s="1681"/>
      <c r="BQ85" s="23"/>
      <c r="CC85" s="153"/>
      <c r="CD85" s="153"/>
      <c r="CE85" s="1651"/>
      <c r="EJ85" s="14"/>
    </row>
    <row r="86">
      <c r="B86" s="1475" t="s">
        <v>258</v>
      </c>
      <c r="C86" s="526"/>
      <c r="D86" s="526"/>
      <c r="E86" s="526"/>
      <c r="F86" s="527"/>
      <c r="BK86" s="1631"/>
      <c r="BL86" s="153"/>
      <c r="BM86" s="1681"/>
      <c r="BN86" s="1681"/>
      <c r="BO86" s="1681"/>
      <c r="BP86" s="1681"/>
      <c r="BQ86" s="23"/>
      <c r="CC86" s="23"/>
      <c r="CD86" s="23"/>
      <c r="CE86" s="1651"/>
      <c r="EJ86" s="14"/>
    </row>
    <row r="87" ht="18.0" customHeight="1">
      <c r="B87" s="110"/>
      <c r="F87" s="78"/>
      <c r="BK87" s="1631"/>
      <c r="BL87" s="153"/>
      <c r="BM87" s="1681"/>
      <c r="BN87" s="1681"/>
      <c r="BO87" s="1681"/>
      <c r="BP87" s="1681"/>
      <c r="BQ87" s="23"/>
      <c r="CC87" s="23"/>
      <c r="CD87" s="23"/>
      <c r="CE87" s="1651"/>
      <c r="EJ87" s="14"/>
    </row>
    <row r="88">
      <c r="B88" s="110"/>
      <c r="F88" s="78"/>
      <c r="BK88" s="1631"/>
      <c r="BL88" s="153"/>
      <c r="BM88" s="1681"/>
      <c r="BN88" s="1681"/>
      <c r="BO88" s="1681"/>
      <c r="BP88" s="1681"/>
      <c r="BQ88" s="23"/>
      <c r="CC88" s="23"/>
      <c r="CD88" s="23"/>
      <c r="CE88" s="1651"/>
      <c r="EJ88" s="14"/>
    </row>
    <row r="89">
      <c r="B89" s="146"/>
      <c r="C89" s="528"/>
      <c r="D89" s="528"/>
      <c r="E89" s="528"/>
      <c r="F89" s="529"/>
      <c r="BK89" s="1631"/>
      <c r="BL89" s="153"/>
      <c r="BM89" s="1681"/>
      <c r="BN89" s="1681"/>
      <c r="BO89" s="1681"/>
      <c r="BP89" s="1681"/>
      <c r="BQ89" s="23"/>
      <c r="CC89" s="23"/>
      <c r="CD89" s="23"/>
      <c r="EJ89" s="14"/>
    </row>
    <row r="90">
      <c r="B90" s="1479"/>
      <c r="C90" s="1479"/>
      <c r="D90" s="1479"/>
      <c r="E90" s="1479"/>
      <c r="F90" s="1479"/>
      <c r="BK90" s="1631"/>
      <c r="BL90" s="153"/>
      <c r="BM90" s="1681"/>
      <c r="BN90" s="1681"/>
      <c r="BO90" s="1681"/>
      <c r="BP90" s="1681"/>
      <c r="BQ90" s="23"/>
      <c r="CC90" s="23"/>
      <c r="CD90" s="23"/>
      <c r="EJ90" s="144"/>
    </row>
    <row r="91">
      <c r="B91" s="1486" t="s">
        <v>259</v>
      </c>
      <c r="C91" s="1682"/>
      <c r="D91" s="1479"/>
      <c r="E91" s="1484" t="s">
        <v>40</v>
      </c>
      <c r="F91" s="1514"/>
      <c r="BK91" s="1631"/>
      <c r="BL91" s="153"/>
      <c r="BM91" s="1681"/>
      <c r="BN91" s="1681"/>
      <c r="BO91" s="1681"/>
      <c r="BP91" s="1681"/>
      <c r="BQ91" s="23"/>
      <c r="CC91" s="23"/>
      <c r="CD91" s="23"/>
      <c r="EJ91" s="51"/>
    </row>
    <row r="92">
      <c r="B92" s="1516" t="s">
        <v>260</v>
      </c>
      <c r="C92" s="1683">
        <v>0.045</v>
      </c>
      <c r="D92" s="1479"/>
      <c r="E92" s="1516" t="s">
        <v>44</v>
      </c>
      <c r="F92" s="1684">
        <v>1.0</v>
      </c>
      <c r="BK92" s="1631"/>
      <c r="BL92" s="153"/>
      <c r="BM92" s="1681"/>
      <c r="BN92" s="1681"/>
      <c r="BO92" s="1681"/>
      <c r="BP92" s="1681"/>
      <c r="BQ92" s="23"/>
      <c r="CC92" s="23"/>
      <c r="CD92" s="23"/>
      <c r="EJ92" s="51"/>
    </row>
    <row r="93">
      <c r="B93" s="1516" t="s">
        <v>73</v>
      </c>
      <c r="C93" s="1683">
        <v>0.95</v>
      </c>
      <c r="D93" s="1479"/>
      <c r="E93" s="1516" t="s">
        <v>42</v>
      </c>
      <c r="F93" s="1685">
        <v>0.95</v>
      </c>
      <c r="BK93" s="1631"/>
      <c r="BL93" s="153"/>
      <c r="BM93" s="1681"/>
      <c r="BN93" s="1681"/>
      <c r="BO93" s="1681"/>
      <c r="BP93" s="1681"/>
      <c r="BQ93" s="23"/>
      <c r="CC93" s="23"/>
      <c r="CD93" s="23"/>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51"/>
      <c r="DT93" s="51"/>
      <c r="DU93" s="51"/>
      <c r="DV93" s="51"/>
      <c r="DW93" s="51"/>
      <c r="DX93" s="51"/>
      <c r="DY93" s="51"/>
      <c r="DZ93" s="51"/>
      <c r="EA93" s="51"/>
      <c r="EB93" s="51"/>
      <c r="EC93" s="51"/>
      <c r="ED93" s="51"/>
      <c r="EE93" s="51"/>
      <c r="EF93" s="51"/>
      <c r="EG93" s="51"/>
      <c r="EH93" s="51"/>
      <c r="EI93" s="51"/>
      <c r="EJ93" s="51"/>
    </row>
    <row r="94">
      <c r="B94" s="1686"/>
      <c r="C94" s="1687"/>
      <c r="D94" s="1479"/>
      <c r="E94" s="1688" t="s">
        <v>261</v>
      </c>
      <c r="F94" s="1689">
        <v>1.0</v>
      </c>
      <c r="BK94" s="163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51"/>
      <c r="DT94" s="51"/>
      <c r="DU94" s="51"/>
      <c r="DV94" s="51"/>
      <c r="DW94" s="51"/>
      <c r="DX94" s="51"/>
      <c r="DY94" s="51"/>
      <c r="DZ94" s="51"/>
      <c r="EA94" s="51"/>
      <c r="EB94" s="51"/>
      <c r="EC94" s="51"/>
      <c r="ED94" s="51"/>
      <c r="EE94" s="51"/>
      <c r="EF94" s="51"/>
      <c r="EG94" s="51"/>
      <c r="EH94" s="51"/>
      <c r="EI94" s="51"/>
      <c r="EJ94" s="51"/>
    </row>
    <row r="95">
      <c r="B95" s="1516" t="s">
        <v>262</v>
      </c>
      <c r="C95" s="1690">
        <v>524288.0</v>
      </c>
      <c r="D95" s="1479"/>
      <c r="E95" s="1479"/>
      <c r="F95" s="1479"/>
      <c r="BK95" s="163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c r="DU95" s="51"/>
      <c r="DV95" s="51"/>
      <c r="DW95" s="51"/>
      <c r="DX95" s="51"/>
      <c r="DY95" s="51"/>
      <c r="DZ95" s="51"/>
      <c r="EA95" s="51"/>
      <c r="EB95" s="51"/>
      <c r="EC95" s="51"/>
      <c r="ED95" s="51"/>
      <c r="EE95" s="51"/>
      <c r="EF95" s="51"/>
      <c r="EG95" s="51"/>
      <c r="EH95" s="51"/>
      <c r="EI95" s="51"/>
      <c r="EJ95" s="51"/>
    </row>
    <row r="96">
      <c r="B96" s="1516" t="s">
        <v>263</v>
      </c>
      <c r="C96" s="1683">
        <v>0.12</v>
      </c>
      <c r="D96" s="1479"/>
      <c r="E96" s="1479"/>
      <c r="F96" s="1479"/>
      <c r="BK96" s="163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c r="DP96" s="51"/>
      <c r="DQ96" s="51"/>
      <c r="DR96" s="51"/>
      <c r="DS96" s="51"/>
      <c r="DT96" s="51"/>
      <c r="DU96" s="51"/>
      <c r="DV96" s="51"/>
      <c r="DW96" s="51"/>
      <c r="DX96" s="51"/>
      <c r="DY96" s="51"/>
      <c r="DZ96" s="51"/>
      <c r="EA96" s="51"/>
      <c r="EB96" s="51"/>
      <c r="EC96" s="51"/>
      <c r="ED96" s="51"/>
      <c r="EE96" s="51"/>
      <c r="EF96" s="51"/>
      <c r="EG96" s="51"/>
      <c r="EH96" s="51"/>
      <c r="EI96" s="51"/>
      <c r="EJ96" s="51"/>
    </row>
    <row r="97">
      <c r="B97" s="1686"/>
      <c r="C97" s="1687"/>
      <c r="D97" s="1479"/>
      <c r="E97" s="1479"/>
      <c r="F97" s="1479"/>
      <c r="BK97" s="163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c r="DP97" s="51"/>
      <c r="DQ97" s="51"/>
      <c r="DR97" s="51"/>
      <c r="DS97" s="51"/>
      <c r="DT97" s="51"/>
      <c r="DU97" s="51"/>
      <c r="DV97" s="51"/>
      <c r="DW97" s="51"/>
      <c r="DX97" s="51"/>
      <c r="DY97" s="51"/>
      <c r="DZ97" s="51"/>
      <c r="EA97" s="51"/>
      <c r="EB97" s="51"/>
      <c r="EC97" s="51"/>
      <c r="ED97" s="51"/>
      <c r="EE97" s="51"/>
      <c r="EF97" s="51"/>
      <c r="EG97" s="51"/>
      <c r="EH97" s="51"/>
      <c r="EI97" s="51"/>
      <c r="EJ97" s="51"/>
    </row>
    <row r="98">
      <c r="B98" s="1516" t="s">
        <v>264</v>
      </c>
      <c r="C98" s="1691">
        <v>400.0</v>
      </c>
      <c r="D98" s="1479"/>
      <c r="E98" s="1479"/>
      <c r="F98" s="1479"/>
      <c r="BK98" s="163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c r="DP98" s="51"/>
      <c r="DQ98" s="51"/>
      <c r="DR98" s="51"/>
      <c r="DS98" s="51"/>
      <c r="DT98" s="51"/>
      <c r="DU98" s="51"/>
      <c r="DV98" s="51"/>
      <c r="DW98" s="51"/>
      <c r="DX98" s="51"/>
      <c r="DY98" s="51"/>
      <c r="DZ98" s="51"/>
      <c r="EA98" s="51"/>
      <c r="EB98" s="51"/>
      <c r="EC98" s="51"/>
      <c r="ED98" s="51"/>
      <c r="EE98" s="51"/>
      <c r="EF98" s="51"/>
      <c r="EG98" s="51"/>
      <c r="EH98" s="51"/>
      <c r="EI98" s="51"/>
      <c r="EJ98" s="51"/>
    </row>
    <row r="99">
      <c r="B99" s="1688" t="s">
        <v>265</v>
      </c>
      <c r="C99" s="1692">
        <v>0.03</v>
      </c>
      <c r="D99" s="1479"/>
      <c r="E99" s="1479"/>
      <c r="F99" s="1479"/>
      <c r="BK99" s="163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c r="DP99" s="51"/>
      <c r="DQ99" s="51"/>
      <c r="DR99" s="51"/>
      <c r="DS99" s="51"/>
      <c r="DT99" s="51"/>
      <c r="DU99" s="51"/>
      <c r="DV99" s="51"/>
      <c r="DW99" s="51"/>
      <c r="DX99" s="51"/>
      <c r="DY99" s="51"/>
      <c r="DZ99" s="51"/>
      <c r="EA99" s="51"/>
      <c r="EB99" s="51"/>
      <c r="EC99" s="51"/>
      <c r="ED99" s="51"/>
      <c r="EE99" s="51"/>
      <c r="EF99" s="51"/>
      <c r="EG99" s="51"/>
      <c r="EH99" s="51"/>
      <c r="EI99" s="51"/>
      <c r="EJ99" s="51"/>
    </row>
    <row r="100">
      <c r="B100" s="1479"/>
      <c r="C100" s="1479"/>
      <c r="D100" s="1479"/>
      <c r="E100" s="1479"/>
      <c r="F100" s="1479"/>
      <c r="BK100" s="163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c r="DO100" s="51"/>
      <c r="DP100" s="51"/>
      <c r="DQ100" s="51"/>
      <c r="DR100" s="51"/>
      <c r="DS100" s="51"/>
      <c r="DT100" s="51"/>
      <c r="DU100" s="51"/>
      <c r="DV100" s="51"/>
      <c r="DW100" s="51"/>
      <c r="DX100" s="51"/>
      <c r="DY100" s="51"/>
      <c r="DZ100" s="51"/>
      <c r="EA100" s="51"/>
      <c r="EB100" s="51"/>
      <c r="EC100" s="51"/>
      <c r="ED100" s="51"/>
      <c r="EE100" s="51"/>
      <c r="EF100" s="51"/>
      <c r="EG100" s="51"/>
      <c r="EH100" s="51"/>
      <c r="EI100" s="51"/>
      <c r="EJ100" s="51"/>
    </row>
    <row r="101">
      <c r="B101" s="1484" t="s">
        <v>266</v>
      </c>
      <c r="C101" s="1514"/>
      <c r="D101" s="1479"/>
      <c r="E101" s="1479"/>
      <c r="F101" s="1479"/>
      <c r="BK101" s="163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c r="DO101" s="51"/>
      <c r="DP101" s="51"/>
      <c r="DQ101" s="51"/>
      <c r="DR101" s="51"/>
      <c r="DS101" s="51"/>
      <c r="DT101" s="51"/>
      <c r="DU101" s="51"/>
      <c r="DV101" s="51"/>
      <c r="DW101" s="51"/>
      <c r="DX101" s="51"/>
      <c r="DY101" s="51"/>
      <c r="DZ101" s="51"/>
      <c r="EA101" s="51"/>
      <c r="EB101" s="51"/>
      <c r="EC101" s="51"/>
      <c r="ED101" s="51"/>
      <c r="EE101" s="51"/>
      <c r="EF101" s="51"/>
      <c r="EG101" s="51"/>
      <c r="EH101" s="51"/>
      <c r="EI101" s="51"/>
      <c r="EJ101" s="51"/>
    </row>
    <row r="102">
      <c r="B102" s="1516" t="s">
        <v>267</v>
      </c>
      <c r="C102" s="1693">
        <v>0.2</v>
      </c>
      <c r="D102" s="1479"/>
      <c r="E102" s="1479"/>
      <c r="F102" s="1479"/>
      <c r="BK102" s="1631"/>
      <c r="CG102" s="144"/>
      <c r="CH102" s="144"/>
      <c r="CI102" s="144"/>
      <c r="CJ102" s="144"/>
      <c r="CK102" s="144"/>
      <c r="CL102" s="144"/>
      <c r="CM102" s="144"/>
      <c r="CN102" s="144"/>
      <c r="CO102" s="144"/>
      <c r="CP102" s="144"/>
      <c r="CQ102" s="144"/>
      <c r="CR102" s="144"/>
      <c r="CS102" s="144"/>
      <c r="CT102" s="144"/>
      <c r="CU102" s="144"/>
      <c r="CV102" s="144"/>
      <c r="CW102" s="144"/>
      <c r="CX102" s="144"/>
      <c r="CY102" s="144"/>
      <c r="CZ102" s="144"/>
      <c r="DA102" s="144"/>
      <c r="DB102" s="144"/>
      <c r="DC102" s="144"/>
      <c r="DD102" s="144"/>
      <c r="DE102" s="144"/>
      <c r="DF102" s="144"/>
      <c r="DG102" s="144"/>
      <c r="DH102" s="144"/>
      <c r="DI102" s="144"/>
      <c r="DJ102" s="144"/>
      <c r="DK102" s="144"/>
      <c r="DL102" s="144"/>
      <c r="DM102" s="144"/>
      <c r="DN102" s="144"/>
      <c r="DO102" s="144"/>
      <c r="DP102" s="144"/>
      <c r="DQ102" s="144"/>
      <c r="DR102" s="144"/>
      <c r="DS102" s="144"/>
      <c r="DT102" s="144"/>
      <c r="DU102" s="144"/>
      <c r="DV102" s="144"/>
      <c r="DW102" s="144"/>
      <c r="DX102" s="144"/>
      <c r="DY102" s="144"/>
      <c r="DZ102" s="144"/>
      <c r="EA102" s="144"/>
      <c r="EB102" s="144"/>
      <c r="EC102" s="144"/>
      <c r="ED102" s="144"/>
      <c r="EE102" s="144"/>
      <c r="EF102" s="144"/>
      <c r="EG102" s="144"/>
      <c r="EH102" s="144"/>
      <c r="EI102" s="144"/>
      <c r="EJ102" s="144"/>
    </row>
    <row r="103">
      <c r="B103" s="1516" t="s">
        <v>268</v>
      </c>
      <c r="C103" s="1693">
        <v>0.15</v>
      </c>
      <c r="D103" s="1479"/>
      <c r="E103" s="1479"/>
      <c r="F103" s="1479"/>
      <c r="BK103" s="163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c r="DO103" s="51"/>
      <c r="DP103" s="51"/>
      <c r="DQ103" s="51"/>
      <c r="DR103" s="51"/>
      <c r="DS103" s="51"/>
      <c r="DT103" s="51"/>
      <c r="DU103" s="51"/>
      <c r="DV103" s="51"/>
      <c r="DW103" s="51"/>
      <c r="DX103" s="51"/>
      <c r="DY103" s="51"/>
      <c r="DZ103" s="51"/>
      <c r="EA103" s="51"/>
      <c r="EB103" s="51"/>
      <c r="EC103" s="51"/>
      <c r="ED103" s="51"/>
      <c r="EE103" s="51"/>
      <c r="EF103" s="51"/>
      <c r="EG103" s="51"/>
      <c r="EH103" s="51"/>
      <c r="EI103" s="51"/>
      <c r="EJ103" s="51"/>
    </row>
    <row r="104">
      <c r="B104" s="1688" t="s">
        <v>269</v>
      </c>
      <c r="C104" s="1694">
        <v>0.1</v>
      </c>
      <c r="D104" s="1479"/>
      <c r="E104" s="1479"/>
      <c r="F104" s="1479"/>
      <c r="BK104" s="1631"/>
      <c r="CG104" s="144"/>
      <c r="CH104" s="144"/>
      <c r="CI104" s="144"/>
      <c r="CJ104" s="144"/>
      <c r="CK104" s="144"/>
      <c r="CL104" s="144"/>
      <c r="CM104" s="144"/>
      <c r="CN104" s="144"/>
      <c r="CO104" s="144"/>
      <c r="CP104" s="144"/>
      <c r="CQ104" s="144"/>
      <c r="CR104" s="144"/>
      <c r="CS104" s="144"/>
      <c r="CT104" s="144"/>
      <c r="CU104" s="144"/>
      <c r="CV104" s="144"/>
      <c r="CW104" s="144"/>
      <c r="CX104" s="144"/>
      <c r="CY104" s="144"/>
      <c r="CZ104" s="144"/>
      <c r="DA104" s="144"/>
      <c r="DB104" s="144"/>
      <c r="DC104" s="144"/>
      <c r="DD104" s="144"/>
      <c r="DE104" s="144"/>
      <c r="DF104" s="144"/>
      <c r="DG104" s="144"/>
      <c r="DH104" s="144"/>
      <c r="DI104" s="144"/>
      <c r="DJ104" s="144"/>
      <c r="DK104" s="144"/>
      <c r="DL104" s="144"/>
      <c r="DM104" s="144"/>
      <c r="DN104" s="144"/>
      <c r="DO104" s="144"/>
      <c r="DP104" s="144"/>
      <c r="DQ104" s="144"/>
      <c r="DR104" s="144"/>
      <c r="DS104" s="144"/>
      <c r="DT104" s="144"/>
      <c r="DU104" s="144"/>
      <c r="DV104" s="144"/>
      <c r="DW104" s="144"/>
      <c r="DX104" s="144"/>
      <c r="DY104" s="144"/>
      <c r="DZ104" s="144"/>
      <c r="EA104" s="144"/>
      <c r="EB104" s="144"/>
      <c r="EC104" s="144"/>
      <c r="ED104" s="144"/>
      <c r="EE104" s="144"/>
      <c r="EF104" s="144"/>
      <c r="EG104" s="144"/>
      <c r="EH104" s="144"/>
      <c r="EI104" s="144"/>
      <c r="EJ104" s="144"/>
    </row>
    <row r="105">
      <c r="BK105" s="1631"/>
    </row>
    <row r="106" ht="16.5" customHeight="1">
      <c r="BK106" s="1631"/>
    </row>
    <row r="107">
      <c r="BK107" s="1631"/>
    </row>
    <row r="108">
      <c r="BK108" s="1631"/>
    </row>
    <row r="109" ht="15.75" customHeight="1">
      <c r="BK109" s="1631"/>
    </row>
    <row r="110">
      <c r="BK110" s="1631"/>
    </row>
    <row r="111">
      <c r="BK111" s="1631"/>
    </row>
    <row r="112">
      <c r="B112" s="152"/>
      <c r="C112" s="153"/>
      <c r="BK112" s="1631"/>
    </row>
    <row r="113">
      <c r="BK113" s="1631"/>
    </row>
    <row r="114">
      <c r="BK114" s="1631"/>
    </row>
    <row r="115">
      <c r="BK115" s="1631"/>
    </row>
    <row r="116">
      <c r="BK116" s="1631"/>
    </row>
    <row r="117">
      <c r="B117" s="152"/>
      <c r="C117" s="153"/>
      <c r="BK117" s="1631"/>
    </row>
    <row r="118">
      <c r="B118" s="152"/>
      <c r="C118" s="153"/>
      <c r="BK118" s="1631"/>
    </row>
    <row r="119">
      <c r="B119" s="152"/>
      <c r="C119" s="153"/>
      <c r="BK119" s="1631"/>
    </row>
    <row r="120">
      <c r="BK120" s="1631"/>
    </row>
    <row r="121">
      <c r="BK121" s="1631"/>
    </row>
    <row r="122">
      <c r="BK122" s="1631"/>
    </row>
    <row r="123">
      <c r="BK123" s="1631"/>
    </row>
    <row r="124">
      <c r="B124" s="152"/>
      <c r="C124" s="153"/>
      <c r="BK124" s="1631"/>
    </row>
    <row r="125">
      <c r="B125" s="152"/>
      <c r="C125" s="153"/>
      <c r="BK125" s="1631"/>
    </row>
    <row r="126">
      <c r="B126" s="152"/>
      <c r="C126" s="153"/>
      <c r="BK126" s="1631"/>
    </row>
    <row r="127">
      <c r="B127" s="152"/>
      <c r="C127" s="153"/>
      <c r="BK127" s="1631"/>
    </row>
    <row r="128">
      <c r="B128" s="152"/>
      <c r="C128" s="153"/>
      <c r="N128" s="23"/>
      <c r="O128" s="23"/>
      <c r="P128" s="23"/>
      <c r="Q128" s="23"/>
      <c r="BK128" s="1631"/>
    </row>
    <row r="129">
      <c r="B129" s="152"/>
      <c r="C129" s="153"/>
      <c r="N129" s="23"/>
      <c r="O129" s="23"/>
      <c r="P129" s="23"/>
      <c r="Q129" s="23"/>
      <c r="BK129" s="1631"/>
    </row>
    <row r="130">
      <c r="B130" s="152"/>
      <c r="C130" s="153"/>
      <c r="N130" s="23"/>
      <c r="O130" s="23"/>
      <c r="P130" s="23"/>
      <c r="Q130" s="23"/>
      <c r="R130" s="1476" t="s">
        <v>270</v>
      </c>
      <c r="S130" s="556"/>
      <c r="T130" s="556"/>
      <c r="U130" s="556"/>
      <c r="V130" s="556"/>
      <c r="W130" s="556"/>
      <c r="X130" s="556"/>
      <c r="Y130" s="556"/>
      <c r="Z130" s="556"/>
      <c r="AA130" s="556"/>
      <c r="AB130" s="556"/>
      <c r="AC130" s="556"/>
      <c r="AD130" s="556"/>
      <c r="AE130" s="556"/>
      <c r="AF130" s="556"/>
      <c r="AG130" s="556"/>
      <c r="AH130" s="556"/>
      <c r="AI130" s="556"/>
      <c r="AJ130" s="556"/>
      <c r="AK130" s="556"/>
      <c r="AL130" s="556"/>
      <c r="AM130" s="556"/>
      <c r="AN130" s="556"/>
      <c r="AO130" s="556"/>
      <c r="AP130" s="556"/>
      <c r="AQ130" s="556"/>
      <c r="AR130" s="556"/>
      <c r="AS130" s="556"/>
      <c r="AT130" s="556"/>
      <c r="AU130" s="556"/>
      <c r="AV130" s="556"/>
      <c r="AW130" s="556"/>
      <c r="AX130" s="556"/>
      <c r="AY130" s="556"/>
      <c r="AZ130" s="556"/>
      <c r="BA130" s="556"/>
      <c r="BB130" s="556"/>
      <c r="BC130" s="556"/>
      <c r="BD130" s="556"/>
      <c r="BE130" s="556"/>
      <c r="BF130" s="556"/>
      <c r="BG130" s="556"/>
      <c r="BH130" s="556"/>
      <c r="BI130" s="556"/>
      <c r="BJ130" s="556"/>
      <c r="BK130" s="556"/>
      <c r="BL130" s="556"/>
      <c r="BM130" s="556"/>
      <c r="BN130" s="556"/>
      <c r="BO130" s="556"/>
      <c r="BP130" s="556"/>
      <c r="BQ130" s="556"/>
      <c r="BR130" s="557"/>
    </row>
    <row r="131">
      <c r="B131" s="152"/>
      <c r="C131" s="153"/>
      <c r="N131" s="23"/>
      <c r="O131" s="23"/>
      <c r="P131" s="23"/>
      <c r="Q131" s="23"/>
      <c r="R131" s="559"/>
      <c r="BR131" s="560"/>
    </row>
    <row r="132">
      <c r="B132" s="152"/>
      <c r="C132" s="153"/>
      <c r="N132" s="23"/>
      <c r="O132" s="23"/>
      <c r="P132" s="23"/>
      <c r="Q132" s="23"/>
      <c r="R132" s="559"/>
      <c r="BR132" s="560"/>
    </row>
    <row r="133">
      <c r="B133" s="152"/>
      <c r="C133" s="153"/>
      <c r="N133" s="23"/>
      <c r="O133" s="23"/>
      <c r="P133" s="23"/>
      <c r="Q133" s="23"/>
      <c r="R133" s="574"/>
      <c r="S133" s="575"/>
      <c r="T133" s="575"/>
      <c r="U133" s="575"/>
      <c r="V133" s="575"/>
      <c r="W133" s="575"/>
      <c r="X133" s="575"/>
      <c r="Y133" s="575"/>
      <c r="Z133" s="575"/>
      <c r="AA133" s="575"/>
      <c r="AB133" s="575"/>
      <c r="AC133" s="575"/>
      <c r="AD133" s="575"/>
      <c r="AE133" s="575"/>
      <c r="AF133" s="575"/>
      <c r="AG133" s="575"/>
      <c r="AH133" s="575"/>
      <c r="AI133" s="575"/>
      <c r="AJ133" s="575"/>
      <c r="AK133" s="575"/>
      <c r="AL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G133" s="575"/>
      <c r="BH133" s="575"/>
      <c r="BI133" s="575"/>
      <c r="BJ133" s="575"/>
      <c r="BK133" s="575"/>
      <c r="BL133" s="575"/>
      <c r="BM133" s="575"/>
      <c r="BN133" s="575"/>
      <c r="BO133" s="575"/>
      <c r="BP133" s="575"/>
      <c r="BQ133" s="575"/>
      <c r="BR133" s="576"/>
    </row>
    <row r="134">
      <c r="B134" s="152"/>
      <c r="C134" s="153"/>
      <c r="N134" s="23"/>
      <c r="O134" s="23"/>
      <c r="P134" s="23"/>
      <c r="Q134" s="23"/>
      <c r="AT134" s="1695"/>
      <c r="AU134" s="1696" t="s">
        <v>271</v>
      </c>
      <c r="BK134" s="1631"/>
    </row>
    <row r="135">
      <c r="B135" s="152"/>
      <c r="C135" s="153"/>
      <c r="N135" s="23"/>
      <c r="O135" s="23"/>
      <c r="P135" s="23"/>
      <c r="Q135" s="23"/>
      <c r="T135" s="9" t="s">
        <v>272</v>
      </c>
      <c r="W135" s="9" t="s">
        <v>273</v>
      </c>
      <c r="X135" s="9" t="s">
        <v>274</v>
      </c>
      <c r="AH135" s="9" t="s">
        <v>275</v>
      </c>
      <c r="AT135" s="1697" t="s">
        <v>276</v>
      </c>
      <c r="AV135" s="9"/>
      <c r="BG135" s="1670" t="s">
        <v>277</v>
      </c>
      <c r="BK135" s="1631"/>
    </row>
    <row r="136">
      <c r="B136" s="152"/>
      <c r="C136" s="153"/>
      <c r="N136" s="23"/>
      <c r="O136" s="23"/>
      <c r="P136" s="23"/>
      <c r="Q136" s="23"/>
      <c r="S136" s="1698" t="s">
        <v>226</v>
      </c>
      <c r="T136" s="1699">
        <v>-3.0</v>
      </c>
      <c r="U136" s="1699">
        <v>-2.0</v>
      </c>
      <c r="V136" s="1699">
        <v>-1.0</v>
      </c>
      <c r="W136" s="1699">
        <v>0.0</v>
      </c>
      <c r="X136" s="1699">
        <f t="shared" ref="X136:AT136" si="25">W136+1</f>
        <v>1</v>
      </c>
      <c r="Y136" s="1699">
        <f t="shared" si="25"/>
        <v>2</v>
      </c>
      <c r="Z136" s="1699">
        <f t="shared" si="25"/>
        <v>3</v>
      </c>
      <c r="AA136" s="1699">
        <f t="shared" si="25"/>
        <v>4</v>
      </c>
      <c r="AB136" s="1699">
        <f t="shared" si="25"/>
        <v>5</v>
      </c>
      <c r="AC136" s="1699">
        <f t="shared" si="25"/>
        <v>6</v>
      </c>
      <c r="AD136" s="1699">
        <f t="shared" si="25"/>
        <v>7</v>
      </c>
      <c r="AE136" s="1699">
        <f t="shared" si="25"/>
        <v>8</v>
      </c>
      <c r="AF136" s="1699">
        <f t="shared" si="25"/>
        <v>9</v>
      </c>
      <c r="AG136" s="1699">
        <f t="shared" si="25"/>
        <v>10</v>
      </c>
      <c r="AH136" s="1699">
        <f t="shared" si="25"/>
        <v>11</v>
      </c>
      <c r="AI136" s="1699">
        <f t="shared" si="25"/>
        <v>12</v>
      </c>
      <c r="AJ136" s="1699">
        <f t="shared" si="25"/>
        <v>13</v>
      </c>
      <c r="AK136" s="1699">
        <f t="shared" si="25"/>
        <v>14</v>
      </c>
      <c r="AL136" s="1699">
        <f t="shared" si="25"/>
        <v>15</v>
      </c>
      <c r="AM136" s="1699">
        <f t="shared" si="25"/>
        <v>16</v>
      </c>
      <c r="AN136" s="1699">
        <f t="shared" si="25"/>
        <v>17</v>
      </c>
      <c r="AO136" s="1699">
        <f t="shared" si="25"/>
        <v>18</v>
      </c>
      <c r="AP136" s="1699">
        <f t="shared" si="25"/>
        <v>19</v>
      </c>
      <c r="AQ136" s="1699">
        <f t="shared" si="25"/>
        <v>20</v>
      </c>
      <c r="AR136" s="1699">
        <f t="shared" si="25"/>
        <v>21</v>
      </c>
      <c r="AS136" s="1699">
        <f t="shared" si="25"/>
        <v>22</v>
      </c>
      <c r="AT136" s="1700">
        <f t="shared" si="25"/>
        <v>23</v>
      </c>
      <c r="AU136" s="1700"/>
      <c r="AV136" s="1700">
        <f>AT136+1</f>
        <v>24</v>
      </c>
      <c r="AW136" s="1700">
        <f t="shared" ref="AW136:BR136" si="26">AV136+1</f>
        <v>25</v>
      </c>
      <c r="AX136" s="1700">
        <f t="shared" si="26"/>
        <v>26</v>
      </c>
      <c r="AY136" s="1700">
        <f t="shared" si="26"/>
        <v>27</v>
      </c>
      <c r="AZ136" s="1700">
        <f t="shared" si="26"/>
        <v>28</v>
      </c>
      <c r="BA136" s="1700">
        <f t="shared" si="26"/>
        <v>29</v>
      </c>
      <c r="BB136" s="1700">
        <f t="shared" si="26"/>
        <v>30</v>
      </c>
      <c r="BC136" s="1700">
        <f t="shared" si="26"/>
        <v>31</v>
      </c>
      <c r="BD136" s="1700">
        <f t="shared" si="26"/>
        <v>32</v>
      </c>
      <c r="BE136" s="1700">
        <f t="shared" si="26"/>
        <v>33</v>
      </c>
      <c r="BF136" s="1700">
        <f t="shared" si="26"/>
        <v>34</v>
      </c>
      <c r="BG136" s="1700">
        <f t="shared" si="26"/>
        <v>35</v>
      </c>
      <c r="BH136" s="1700">
        <f t="shared" si="26"/>
        <v>36</v>
      </c>
      <c r="BI136" s="1700">
        <f t="shared" si="26"/>
        <v>37</v>
      </c>
      <c r="BJ136" s="1700">
        <f t="shared" si="26"/>
        <v>38</v>
      </c>
      <c r="BK136" s="1700">
        <f t="shared" si="26"/>
        <v>39</v>
      </c>
      <c r="BL136" s="1700">
        <f t="shared" si="26"/>
        <v>40</v>
      </c>
      <c r="BM136" s="1700">
        <f t="shared" si="26"/>
        <v>41</v>
      </c>
      <c r="BN136" s="1700">
        <f t="shared" si="26"/>
        <v>42</v>
      </c>
      <c r="BO136" s="1700">
        <f t="shared" si="26"/>
        <v>43</v>
      </c>
      <c r="BP136" s="1700">
        <f t="shared" si="26"/>
        <v>44</v>
      </c>
      <c r="BQ136" s="1700">
        <f t="shared" si="26"/>
        <v>45</v>
      </c>
      <c r="BR136" s="1700">
        <f t="shared" si="26"/>
        <v>46</v>
      </c>
    </row>
    <row r="137">
      <c r="N137" s="23"/>
      <c r="O137" s="23"/>
      <c r="P137" s="23"/>
      <c r="Q137" s="23"/>
      <c r="S137" s="1701"/>
      <c r="W137" s="1702">
        <v>23.0</v>
      </c>
      <c r="X137" s="1703">
        <f t="shared" ref="X137:AT137" si="27">W137-1</f>
        <v>22</v>
      </c>
      <c r="Y137" s="1703">
        <f t="shared" si="27"/>
        <v>21</v>
      </c>
      <c r="Z137" s="1703">
        <f t="shared" si="27"/>
        <v>20</v>
      </c>
      <c r="AA137" s="1703">
        <f t="shared" si="27"/>
        <v>19</v>
      </c>
      <c r="AB137" s="1703">
        <f t="shared" si="27"/>
        <v>18</v>
      </c>
      <c r="AC137" s="1703">
        <f t="shared" si="27"/>
        <v>17</v>
      </c>
      <c r="AD137" s="1703">
        <f t="shared" si="27"/>
        <v>16</v>
      </c>
      <c r="AE137" s="1703">
        <f t="shared" si="27"/>
        <v>15</v>
      </c>
      <c r="AF137" s="1703">
        <f t="shared" si="27"/>
        <v>14</v>
      </c>
      <c r="AG137" s="1703">
        <f t="shared" si="27"/>
        <v>13</v>
      </c>
      <c r="AH137" s="1703">
        <f t="shared" si="27"/>
        <v>12</v>
      </c>
      <c r="AI137" s="1703">
        <f t="shared" si="27"/>
        <v>11</v>
      </c>
      <c r="AJ137" s="1703">
        <f t="shared" si="27"/>
        <v>10</v>
      </c>
      <c r="AK137" s="1703">
        <f t="shared" si="27"/>
        <v>9</v>
      </c>
      <c r="AL137" s="1703">
        <f t="shared" si="27"/>
        <v>8</v>
      </c>
      <c r="AM137" s="1703">
        <f t="shared" si="27"/>
        <v>7</v>
      </c>
      <c r="AN137" s="1703">
        <f t="shared" si="27"/>
        <v>6</v>
      </c>
      <c r="AO137" s="1703">
        <f t="shared" si="27"/>
        <v>5</v>
      </c>
      <c r="AP137" s="1703">
        <f t="shared" si="27"/>
        <v>4</v>
      </c>
      <c r="AQ137" s="1703">
        <f t="shared" si="27"/>
        <v>3</v>
      </c>
      <c r="AR137" s="1703">
        <f t="shared" si="27"/>
        <v>2</v>
      </c>
      <c r="AS137" s="1703">
        <f t="shared" si="27"/>
        <v>1</v>
      </c>
      <c r="AT137" s="1703">
        <f t="shared" si="27"/>
        <v>0</v>
      </c>
      <c r="AU137" s="1704"/>
      <c r="AV137" s="1704"/>
      <c r="AW137" s="1704"/>
      <c r="AX137" s="1704"/>
      <c r="AY137" s="1704"/>
      <c r="AZ137" s="1704"/>
      <c r="BA137" s="1704"/>
      <c r="BB137" s="1704"/>
      <c r="BC137" s="1704"/>
      <c r="BD137" s="1704"/>
      <c r="BE137" s="1704"/>
      <c r="BF137" s="1704"/>
      <c r="BG137" s="1704"/>
      <c r="BH137" s="1695"/>
      <c r="BI137" s="1695"/>
      <c r="BJ137" s="1695"/>
      <c r="BK137" s="1704"/>
      <c r="BL137" s="1695"/>
      <c r="BM137" s="1695"/>
      <c r="BN137" s="1695"/>
      <c r="BO137" s="1695"/>
      <c r="BP137" s="1695"/>
      <c r="BQ137" s="1695"/>
      <c r="BR137" s="1695"/>
      <c r="CA137" s="52"/>
      <c r="CB137" s="52"/>
      <c r="CC137" s="52"/>
      <c r="CD137" s="52"/>
      <c r="CE137" s="52"/>
      <c r="CF137" s="52"/>
    </row>
    <row r="138" ht="18.0" customHeight="1">
      <c r="N138" s="23"/>
      <c r="O138" s="23"/>
      <c r="P138" s="23"/>
      <c r="Q138" s="23"/>
      <c r="S138" s="1705" t="s">
        <v>278</v>
      </c>
      <c r="T138" s="1706"/>
      <c r="U138" s="1706"/>
      <c r="V138" s="1707">
        <v>250000.0</v>
      </c>
      <c r="W138" s="1708">
        <v>4000000.0</v>
      </c>
      <c r="X138" s="1642">
        <f t="shared" ref="X138:AT138" si="28">W138*(1+X141)</f>
        <v>4480000</v>
      </c>
      <c r="Y138" s="1642">
        <f t="shared" si="28"/>
        <v>5017600</v>
      </c>
      <c r="Z138" s="1642">
        <f t="shared" si="28"/>
        <v>5619712</v>
      </c>
      <c r="AA138" s="1642">
        <f t="shared" si="28"/>
        <v>6294077.44</v>
      </c>
      <c r="AB138" s="1642">
        <f t="shared" si="28"/>
        <v>7049366.733</v>
      </c>
      <c r="AC138" s="1642">
        <f t="shared" si="28"/>
        <v>7895290.741</v>
      </c>
      <c r="AD138" s="1642">
        <f t="shared" si="28"/>
        <v>8842725.63</v>
      </c>
      <c r="AE138" s="1642">
        <f t="shared" si="28"/>
        <v>9903852.705</v>
      </c>
      <c r="AF138" s="1642">
        <f t="shared" si="28"/>
        <v>11092315.03</v>
      </c>
      <c r="AG138" s="1642">
        <f t="shared" si="28"/>
        <v>12423392.83</v>
      </c>
      <c r="AH138" s="1642">
        <f t="shared" si="28"/>
        <v>13914199.97</v>
      </c>
      <c r="AI138" s="1642">
        <f t="shared" si="28"/>
        <v>15583903.97</v>
      </c>
      <c r="AJ138" s="1642">
        <f t="shared" si="28"/>
        <v>17453972.45</v>
      </c>
      <c r="AK138" s="1642">
        <f t="shared" si="28"/>
        <v>19548449.14</v>
      </c>
      <c r="AL138" s="1642">
        <f t="shared" si="28"/>
        <v>21894263.04</v>
      </c>
      <c r="AM138" s="1642">
        <f t="shared" si="28"/>
        <v>24521574.6</v>
      </c>
      <c r="AN138" s="1642">
        <f t="shared" si="28"/>
        <v>27464163.55</v>
      </c>
      <c r="AO138" s="1642">
        <f t="shared" si="28"/>
        <v>30759863.18</v>
      </c>
      <c r="AP138" s="1642">
        <f t="shared" si="28"/>
        <v>34451046.76</v>
      </c>
      <c r="AQ138" s="1642">
        <f t="shared" si="28"/>
        <v>38585172.37</v>
      </c>
      <c r="AR138" s="1642">
        <f t="shared" si="28"/>
        <v>43215393.06</v>
      </c>
      <c r="AS138" s="1642">
        <f t="shared" si="28"/>
        <v>48401240.22</v>
      </c>
      <c r="AT138" s="1709">
        <f t="shared" si="28"/>
        <v>54209389.05</v>
      </c>
      <c r="AU138" s="1709"/>
      <c r="AV138" s="1709">
        <f>AT138*(1+AV141)</f>
        <v>56919858.5</v>
      </c>
      <c r="AW138" s="1709">
        <f t="shared" ref="AW138:BG138" si="29">AV138*(1+AW141)</f>
        <v>59765851.43</v>
      </c>
      <c r="AX138" s="1709">
        <f t="shared" si="29"/>
        <v>62754144</v>
      </c>
      <c r="AY138" s="1709">
        <f t="shared" si="29"/>
        <v>65891851.2</v>
      </c>
      <c r="AZ138" s="1709">
        <f t="shared" si="29"/>
        <v>69186443.76</v>
      </c>
      <c r="BA138" s="1709">
        <f t="shared" si="29"/>
        <v>72645765.95</v>
      </c>
      <c r="BB138" s="1709">
        <f t="shared" si="29"/>
        <v>74461910.1</v>
      </c>
      <c r="BC138" s="1709">
        <f t="shared" si="29"/>
        <v>76323457.85</v>
      </c>
      <c r="BD138" s="1709">
        <f t="shared" si="29"/>
        <v>78231544.3</v>
      </c>
      <c r="BE138" s="1709">
        <f t="shared" si="29"/>
        <v>80187332.9</v>
      </c>
      <c r="BF138" s="1709">
        <f t="shared" si="29"/>
        <v>82192016.23</v>
      </c>
      <c r="BG138" s="1709">
        <f t="shared" si="29"/>
        <v>84246816.63</v>
      </c>
      <c r="BH138" s="1709"/>
      <c r="BI138" s="1709"/>
      <c r="BJ138" s="1709"/>
      <c r="BK138" s="1709"/>
      <c r="BL138" s="1709"/>
      <c r="BM138" s="1709"/>
      <c r="BN138" s="1709"/>
      <c r="BO138" s="1709"/>
      <c r="BP138" s="1709"/>
      <c r="BQ138" s="1709"/>
      <c r="BR138" s="1709"/>
    </row>
    <row r="139">
      <c r="N139" s="23"/>
      <c r="O139" s="23"/>
      <c r="P139" s="23"/>
      <c r="Q139" s="23"/>
      <c r="S139" s="1705" t="s">
        <v>279</v>
      </c>
      <c r="T139" s="1710"/>
      <c r="U139" s="1710"/>
      <c r="V139" s="1710"/>
      <c r="W139" s="1648">
        <f t="shared" ref="W139:AT139" si="30">W138*W205</f>
        <v>1600000000</v>
      </c>
      <c r="X139" s="1648">
        <f t="shared" si="30"/>
        <v>1845760000</v>
      </c>
      <c r="Y139" s="1648">
        <f t="shared" si="30"/>
        <v>2129268736</v>
      </c>
      <c r="Z139" s="1648">
        <f t="shared" si="30"/>
        <v>2456324414</v>
      </c>
      <c r="AA139" s="1648">
        <f t="shared" si="30"/>
        <v>2833615844</v>
      </c>
      <c r="AB139" s="1648">
        <f t="shared" si="30"/>
        <v>3268859237</v>
      </c>
      <c r="AC139" s="1648">
        <f t="shared" si="30"/>
        <v>3770956016</v>
      </c>
      <c r="AD139" s="1648">
        <f t="shared" si="30"/>
        <v>4350174860</v>
      </c>
      <c r="AE139" s="1648">
        <f t="shared" si="30"/>
        <v>5018361719</v>
      </c>
      <c r="AF139" s="1648">
        <f t="shared" si="30"/>
        <v>5789182079</v>
      </c>
      <c r="AG139" s="1648">
        <f t="shared" si="30"/>
        <v>6678400446</v>
      </c>
      <c r="AH139" s="1648">
        <f t="shared" si="30"/>
        <v>7704202755</v>
      </c>
      <c r="AI139" s="1648">
        <f t="shared" si="30"/>
        <v>8887568298</v>
      </c>
      <c r="AJ139" s="1648">
        <f t="shared" si="30"/>
        <v>10252698789</v>
      </c>
      <c r="AK139" s="1648">
        <f t="shared" si="30"/>
        <v>11827513323</v>
      </c>
      <c r="AL139" s="1648">
        <f t="shared" si="30"/>
        <v>13644219369</v>
      </c>
      <c r="AM139" s="1648">
        <f t="shared" si="30"/>
        <v>15739971464</v>
      </c>
      <c r="AN139" s="1648">
        <f t="shared" si="30"/>
        <v>18157631081</v>
      </c>
      <c r="AO139" s="1648">
        <f t="shared" si="30"/>
        <v>20946643215</v>
      </c>
      <c r="AP139" s="1648">
        <f t="shared" si="30"/>
        <v>24164047613</v>
      </c>
      <c r="AQ139" s="1648">
        <f t="shared" si="30"/>
        <v>27875645326</v>
      </c>
      <c r="AR139" s="1648">
        <f t="shared" si="30"/>
        <v>32157344448</v>
      </c>
      <c r="AS139" s="1648">
        <f t="shared" si="30"/>
        <v>37096712555</v>
      </c>
      <c r="AT139" s="1646">
        <f t="shared" si="30"/>
        <v>42794767604</v>
      </c>
      <c r="AU139" s="1704"/>
      <c r="AV139" s="1711">
        <f t="shared" ref="AV139:BG139" si="31">AV138*AV205</f>
        <v>46282541163</v>
      </c>
      <c r="AW139" s="1711">
        <f t="shared" si="31"/>
        <v>50054568268</v>
      </c>
      <c r="AX139" s="1711">
        <f t="shared" si="31"/>
        <v>54134015582</v>
      </c>
      <c r="AY139" s="1711">
        <f t="shared" si="31"/>
        <v>58545937852</v>
      </c>
      <c r="AZ139" s="1711">
        <f t="shared" si="31"/>
        <v>63317431787</v>
      </c>
      <c r="BA139" s="1711">
        <f t="shared" si="31"/>
        <v>68477802477</v>
      </c>
      <c r="BB139" s="1711">
        <f t="shared" si="31"/>
        <v>72295439966</v>
      </c>
      <c r="BC139" s="1711">
        <f t="shared" si="31"/>
        <v>76325910744</v>
      </c>
      <c r="BD139" s="1711">
        <f t="shared" si="31"/>
        <v>80581080268</v>
      </c>
      <c r="BE139" s="1711">
        <f t="shared" si="31"/>
        <v>85073475493</v>
      </c>
      <c r="BF139" s="1711">
        <f t="shared" si="31"/>
        <v>89816321751</v>
      </c>
      <c r="BG139" s="1711">
        <f t="shared" si="31"/>
        <v>94823581689</v>
      </c>
      <c r="BH139" s="1695"/>
      <c r="BI139" s="1695"/>
      <c r="BJ139" s="1695"/>
      <c r="BK139" s="1704"/>
      <c r="BL139" s="1695"/>
      <c r="BM139" s="1695"/>
      <c r="BN139" s="1695"/>
      <c r="BO139" s="1695"/>
      <c r="BP139" s="1695"/>
      <c r="BQ139" s="1695"/>
      <c r="BR139" s="1695"/>
      <c r="CG139" s="179"/>
      <c r="CH139" s="179"/>
      <c r="CI139" s="179"/>
      <c r="CJ139" s="179"/>
      <c r="CK139" s="179"/>
      <c r="CL139" s="179"/>
      <c r="CM139" s="179"/>
      <c r="CN139" s="179"/>
      <c r="CO139" s="179"/>
      <c r="CP139" s="179"/>
      <c r="CQ139" s="179"/>
      <c r="CR139" s="179"/>
      <c r="CS139" s="179"/>
      <c r="CT139" s="179"/>
      <c r="CU139" s="179"/>
      <c r="CV139" s="179"/>
      <c r="CW139" s="179"/>
      <c r="CX139" s="179"/>
      <c r="CY139" s="179"/>
      <c r="CZ139" s="179"/>
      <c r="DA139" s="179"/>
      <c r="DB139" s="179"/>
      <c r="DC139" s="179"/>
      <c r="DD139" s="179"/>
      <c r="DE139" s="179"/>
      <c r="DF139" s="179"/>
      <c r="DG139" s="179"/>
      <c r="DH139" s="179"/>
      <c r="DI139" s="179"/>
      <c r="DJ139" s="179"/>
      <c r="DK139" s="179"/>
      <c r="DL139" s="179"/>
      <c r="DM139" s="179"/>
      <c r="DN139" s="179"/>
      <c r="DO139" s="179"/>
      <c r="DP139" s="179"/>
      <c r="DQ139" s="179"/>
      <c r="DR139" s="179"/>
      <c r="DS139" s="179"/>
      <c r="DT139" s="179"/>
      <c r="DU139" s="179"/>
      <c r="DV139" s="179"/>
      <c r="DW139" s="179"/>
      <c r="DX139" s="179"/>
      <c r="DY139" s="179"/>
      <c r="DZ139" s="179"/>
      <c r="EA139" s="179"/>
      <c r="EB139" s="179"/>
      <c r="EC139" s="179"/>
      <c r="ED139" s="179"/>
      <c r="EE139" s="179"/>
      <c r="EF139" s="179"/>
      <c r="EG139" s="179"/>
      <c r="EH139" s="179"/>
      <c r="EI139" s="179"/>
      <c r="EJ139" s="179"/>
    </row>
    <row r="140">
      <c r="N140" s="23"/>
      <c r="O140" s="23"/>
      <c r="P140" s="23"/>
      <c r="Q140" s="23"/>
      <c r="S140" s="1705"/>
      <c r="T140" s="1710"/>
      <c r="U140" s="1712"/>
      <c r="V140" s="1712"/>
      <c r="W140" s="1713"/>
      <c r="X140" s="1713"/>
      <c r="Y140" s="1713"/>
      <c r="Z140" s="1713"/>
      <c r="AA140" s="1713"/>
      <c r="AB140" s="1713"/>
      <c r="AC140" s="1713"/>
      <c r="AD140" s="1713"/>
      <c r="AE140" s="1713"/>
      <c r="AF140" s="1713"/>
      <c r="AG140" s="1713"/>
      <c r="AH140" s="1713"/>
      <c r="AI140" s="1713"/>
      <c r="AJ140" s="1713"/>
      <c r="AK140" s="1713"/>
      <c r="AL140" s="1713"/>
      <c r="AM140" s="1713"/>
      <c r="AN140" s="1713"/>
      <c r="AO140" s="1713"/>
      <c r="AP140" s="1713"/>
      <c r="AQ140" s="1713"/>
      <c r="AR140" s="1713"/>
      <c r="AS140" s="1713"/>
      <c r="AT140" s="1714"/>
      <c r="AU140" s="1714"/>
      <c r="AV140" s="1714"/>
      <c r="AW140" s="1714"/>
      <c r="AX140" s="1714"/>
      <c r="AY140" s="1714"/>
      <c r="AZ140" s="1714"/>
      <c r="BA140" s="1714"/>
      <c r="BB140" s="1714"/>
      <c r="BC140" s="1714"/>
      <c r="BD140" s="1714"/>
      <c r="BE140" s="1714"/>
      <c r="BF140" s="1714"/>
      <c r="BG140" s="1714"/>
      <c r="BH140" s="1695"/>
      <c r="BI140" s="1695"/>
      <c r="BJ140" s="1695"/>
      <c r="BK140" s="1704"/>
      <c r="BL140" s="1695"/>
      <c r="BM140" s="1695"/>
      <c r="BN140" s="1695"/>
      <c r="BO140" s="1695"/>
      <c r="BP140" s="1695"/>
      <c r="BQ140" s="1695"/>
      <c r="BR140" s="1695"/>
    </row>
    <row r="141">
      <c r="N141" s="23"/>
      <c r="O141" s="23"/>
      <c r="P141" s="23"/>
      <c r="Q141" s="23"/>
      <c r="S141" s="1705" t="s">
        <v>280</v>
      </c>
      <c r="T141" s="1710"/>
      <c r="U141" s="1712"/>
      <c r="V141" s="1712"/>
      <c r="W141" s="1713"/>
      <c r="X141" s="1713">
        <f>C96</f>
        <v>0.12</v>
      </c>
      <c r="Y141" s="1713">
        <f t="shared" ref="Y141:AT141" si="32">X141</f>
        <v>0.12</v>
      </c>
      <c r="Z141" s="1713">
        <f t="shared" si="32"/>
        <v>0.12</v>
      </c>
      <c r="AA141" s="1713">
        <f t="shared" si="32"/>
        <v>0.12</v>
      </c>
      <c r="AB141" s="1713">
        <f t="shared" si="32"/>
        <v>0.12</v>
      </c>
      <c r="AC141" s="1713">
        <f t="shared" si="32"/>
        <v>0.12</v>
      </c>
      <c r="AD141" s="1713">
        <f t="shared" si="32"/>
        <v>0.12</v>
      </c>
      <c r="AE141" s="1713">
        <f t="shared" si="32"/>
        <v>0.12</v>
      </c>
      <c r="AF141" s="1713">
        <f t="shared" si="32"/>
        <v>0.12</v>
      </c>
      <c r="AG141" s="1713">
        <f t="shared" si="32"/>
        <v>0.12</v>
      </c>
      <c r="AH141" s="1713">
        <f t="shared" si="32"/>
        <v>0.12</v>
      </c>
      <c r="AI141" s="1713">
        <f t="shared" si="32"/>
        <v>0.12</v>
      </c>
      <c r="AJ141" s="1713">
        <f t="shared" si="32"/>
        <v>0.12</v>
      </c>
      <c r="AK141" s="1713">
        <f t="shared" si="32"/>
        <v>0.12</v>
      </c>
      <c r="AL141" s="1713">
        <f t="shared" si="32"/>
        <v>0.12</v>
      </c>
      <c r="AM141" s="1713">
        <f t="shared" si="32"/>
        <v>0.12</v>
      </c>
      <c r="AN141" s="1713">
        <f t="shared" si="32"/>
        <v>0.12</v>
      </c>
      <c r="AO141" s="1713">
        <f t="shared" si="32"/>
        <v>0.12</v>
      </c>
      <c r="AP141" s="1713">
        <f t="shared" si="32"/>
        <v>0.12</v>
      </c>
      <c r="AQ141" s="1713">
        <f t="shared" si="32"/>
        <v>0.12</v>
      </c>
      <c r="AR141" s="1713">
        <f t="shared" si="32"/>
        <v>0.12</v>
      </c>
      <c r="AS141" s="1713">
        <f t="shared" si="32"/>
        <v>0.12</v>
      </c>
      <c r="AT141" s="1714">
        <f t="shared" si="32"/>
        <v>0.12</v>
      </c>
      <c r="AU141" s="1714"/>
      <c r="AV141" s="1714">
        <v>0.05</v>
      </c>
      <c r="AW141" s="1714">
        <v>0.05</v>
      </c>
      <c r="AX141" s="1714">
        <f t="shared" ref="AX141:BA141" si="33">AW141</f>
        <v>0.05</v>
      </c>
      <c r="AY141" s="1714">
        <f t="shared" si="33"/>
        <v>0.05</v>
      </c>
      <c r="AZ141" s="1714">
        <f t="shared" si="33"/>
        <v>0.05</v>
      </c>
      <c r="BA141" s="1714">
        <f t="shared" si="33"/>
        <v>0.05</v>
      </c>
      <c r="BB141" s="1714">
        <v>0.025</v>
      </c>
      <c r="BC141" s="1714">
        <f t="shared" ref="BC141:BG141" si="34">BB141</f>
        <v>0.025</v>
      </c>
      <c r="BD141" s="1714">
        <f t="shared" si="34"/>
        <v>0.025</v>
      </c>
      <c r="BE141" s="1714">
        <f t="shared" si="34"/>
        <v>0.025</v>
      </c>
      <c r="BF141" s="1714">
        <f t="shared" si="34"/>
        <v>0.025</v>
      </c>
      <c r="BG141" s="1714">
        <f t="shared" si="34"/>
        <v>0.025</v>
      </c>
      <c r="BH141" s="1695"/>
      <c r="BI141" s="1695"/>
      <c r="BJ141" s="1695"/>
      <c r="BK141" s="1704"/>
      <c r="BL141" s="1695"/>
      <c r="BM141" s="1695"/>
      <c r="BN141" s="1695"/>
      <c r="BO141" s="1695"/>
      <c r="BP141" s="1695"/>
      <c r="BQ141" s="1695"/>
      <c r="BR141" s="1695"/>
    </row>
    <row r="142">
      <c r="N142" s="23"/>
      <c r="O142" s="23"/>
      <c r="P142" s="23"/>
      <c r="Q142" s="23"/>
      <c r="S142" s="1705"/>
      <c r="T142" s="1710"/>
      <c r="U142" s="1710"/>
      <c r="V142" s="1715"/>
      <c r="AT142" s="1695"/>
      <c r="AU142" s="1704"/>
      <c r="AV142" s="1704"/>
      <c r="AW142" s="1704"/>
      <c r="AX142" s="1704"/>
      <c r="AY142" s="1704"/>
      <c r="AZ142" s="1704"/>
      <c r="BA142" s="1704"/>
      <c r="BB142" s="1704"/>
      <c r="BC142" s="1704"/>
      <c r="BD142" s="1704"/>
      <c r="BE142" s="1704"/>
      <c r="BF142" s="1704"/>
      <c r="BG142" s="1704"/>
      <c r="BH142" s="1695"/>
      <c r="BI142" s="1695"/>
      <c r="BJ142" s="1695"/>
      <c r="BK142" s="1704"/>
      <c r="BL142" s="1695"/>
      <c r="BM142" s="1695"/>
      <c r="BN142" s="1695"/>
      <c r="BO142" s="1695"/>
      <c r="BP142" s="1695"/>
      <c r="BQ142" s="1695"/>
      <c r="BR142" s="1695"/>
    </row>
    <row r="143">
      <c r="N143" s="23"/>
      <c r="O143" s="23"/>
      <c r="P143" s="23"/>
      <c r="Q143" s="23"/>
      <c r="S143" s="1705" t="s">
        <v>281</v>
      </c>
      <c r="T143" s="1716"/>
      <c r="U143" s="1716"/>
      <c r="V143" s="1717">
        <f t="shared" ref="V143:AT143" si="35">V138/32</f>
        <v>7812.5</v>
      </c>
      <c r="W143" s="1718">
        <f t="shared" si="35"/>
        <v>125000</v>
      </c>
      <c r="X143" s="1653">
        <f t="shared" si="35"/>
        <v>140000</v>
      </c>
      <c r="Y143" s="1653">
        <f t="shared" si="35"/>
        <v>156800</v>
      </c>
      <c r="Z143" s="1653">
        <f t="shared" si="35"/>
        <v>175616</v>
      </c>
      <c r="AA143" s="1653">
        <f t="shared" si="35"/>
        <v>196689.92</v>
      </c>
      <c r="AB143" s="1653">
        <f t="shared" si="35"/>
        <v>220292.7104</v>
      </c>
      <c r="AC143" s="1653">
        <f t="shared" si="35"/>
        <v>246727.8356</v>
      </c>
      <c r="AD143" s="1653">
        <f t="shared" si="35"/>
        <v>276335.1759</v>
      </c>
      <c r="AE143" s="1653">
        <f t="shared" si="35"/>
        <v>309495.397</v>
      </c>
      <c r="AF143" s="1653">
        <f t="shared" si="35"/>
        <v>346634.8447</v>
      </c>
      <c r="AG143" s="1653">
        <f t="shared" si="35"/>
        <v>388231.026</v>
      </c>
      <c r="AH143" s="1653">
        <f t="shared" si="35"/>
        <v>434818.7492</v>
      </c>
      <c r="AI143" s="1653">
        <f t="shared" si="35"/>
        <v>486996.9991</v>
      </c>
      <c r="AJ143" s="1653">
        <f t="shared" si="35"/>
        <v>545436.639</v>
      </c>
      <c r="AK143" s="1653">
        <f t="shared" si="35"/>
        <v>610889.0356</v>
      </c>
      <c r="AL143" s="1653">
        <f t="shared" si="35"/>
        <v>684195.7199</v>
      </c>
      <c r="AM143" s="1653">
        <f t="shared" si="35"/>
        <v>766299.2063</v>
      </c>
      <c r="AN143" s="1653">
        <f t="shared" si="35"/>
        <v>858255.1111</v>
      </c>
      <c r="AO143" s="1653">
        <f t="shared" si="35"/>
        <v>961245.7244</v>
      </c>
      <c r="AP143" s="1653">
        <f t="shared" si="35"/>
        <v>1076595.211</v>
      </c>
      <c r="AQ143" s="1653">
        <f t="shared" si="35"/>
        <v>1205786.637</v>
      </c>
      <c r="AR143" s="1653">
        <f t="shared" si="35"/>
        <v>1350481.033</v>
      </c>
      <c r="AS143" s="1653">
        <f t="shared" si="35"/>
        <v>1512538.757</v>
      </c>
      <c r="AT143" s="1719">
        <f t="shared" si="35"/>
        <v>1694043.408</v>
      </c>
      <c r="AU143" s="1720"/>
      <c r="AV143" s="1720">
        <f t="shared" ref="AV143:BG143" si="36">AV138/32</f>
        <v>1778745.578</v>
      </c>
      <c r="AW143" s="1720">
        <f t="shared" si="36"/>
        <v>1867682.857</v>
      </c>
      <c r="AX143" s="1720">
        <f t="shared" si="36"/>
        <v>1961067</v>
      </c>
      <c r="AY143" s="1720">
        <f t="shared" si="36"/>
        <v>2059120.35</v>
      </c>
      <c r="AZ143" s="1720">
        <f t="shared" si="36"/>
        <v>2162076.368</v>
      </c>
      <c r="BA143" s="1720">
        <f t="shared" si="36"/>
        <v>2270180.186</v>
      </c>
      <c r="BB143" s="1720">
        <f t="shared" si="36"/>
        <v>2326934.691</v>
      </c>
      <c r="BC143" s="1720">
        <f t="shared" si="36"/>
        <v>2385108.058</v>
      </c>
      <c r="BD143" s="1720">
        <f t="shared" si="36"/>
        <v>2444735.759</v>
      </c>
      <c r="BE143" s="1720">
        <f t="shared" si="36"/>
        <v>2505854.153</v>
      </c>
      <c r="BF143" s="1720">
        <f t="shared" si="36"/>
        <v>2568500.507</v>
      </c>
      <c r="BG143" s="1720">
        <f t="shared" si="36"/>
        <v>2632713.02</v>
      </c>
      <c r="BH143" s="1695"/>
      <c r="BI143" s="1695"/>
      <c r="BJ143" s="1695"/>
      <c r="BK143" s="1704"/>
      <c r="BL143" s="1695"/>
      <c r="BM143" s="1695"/>
      <c r="BN143" s="1695"/>
      <c r="BO143" s="1695"/>
      <c r="BP143" s="1695"/>
      <c r="BQ143" s="1695"/>
      <c r="BR143" s="1695"/>
    </row>
    <row r="144">
      <c r="N144" s="23"/>
      <c r="O144" s="23"/>
      <c r="P144" s="23"/>
      <c r="Q144" s="23"/>
      <c r="S144" s="1701"/>
      <c r="T144" s="1710"/>
      <c r="U144" s="1710"/>
      <c r="V144" s="1710"/>
      <c r="AT144" s="1695"/>
      <c r="AU144" s="1704"/>
      <c r="AV144" s="1704"/>
      <c r="AW144" s="1704"/>
      <c r="AX144" s="1704"/>
      <c r="AY144" s="1704"/>
      <c r="AZ144" s="1704"/>
      <c r="BA144" s="1704"/>
      <c r="BB144" s="1704"/>
      <c r="BC144" s="1704"/>
      <c r="BD144" s="1704"/>
      <c r="BE144" s="1704"/>
      <c r="BF144" s="1704"/>
      <c r="BG144" s="1704"/>
      <c r="BH144" s="1695"/>
      <c r="BI144" s="1695"/>
      <c r="BJ144" s="1695"/>
      <c r="BK144" s="1704"/>
      <c r="BL144" s="1695"/>
      <c r="BM144" s="1695"/>
      <c r="BN144" s="1695"/>
      <c r="BO144" s="1695"/>
      <c r="BP144" s="1695"/>
      <c r="BQ144" s="1695"/>
      <c r="BR144" s="1695"/>
      <c r="CF144" s="23"/>
    </row>
    <row r="145">
      <c r="N145" s="23"/>
      <c r="O145" s="23"/>
      <c r="P145" s="23"/>
      <c r="Q145" s="23"/>
      <c r="S145" s="1705" t="s">
        <v>73</v>
      </c>
      <c r="T145" s="1712">
        <v>0.95</v>
      </c>
      <c r="U145" s="1712">
        <v>0.95</v>
      </c>
      <c r="V145" s="1712">
        <v>0.95</v>
      </c>
      <c r="W145" s="1713">
        <f>C93</f>
        <v>0.95</v>
      </c>
      <c r="X145" s="1713">
        <f t="shared" ref="X145:AT145" si="37">W145</f>
        <v>0.95</v>
      </c>
      <c r="Y145" s="1713">
        <f t="shared" si="37"/>
        <v>0.95</v>
      </c>
      <c r="Z145" s="1713">
        <f t="shared" si="37"/>
        <v>0.95</v>
      </c>
      <c r="AA145" s="1713">
        <f t="shared" si="37"/>
        <v>0.95</v>
      </c>
      <c r="AB145" s="1713">
        <f t="shared" si="37"/>
        <v>0.95</v>
      </c>
      <c r="AC145" s="1713">
        <f t="shared" si="37"/>
        <v>0.95</v>
      </c>
      <c r="AD145" s="1713">
        <f t="shared" si="37"/>
        <v>0.95</v>
      </c>
      <c r="AE145" s="1713">
        <f t="shared" si="37"/>
        <v>0.95</v>
      </c>
      <c r="AF145" s="1713">
        <f t="shared" si="37"/>
        <v>0.95</v>
      </c>
      <c r="AG145" s="1713">
        <f t="shared" si="37"/>
        <v>0.95</v>
      </c>
      <c r="AH145" s="1713">
        <f t="shared" si="37"/>
        <v>0.95</v>
      </c>
      <c r="AI145" s="1713">
        <f t="shared" si="37"/>
        <v>0.95</v>
      </c>
      <c r="AJ145" s="1713">
        <f t="shared" si="37"/>
        <v>0.95</v>
      </c>
      <c r="AK145" s="1713">
        <f t="shared" si="37"/>
        <v>0.95</v>
      </c>
      <c r="AL145" s="1713">
        <f t="shared" si="37"/>
        <v>0.95</v>
      </c>
      <c r="AM145" s="1713">
        <f t="shared" si="37"/>
        <v>0.95</v>
      </c>
      <c r="AN145" s="1713">
        <f t="shared" si="37"/>
        <v>0.95</v>
      </c>
      <c r="AO145" s="1713">
        <f t="shared" si="37"/>
        <v>0.95</v>
      </c>
      <c r="AP145" s="1713">
        <f t="shared" si="37"/>
        <v>0.95</v>
      </c>
      <c r="AQ145" s="1713">
        <f t="shared" si="37"/>
        <v>0.95</v>
      </c>
      <c r="AR145" s="1713">
        <f t="shared" si="37"/>
        <v>0.95</v>
      </c>
      <c r="AS145" s="1713">
        <f t="shared" si="37"/>
        <v>0.95</v>
      </c>
      <c r="AT145" s="1714">
        <f t="shared" si="37"/>
        <v>0.95</v>
      </c>
      <c r="AU145" s="1714"/>
      <c r="AV145" s="1714">
        <f>AT145</f>
        <v>0.95</v>
      </c>
      <c r="AW145" s="1714">
        <f t="shared" ref="AW145:BG145" si="38">AV145</f>
        <v>0.95</v>
      </c>
      <c r="AX145" s="1714">
        <f t="shared" si="38"/>
        <v>0.95</v>
      </c>
      <c r="AY145" s="1714">
        <f t="shared" si="38"/>
        <v>0.95</v>
      </c>
      <c r="AZ145" s="1714">
        <f t="shared" si="38"/>
        <v>0.95</v>
      </c>
      <c r="BA145" s="1714">
        <f t="shared" si="38"/>
        <v>0.95</v>
      </c>
      <c r="BB145" s="1714">
        <f t="shared" si="38"/>
        <v>0.95</v>
      </c>
      <c r="BC145" s="1714">
        <f t="shared" si="38"/>
        <v>0.95</v>
      </c>
      <c r="BD145" s="1714">
        <f t="shared" si="38"/>
        <v>0.95</v>
      </c>
      <c r="BE145" s="1714">
        <f t="shared" si="38"/>
        <v>0.95</v>
      </c>
      <c r="BF145" s="1714">
        <f t="shared" si="38"/>
        <v>0.95</v>
      </c>
      <c r="BG145" s="1714">
        <f t="shared" si="38"/>
        <v>0.95</v>
      </c>
      <c r="BH145" s="1695"/>
      <c r="BI145" s="1695"/>
      <c r="BJ145" s="1695"/>
      <c r="BK145" s="1704"/>
      <c r="BL145" s="1695"/>
      <c r="BM145" s="1695"/>
      <c r="BN145" s="1695"/>
      <c r="BO145" s="1695"/>
      <c r="BP145" s="1695"/>
      <c r="BQ145" s="1695"/>
      <c r="BR145" s="1695"/>
      <c r="CF145" s="87"/>
    </row>
    <row r="146">
      <c r="N146" s="23"/>
      <c r="O146" s="23"/>
      <c r="P146" s="23"/>
      <c r="Q146" s="23"/>
      <c r="S146" s="1701"/>
      <c r="AT146" s="1695"/>
      <c r="AU146" s="1704"/>
      <c r="AV146" s="1704"/>
      <c r="AW146" s="1704"/>
      <c r="AX146" s="1704"/>
      <c r="AY146" s="1704"/>
      <c r="AZ146" s="1704"/>
      <c r="BA146" s="1704"/>
      <c r="BB146" s="1704"/>
      <c r="BC146" s="1704"/>
      <c r="BD146" s="1704"/>
      <c r="BE146" s="1704"/>
      <c r="BF146" s="1704"/>
      <c r="BG146" s="1704"/>
      <c r="BH146" s="1695"/>
      <c r="BI146" s="1695"/>
      <c r="BJ146" s="1695"/>
      <c r="BK146" s="1704"/>
      <c r="BL146" s="1695"/>
      <c r="BM146" s="1695"/>
      <c r="BN146" s="1695"/>
      <c r="BO146" s="1695"/>
      <c r="BP146" s="1695"/>
      <c r="BQ146" s="1695"/>
      <c r="BR146" s="1695"/>
      <c r="CF146" s="87"/>
    </row>
    <row r="147">
      <c r="N147" s="23"/>
      <c r="O147" s="23"/>
      <c r="P147" s="23"/>
      <c r="Q147" s="23"/>
      <c r="S147" s="1705" t="s">
        <v>282</v>
      </c>
      <c r="T147" s="1721">
        <f t="shared" ref="T147:AT147" si="39">T145*T143</f>
        <v>0</v>
      </c>
      <c r="U147" s="1721">
        <f t="shared" si="39"/>
        <v>0</v>
      </c>
      <c r="V147" s="1721">
        <f t="shared" si="39"/>
        <v>7421.875</v>
      </c>
      <c r="W147" s="1721">
        <f t="shared" si="39"/>
        <v>118750</v>
      </c>
      <c r="X147" s="1642">
        <f t="shared" si="39"/>
        <v>133000</v>
      </c>
      <c r="Y147" s="1642">
        <f t="shared" si="39"/>
        <v>148960</v>
      </c>
      <c r="Z147" s="1642">
        <f t="shared" si="39"/>
        <v>166835.2</v>
      </c>
      <c r="AA147" s="1642">
        <f t="shared" si="39"/>
        <v>186855.424</v>
      </c>
      <c r="AB147" s="1642">
        <f t="shared" si="39"/>
        <v>209278.0749</v>
      </c>
      <c r="AC147" s="1642">
        <f t="shared" si="39"/>
        <v>234391.4439</v>
      </c>
      <c r="AD147" s="1642">
        <f t="shared" si="39"/>
        <v>262518.4171</v>
      </c>
      <c r="AE147" s="1642">
        <f t="shared" si="39"/>
        <v>294020.6272</v>
      </c>
      <c r="AF147" s="1642">
        <f t="shared" si="39"/>
        <v>329303.1024</v>
      </c>
      <c r="AG147" s="1642">
        <f t="shared" si="39"/>
        <v>368819.4747</v>
      </c>
      <c r="AH147" s="1642">
        <f t="shared" si="39"/>
        <v>413077.8117</v>
      </c>
      <c r="AI147" s="1642">
        <f t="shared" si="39"/>
        <v>462647.1491</v>
      </c>
      <c r="AJ147" s="1642">
        <f t="shared" si="39"/>
        <v>518164.807</v>
      </c>
      <c r="AK147" s="1642">
        <f t="shared" si="39"/>
        <v>580344.5838</v>
      </c>
      <c r="AL147" s="1642">
        <f t="shared" si="39"/>
        <v>649985.9339</v>
      </c>
      <c r="AM147" s="1642">
        <f t="shared" si="39"/>
        <v>727984.246</v>
      </c>
      <c r="AN147" s="1642">
        <f t="shared" si="39"/>
        <v>815342.3555</v>
      </c>
      <c r="AO147" s="1642">
        <f t="shared" si="39"/>
        <v>913183.4382</v>
      </c>
      <c r="AP147" s="1642">
        <f t="shared" si="39"/>
        <v>1022765.451</v>
      </c>
      <c r="AQ147" s="1642">
        <f t="shared" si="39"/>
        <v>1145497.305</v>
      </c>
      <c r="AR147" s="1642">
        <f t="shared" si="39"/>
        <v>1282956.981</v>
      </c>
      <c r="AS147" s="1642">
        <f t="shared" si="39"/>
        <v>1436911.819</v>
      </c>
      <c r="AT147" s="1709">
        <f t="shared" si="39"/>
        <v>1609341.237</v>
      </c>
      <c r="AU147" s="1709"/>
      <c r="AV147" s="1709">
        <f t="shared" ref="AV147:BG147" si="40">AV145*AV143</f>
        <v>1689808.299</v>
      </c>
      <c r="AW147" s="1709">
        <f t="shared" si="40"/>
        <v>1774298.714</v>
      </c>
      <c r="AX147" s="1709">
        <f t="shared" si="40"/>
        <v>1863013.65</v>
      </c>
      <c r="AY147" s="1709">
        <f t="shared" si="40"/>
        <v>1956164.333</v>
      </c>
      <c r="AZ147" s="1709">
        <f t="shared" si="40"/>
        <v>2053972.549</v>
      </c>
      <c r="BA147" s="1709">
        <f t="shared" si="40"/>
        <v>2156671.177</v>
      </c>
      <c r="BB147" s="1709">
        <f t="shared" si="40"/>
        <v>2210587.956</v>
      </c>
      <c r="BC147" s="1709">
        <f t="shared" si="40"/>
        <v>2265852.655</v>
      </c>
      <c r="BD147" s="1709">
        <f t="shared" si="40"/>
        <v>2322498.971</v>
      </c>
      <c r="BE147" s="1709">
        <f t="shared" si="40"/>
        <v>2380561.446</v>
      </c>
      <c r="BF147" s="1709">
        <f t="shared" si="40"/>
        <v>2440075.482</v>
      </c>
      <c r="BG147" s="1709">
        <f t="shared" si="40"/>
        <v>2501077.369</v>
      </c>
      <c r="BH147" s="1695"/>
      <c r="BI147" s="1695"/>
      <c r="BJ147" s="1695"/>
      <c r="BK147" s="1704"/>
      <c r="BL147" s="1695"/>
      <c r="BM147" s="1695"/>
      <c r="BN147" s="1695"/>
      <c r="BO147" s="1695"/>
      <c r="BP147" s="1695"/>
      <c r="BQ147" s="1695"/>
      <c r="BR147" s="1695"/>
      <c r="CF147" s="87"/>
    </row>
    <row r="148">
      <c r="N148" s="23"/>
      <c r="O148" s="23"/>
      <c r="P148" s="23"/>
      <c r="Q148" s="23"/>
      <c r="S148" s="1705" t="s">
        <v>283</v>
      </c>
      <c r="T148" s="1721">
        <f t="shared" ref="T148:AT148" si="41">T143*(1-T145)</f>
        <v>0</v>
      </c>
      <c r="U148" s="1721">
        <f t="shared" si="41"/>
        <v>0</v>
      </c>
      <c r="V148" s="1721">
        <f t="shared" si="41"/>
        <v>390.625</v>
      </c>
      <c r="W148" s="1721">
        <f t="shared" si="41"/>
        <v>6250</v>
      </c>
      <c r="X148" s="1642">
        <f t="shared" si="41"/>
        <v>7000</v>
      </c>
      <c r="Y148" s="1642">
        <f t="shared" si="41"/>
        <v>7840</v>
      </c>
      <c r="Z148" s="1642">
        <f t="shared" si="41"/>
        <v>8780.8</v>
      </c>
      <c r="AA148" s="1642">
        <f t="shared" si="41"/>
        <v>9834.496</v>
      </c>
      <c r="AB148" s="1642">
        <f t="shared" si="41"/>
        <v>11014.63552</v>
      </c>
      <c r="AC148" s="1642">
        <f t="shared" si="41"/>
        <v>12336.39178</v>
      </c>
      <c r="AD148" s="1642">
        <f t="shared" si="41"/>
        <v>13816.7588</v>
      </c>
      <c r="AE148" s="1642">
        <f t="shared" si="41"/>
        <v>15474.76985</v>
      </c>
      <c r="AF148" s="1642">
        <f t="shared" si="41"/>
        <v>17331.74223</v>
      </c>
      <c r="AG148" s="1642">
        <f t="shared" si="41"/>
        <v>19411.5513</v>
      </c>
      <c r="AH148" s="1642">
        <f t="shared" si="41"/>
        <v>21740.93746</v>
      </c>
      <c r="AI148" s="1642">
        <f t="shared" si="41"/>
        <v>24349.84995</v>
      </c>
      <c r="AJ148" s="1642">
        <f t="shared" si="41"/>
        <v>27271.83195</v>
      </c>
      <c r="AK148" s="1642">
        <f t="shared" si="41"/>
        <v>30544.45178</v>
      </c>
      <c r="AL148" s="1642">
        <f t="shared" si="41"/>
        <v>34209.786</v>
      </c>
      <c r="AM148" s="1642">
        <f t="shared" si="41"/>
        <v>38314.96031</v>
      </c>
      <c r="AN148" s="1642">
        <f t="shared" si="41"/>
        <v>42912.75555</v>
      </c>
      <c r="AO148" s="1642">
        <f t="shared" si="41"/>
        <v>48062.28622</v>
      </c>
      <c r="AP148" s="1642">
        <f t="shared" si="41"/>
        <v>53829.76057</v>
      </c>
      <c r="AQ148" s="1642">
        <f t="shared" si="41"/>
        <v>60289.33183</v>
      </c>
      <c r="AR148" s="1642">
        <f t="shared" si="41"/>
        <v>67524.05165</v>
      </c>
      <c r="AS148" s="1642">
        <f t="shared" si="41"/>
        <v>75626.93785</v>
      </c>
      <c r="AT148" s="1709">
        <f t="shared" si="41"/>
        <v>84702.17039</v>
      </c>
      <c r="AU148" s="1709"/>
      <c r="AV148" s="1709">
        <f t="shared" ref="AV148:BG148" si="42">AV143*(1-AV145)</f>
        <v>88937.27891</v>
      </c>
      <c r="AW148" s="1709">
        <f t="shared" si="42"/>
        <v>93384.14286</v>
      </c>
      <c r="AX148" s="1709">
        <f t="shared" si="42"/>
        <v>98053.35</v>
      </c>
      <c r="AY148" s="1709">
        <f t="shared" si="42"/>
        <v>102956.0175</v>
      </c>
      <c r="AZ148" s="1709">
        <f t="shared" si="42"/>
        <v>108103.8184</v>
      </c>
      <c r="BA148" s="1709">
        <f t="shared" si="42"/>
        <v>113509.0093</v>
      </c>
      <c r="BB148" s="1709">
        <f t="shared" si="42"/>
        <v>116346.7345</v>
      </c>
      <c r="BC148" s="1709">
        <f t="shared" si="42"/>
        <v>119255.4029</v>
      </c>
      <c r="BD148" s="1709">
        <f t="shared" si="42"/>
        <v>122236.788</v>
      </c>
      <c r="BE148" s="1709">
        <f t="shared" si="42"/>
        <v>125292.7077</v>
      </c>
      <c r="BF148" s="1709">
        <f t="shared" si="42"/>
        <v>128425.0254</v>
      </c>
      <c r="BG148" s="1709">
        <f t="shared" si="42"/>
        <v>131635.651</v>
      </c>
      <c r="BH148" s="1695"/>
      <c r="BI148" s="1695"/>
      <c r="BJ148" s="1695"/>
      <c r="BK148" s="1704"/>
      <c r="BL148" s="1695"/>
      <c r="BM148" s="1695"/>
      <c r="BN148" s="1695"/>
      <c r="BO148" s="1695"/>
      <c r="BP148" s="1695"/>
      <c r="BQ148" s="1695"/>
      <c r="BR148" s="1695"/>
      <c r="CF148" s="115"/>
    </row>
    <row r="149">
      <c r="F149" s="191"/>
      <c r="N149" s="23"/>
      <c r="O149" s="23"/>
      <c r="P149" s="23"/>
      <c r="Q149" s="23"/>
      <c r="S149" s="1701"/>
      <c r="AT149" s="1695"/>
      <c r="AU149" s="1704"/>
      <c r="AV149" s="1704"/>
      <c r="AW149" s="1704"/>
      <c r="AX149" s="1704"/>
      <c r="AY149" s="1704"/>
      <c r="AZ149" s="1704"/>
      <c r="BA149" s="1704"/>
      <c r="BB149" s="1704"/>
      <c r="BC149" s="1704"/>
      <c r="BD149" s="1704"/>
      <c r="BE149" s="1704"/>
      <c r="BF149" s="1704"/>
      <c r="BG149" s="1704"/>
      <c r="BH149" s="1695"/>
      <c r="BI149" s="1695"/>
      <c r="BJ149" s="1695"/>
      <c r="BK149" s="1704"/>
      <c r="BL149" s="1695"/>
      <c r="BM149" s="1695"/>
      <c r="BN149" s="1695"/>
      <c r="BO149" s="1695"/>
      <c r="BP149" s="1695"/>
      <c r="BQ149" s="1695"/>
      <c r="BR149" s="1695"/>
      <c r="CF149" s="14"/>
    </row>
    <row r="150">
      <c r="N150" s="23"/>
      <c r="O150" s="23"/>
      <c r="P150" s="23"/>
      <c r="Q150" s="23"/>
      <c r="S150" s="1705"/>
      <c r="AT150" s="1695"/>
      <c r="AU150" s="1704"/>
      <c r="AV150" s="1704"/>
      <c r="AW150" s="1704"/>
      <c r="AX150" s="1704"/>
      <c r="AY150" s="1704"/>
      <c r="AZ150" s="1704"/>
      <c r="BA150" s="1704"/>
      <c r="BB150" s="1704"/>
      <c r="BC150" s="1704"/>
      <c r="BD150" s="1704"/>
      <c r="BE150" s="1704"/>
      <c r="BF150" s="1704"/>
      <c r="BG150" s="1704"/>
      <c r="BH150" s="1695"/>
      <c r="BI150" s="1695"/>
      <c r="BJ150" s="1695"/>
      <c r="BK150" s="1704"/>
      <c r="BL150" s="1695"/>
      <c r="BM150" s="1695"/>
      <c r="BN150" s="1695"/>
      <c r="BO150" s="1695"/>
      <c r="BP150" s="1695"/>
      <c r="BQ150" s="1695"/>
      <c r="BR150" s="1695"/>
      <c r="CF150" s="123"/>
    </row>
    <row r="151">
      <c r="S151" s="1701"/>
      <c r="AT151" s="1695"/>
      <c r="AU151" s="1704"/>
      <c r="AV151" s="1704"/>
      <c r="AW151" s="1704"/>
      <c r="AX151" s="1704"/>
      <c r="AY151" s="1704"/>
      <c r="AZ151" s="1704"/>
      <c r="BA151" s="1704"/>
      <c r="BB151" s="1704"/>
      <c r="BC151" s="1704"/>
      <c r="BD151" s="1704"/>
      <c r="BE151" s="1704"/>
      <c r="BF151" s="1704"/>
      <c r="BG151" s="1704"/>
      <c r="BH151" s="1695"/>
      <c r="BI151" s="1695"/>
      <c r="BJ151" s="1695"/>
      <c r="BK151" s="1704"/>
      <c r="BL151" s="1695"/>
      <c r="BM151" s="1695"/>
      <c r="BN151" s="1695"/>
      <c r="BO151" s="1695"/>
      <c r="BP151" s="1695"/>
      <c r="BQ151" s="1695"/>
      <c r="BR151" s="1695"/>
      <c r="CF151" s="14"/>
    </row>
    <row r="152">
      <c r="S152" s="1722" t="s">
        <v>284</v>
      </c>
      <c r="T152" s="1723" t="str">
        <f t="shared" ref="T152:V152" si="43">T161</f>
        <v/>
      </c>
      <c r="U152" s="1723" t="str">
        <f t="shared" si="43"/>
        <v/>
      </c>
      <c r="V152" s="1723">
        <f t="shared" si="43"/>
        <v>6848.2875</v>
      </c>
      <c r="W152" s="1723">
        <f t="shared" ref="W152:AT152" si="44">W162</f>
        <v>6848.2875</v>
      </c>
      <c r="X152" s="1723">
        <f t="shared" si="44"/>
        <v>13696.575</v>
      </c>
      <c r="Y152" s="1723">
        <f t="shared" si="44"/>
        <v>20544.8625</v>
      </c>
      <c r="Z152" s="1723">
        <f t="shared" si="44"/>
        <v>27393.15</v>
      </c>
      <c r="AA152" s="1723">
        <f t="shared" si="44"/>
        <v>34241.4375</v>
      </c>
      <c r="AB152" s="1723">
        <f t="shared" si="44"/>
        <v>41089.725</v>
      </c>
      <c r="AC152" s="1723">
        <f t="shared" si="44"/>
        <v>47938.0125</v>
      </c>
      <c r="AD152" s="1723">
        <f t="shared" si="44"/>
        <v>54786.3</v>
      </c>
      <c r="AE152" s="1723">
        <f t="shared" si="44"/>
        <v>61634.5875</v>
      </c>
      <c r="AF152" s="1723">
        <f t="shared" si="44"/>
        <v>68482.875</v>
      </c>
      <c r="AG152" s="1723">
        <f t="shared" si="44"/>
        <v>75331.1625</v>
      </c>
      <c r="AH152" s="1723">
        <f t="shared" si="44"/>
        <v>82179.45</v>
      </c>
      <c r="AI152" s="1723">
        <f t="shared" si="44"/>
        <v>89027.7375</v>
      </c>
      <c r="AJ152" s="1723">
        <f t="shared" si="44"/>
        <v>95876.025</v>
      </c>
      <c r="AK152" s="1723">
        <f t="shared" si="44"/>
        <v>102724.3125</v>
      </c>
      <c r="AL152" s="1723">
        <f t="shared" si="44"/>
        <v>109572.6</v>
      </c>
      <c r="AM152" s="1723">
        <f t="shared" si="44"/>
        <v>116420.8875</v>
      </c>
      <c r="AN152" s="1723">
        <f t="shared" si="44"/>
        <v>123269.175</v>
      </c>
      <c r="AO152" s="1723">
        <f t="shared" si="44"/>
        <v>130117.4625</v>
      </c>
      <c r="AP152" s="1723">
        <f t="shared" si="44"/>
        <v>136965.75</v>
      </c>
      <c r="AQ152" s="1723">
        <f t="shared" si="44"/>
        <v>143814.0375</v>
      </c>
      <c r="AR152" s="1723">
        <f t="shared" si="44"/>
        <v>150662.325</v>
      </c>
      <c r="AS152" s="1723">
        <f t="shared" si="44"/>
        <v>157510.6125</v>
      </c>
      <c r="AT152" s="1724">
        <f t="shared" si="44"/>
        <v>164358.9</v>
      </c>
      <c r="AU152" s="1724"/>
      <c r="AV152" s="1724">
        <f t="shared" ref="AV152:BG152" si="45">AV162</f>
        <v>171207.1875</v>
      </c>
      <c r="AW152" s="1724">
        <f t="shared" si="45"/>
        <v>178055.475</v>
      </c>
      <c r="AX152" s="1724">
        <f t="shared" si="45"/>
        <v>184903.7625</v>
      </c>
      <c r="AY152" s="1724">
        <f t="shared" si="45"/>
        <v>191752.05</v>
      </c>
      <c r="AZ152" s="1724">
        <f t="shared" si="45"/>
        <v>198600.3375</v>
      </c>
      <c r="BA152" s="1724">
        <f t="shared" si="45"/>
        <v>205448.625</v>
      </c>
      <c r="BB152" s="1724">
        <f t="shared" si="45"/>
        <v>212296.9125</v>
      </c>
      <c r="BC152" s="1724">
        <f t="shared" si="45"/>
        <v>219145.2</v>
      </c>
      <c r="BD152" s="1724">
        <f t="shared" si="45"/>
        <v>225993.4875</v>
      </c>
      <c r="BE152" s="1724">
        <f t="shared" si="45"/>
        <v>232841.775</v>
      </c>
      <c r="BF152" s="1724">
        <f t="shared" si="45"/>
        <v>239690.0625</v>
      </c>
      <c r="BG152" s="1724">
        <f t="shared" si="45"/>
        <v>246538.35</v>
      </c>
      <c r="BH152" s="1695"/>
      <c r="BI152" s="1695"/>
      <c r="BJ152" s="1695"/>
      <c r="BK152" s="1704"/>
      <c r="BL152" s="1695"/>
      <c r="BM152" s="1695"/>
      <c r="BN152" s="1695"/>
      <c r="BO152" s="1695"/>
      <c r="BP152" s="1695"/>
      <c r="BQ152" s="1695"/>
      <c r="BR152" s="1695"/>
      <c r="CF152" s="14"/>
    </row>
    <row r="153">
      <c r="S153" s="1701"/>
      <c r="AT153" s="1695"/>
      <c r="AU153" s="1704"/>
      <c r="AV153" s="1704"/>
      <c r="AW153" s="1704"/>
      <c r="AX153" s="1704"/>
      <c r="AY153" s="1704"/>
      <c r="AZ153" s="1704"/>
      <c r="BA153" s="1704"/>
      <c r="BB153" s="1704"/>
      <c r="BC153" s="1704"/>
      <c r="BD153" s="1704"/>
      <c r="BE153" s="1704"/>
      <c r="BF153" s="1704"/>
      <c r="BG153" s="1704"/>
      <c r="BH153" s="1695"/>
      <c r="BI153" s="1695"/>
      <c r="BJ153" s="1695"/>
      <c r="BK153" s="1704"/>
      <c r="BL153" s="1695"/>
      <c r="BM153" s="1695"/>
      <c r="BN153" s="1695"/>
      <c r="BO153" s="1695"/>
      <c r="BP153" s="1695"/>
      <c r="BQ153" s="1695"/>
      <c r="BR153" s="1695"/>
      <c r="CF153" s="14"/>
    </row>
    <row r="154">
      <c r="S154" s="1725" t="s">
        <v>285</v>
      </c>
      <c r="T154" s="1726">
        <f t="shared" ref="T154:W154" si="46">T158</f>
        <v>216000</v>
      </c>
      <c r="U154" s="1726">
        <f t="shared" si="46"/>
        <v>216000</v>
      </c>
      <c r="V154" s="1726">
        <f t="shared" si="46"/>
        <v>216000</v>
      </c>
      <c r="W154" s="1726">
        <f t="shared" si="46"/>
        <v>216000</v>
      </c>
      <c r="X154" s="1726">
        <f t="shared" ref="X154:AT154" si="47">W154+X158</f>
        <v>432000</v>
      </c>
      <c r="Y154" s="1726">
        <f t="shared" si="47"/>
        <v>648000</v>
      </c>
      <c r="Z154" s="1726">
        <f t="shared" si="47"/>
        <v>864000</v>
      </c>
      <c r="AA154" s="1726">
        <f t="shared" si="47"/>
        <v>1080000</v>
      </c>
      <c r="AB154" s="1726">
        <f t="shared" si="47"/>
        <v>1296000</v>
      </c>
      <c r="AC154" s="1726">
        <f t="shared" si="47"/>
        <v>1512000</v>
      </c>
      <c r="AD154" s="1726">
        <f t="shared" si="47"/>
        <v>1728000</v>
      </c>
      <c r="AE154" s="1726">
        <f t="shared" si="47"/>
        <v>1944000</v>
      </c>
      <c r="AF154" s="1726">
        <f t="shared" si="47"/>
        <v>2160000</v>
      </c>
      <c r="AG154" s="1726">
        <f t="shared" si="47"/>
        <v>2376000</v>
      </c>
      <c r="AH154" s="1726">
        <f t="shared" si="47"/>
        <v>2592000</v>
      </c>
      <c r="AI154" s="1726">
        <f t="shared" si="47"/>
        <v>2808000</v>
      </c>
      <c r="AJ154" s="1726">
        <f t="shared" si="47"/>
        <v>3024000</v>
      </c>
      <c r="AK154" s="1726">
        <f t="shared" si="47"/>
        <v>3240000</v>
      </c>
      <c r="AL154" s="1726">
        <f t="shared" si="47"/>
        <v>3456000</v>
      </c>
      <c r="AM154" s="1726">
        <f t="shared" si="47"/>
        <v>3672000</v>
      </c>
      <c r="AN154" s="1726">
        <f t="shared" si="47"/>
        <v>3888000</v>
      </c>
      <c r="AO154" s="1726">
        <f t="shared" si="47"/>
        <v>4104000</v>
      </c>
      <c r="AP154" s="1726">
        <f t="shared" si="47"/>
        <v>4320000</v>
      </c>
      <c r="AQ154" s="1726">
        <f t="shared" si="47"/>
        <v>4536000</v>
      </c>
      <c r="AR154" s="1726">
        <f t="shared" si="47"/>
        <v>4752000</v>
      </c>
      <c r="AS154" s="1726">
        <f t="shared" si="47"/>
        <v>4968000</v>
      </c>
      <c r="AT154" s="1727">
        <f t="shared" si="47"/>
        <v>5184000</v>
      </c>
      <c r="AU154" s="1728"/>
      <c r="AV154" s="1727">
        <f>AT154+AV158</f>
        <v>5400000</v>
      </c>
      <c r="AW154" s="1727">
        <f t="shared" ref="AW154:BG154" si="48">AV154+AW158</f>
        <v>5616000</v>
      </c>
      <c r="AX154" s="1727">
        <f t="shared" si="48"/>
        <v>5832000</v>
      </c>
      <c r="AY154" s="1727">
        <f t="shared" si="48"/>
        <v>6048000</v>
      </c>
      <c r="AZ154" s="1727">
        <f t="shared" si="48"/>
        <v>6264000</v>
      </c>
      <c r="BA154" s="1727">
        <f t="shared" si="48"/>
        <v>6480000</v>
      </c>
      <c r="BB154" s="1727">
        <f t="shared" si="48"/>
        <v>6696000</v>
      </c>
      <c r="BC154" s="1727">
        <f t="shared" si="48"/>
        <v>6912000</v>
      </c>
      <c r="BD154" s="1727">
        <f t="shared" si="48"/>
        <v>7128000</v>
      </c>
      <c r="BE154" s="1727">
        <f t="shared" si="48"/>
        <v>7344000</v>
      </c>
      <c r="BF154" s="1727">
        <f t="shared" si="48"/>
        <v>7560000</v>
      </c>
      <c r="BG154" s="1727">
        <f t="shared" si="48"/>
        <v>7776000</v>
      </c>
      <c r="BH154" s="1728"/>
      <c r="BI154" s="1728"/>
      <c r="BJ154" s="1728"/>
      <c r="BK154" s="1728"/>
      <c r="BL154" s="1728"/>
      <c r="BM154" s="1728"/>
      <c r="BN154" s="1728"/>
      <c r="BO154" s="1728"/>
      <c r="BP154" s="1728"/>
      <c r="BQ154" s="1728"/>
      <c r="BR154" s="1728"/>
      <c r="CF154" s="14"/>
    </row>
    <row r="155">
      <c r="T155" s="1729"/>
      <c r="AT155" s="1695"/>
      <c r="AU155" s="1704"/>
      <c r="AV155" s="1704"/>
      <c r="AW155" s="1704"/>
      <c r="AX155" s="1704"/>
      <c r="AY155" s="1704"/>
      <c r="AZ155" s="1704"/>
      <c r="BA155" s="1704"/>
      <c r="BB155" s="1704"/>
      <c r="BC155" s="1704"/>
      <c r="BD155" s="1704"/>
      <c r="BE155" s="1704"/>
      <c r="BF155" s="1704"/>
      <c r="BG155" s="1704"/>
      <c r="BK155" s="1631"/>
      <c r="CF155" s="14"/>
    </row>
    <row r="156">
      <c r="S156" s="1730" t="s">
        <v>286</v>
      </c>
      <c r="T156" s="1731">
        <f t="shared" ref="T156:AT156" si="49">86400*30</f>
        <v>2592000</v>
      </c>
      <c r="U156" s="1732">
        <f t="shared" si="49"/>
        <v>2592000</v>
      </c>
      <c r="V156" s="1732">
        <f t="shared" si="49"/>
        <v>2592000</v>
      </c>
      <c r="W156" s="1732">
        <f t="shared" si="49"/>
        <v>2592000</v>
      </c>
      <c r="X156" s="1732">
        <f t="shared" si="49"/>
        <v>2592000</v>
      </c>
      <c r="Y156" s="1732">
        <f t="shared" si="49"/>
        <v>2592000</v>
      </c>
      <c r="Z156" s="1732">
        <f t="shared" si="49"/>
        <v>2592000</v>
      </c>
      <c r="AA156" s="1732">
        <f t="shared" si="49"/>
        <v>2592000</v>
      </c>
      <c r="AB156" s="1732">
        <f t="shared" si="49"/>
        <v>2592000</v>
      </c>
      <c r="AC156" s="1732">
        <f t="shared" si="49"/>
        <v>2592000</v>
      </c>
      <c r="AD156" s="1732">
        <f t="shared" si="49"/>
        <v>2592000</v>
      </c>
      <c r="AE156" s="1732">
        <f t="shared" si="49"/>
        <v>2592000</v>
      </c>
      <c r="AF156" s="1732">
        <f t="shared" si="49"/>
        <v>2592000</v>
      </c>
      <c r="AG156" s="1732">
        <f t="shared" si="49"/>
        <v>2592000</v>
      </c>
      <c r="AH156" s="1732">
        <f t="shared" si="49"/>
        <v>2592000</v>
      </c>
      <c r="AI156" s="1732">
        <f t="shared" si="49"/>
        <v>2592000</v>
      </c>
      <c r="AJ156" s="1732">
        <f t="shared" si="49"/>
        <v>2592000</v>
      </c>
      <c r="AK156" s="1732">
        <f t="shared" si="49"/>
        <v>2592000</v>
      </c>
      <c r="AL156" s="1732">
        <f t="shared" si="49"/>
        <v>2592000</v>
      </c>
      <c r="AM156" s="1732">
        <f t="shared" si="49"/>
        <v>2592000</v>
      </c>
      <c r="AN156" s="1732">
        <f t="shared" si="49"/>
        <v>2592000</v>
      </c>
      <c r="AO156" s="1732">
        <f t="shared" si="49"/>
        <v>2592000</v>
      </c>
      <c r="AP156" s="1732">
        <f t="shared" si="49"/>
        <v>2592000</v>
      </c>
      <c r="AQ156" s="1732">
        <f t="shared" si="49"/>
        <v>2592000</v>
      </c>
      <c r="AR156" s="1732">
        <f t="shared" si="49"/>
        <v>2592000</v>
      </c>
      <c r="AS156" s="1732">
        <f t="shared" si="49"/>
        <v>2592000</v>
      </c>
      <c r="AT156" s="1733">
        <f t="shared" si="49"/>
        <v>2592000</v>
      </c>
      <c r="AU156" s="1734"/>
      <c r="AV156" s="1734">
        <f t="shared" ref="AV156:BG156" si="50">86400*30</f>
        <v>2592000</v>
      </c>
      <c r="AW156" s="1734">
        <f t="shared" si="50"/>
        <v>2592000</v>
      </c>
      <c r="AX156" s="1734">
        <f t="shared" si="50"/>
        <v>2592000</v>
      </c>
      <c r="AY156" s="1734">
        <f t="shared" si="50"/>
        <v>2592000</v>
      </c>
      <c r="AZ156" s="1734">
        <f t="shared" si="50"/>
        <v>2592000</v>
      </c>
      <c r="BA156" s="1734">
        <f t="shared" si="50"/>
        <v>2592000</v>
      </c>
      <c r="BB156" s="1734">
        <f t="shared" si="50"/>
        <v>2592000</v>
      </c>
      <c r="BC156" s="1734">
        <f t="shared" si="50"/>
        <v>2592000</v>
      </c>
      <c r="BD156" s="1734">
        <f t="shared" si="50"/>
        <v>2592000</v>
      </c>
      <c r="BE156" s="1734">
        <f t="shared" si="50"/>
        <v>2592000</v>
      </c>
      <c r="BF156" s="1734">
        <f t="shared" si="50"/>
        <v>2592000</v>
      </c>
      <c r="BG156" s="1734">
        <f t="shared" si="50"/>
        <v>2592000</v>
      </c>
      <c r="BH156" s="1733"/>
      <c r="BI156" s="1733"/>
      <c r="BJ156" s="1733"/>
      <c r="BK156" s="1734"/>
      <c r="BL156" s="1733"/>
      <c r="BM156" s="1733"/>
      <c r="BN156" s="1733"/>
      <c r="BO156" s="1733"/>
      <c r="BP156" s="1733"/>
      <c r="BQ156" s="1733"/>
      <c r="BR156" s="1733"/>
      <c r="BS156" s="1735"/>
      <c r="BT156" s="1735"/>
      <c r="BU156" s="1735"/>
      <c r="BV156" s="1735"/>
      <c r="BW156" s="1735"/>
      <c r="CF156" s="14"/>
    </row>
    <row r="157">
      <c r="S157" s="1701"/>
      <c r="AT157" s="1695"/>
      <c r="AU157" s="1704"/>
      <c r="AV157" s="1704"/>
      <c r="AW157" s="1704"/>
      <c r="AX157" s="1704"/>
      <c r="AY157" s="1704"/>
      <c r="AZ157" s="1704"/>
      <c r="BA157" s="1704"/>
      <c r="BB157" s="1704"/>
      <c r="BC157" s="1704"/>
      <c r="BD157" s="1704"/>
      <c r="BE157" s="1704"/>
      <c r="BF157" s="1704"/>
      <c r="BG157" s="1704"/>
      <c r="BH157" s="1695"/>
      <c r="BI157" s="1695"/>
      <c r="BJ157" s="1695"/>
      <c r="BK157" s="1704"/>
      <c r="BL157" s="1695"/>
      <c r="BM157" s="1695"/>
      <c r="BN157" s="1695"/>
      <c r="BO157" s="1695"/>
      <c r="BP157" s="1695"/>
      <c r="BQ157" s="1695"/>
      <c r="BR157" s="1695"/>
      <c r="BS157" s="1735"/>
      <c r="BT157" s="1735"/>
      <c r="BU157" s="1735"/>
      <c r="BV157" s="1735"/>
      <c r="BW157" s="1735"/>
      <c r="CF157" s="144"/>
    </row>
    <row r="158">
      <c r="S158" s="1705" t="s">
        <v>287</v>
      </c>
      <c r="T158" s="1642">
        <f t="shared" ref="T158:AT158" si="51">T156/12</f>
        <v>216000</v>
      </c>
      <c r="U158" s="1642">
        <f t="shared" si="51"/>
        <v>216000</v>
      </c>
      <c r="V158" s="1642">
        <f t="shared" si="51"/>
        <v>216000</v>
      </c>
      <c r="W158" s="1642">
        <f t="shared" si="51"/>
        <v>216000</v>
      </c>
      <c r="X158" s="1642">
        <f t="shared" si="51"/>
        <v>216000</v>
      </c>
      <c r="Y158" s="1642">
        <f t="shared" si="51"/>
        <v>216000</v>
      </c>
      <c r="Z158" s="1642">
        <f t="shared" si="51"/>
        <v>216000</v>
      </c>
      <c r="AA158" s="1642">
        <f t="shared" si="51"/>
        <v>216000</v>
      </c>
      <c r="AB158" s="1642">
        <f t="shared" si="51"/>
        <v>216000</v>
      </c>
      <c r="AC158" s="1642">
        <f t="shared" si="51"/>
        <v>216000</v>
      </c>
      <c r="AD158" s="1642">
        <f t="shared" si="51"/>
        <v>216000</v>
      </c>
      <c r="AE158" s="1642">
        <f t="shared" si="51"/>
        <v>216000</v>
      </c>
      <c r="AF158" s="1642">
        <f t="shared" si="51"/>
        <v>216000</v>
      </c>
      <c r="AG158" s="1642">
        <f t="shared" si="51"/>
        <v>216000</v>
      </c>
      <c r="AH158" s="1642">
        <f t="shared" si="51"/>
        <v>216000</v>
      </c>
      <c r="AI158" s="1642">
        <f t="shared" si="51"/>
        <v>216000</v>
      </c>
      <c r="AJ158" s="1642">
        <f t="shared" si="51"/>
        <v>216000</v>
      </c>
      <c r="AK158" s="1642">
        <f t="shared" si="51"/>
        <v>216000</v>
      </c>
      <c r="AL158" s="1642">
        <f t="shared" si="51"/>
        <v>216000</v>
      </c>
      <c r="AM158" s="1642">
        <f t="shared" si="51"/>
        <v>216000</v>
      </c>
      <c r="AN158" s="1642">
        <f t="shared" si="51"/>
        <v>216000</v>
      </c>
      <c r="AO158" s="1642">
        <f t="shared" si="51"/>
        <v>216000</v>
      </c>
      <c r="AP158" s="1642">
        <f t="shared" si="51"/>
        <v>216000</v>
      </c>
      <c r="AQ158" s="1642">
        <f t="shared" si="51"/>
        <v>216000</v>
      </c>
      <c r="AR158" s="1642">
        <f t="shared" si="51"/>
        <v>216000</v>
      </c>
      <c r="AS158" s="1642">
        <f t="shared" si="51"/>
        <v>216000</v>
      </c>
      <c r="AT158" s="1709">
        <f t="shared" si="51"/>
        <v>216000</v>
      </c>
      <c r="AU158" s="1709"/>
      <c r="AV158" s="1709">
        <f t="shared" ref="AV158:BG158" si="52">AV156/12</f>
        <v>216000</v>
      </c>
      <c r="AW158" s="1709">
        <f t="shared" si="52"/>
        <v>216000</v>
      </c>
      <c r="AX158" s="1709">
        <f t="shared" si="52"/>
        <v>216000</v>
      </c>
      <c r="AY158" s="1709">
        <f t="shared" si="52"/>
        <v>216000</v>
      </c>
      <c r="AZ158" s="1709">
        <f t="shared" si="52"/>
        <v>216000</v>
      </c>
      <c r="BA158" s="1709">
        <f t="shared" si="52"/>
        <v>216000</v>
      </c>
      <c r="BB158" s="1709">
        <f t="shared" si="52"/>
        <v>216000</v>
      </c>
      <c r="BC158" s="1709">
        <f t="shared" si="52"/>
        <v>216000</v>
      </c>
      <c r="BD158" s="1709">
        <f t="shared" si="52"/>
        <v>216000</v>
      </c>
      <c r="BE158" s="1709">
        <f t="shared" si="52"/>
        <v>216000</v>
      </c>
      <c r="BF158" s="1709">
        <f t="shared" si="52"/>
        <v>216000</v>
      </c>
      <c r="BG158" s="1709">
        <f t="shared" si="52"/>
        <v>216000</v>
      </c>
      <c r="BH158" s="1709"/>
      <c r="BI158" s="1709"/>
      <c r="BJ158" s="1709"/>
      <c r="BK158" s="1709"/>
      <c r="BL158" s="1709"/>
      <c r="BM158" s="1709"/>
      <c r="BN158" s="1709"/>
      <c r="BO158" s="1709"/>
      <c r="BP158" s="1709"/>
      <c r="BQ158" s="1709"/>
      <c r="BR158" s="1709"/>
      <c r="BS158" s="1735"/>
      <c r="BT158" s="1735"/>
      <c r="BU158" s="1735"/>
      <c r="BV158" s="1735"/>
      <c r="BW158" s="1735"/>
      <c r="CF158" s="51"/>
    </row>
    <row r="159">
      <c r="S159" s="1705" t="s">
        <v>288</v>
      </c>
      <c r="T159" s="1736" t="str">
        <f t="shared" ref="T159:AT159" si="53">T158/T143</f>
        <v>#DIV/0!</v>
      </c>
      <c r="U159" s="1736" t="str">
        <f t="shared" si="53"/>
        <v>#DIV/0!</v>
      </c>
      <c r="V159" s="1736">
        <f t="shared" si="53"/>
        <v>27.648</v>
      </c>
      <c r="W159" s="1736">
        <f t="shared" si="53"/>
        <v>1.728</v>
      </c>
      <c r="X159" s="1736">
        <f t="shared" si="53"/>
        <v>1.542857143</v>
      </c>
      <c r="Y159" s="1736">
        <f t="shared" si="53"/>
        <v>1.37755102</v>
      </c>
      <c r="Z159" s="1736">
        <f t="shared" si="53"/>
        <v>1.229956268</v>
      </c>
      <c r="AA159" s="1736">
        <f t="shared" si="53"/>
        <v>1.098175239</v>
      </c>
      <c r="AB159" s="1736">
        <f t="shared" si="53"/>
        <v>0.9805136067</v>
      </c>
      <c r="AC159" s="1736">
        <f t="shared" si="53"/>
        <v>0.8754585774</v>
      </c>
      <c r="AD159" s="1736">
        <f t="shared" si="53"/>
        <v>0.7816594441</v>
      </c>
      <c r="AE159" s="1736">
        <f t="shared" si="53"/>
        <v>0.6979102179</v>
      </c>
      <c r="AF159" s="1736">
        <f t="shared" si="53"/>
        <v>0.6231341232</v>
      </c>
      <c r="AG159" s="1736">
        <f t="shared" si="53"/>
        <v>0.5563697528</v>
      </c>
      <c r="AH159" s="1736">
        <f t="shared" si="53"/>
        <v>0.4967587079</v>
      </c>
      <c r="AI159" s="1736">
        <f t="shared" si="53"/>
        <v>0.4435345606</v>
      </c>
      <c r="AJ159" s="1736">
        <f t="shared" si="53"/>
        <v>0.3960130005</v>
      </c>
      <c r="AK159" s="1736">
        <f t="shared" si="53"/>
        <v>0.3535830362</v>
      </c>
      <c r="AL159" s="1736">
        <f t="shared" si="53"/>
        <v>0.3156991395</v>
      </c>
      <c r="AM159" s="1736">
        <f t="shared" si="53"/>
        <v>0.2818742317</v>
      </c>
      <c r="AN159" s="1736">
        <f t="shared" si="53"/>
        <v>0.2516734211</v>
      </c>
      <c r="AO159" s="1736">
        <f t="shared" si="53"/>
        <v>0.2247084117</v>
      </c>
      <c r="AP159" s="1736">
        <f t="shared" si="53"/>
        <v>0.2006325105</v>
      </c>
      <c r="AQ159" s="1736">
        <f t="shared" si="53"/>
        <v>0.1791361701</v>
      </c>
      <c r="AR159" s="1736">
        <f t="shared" si="53"/>
        <v>0.159943009</v>
      </c>
      <c r="AS159" s="1736">
        <f t="shared" si="53"/>
        <v>0.142806258</v>
      </c>
      <c r="AT159" s="1737">
        <f t="shared" si="53"/>
        <v>0.1275055875</v>
      </c>
      <c r="AU159" s="1737"/>
      <c r="AV159" s="1737">
        <f t="shared" ref="AV159:BG159" si="54">AV158/AV143</f>
        <v>0.1214338929</v>
      </c>
      <c r="AW159" s="1737">
        <f t="shared" si="54"/>
        <v>0.1156513265</v>
      </c>
      <c r="AX159" s="1737">
        <f t="shared" si="54"/>
        <v>0.1101441205</v>
      </c>
      <c r="AY159" s="1737">
        <f t="shared" si="54"/>
        <v>0.1048991624</v>
      </c>
      <c r="AZ159" s="1737">
        <f t="shared" si="54"/>
        <v>0.09990396419</v>
      </c>
      <c r="BA159" s="1737">
        <f t="shared" si="54"/>
        <v>0.09514663256</v>
      </c>
      <c r="BB159" s="1737">
        <f t="shared" si="54"/>
        <v>0.09282598299</v>
      </c>
      <c r="BC159" s="1737">
        <f t="shared" si="54"/>
        <v>0.09056193462</v>
      </c>
      <c r="BD159" s="1737">
        <f t="shared" si="54"/>
        <v>0.08835310695</v>
      </c>
      <c r="BE159" s="1737">
        <f t="shared" si="54"/>
        <v>0.08619815312</v>
      </c>
      <c r="BF159" s="1737">
        <f t="shared" si="54"/>
        <v>0.08409575914</v>
      </c>
      <c r="BG159" s="1737">
        <f t="shared" si="54"/>
        <v>0.08204464307</v>
      </c>
      <c r="BH159" s="1737"/>
      <c r="BI159" s="1737"/>
      <c r="BJ159" s="1737"/>
      <c r="BK159" s="1737"/>
      <c r="BL159" s="1737"/>
      <c r="BM159" s="1737"/>
      <c r="BN159" s="1737"/>
      <c r="BO159" s="1737"/>
      <c r="BP159" s="1737"/>
      <c r="BQ159" s="1737"/>
      <c r="BR159" s="1737"/>
      <c r="BS159" s="1735"/>
      <c r="BT159" s="1735"/>
      <c r="BU159" s="1735"/>
      <c r="BV159" s="1735"/>
      <c r="BW159" s="1735"/>
      <c r="CF159" s="51"/>
    </row>
    <row r="160">
      <c r="S160" s="1701"/>
      <c r="AT160" s="1695"/>
      <c r="AU160" s="1704"/>
      <c r="AV160" s="1704"/>
      <c r="AW160" s="1704"/>
      <c r="AX160" s="1704"/>
      <c r="AY160" s="1704"/>
      <c r="AZ160" s="1704"/>
      <c r="BA160" s="1704"/>
      <c r="BB160" s="1704"/>
      <c r="BC160" s="1704"/>
      <c r="BD160" s="1704"/>
      <c r="BE160" s="1704"/>
      <c r="BF160" s="1704"/>
      <c r="BG160" s="1704"/>
      <c r="BH160" s="1695"/>
      <c r="BI160" s="1695"/>
      <c r="BJ160" s="1695"/>
      <c r="BK160" s="1704"/>
      <c r="BL160" s="1695"/>
      <c r="BM160" s="1695"/>
      <c r="BN160" s="1695"/>
      <c r="BO160" s="1695"/>
      <c r="BP160" s="1695"/>
      <c r="BQ160" s="1695"/>
      <c r="BR160" s="1695"/>
      <c r="CF160" s="51"/>
    </row>
    <row r="161">
      <c r="S161" s="1725" t="s">
        <v>289</v>
      </c>
      <c r="T161" s="1738"/>
      <c r="U161" s="1738"/>
      <c r="V161" s="1738">
        <f t="shared" ref="V161:AT161" si="55">$F$40/12</f>
        <v>6848.2875</v>
      </c>
      <c r="W161" s="1738">
        <f t="shared" si="55"/>
        <v>6848.2875</v>
      </c>
      <c r="X161" s="1738">
        <f t="shared" si="55"/>
        <v>6848.2875</v>
      </c>
      <c r="Y161" s="1738">
        <f t="shared" si="55"/>
        <v>6848.2875</v>
      </c>
      <c r="Z161" s="1738">
        <f t="shared" si="55"/>
        <v>6848.2875</v>
      </c>
      <c r="AA161" s="1738">
        <f t="shared" si="55"/>
        <v>6848.2875</v>
      </c>
      <c r="AB161" s="1738">
        <f t="shared" si="55"/>
        <v>6848.2875</v>
      </c>
      <c r="AC161" s="1738">
        <f t="shared" si="55"/>
        <v>6848.2875</v>
      </c>
      <c r="AD161" s="1738">
        <f t="shared" si="55"/>
        <v>6848.2875</v>
      </c>
      <c r="AE161" s="1738">
        <f t="shared" si="55"/>
        <v>6848.2875</v>
      </c>
      <c r="AF161" s="1738">
        <f t="shared" si="55"/>
        <v>6848.2875</v>
      </c>
      <c r="AG161" s="1738">
        <f t="shared" si="55"/>
        <v>6848.2875</v>
      </c>
      <c r="AH161" s="1738">
        <f t="shared" si="55"/>
        <v>6848.2875</v>
      </c>
      <c r="AI161" s="1738">
        <f t="shared" si="55"/>
        <v>6848.2875</v>
      </c>
      <c r="AJ161" s="1738">
        <f t="shared" si="55"/>
        <v>6848.2875</v>
      </c>
      <c r="AK161" s="1738">
        <f t="shared" si="55"/>
        <v>6848.2875</v>
      </c>
      <c r="AL161" s="1738">
        <f t="shared" si="55"/>
        <v>6848.2875</v>
      </c>
      <c r="AM161" s="1738">
        <f t="shared" si="55"/>
        <v>6848.2875</v>
      </c>
      <c r="AN161" s="1738">
        <f t="shared" si="55"/>
        <v>6848.2875</v>
      </c>
      <c r="AO161" s="1738">
        <f t="shared" si="55"/>
        <v>6848.2875</v>
      </c>
      <c r="AP161" s="1738">
        <f t="shared" si="55"/>
        <v>6848.2875</v>
      </c>
      <c r="AQ161" s="1738">
        <f t="shared" si="55"/>
        <v>6848.2875</v>
      </c>
      <c r="AR161" s="1738">
        <f t="shared" si="55"/>
        <v>6848.2875</v>
      </c>
      <c r="AS161" s="1738">
        <f t="shared" si="55"/>
        <v>6848.2875</v>
      </c>
      <c r="AT161" s="1739">
        <f t="shared" si="55"/>
        <v>6848.2875</v>
      </c>
      <c r="AU161" s="1739"/>
      <c r="AV161" s="1739">
        <f t="shared" ref="AV161:BG161" si="56">$F$40/12</f>
        <v>6848.2875</v>
      </c>
      <c r="AW161" s="1739">
        <f t="shared" si="56"/>
        <v>6848.2875</v>
      </c>
      <c r="AX161" s="1739">
        <f t="shared" si="56"/>
        <v>6848.2875</v>
      </c>
      <c r="AY161" s="1739">
        <f t="shared" si="56"/>
        <v>6848.2875</v>
      </c>
      <c r="AZ161" s="1739">
        <f t="shared" si="56"/>
        <v>6848.2875</v>
      </c>
      <c r="BA161" s="1739">
        <f t="shared" si="56"/>
        <v>6848.2875</v>
      </c>
      <c r="BB161" s="1739">
        <f t="shared" si="56"/>
        <v>6848.2875</v>
      </c>
      <c r="BC161" s="1739">
        <f t="shared" si="56"/>
        <v>6848.2875</v>
      </c>
      <c r="BD161" s="1739">
        <f t="shared" si="56"/>
        <v>6848.2875</v>
      </c>
      <c r="BE161" s="1739">
        <f t="shared" si="56"/>
        <v>6848.2875</v>
      </c>
      <c r="BF161" s="1739">
        <f t="shared" si="56"/>
        <v>6848.2875</v>
      </c>
      <c r="BG161" s="1739">
        <f t="shared" si="56"/>
        <v>6848.2875</v>
      </c>
      <c r="BH161" s="1738"/>
      <c r="BI161" s="1738"/>
      <c r="BJ161" s="1738"/>
      <c r="BK161" s="1738"/>
      <c r="BL161" s="1738"/>
      <c r="BM161" s="1738"/>
      <c r="BN161" s="1738"/>
      <c r="BO161" s="1738"/>
      <c r="BP161" s="1738"/>
      <c r="BQ161" s="1738"/>
      <c r="BR161" s="1738"/>
      <c r="CF161" s="51"/>
    </row>
    <row r="162">
      <c r="S162" s="9" t="s">
        <v>290</v>
      </c>
      <c r="T162" s="1738"/>
      <c r="U162" s="1738"/>
      <c r="V162" s="1738">
        <f t="shared" ref="V162:W162" si="57">V161</f>
        <v>6848.2875</v>
      </c>
      <c r="W162" s="1740">
        <f t="shared" si="57"/>
        <v>6848.2875</v>
      </c>
      <c r="X162" s="1740">
        <f t="shared" ref="X162:AT162" si="58">W162+X161</f>
        <v>13696.575</v>
      </c>
      <c r="Y162" s="1740">
        <f t="shared" si="58"/>
        <v>20544.8625</v>
      </c>
      <c r="Z162" s="1740">
        <f t="shared" si="58"/>
        <v>27393.15</v>
      </c>
      <c r="AA162" s="1740">
        <f t="shared" si="58"/>
        <v>34241.4375</v>
      </c>
      <c r="AB162" s="1740">
        <f t="shared" si="58"/>
        <v>41089.725</v>
      </c>
      <c r="AC162" s="1740">
        <f t="shared" si="58"/>
        <v>47938.0125</v>
      </c>
      <c r="AD162" s="1740">
        <f t="shared" si="58"/>
        <v>54786.3</v>
      </c>
      <c r="AE162" s="1740">
        <f t="shared" si="58"/>
        <v>61634.5875</v>
      </c>
      <c r="AF162" s="1740">
        <f t="shared" si="58"/>
        <v>68482.875</v>
      </c>
      <c r="AG162" s="1740">
        <f t="shared" si="58"/>
        <v>75331.1625</v>
      </c>
      <c r="AH162" s="1740">
        <f t="shared" si="58"/>
        <v>82179.45</v>
      </c>
      <c r="AI162" s="1740">
        <f t="shared" si="58"/>
        <v>89027.7375</v>
      </c>
      <c r="AJ162" s="1740">
        <f t="shared" si="58"/>
        <v>95876.025</v>
      </c>
      <c r="AK162" s="1740">
        <f t="shared" si="58"/>
        <v>102724.3125</v>
      </c>
      <c r="AL162" s="1740">
        <f t="shared" si="58"/>
        <v>109572.6</v>
      </c>
      <c r="AM162" s="1740">
        <f t="shared" si="58"/>
        <v>116420.8875</v>
      </c>
      <c r="AN162" s="1740">
        <f t="shared" si="58"/>
        <v>123269.175</v>
      </c>
      <c r="AO162" s="1740">
        <f t="shared" si="58"/>
        <v>130117.4625</v>
      </c>
      <c r="AP162" s="1740">
        <f t="shared" si="58"/>
        <v>136965.75</v>
      </c>
      <c r="AQ162" s="1740">
        <f t="shared" si="58"/>
        <v>143814.0375</v>
      </c>
      <c r="AR162" s="1740">
        <f t="shared" si="58"/>
        <v>150662.325</v>
      </c>
      <c r="AS162" s="1740">
        <f t="shared" si="58"/>
        <v>157510.6125</v>
      </c>
      <c r="AT162" s="1741">
        <f t="shared" si="58"/>
        <v>164358.9</v>
      </c>
      <c r="AU162" s="1741"/>
      <c r="AV162" s="1741">
        <f>AT162+AV161</f>
        <v>171207.1875</v>
      </c>
      <c r="AW162" s="1741">
        <f t="shared" ref="AW162:BG162" si="59">AV162+AW161</f>
        <v>178055.475</v>
      </c>
      <c r="AX162" s="1741">
        <f t="shared" si="59"/>
        <v>184903.7625</v>
      </c>
      <c r="AY162" s="1741">
        <f t="shared" si="59"/>
        <v>191752.05</v>
      </c>
      <c r="AZ162" s="1741">
        <f t="shared" si="59"/>
        <v>198600.3375</v>
      </c>
      <c r="BA162" s="1741">
        <f t="shared" si="59"/>
        <v>205448.625</v>
      </c>
      <c r="BB162" s="1741">
        <f t="shared" si="59"/>
        <v>212296.9125</v>
      </c>
      <c r="BC162" s="1741">
        <f t="shared" si="59"/>
        <v>219145.2</v>
      </c>
      <c r="BD162" s="1741">
        <f t="shared" si="59"/>
        <v>225993.4875</v>
      </c>
      <c r="BE162" s="1741">
        <f t="shared" si="59"/>
        <v>232841.775</v>
      </c>
      <c r="BF162" s="1741">
        <f t="shared" si="59"/>
        <v>239690.0625</v>
      </c>
      <c r="BG162" s="1741">
        <f t="shared" si="59"/>
        <v>246538.35</v>
      </c>
      <c r="BH162" s="1740"/>
      <c r="BI162" s="1740"/>
      <c r="BJ162" s="1740"/>
      <c r="BK162" s="1740"/>
      <c r="BL162" s="1740"/>
      <c r="BM162" s="1740"/>
      <c r="BN162" s="1740"/>
      <c r="BO162" s="1740"/>
      <c r="BP162" s="1740"/>
      <c r="BQ162" s="1740"/>
      <c r="BR162" s="1740"/>
      <c r="CF162" s="51"/>
    </row>
    <row r="163">
      <c r="T163" s="1729"/>
      <c r="U163" s="1729"/>
      <c r="V163" s="1729"/>
      <c r="AT163" s="1695"/>
      <c r="BK163" s="1631"/>
      <c r="CF163" s="51"/>
    </row>
    <row r="164">
      <c r="S164" s="1742" t="s">
        <v>291</v>
      </c>
      <c r="T164" s="1743"/>
      <c r="U164" s="1743"/>
      <c r="V164" s="1743"/>
      <c r="W164" s="1743"/>
      <c r="X164" s="1743"/>
      <c r="Y164" s="1743"/>
      <c r="Z164" s="1743"/>
      <c r="AA164" s="1743"/>
      <c r="AB164" s="1743"/>
      <c r="AC164" s="1743"/>
      <c r="AD164" s="1743"/>
      <c r="AE164" s="1743"/>
      <c r="AF164" s="1743"/>
      <c r="AG164" s="1743"/>
      <c r="AH164" s="1743"/>
      <c r="AI164" s="1743"/>
      <c r="AJ164" s="1743"/>
      <c r="AK164" s="1743"/>
      <c r="AL164" s="1743"/>
      <c r="AM164" s="1743"/>
      <c r="AN164" s="1743"/>
      <c r="AO164" s="1743"/>
      <c r="AP164" s="1743"/>
      <c r="AQ164" s="1743"/>
      <c r="AR164" s="1743"/>
      <c r="AS164" s="1743"/>
      <c r="AT164" s="1744"/>
      <c r="AU164" s="1744"/>
      <c r="AV164" s="1744"/>
      <c r="AW164" s="1744"/>
      <c r="AX164" s="1744"/>
      <c r="AY164" s="1744"/>
      <c r="AZ164" s="1744"/>
      <c r="BA164" s="1744"/>
      <c r="BB164" s="1744"/>
      <c r="BC164" s="1744"/>
      <c r="BD164" s="1744"/>
      <c r="BE164" s="1744"/>
      <c r="BF164" s="1744"/>
      <c r="BG164" s="1744"/>
      <c r="BH164" s="1744"/>
      <c r="BI164" s="1744"/>
      <c r="BJ164" s="1744"/>
      <c r="BK164" s="1745"/>
      <c r="BL164" s="1744"/>
      <c r="BM164" s="1744"/>
      <c r="BN164" s="1744"/>
      <c r="BO164" s="1744"/>
      <c r="BP164" s="1744"/>
      <c r="BQ164" s="1744"/>
      <c r="BR164" s="1744"/>
      <c r="CF164" s="51"/>
    </row>
    <row r="165">
      <c r="S165" s="1705" t="s">
        <v>292</v>
      </c>
      <c r="T165" s="1642" t="str">
        <f t="shared" ref="T165:AT165" si="60">32 * 10^9 * $C$46/ sqrt(T138 * 10^9) / $C$50</f>
        <v>#DIV/0!</v>
      </c>
      <c r="U165" s="1642" t="str">
        <f t="shared" si="60"/>
        <v>#DIV/0!</v>
      </c>
      <c r="V165" s="1642">
        <f t="shared" si="60"/>
        <v>32381.72324</v>
      </c>
      <c r="W165" s="1642">
        <f t="shared" si="60"/>
        <v>8095.43081</v>
      </c>
      <c r="X165" s="1642">
        <f t="shared" si="60"/>
        <v>7649.4631</v>
      </c>
      <c r="Y165" s="1642">
        <f t="shared" si="60"/>
        <v>7228.063223</v>
      </c>
      <c r="Z165" s="1642">
        <f t="shared" si="60"/>
        <v>6829.877768</v>
      </c>
      <c r="AA165" s="1642">
        <f t="shared" si="60"/>
        <v>6453.627878</v>
      </c>
      <c r="AB165" s="1642">
        <f t="shared" si="60"/>
        <v>6098.10515</v>
      </c>
      <c r="AC165" s="1642">
        <f t="shared" si="60"/>
        <v>5762.167748</v>
      </c>
      <c r="AD165" s="1642">
        <f t="shared" si="60"/>
        <v>5444.736741</v>
      </c>
      <c r="AE165" s="1642">
        <f t="shared" si="60"/>
        <v>5144.792632</v>
      </c>
      <c r="AF165" s="1642">
        <f t="shared" si="60"/>
        <v>4861.37209</v>
      </c>
      <c r="AG165" s="1642">
        <f t="shared" si="60"/>
        <v>4593.56485</v>
      </c>
      <c r="AH165" s="1642">
        <f t="shared" si="60"/>
        <v>4340.510795</v>
      </c>
      <c r="AI165" s="1642">
        <f t="shared" si="60"/>
        <v>4101.397188</v>
      </c>
      <c r="AJ165" s="1642">
        <f t="shared" si="60"/>
        <v>3875.456067</v>
      </c>
      <c r="AK165" s="1642">
        <f t="shared" si="60"/>
        <v>3661.961775</v>
      </c>
      <c r="AL165" s="1642">
        <f t="shared" si="60"/>
        <v>3460.228631</v>
      </c>
      <c r="AM165" s="1642">
        <f t="shared" si="60"/>
        <v>3269.608727</v>
      </c>
      <c r="AN165" s="1642">
        <f t="shared" si="60"/>
        <v>3089.489849</v>
      </c>
      <c r="AO165" s="1642">
        <f t="shared" si="60"/>
        <v>2919.293507</v>
      </c>
      <c r="AP165" s="1642">
        <f t="shared" si="60"/>
        <v>2758.473079</v>
      </c>
      <c r="AQ165" s="1642">
        <f t="shared" si="60"/>
        <v>2606.51206</v>
      </c>
      <c r="AR165" s="1642">
        <f t="shared" si="60"/>
        <v>2462.922392</v>
      </c>
      <c r="AS165" s="1642">
        <f t="shared" si="60"/>
        <v>2327.24291</v>
      </c>
      <c r="AT165" s="1709">
        <f t="shared" si="60"/>
        <v>2199.03785</v>
      </c>
      <c r="AU165" s="1709"/>
      <c r="AV165" s="1709">
        <f t="shared" ref="AV165:BG165" si="61">32 * 10^9 * $C$46/ sqrt(AV138 * 10^9) / $C$50</f>
        <v>2146.041199</v>
      </c>
      <c r="AW165" s="1709">
        <f t="shared" si="61"/>
        <v>2094.321762</v>
      </c>
      <c r="AX165" s="1709">
        <f t="shared" si="61"/>
        <v>2043.848761</v>
      </c>
      <c r="AY165" s="1709">
        <f t="shared" si="61"/>
        <v>1994.592155</v>
      </c>
      <c r="AZ165" s="1709">
        <f t="shared" si="61"/>
        <v>1946.522629</v>
      </c>
      <c r="BA165" s="1709">
        <f t="shared" si="61"/>
        <v>1899.611576</v>
      </c>
      <c r="BB165" s="1709">
        <f t="shared" si="61"/>
        <v>1876.302575</v>
      </c>
      <c r="BC165" s="1709">
        <f t="shared" si="61"/>
        <v>1853.279586</v>
      </c>
      <c r="BD165" s="1709">
        <f t="shared" si="61"/>
        <v>1830.539098</v>
      </c>
      <c r="BE165" s="1709">
        <f t="shared" si="61"/>
        <v>1808.077645</v>
      </c>
      <c r="BF165" s="1709">
        <f t="shared" si="61"/>
        <v>1785.891803</v>
      </c>
      <c r="BG165" s="1709">
        <f t="shared" si="61"/>
        <v>1763.97819</v>
      </c>
      <c r="BH165" s="1709"/>
      <c r="BI165" s="1709"/>
      <c r="BJ165" s="1709"/>
      <c r="BK165" s="1709"/>
      <c r="BL165" s="1709"/>
      <c r="BM165" s="1709"/>
      <c r="BN165" s="1709"/>
      <c r="BO165" s="1709"/>
      <c r="BP165" s="1709"/>
      <c r="BQ165" s="1709"/>
      <c r="BR165" s="1709"/>
      <c r="CF165" s="144"/>
    </row>
    <row r="166">
      <c r="S166" s="1701"/>
      <c r="AT166" s="1695"/>
      <c r="AU166" s="1695"/>
      <c r="AV166" s="1695"/>
      <c r="AW166" s="1695"/>
      <c r="AX166" s="1695"/>
      <c r="AY166" s="1695"/>
      <c r="AZ166" s="1695"/>
      <c r="BA166" s="1695"/>
      <c r="BB166" s="1695"/>
      <c r="BC166" s="1695"/>
      <c r="BD166" s="1695"/>
      <c r="BE166" s="1695"/>
      <c r="BF166" s="1695"/>
      <c r="BG166" s="1695"/>
      <c r="BH166" s="1695"/>
      <c r="BI166" s="1695"/>
      <c r="BJ166" s="1695"/>
      <c r="BK166" s="1704"/>
      <c r="BL166" s="1695"/>
      <c r="BM166" s="1695"/>
      <c r="BN166" s="1695"/>
      <c r="BO166" s="1695"/>
      <c r="BP166" s="1695"/>
      <c r="BQ166" s="1695"/>
      <c r="BR166" s="1695"/>
      <c r="CF166" s="51"/>
    </row>
    <row r="167">
      <c r="S167" s="1705" t="s">
        <v>293</v>
      </c>
      <c r="T167" s="1653"/>
      <c r="U167" s="1653"/>
      <c r="V167" s="376">
        <f t="shared" ref="V167:AT167" si="62">V165*V145</f>
        <v>30762.63708</v>
      </c>
      <c r="W167" s="376">
        <f t="shared" si="62"/>
        <v>7690.65927</v>
      </c>
      <c r="X167" s="376">
        <f t="shared" si="62"/>
        <v>7266.989945</v>
      </c>
      <c r="Y167" s="376">
        <f t="shared" si="62"/>
        <v>6866.660062</v>
      </c>
      <c r="Z167" s="376">
        <f t="shared" si="62"/>
        <v>6488.383879</v>
      </c>
      <c r="AA167" s="376">
        <f t="shared" si="62"/>
        <v>6130.946484</v>
      </c>
      <c r="AB167" s="376">
        <f t="shared" si="62"/>
        <v>5793.199892</v>
      </c>
      <c r="AC167" s="376">
        <f t="shared" si="62"/>
        <v>5474.059361</v>
      </c>
      <c r="AD167" s="376">
        <f t="shared" si="62"/>
        <v>5172.499904</v>
      </c>
      <c r="AE167" s="376">
        <f t="shared" si="62"/>
        <v>4887.553001</v>
      </c>
      <c r="AF167" s="376">
        <f t="shared" si="62"/>
        <v>4618.303485</v>
      </c>
      <c r="AG167" s="376">
        <f t="shared" si="62"/>
        <v>4363.886608</v>
      </c>
      <c r="AH167" s="376">
        <f t="shared" si="62"/>
        <v>4123.485255</v>
      </c>
      <c r="AI167" s="376">
        <f t="shared" si="62"/>
        <v>3896.327328</v>
      </c>
      <c r="AJ167" s="376">
        <f t="shared" si="62"/>
        <v>3681.683263</v>
      </c>
      <c r="AK167" s="376">
        <f t="shared" si="62"/>
        <v>3478.863686</v>
      </c>
      <c r="AL167" s="376">
        <f t="shared" si="62"/>
        <v>3287.217199</v>
      </c>
      <c r="AM167" s="376">
        <f t="shared" si="62"/>
        <v>3106.128291</v>
      </c>
      <c r="AN167" s="376">
        <f t="shared" si="62"/>
        <v>2935.015357</v>
      </c>
      <c r="AO167" s="376">
        <f t="shared" si="62"/>
        <v>2773.328831</v>
      </c>
      <c r="AP167" s="376">
        <f t="shared" si="62"/>
        <v>2620.549426</v>
      </c>
      <c r="AQ167" s="376">
        <f t="shared" si="62"/>
        <v>2476.186457</v>
      </c>
      <c r="AR167" s="376">
        <f t="shared" si="62"/>
        <v>2339.776273</v>
      </c>
      <c r="AS167" s="376">
        <f t="shared" si="62"/>
        <v>2210.880765</v>
      </c>
      <c r="AT167" s="1746">
        <f t="shared" si="62"/>
        <v>2089.085958</v>
      </c>
      <c r="AU167" s="1746"/>
      <c r="AV167" s="1746">
        <f t="shared" ref="AV167:BG167" si="63">AV165*AV145</f>
        <v>2038.739139</v>
      </c>
      <c r="AW167" s="1746">
        <f t="shared" si="63"/>
        <v>1989.605674</v>
      </c>
      <c r="AX167" s="1746">
        <f t="shared" si="63"/>
        <v>1941.656323</v>
      </c>
      <c r="AY167" s="1746">
        <f t="shared" si="63"/>
        <v>1894.862547</v>
      </c>
      <c r="AZ167" s="1746">
        <f t="shared" si="63"/>
        <v>1849.196498</v>
      </c>
      <c r="BA167" s="1746">
        <f t="shared" si="63"/>
        <v>1804.630997</v>
      </c>
      <c r="BB167" s="1746">
        <f t="shared" si="63"/>
        <v>1782.487447</v>
      </c>
      <c r="BC167" s="1746">
        <f t="shared" si="63"/>
        <v>1760.615607</v>
      </c>
      <c r="BD167" s="1746">
        <f t="shared" si="63"/>
        <v>1739.012143</v>
      </c>
      <c r="BE167" s="1746">
        <f t="shared" si="63"/>
        <v>1717.673763</v>
      </c>
      <c r="BF167" s="1746">
        <f t="shared" si="63"/>
        <v>1696.597213</v>
      </c>
      <c r="BG167" s="1746">
        <f t="shared" si="63"/>
        <v>1675.779281</v>
      </c>
      <c r="BH167" s="1719"/>
      <c r="BI167" s="1719"/>
      <c r="BJ167" s="1719"/>
      <c r="BK167" s="1720"/>
      <c r="BL167" s="1719"/>
      <c r="BM167" s="1719"/>
      <c r="BN167" s="1719"/>
      <c r="BO167" s="1719"/>
      <c r="BP167" s="1719"/>
      <c r="BQ167" s="1719"/>
      <c r="BR167" s="1719"/>
      <c r="CF167" s="144"/>
    </row>
    <row r="168">
      <c r="S168" s="1705" t="s">
        <v>294</v>
      </c>
      <c r="T168" s="1653"/>
      <c r="U168" s="1653"/>
      <c r="V168" s="376">
        <f t="shared" ref="V168:AT168" si="64">V165*V145</f>
        <v>30762.63708</v>
      </c>
      <c r="W168" s="376">
        <f t="shared" si="64"/>
        <v>7690.65927</v>
      </c>
      <c r="X168" s="376">
        <f t="shared" si="64"/>
        <v>7266.989945</v>
      </c>
      <c r="Y168" s="376">
        <f t="shared" si="64"/>
        <v>6866.660062</v>
      </c>
      <c r="Z168" s="376">
        <f t="shared" si="64"/>
        <v>6488.383879</v>
      </c>
      <c r="AA168" s="376">
        <f t="shared" si="64"/>
        <v>6130.946484</v>
      </c>
      <c r="AB168" s="376">
        <f t="shared" si="64"/>
        <v>5793.199892</v>
      </c>
      <c r="AC168" s="376">
        <f t="shared" si="64"/>
        <v>5474.059361</v>
      </c>
      <c r="AD168" s="376">
        <f t="shared" si="64"/>
        <v>5172.499904</v>
      </c>
      <c r="AE168" s="376">
        <f t="shared" si="64"/>
        <v>4887.553001</v>
      </c>
      <c r="AF168" s="376">
        <f t="shared" si="64"/>
        <v>4618.303485</v>
      </c>
      <c r="AG168" s="376">
        <f t="shared" si="64"/>
        <v>4363.886608</v>
      </c>
      <c r="AH168" s="376">
        <f t="shared" si="64"/>
        <v>4123.485255</v>
      </c>
      <c r="AI168" s="376">
        <f t="shared" si="64"/>
        <v>3896.327328</v>
      </c>
      <c r="AJ168" s="376">
        <f t="shared" si="64"/>
        <v>3681.683263</v>
      </c>
      <c r="AK168" s="376">
        <f t="shared" si="64"/>
        <v>3478.863686</v>
      </c>
      <c r="AL168" s="376">
        <f t="shared" si="64"/>
        <v>3287.217199</v>
      </c>
      <c r="AM168" s="376">
        <f t="shared" si="64"/>
        <v>3106.128291</v>
      </c>
      <c r="AN168" s="376">
        <f t="shared" si="64"/>
        <v>2935.015357</v>
      </c>
      <c r="AO168" s="376">
        <f t="shared" si="64"/>
        <v>2773.328831</v>
      </c>
      <c r="AP168" s="376">
        <f t="shared" si="64"/>
        <v>2620.549426</v>
      </c>
      <c r="AQ168" s="376">
        <f t="shared" si="64"/>
        <v>2476.186457</v>
      </c>
      <c r="AR168" s="376">
        <f t="shared" si="64"/>
        <v>2339.776273</v>
      </c>
      <c r="AS168" s="376">
        <f t="shared" si="64"/>
        <v>2210.880765</v>
      </c>
      <c r="AT168" s="1746">
        <f t="shared" si="64"/>
        <v>2089.085958</v>
      </c>
      <c r="AU168" s="1746"/>
      <c r="AV168" s="1746">
        <f t="shared" ref="AV168:BG168" si="65">AV165*AV145</f>
        <v>2038.739139</v>
      </c>
      <c r="AW168" s="1746">
        <f t="shared" si="65"/>
        <v>1989.605674</v>
      </c>
      <c r="AX168" s="1746">
        <f t="shared" si="65"/>
        <v>1941.656323</v>
      </c>
      <c r="AY168" s="1746">
        <f t="shared" si="65"/>
        <v>1894.862547</v>
      </c>
      <c r="AZ168" s="1746">
        <f t="shared" si="65"/>
        <v>1849.196498</v>
      </c>
      <c r="BA168" s="1746">
        <f t="shared" si="65"/>
        <v>1804.630997</v>
      </c>
      <c r="BB168" s="1746">
        <f t="shared" si="65"/>
        <v>1782.487447</v>
      </c>
      <c r="BC168" s="1746">
        <f t="shared" si="65"/>
        <v>1760.615607</v>
      </c>
      <c r="BD168" s="1746">
        <f t="shared" si="65"/>
        <v>1739.012143</v>
      </c>
      <c r="BE168" s="1746">
        <f t="shared" si="65"/>
        <v>1717.673763</v>
      </c>
      <c r="BF168" s="1746">
        <f t="shared" si="65"/>
        <v>1696.597213</v>
      </c>
      <c r="BG168" s="1746">
        <f t="shared" si="65"/>
        <v>1675.779281</v>
      </c>
      <c r="BH168" s="1719"/>
      <c r="BI168" s="1719"/>
      <c r="BJ168" s="1719"/>
      <c r="BK168" s="1720"/>
      <c r="BL168" s="1719"/>
      <c r="BM168" s="1719"/>
      <c r="BN168" s="1719"/>
      <c r="BO168" s="1719"/>
      <c r="BP168" s="1719"/>
      <c r="BQ168" s="1719"/>
      <c r="BR168" s="1719"/>
    </row>
    <row r="169">
      <c r="S169" s="1705" t="s">
        <v>295</v>
      </c>
      <c r="T169" s="1653"/>
      <c r="U169" s="1653"/>
      <c r="V169" s="376">
        <f t="shared" ref="V169:AT169" si="66">V165*V145</f>
        <v>30762.63708</v>
      </c>
      <c r="W169" s="376">
        <f t="shared" si="66"/>
        <v>7690.65927</v>
      </c>
      <c r="X169" s="376">
        <f t="shared" si="66"/>
        <v>7266.989945</v>
      </c>
      <c r="Y169" s="376">
        <f t="shared" si="66"/>
        <v>6866.660062</v>
      </c>
      <c r="Z169" s="376">
        <f t="shared" si="66"/>
        <v>6488.383879</v>
      </c>
      <c r="AA169" s="376">
        <f t="shared" si="66"/>
        <v>6130.946484</v>
      </c>
      <c r="AB169" s="376">
        <f t="shared" si="66"/>
        <v>5793.199892</v>
      </c>
      <c r="AC169" s="376">
        <f t="shared" si="66"/>
        <v>5474.059361</v>
      </c>
      <c r="AD169" s="376">
        <f t="shared" si="66"/>
        <v>5172.499904</v>
      </c>
      <c r="AE169" s="376">
        <f t="shared" si="66"/>
        <v>4887.553001</v>
      </c>
      <c r="AF169" s="376">
        <f t="shared" si="66"/>
        <v>4618.303485</v>
      </c>
      <c r="AG169" s="376">
        <f t="shared" si="66"/>
        <v>4363.886608</v>
      </c>
      <c r="AH169" s="376">
        <f t="shared" si="66"/>
        <v>4123.485255</v>
      </c>
      <c r="AI169" s="376">
        <f t="shared" si="66"/>
        <v>3896.327328</v>
      </c>
      <c r="AJ169" s="376">
        <f t="shared" si="66"/>
        <v>3681.683263</v>
      </c>
      <c r="AK169" s="376">
        <f t="shared" si="66"/>
        <v>3478.863686</v>
      </c>
      <c r="AL169" s="376">
        <f t="shared" si="66"/>
        <v>3287.217199</v>
      </c>
      <c r="AM169" s="376">
        <f t="shared" si="66"/>
        <v>3106.128291</v>
      </c>
      <c r="AN169" s="376">
        <f t="shared" si="66"/>
        <v>2935.015357</v>
      </c>
      <c r="AO169" s="376">
        <f t="shared" si="66"/>
        <v>2773.328831</v>
      </c>
      <c r="AP169" s="376">
        <f t="shared" si="66"/>
        <v>2620.549426</v>
      </c>
      <c r="AQ169" s="376">
        <f t="shared" si="66"/>
        <v>2476.186457</v>
      </c>
      <c r="AR169" s="376">
        <f t="shared" si="66"/>
        <v>2339.776273</v>
      </c>
      <c r="AS169" s="376">
        <f t="shared" si="66"/>
        <v>2210.880765</v>
      </c>
      <c r="AT169" s="1746">
        <f t="shared" si="66"/>
        <v>2089.085958</v>
      </c>
      <c r="AU169" s="1746"/>
      <c r="AV169" s="1746">
        <f t="shared" ref="AV169:BG169" si="67">AV165*AV145</f>
        <v>2038.739139</v>
      </c>
      <c r="AW169" s="1746">
        <f t="shared" si="67"/>
        <v>1989.605674</v>
      </c>
      <c r="AX169" s="1746">
        <f t="shared" si="67"/>
        <v>1941.656323</v>
      </c>
      <c r="AY169" s="1746">
        <f t="shared" si="67"/>
        <v>1894.862547</v>
      </c>
      <c r="AZ169" s="1746">
        <f t="shared" si="67"/>
        <v>1849.196498</v>
      </c>
      <c r="BA169" s="1746">
        <f t="shared" si="67"/>
        <v>1804.630997</v>
      </c>
      <c r="BB169" s="1746">
        <f t="shared" si="67"/>
        <v>1782.487447</v>
      </c>
      <c r="BC169" s="1746">
        <f t="shared" si="67"/>
        <v>1760.615607</v>
      </c>
      <c r="BD169" s="1746">
        <f t="shared" si="67"/>
        <v>1739.012143</v>
      </c>
      <c r="BE169" s="1746">
        <f t="shared" si="67"/>
        <v>1717.673763</v>
      </c>
      <c r="BF169" s="1746">
        <f t="shared" si="67"/>
        <v>1696.597213</v>
      </c>
      <c r="BG169" s="1746">
        <f t="shared" si="67"/>
        <v>1675.779281</v>
      </c>
      <c r="BH169" s="1719"/>
      <c r="BI169" s="1719"/>
      <c r="BJ169" s="1719"/>
      <c r="BK169" s="1720"/>
      <c r="BL169" s="1719"/>
      <c r="BM169" s="1719"/>
      <c r="BN169" s="1719"/>
      <c r="BO169" s="1719"/>
      <c r="BP169" s="1719"/>
      <c r="BQ169" s="1719"/>
      <c r="BR169" s="1719"/>
    </row>
    <row r="170" ht="37.5" customHeight="1">
      <c r="S170" s="1705" t="s">
        <v>296</v>
      </c>
      <c r="T170" s="1653"/>
      <c r="U170" s="1653"/>
      <c r="V170" s="376">
        <f t="shared" ref="V170:AT170" si="68">(1/8*V165)*V145</f>
        <v>3845.329635</v>
      </c>
      <c r="W170" s="376">
        <f t="shared" si="68"/>
        <v>961.3324087</v>
      </c>
      <c r="X170" s="376">
        <f t="shared" si="68"/>
        <v>908.3737431</v>
      </c>
      <c r="Y170" s="376">
        <f t="shared" si="68"/>
        <v>858.3325078</v>
      </c>
      <c r="Z170" s="376">
        <f t="shared" si="68"/>
        <v>811.0479849</v>
      </c>
      <c r="AA170" s="376">
        <f t="shared" si="68"/>
        <v>766.3683105</v>
      </c>
      <c r="AB170" s="376">
        <f t="shared" si="68"/>
        <v>724.1499865</v>
      </c>
      <c r="AC170" s="376">
        <f t="shared" si="68"/>
        <v>684.2574201</v>
      </c>
      <c r="AD170" s="376">
        <f t="shared" si="68"/>
        <v>646.562488</v>
      </c>
      <c r="AE170" s="376">
        <f t="shared" si="68"/>
        <v>610.9441251</v>
      </c>
      <c r="AF170" s="376">
        <f t="shared" si="68"/>
        <v>577.2879357</v>
      </c>
      <c r="AG170" s="376">
        <f t="shared" si="68"/>
        <v>545.485826</v>
      </c>
      <c r="AH170" s="376">
        <f t="shared" si="68"/>
        <v>515.4356569</v>
      </c>
      <c r="AI170" s="376">
        <f t="shared" si="68"/>
        <v>487.040916</v>
      </c>
      <c r="AJ170" s="376">
        <f t="shared" si="68"/>
        <v>460.2104079</v>
      </c>
      <c r="AK170" s="376">
        <f t="shared" si="68"/>
        <v>434.8579607</v>
      </c>
      <c r="AL170" s="376">
        <f t="shared" si="68"/>
        <v>410.9021499</v>
      </c>
      <c r="AM170" s="376">
        <f t="shared" si="68"/>
        <v>388.2660364</v>
      </c>
      <c r="AN170" s="376">
        <f t="shared" si="68"/>
        <v>366.8769196</v>
      </c>
      <c r="AO170" s="376">
        <f t="shared" si="68"/>
        <v>346.6661039</v>
      </c>
      <c r="AP170" s="376">
        <f t="shared" si="68"/>
        <v>327.5686782</v>
      </c>
      <c r="AQ170" s="376">
        <f t="shared" si="68"/>
        <v>309.5233071</v>
      </c>
      <c r="AR170" s="376">
        <f t="shared" si="68"/>
        <v>292.4720341</v>
      </c>
      <c r="AS170" s="376">
        <f t="shared" si="68"/>
        <v>276.3600956</v>
      </c>
      <c r="AT170" s="1746">
        <f t="shared" si="68"/>
        <v>261.1357447</v>
      </c>
      <c r="AU170" s="1746"/>
      <c r="AV170" s="1746">
        <f t="shared" ref="AV170:BG170" si="69">(1/8*AV165)*AV145</f>
        <v>254.8423923</v>
      </c>
      <c r="AW170" s="1746">
        <f t="shared" si="69"/>
        <v>248.7007093</v>
      </c>
      <c r="AX170" s="1746">
        <f t="shared" si="69"/>
        <v>242.7070403</v>
      </c>
      <c r="AY170" s="1746">
        <f t="shared" si="69"/>
        <v>236.8578183</v>
      </c>
      <c r="AZ170" s="1746">
        <f t="shared" si="69"/>
        <v>231.1495622</v>
      </c>
      <c r="BA170" s="1746">
        <f t="shared" si="69"/>
        <v>225.5788746</v>
      </c>
      <c r="BB170" s="1746">
        <f t="shared" si="69"/>
        <v>222.8109308</v>
      </c>
      <c r="BC170" s="1746">
        <f t="shared" si="69"/>
        <v>220.0769508</v>
      </c>
      <c r="BD170" s="1746">
        <f t="shared" si="69"/>
        <v>217.3765179</v>
      </c>
      <c r="BE170" s="1746">
        <f t="shared" si="69"/>
        <v>214.7092203</v>
      </c>
      <c r="BF170" s="1746">
        <f t="shared" si="69"/>
        <v>212.0746516</v>
      </c>
      <c r="BG170" s="1746">
        <f t="shared" si="69"/>
        <v>209.4724101</v>
      </c>
      <c r="BH170" s="1719"/>
      <c r="BI170" s="1719"/>
      <c r="BJ170" s="1719"/>
      <c r="BK170" s="1720"/>
      <c r="BL170" s="1719"/>
      <c r="BM170" s="1719"/>
      <c r="BN170" s="1719"/>
      <c r="BO170" s="1719"/>
      <c r="BP170" s="1719"/>
      <c r="BQ170" s="1719"/>
      <c r="BR170" s="1719"/>
    </row>
    <row r="171">
      <c r="S171" s="1747" t="s">
        <v>297</v>
      </c>
      <c r="T171" s="1653"/>
      <c r="U171" s="1653"/>
      <c r="V171" s="376">
        <f t="shared" ref="V171:AT171" si="70">(0.875*V165*($C$41+$C$41*(1 - $C$41))*(1 - $C$52)+$C$41*(1 - $C$41)^2*(1 - 2*$C$52))</f>
        <v>27821.56304</v>
      </c>
      <c r="W171" s="376">
        <f t="shared" si="70"/>
        <v>6955.392486</v>
      </c>
      <c r="X171" s="376">
        <f t="shared" si="70"/>
        <v>6572.228265</v>
      </c>
      <c r="Y171" s="376">
        <f t="shared" si="70"/>
        <v>6210.172109</v>
      </c>
      <c r="Z171" s="376">
        <f t="shared" si="70"/>
        <v>5868.061198</v>
      </c>
      <c r="AA171" s="376">
        <f t="shared" si="70"/>
        <v>5544.796772</v>
      </c>
      <c r="AB171" s="376">
        <f t="shared" si="70"/>
        <v>5239.340602</v>
      </c>
      <c r="AC171" s="376">
        <f t="shared" si="70"/>
        <v>4950.71165</v>
      </c>
      <c r="AD171" s="376">
        <f t="shared" si="70"/>
        <v>4677.982927</v>
      </c>
      <c r="AE171" s="376">
        <f t="shared" si="70"/>
        <v>4420.278506</v>
      </c>
      <c r="AF171" s="376">
        <f t="shared" si="70"/>
        <v>4176.770717</v>
      </c>
      <c r="AG171" s="376">
        <f t="shared" si="70"/>
        <v>3946.677484</v>
      </c>
      <c r="AH171" s="376">
        <f t="shared" si="70"/>
        <v>3729.259815</v>
      </c>
      <c r="AI171" s="376">
        <f t="shared" si="70"/>
        <v>3523.819428</v>
      </c>
      <c r="AJ171" s="376">
        <f t="shared" si="70"/>
        <v>3329.69651</v>
      </c>
      <c r="AK171" s="376">
        <f t="shared" si="70"/>
        <v>3146.267593</v>
      </c>
      <c r="AL171" s="376">
        <f t="shared" si="70"/>
        <v>2972.943559</v>
      </c>
      <c r="AM171" s="376">
        <f t="shared" si="70"/>
        <v>2809.167741</v>
      </c>
      <c r="AN171" s="376">
        <f t="shared" si="70"/>
        <v>2654.414138</v>
      </c>
      <c r="AO171" s="376">
        <f t="shared" si="70"/>
        <v>2508.185729</v>
      </c>
      <c r="AP171" s="376">
        <f t="shared" si="70"/>
        <v>2370.01287</v>
      </c>
      <c r="AQ171" s="376">
        <f t="shared" si="70"/>
        <v>2239.45179</v>
      </c>
      <c r="AR171" s="376">
        <f t="shared" si="70"/>
        <v>2116.083166</v>
      </c>
      <c r="AS171" s="376">
        <f t="shared" si="70"/>
        <v>1999.510774</v>
      </c>
      <c r="AT171" s="1746">
        <f t="shared" si="70"/>
        <v>1889.360216</v>
      </c>
      <c r="AU171" s="1746"/>
      <c r="AV171" s="1746">
        <f t="shared" ref="AV171:BG171" si="71">(0.875*AV165*($C$41+$C$41*(1 - $C$41))*(1 - $C$52)+$C$41*(1 - $C$41)^2*(1 - 2*$C$52))</f>
        <v>1843.826828</v>
      </c>
      <c r="AW171" s="1746">
        <f t="shared" si="71"/>
        <v>1799.390792</v>
      </c>
      <c r="AX171" s="1746">
        <f t="shared" si="71"/>
        <v>1756.02566</v>
      </c>
      <c r="AY171" s="1746">
        <f t="shared" si="71"/>
        <v>1713.705626</v>
      </c>
      <c r="AZ171" s="1746">
        <f t="shared" si="71"/>
        <v>1672.4055</v>
      </c>
      <c r="BA171" s="1746">
        <f t="shared" si="71"/>
        <v>1632.100705</v>
      </c>
      <c r="BB171" s="1746">
        <f t="shared" si="71"/>
        <v>1612.0742</v>
      </c>
      <c r="BC171" s="1746">
        <f t="shared" si="71"/>
        <v>1592.293427</v>
      </c>
      <c r="BD171" s="1746">
        <f t="shared" si="71"/>
        <v>1572.755373</v>
      </c>
      <c r="BE171" s="1746">
        <f t="shared" si="71"/>
        <v>1553.457058</v>
      </c>
      <c r="BF171" s="1746">
        <f t="shared" si="71"/>
        <v>1534.395542</v>
      </c>
      <c r="BG171" s="1746">
        <f t="shared" si="71"/>
        <v>1515.567918</v>
      </c>
      <c r="BH171" s="1719"/>
      <c r="BI171" s="1719"/>
      <c r="BJ171" s="1719"/>
      <c r="BK171" s="1720"/>
      <c r="BL171" s="1719"/>
      <c r="BM171" s="1719"/>
      <c r="BN171" s="1719"/>
      <c r="BO171" s="1719"/>
      <c r="BP171" s="1719"/>
      <c r="BQ171" s="1719"/>
      <c r="BR171" s="1719"/>
    </row>
    <row r="172">
      <c r="S172" s="1748" t="s">
        <v>298</v>
      </c>
      <c r="T172" s="1749"/>
      <c r="U172" s="1749"/>
      <c r="V172" s="1750">
        <f t="shared" ref="V172:AT172" si="72">V167+V168+V169+V170+V171</f>
        <v>123954.8039</v>
      </c>
      <c r="W172" s="1750">
        <f t="shared" si="72"/>
        <v>30988.7027</v>
      </c>
      <c r="X172" s="1750">
        <f t="shared" si="72"/>
        <v>29281.57184</v>
      </c>
      <c r="Y172" s="1750">
        <f t="shared" si="72"/>
        <v>27668.4848</v>
      </c>
      <c r="Z172" s="1750">
        <f t="shared" si="72"/>
        <v>26144.26082</v>
      </c>
      <c r="AA172" s="1750">
        <f t="shared" si="72"/>
        <v>24704.00453</v>
      </c>
      <c r="AB172" s="1750">
        <f t="shared" si="72"/>
        <v>23343.09026</v>
      </c>
      <c r="AC172" s="1750">
        <f t="shared" si="72"/>
        <v>22057.14715</v>
      </c>
      <c r="AD172" s="1750">
        <f t="shared" si="72"/>
        <v>20842.04513</v>
      </c>
      <c r="AE172" s="1750">
        <f t="shared" si="72"/>
        <v>19693.88163</v>
      </c>
      <c r="AF172" s="1750">
        <f t="shared" si="72"/>
        <v>18608.96911</v>
      </c>
      <c r="AG172" s="1750">
        <f t="shared" si="72"/>
        <v>17583.82313</v>
      </c>
      <c r="AH172" s="1750">
        <f t="shared" si="72"/>
        <v>16615.15124</v>
      </c>
      <c r="AI172" s="1750">
        <f t="shared" si="72"/>
        <v>15699.84233</v>
      </c>
      <c r="AJ172" s="1750">
        <f t="shared" si="72"/>
        <v>14834.95671</v>
      </c>
      <c r="AK172" s="1750">
        <f t="shared" si="72"/>
        <v>14017.71661</v>
      </c>
      <c r="AL172" s="1750">
        <f t="shared" si="72"/>
        <v>13245.49731</v>
      </c>
      <c r="AM172" s="1750">
        <f t="shared" si="72"/>
        <v>12515.81865</v>
      </c>
      <c r="AN172" s="1750">
        <f t="shared" si="72"/>
        <v>11826.33713</v>
      </c>
      <c r="AO172" s="1750">
        <f t="shared" si="72"/>
        <v>11174.83833</v>
      </c>
      <c r="AP172" s="1750">
        <f t="shared" si="72"/>
        <v>10559.22982</v>
      </c>
      <c r="AQ172" s="1750">
        <f t="shared" si="72"/>
        <v>9977.534467</v>
      </c>
      <c r="AR172" s="1750">
        <f t="shared" si="72"/>
        <v>9427.884019</v>
      </c>
      <c r="AS172" s="1750">
        <f t="shared" si="72"/>
        <v>8908.513164</v>
      </c>
      <c r="AT172" s="1751">
        <f t="shared" si="72"/>
        <v>8417.753835</v>
      </c>
      <c r="AU172" s="1752"/>
      <c r="AV172" s="1751">
        <f t="shared" ref="AV172:BG172" si="73">AV167+AV168+AV169+AV170+AV171</f>
        <v>8214.886637</v>
      </c>
      <c r="AW172" s="1751">
        <f t="shared" si="73"/>
        <v>8016.908523</v>
      </c>
      <c r="AX172" s="1751">
        <f t="shared" si="73"/>
        <v>7823.701668</v>
      </c>
      <c r="AY172" s="1751">
        <f t="shared" si="73"/>
        <v>7635.151084</v>
      </c>
      <c r="AZ172" s="1751">
        <f t="shared" si="73"/>
        <v>7451.144556</v>
      </c>
      <c r="BA172" s="1751">
        <f t="shared" si="73"/>
        <v>7271.572571</v>
      </c>
      <c r="BB172" s="1751">
        <f t="shared" si="73"/>
        <v>7182.347471</v>
      </c>
      <c r="BC172" s="1751">
        <f t="shared" si="73"/>
        <v>7094.217198</v>
      </c>
      <c r="BD172" s="1751">
        <f t="shared" si="73"/>
        <v>7007.16832</v>
      </c>
      <c r="BE172" s="1751">
        <f t="shared" si="73"/>
        <v>6921.187567</v>
      </c>
      <c r="BF172" s="1751">
        <f t="shared" si="73"/>
        <v>6836.261832</v>
      </c>
      <c r="BG172" s="1751">
        <f t="shared" si="73"/>
        <v>6752.37817</v>
      </c>
      <c r="BH172" s="1719"/>
      <c r="BI172" s="1719"/>
      <c r="BJ172" s="1719"/>
      <c r="BK172" s="1720"/>
      <c r="BL172" s="1719"/>
      <c r="BM172" s="1719"/>
      <c r="BN172" s="1719"/>
      <c r="BO172" s="1719"/>
      <c r="BP172" s="1719"/>
      <c r="BQ172" s="1719"/>
      <c r="BR172" s="1719"/>
    </row>
    <row r="173">
      <c r="S173" s="1753" t="s">
        <v>299</v>
      </c>
      <c r="T173" s="1754" t="str">
        <f t="shared" ref="T173:AT173" si="74">T165*4</f>
        <v>#DIV/0!</v>
      </c>
      <c r="U173" s="1754" t="str">
        <f t="shared" si="74"/>
        <v>#DIV/0!</v>
      </c>
      <c r="V173" s="1755">
        <f t="shared" si="74"/>
        <v>129526.893</v>
      </c>
      <c r="W173" s="1755">
        <f t="shared" si="74"/>
        <v>32381.72324</v>
      </c>
      <c r="X173" s="1755">
        <f t="shared" si="74"/>
        <v>30597.8524</v>
      </c>
      <c r="Y173" s="1755">
        <f t="shared" si="74"/>
        <v>28912.25289</v>
      </c>
      <c r="Z173" s="1755">
        <f t="shared" si="74"/>
        <v>27319.51107</v>
      </c>
      <c r="AA173" s="1755">
        <f t="shared" si="74"/>
        <v>25814.51151</v>
      </c>
      <c r="AB173" s="1755">
        <f t="shared" si="74"/>
        <v>24392.4206</v>
      </c>
      <c r="AC173" s="1755">
        <f t="shared" si="74"/>
        <v>23048.67099</v>
      </c>
      <c r="AD173" s="1755">
        <f t="shared" si="74"/>
        <v>21778.94696</v>
      </c>
      <c r="AE173" s="1755">
        <f t="shared" si="74"/>
        <v>20579.17053</v>
      </c>
      <c r="AF173" s="1755">
        <f t="shared" si="74"/>
        <v>19445.48836</v>
      </c>
      <c r="AG173" s="1755">
        <f t="shared" si="74"/>
        <v>18374.2594</v>
      </c>
      <c r="AH173" s="1755">
        <f t="shared" si="74"/>
        <v>17362.04318</v>
      </c>
      <c r="AI173" s="1755">
        <f t="shared" si="74"/>
        <v>16405.58875</v>
      </c>
      <c r="AJ173" s="1755">
        <f t="shared" si="74"/>
        <v>15501.82427</v>
      </c>
      <c r="AK173" s="1755">
        <f t="shared" si="74"/>
        <v>14647.8471</v>
      </c>
      <c r="AL173" s="1755">
        <f t="shared" si="74"/>
        <v>13840.91452</v>
      </c>
      <c r="AM173" s="1755">
        <f t="shared" si="74"/>
        <v>13078.43491</v>
      </c>
      <c r="AN173" s="1755">
        <f t="shared" si="74"/>
        <v>12357.9594</v>
      </c>
      <c r="AO173" s="1755">
        <f t="shared" si="74"/>
        <v>11677.17403</v>
      </c>
      <c r="AP173" s="1755">
        <f t="shared" si="74"/>
        <v>11033.89232</v>
      </c>
      <c r="AQ173" s="1755">
        <f t="shared" si="74"/>
        <v>10426.04824</v>
      </c>
      <c r="AR173" s="1755">
        <f t="shared" si="74"/>
        <v>9851.68957</v>
      </c>
      <c r="AS173" s="1755">
        <f t="shared" si="74"/>
        <v>9308.971641</v>
      </c>
      <c r="AT173" s="1756">
        <f t="shared" si="74"/>
        <v>8796.151401</v>
      </c>
      <c r="AU173" s="1756"/>
      <c r="AV173" s="1756">
        <f t="shared" ref="AV173:BG173" si="75">AV165*4</f>
        <v>8584.164794</v>
      </c>
      <c r="AW173" s="1756">
        <f t="shared" si="75"/>
        <v>8377.287049</v>
      </c>
      <c r="AX173" s="1756">
        <f t="shared" si="75"/>
        <v>8175.395042</v>
      </c>
      <c r="AY173" s="1756">
        <f t="shared" si="75"/>
        <v>7978.368618</v>
      </c>
      <c r="AZ173" s="1756">
        <f t="shared" si="75"/>
        <v>7786.090516</v>
      </c>
      <c r="BA173" s="1756">
        <f t="shared" si="75"/>
        <v>7598.446303</v>
      </c>
      <c r="BB173" s="1756">
        <f t="shared" si="75"/>
        <v>7505.210302</v>
      </c>
      <c r="BC173" s="1756">
        <f t="shared" si="75"/>
        <v>7413.118344</v>
      </c>
      <c r="BD173" s="1756">
        <f t="shared" si="75"/>
        <v>7322.156392</v>
      </c>
      <c r="BE173" s="1756">
        <f t="shared" si="75"/>
        <v>7232.31058</v>
      </c>
      <c r="BF173" s="1756">
        <f t="shared" si="75"/>
        <v>7143.567212</v>
      </c>
      <c r="BG173" s="1756">
        <f t="shared" si="75"/>
        <v>7055.912761</v>
      </c>
      <c r="BH173" s="1719"/>
      <c r="BI173" s="1719"/>
      <c r="BJ173" s="1719"/>
      <c r="BK173" s="1720"/>
      <c r="BL173" s="1719"/>
      <c r="BM173" s="1719"/>
      <c r="BN173" s="1719"/>
      <c r="BO173" s="1719"/>
      <c r="BP173" s="1719"/>
      <c r="BQ173" s="1719"/>
      <c r="BR173" s="1719"/>
    </row>
    <row r="174">
      <c r="AT174" s="1695"/>
      <c r="AU174" s="1695"/>
      <c r="AV174" s="1695"/>
      <c r="AW174" s="1695"/>
      <c r="AX174" s="1695"/>
      <c r="AY174" s="1695"/>
      <c r="AZ174" s="1695"/>
      <c r="BA174" s="1695"/>
      <c r="BB174" s="1695"/>
      <c r="BC174" s="1695"/>
      <c r="BD174" s="1695"/>
      <c r="BE174" s="1695"/>
      <c r="BF174" s="1695"/>
      <c r="BG174" s="1695"/>
    </row>
    <row r="175">
      <c r="S175" s="1757" t="s">
        <v>19</v>
      </c>
      <c r="T175" s="1743"/>
      <c r="U175" s="1743"/>
      <c r="V175" s="1743"/>
      <c r="W175" s="1743"/>
      <c r="X175" s="1743"/>
      <c r="Y175" s="1743"/>
      <c r="Z175" s="1743"/>
      <c r="AA175" s="1743"/>
      <c r="AB175" s="1743"/>
      <c r="AC175" s="1743"/>
      <c r="AD175" s="1743"/>
      <c r="AE175" s="1743"/>
      <c r="AF175" s="1743"/>
      <c r="AG175" s="1743"/>
      <c r="AH175" s="1743"/>
      <c r="AI175" s="1743"/>
      <c r="AJ175" s="1743"/>
      <c r="AK175" s="1743"/>
      <c r="AL175" s="1743"/>
      <c r="AM175" s="1743"/>
      <c r="AN175" s="1743"/>
      <c r="AO175" s="1743"/>
      <c r="AP175" s="1743"/>
      <c r="AQ175" s="1743"/>
      <c r="AR175" s="1743"/>
      <c r="AS175" s="1743"/>
      <c r="AT175" s="1744"/>
      <c r="AU175" s="1744"/>
      <c r="AV175" s="1744"/>
      <c r="AW175" s="1744"/>
      <c r="AX175" s="1744"/>
      <c r="AY175" s="1744"/>
      <c r="AZ175" s="1744"/>
      <c r="BA175" s="1744"/>
      <c r="BB175" s="1744"/>
      <c r="BC175" s="1744"/>
      <c r="BD175" s="1744"/>
      <c r="BE175" s="1744"/>
      <c r="BF175" s="1744"/>
      <c r="BG175" s="1744"/>
    </row>
    <row r="176">
      <c r="S176" s="1705" t="s">
        <v>300</v>
      </c>
      <c r="W176" s="1758">
        <f t="shared" ref="W176:AD176" si="76">((W172*W147*$C$93 - W173*W147*(1-$C$93)) *W161  / 10^9)</f>
        <v>22624.32132</v>
      </c>
      <c r="X176" s="1758">
        <f t="shared" si="76"/>
        <v>23943.33122</v>
      </c>
      <c r="Y176" s="1758">
        <f t="shared" si="76"/>
        <v>25339.24011</v>
      </c>
      <c r="Z176" s="1758">
        <f t="shared" si="76"/>
        <v>26816.53124</v>
      </c>
      <c r="AA176" s="1758">
        <f t="shared" si="76"/>
        <v>28379.94923</v>
      </c>
      <c r="AB176" s="1758">
        <f t="shared" si="76"/>
        <v>30034.51532</v>
      </c>
      <c r="AC176" s="1758">
        <f t="shared" si="76"/>
        <v>31785.54351</v>
      </c>
      <c r="AD176" s="1758">
        <f t="shared" si="76"/>
        <v>33638.65758</v>
      </c>
      <c r="AE176" s="1758">
        <f t="shared" ref="AE176:AT176" si="77">((AE172*AE147*$C$93 - AE173*AE147*(1-$C$93)) *$F$40  / 10^9)/12</f>
        <v>35599.8092</v>
      </c>
      <c r="AF176" s="1758">
        <f t="shared" si="77"/>
        <v>37675.29702</v>
      </c>
      <c r="AG176" s="1758">
        <f t="shared" si="77"/>
        <v>39871.7869</v>
      </c>
      <c r="AH176" s="1758">
        <f t="shared" si="77"/>
        <v>42196.33333</v>
      </c>
      <c r="AI176" s="1758">
        <f t="shared" si="77"/>
        <v>44656.40207</v>
      </c>
      <c r="AJ176" s="1758">
        <f t="shared" si="77"/>
        <v>47259.89416</v>
      </c>
      <c r="AK176" s="1758">
        <f t="shared" si="77"/>
        <v>50015.17125</v>
      </c>
      <c r="AL176" s="1758">
        <f t="shared" si="77"/>
        <v>52931.0825</v>
      </c>
      <c r="AM176" s="1758">
        <f t="shared" si="77"/>
        <v>56016.99297</v>
      </c>
      <c r="AN176" s="1758">
        <f t="shared" si="77"/>
        <v>59282.81371</v>
      </c>
      <c r="AO176" s="1758">
        <f t="shared" si="77"/>
        <v>62739.03359</v>
      </c>
      <c r="AP176" s="1758">
        <f t="shared" si="77"/>
        <v>66396.75299</v>
      </c>
      <c r="AQ176" s="1758">
        <f t="shared" si="77"/>
        <v>70267.71946</v>
      </c>
      <c r="AR176" s="1758">
        <f t="shared" si="77"/>
        <v>74364.36541</v>
      </c>
      <c r="AS176" s="1758">
        <f t="shared" si="77"/>
        <v>78699.84809</v>
      </c>
      <c r="AT176" s="1759">
        <f t="shared" si="77"/>
        <v>83288.09184</v>
      </c>
      <c r="AU176" s="1759"/>
      <c r="AV176" s="1759">
        <f t="shared" ref="AV176:BG176" si="78">((AV172*AV147*$C$93 - AV173*AV147*(1-$C$93)) *$F$40  / 10^9)/12</f>
        <v>85344.89825</v>
      </c>
      <c r="AW176" s="1759">
        <f t="shared" si="78"/>
        <v>87452.49769</v>
      </c>
      <c r="AX176" s="1759">
        <f t="shared" si="78"/>
        <v>89612.1445</v>
      </c>
      <c r="AY176" s="1759">
        <f t="shared" si="78"/>
        <v>91825.12397</v>
      </c>
      <c r="AZ176" s="1759">
        <f t="shared" si="78"/>
        <v>94092.75318</v>
      </c>
      <c r="BA176" s="1759">
        <f t="shared" si="78"/>
        <v>96416.38171</v>
      </c>
      <c r="BB176" s="1759">
        <f t="shared" si="78"/>
        <v>97614.14707</v>
      </c>
      <c r="BC176" s="1759">
        <f t="shared" si="78"/>
        <v>98826.79208</v>
      </c>
      <c r="BD176" s="1759">
        <f t="shared" si="78"/>
        <v>100054.5016</v>
      </c>
      <c r="BE176" s="1759">
        <f t="shared" si="78"/>
        <v>101297.4628</v>
      </c>
      <c r="BF176" s="1759">
        <f t="shared" si="78"/>
        <v>102555.865</v>
      </c>
      <c r="BG176" s="1759">
        <f t="shared" si="78"/>
        <v>103829.9002</v>
      </c>
    </row>
    <row r="177">
      <c r="S177" s="1705" t="s">
        <v>301</v>
      </c>
      <c r="W177" s="376">
        <f>C42+W176</f>
        <v>113022624.3</v>
      </c>
      <c r="X177" s="376">
        <f t="shared" ref="X177:AT177" si="79">W177+X176</f>
        <v>113046567.7</v>
      </c>
      <c r="Y177" s="376">
        <f t="shared" si="79"/>
        <v>113071906.9</v>
      </c>
      <c r="Z177" s="376">
        <f t="shared" si="79"/>
        <v>113098723.4</v>
      </c>
      <c r="AA177" s="376">
        <f t="shared" si="79"/>
        <v>113127103.4</v>
      </c>
      <c r="AB177" s="376">
        <f t="shared" si="79"/>
        <v>113157137.9</v>
      </c>
      <c r="AC177" s="376">
        <f t="shared" si="79"/>
        <v>113188923.4</v>
      </c>
      <c r="AD177" s="376">
        <f t="shared" si="79"/>
        <v>113222562.1</v>
      </c>
      <c r="AE177" s="376">
        <f t="shared" si="79"/>
        <v>113258161.9</v>
      </c>
      <c r="AF177" s="376">
        <f t="shared" si="79"/>
        <v>113295837.2</v>
      </c>
      <c r="AG177" s="376">
        <f t="shared" si="79"/>
        <v>113335709</v>
      </c>
      <c r="AH177" s="376">
        <f t="shared" si="79"/>
        <v>113377905.3</v>
      </c>
      <c r="AI177" s="376">
        <f t="shared" si="79"/>
        <v>113422561.7</v>
      </c>
      <c r="AJ177" s="376">
        <f t="shared" si="79"/>
        <v>113469821.6</v>
      </c>
      <c r="AK177" s="376">
        <f t="shared" si="79"/>
        <v>113519836.8</v>
      </c>
      <c r="AL177" s="376">
        <f t="shared" si="79"/>
        <v>113572767.9</v>
      </c>
      <c r="AM177" s="376">
        <f t="shared" si="79"/>
        <v>113628784.9</v>
      </c>
      <c r="AN177" s="376">
        <f t="shared" si="79"/>
        <v>113688067.7</v>
      </c>
      <c r="AO177" s="376">
        <f t="shared" si="79"/>
        <v>113750806.7</v>
      </c>
      <c r="AP177" s="376">
        <f t="shared" si="79"/>
        <v>113817203.5</v>
      </c>
      <c r="AQ177" s="376">
        <f t="shared" si="79"/>
        <v>113887471.2</v>
      </c>
      <c r="AR177" s="376">
        <f t="shared" si="79"/>
        <v>113961835.5</v>
      </c>
      <c r="AS177" s="376">
        <f t="shared" si="79"/>
        <v>114040535.4</v>
      </c>
      <c r="AT177" s="1746">
        <f t="shared" si="79"/>
        <v>114123823.5</v>
      </c>
      <c r="AU177" s="1695"/>
      <c r="AV177" s="1746">
        <f>AT177+AV176</f>
        <v>114209168.4</v>
      </c>
      <c r="AW177" s="1746">
        <f t="shared" ref="AW177:BG177" si="80">AV177+AW176</f>
        <v>114296620.9</v>
      </c>
      <c r="AX177" s="1746">
        <f t="shared" si="80"/>
        <v>114386233</v>
      </c>
      <c r="AY177" s="1746">
        <f t="shared" si="80"/>
        <v>114478058.1</v>
      </c>
      <c r="AZ177" s="1746">
        <f t="shared" si="80"/>
        <v>114572150.9</v>
      </c>
      <c r="BA177" s="1746">
        <f t="shared" si="80"/>
        <v>114668567.3</v>
      </c>
      <c r="BB177" s="1746">
        <f t="shared" si="80"/>
        <v>114766181.4</v>
      </c>
      <c r="BC177" s="1746">
        <f t="shared" si="80"/>
        <v>114865008.2</v>
      </c>
      <c r="BD177" s="1746">
        <f t="shared" si="80"/>
        <v>114965062.7</v>
      </c>
      <c r="BE177" s="1746">
        <f t="shared" si="80"/>
        <v>115066360.2</v>
      </c>
      <c r="BF177" s="1746">
        <f t="shared" si="80"/>
        <v>115168916.1</v>
      </c>
      <c r="BG177" s="1746">
        <f t="shared" si="80"/>
        <v>115272746</v>
      </c>
    </row>
    <row r="178">
      <c r="S178" s="1705" t="s">
        <v>302</v>
      </c>
      <c r="W178" s="1760">
        <f>W176/C42</f>
        <v>0.0002002152329</v>
      </c>
      <c r="X178" s="1760">
        <f t="shared" ref="X178:AT178" si="81">X176/W177</f>
        <v>0.0002118454723</v>
      </c>
      <c r="Y178" s="1760">
        <f t="shared" si="81"/>
        <v>0.0002241486906</v>
      </c>
      <c r="Z178" s="1760">
        <f t="shared" si="81"/>
        <v>0.0002371635181</v>
      </c>
      <c r="AA178" s="1760">
        <f t="shared" si="81"/>
        <v>0.0002509307653</v>
      </c>
      <c r="AB178" s="1760">
        <f t="shared" si="81"/>
        <v>0.0002654935416</v>
      </c>
      <c r="AC178" s="1760">
        <f t="shared" si="81"/>
        <v>0.0002808973796</v>
      </c>
      <c r="AD178" s="1760">
        <f t="shared" si="81"/>
        <v>0.000297190366</v>
      </c>
      <c r="AE178" s="1760">
        <f t="shared" si="81"/>
        <v>0.0003144232788</v>
      </c>
      <c r="AF178" s="1760">
        <f t="shared" si="81"/>
        <v>0.0003326497304</v>
      </c>
      <c r="AG178" s="1760">
        <f t="shared" si="81"/>
        <v>0.0003519263186</v>
      </c>
      <c r="AH178" s="1760">
        <f t="shared" si="81"/>
        <v>0.0003723127839</v>
      </c>
      <c r="AI178" s="1760">
        <f t="shared" si="81"/>
        <v>0.0003938721742</v>
      </c>
      <c r="AJ178" s="1760">
        <f t="shared" si="81"/>
        <v>0.0004166710171</v>
      </c>
      <c r="AK178" s="1760">
        <f t="shared" si="81"/>
        <v>0.0004407795001</v>
      </c>
      <c r="AL178" s="1760">
        <f t="shared" si="81"/>
        <v>0.0004662716579</v>
      </c>
      <c r="AM178" s="1760">
        <f t="shared" si="81"/>
        <v>0.0004932255682</v>
      </c>
      <c r="AN178" s="1760">
        <f t="shared" si="81"/>
        <v>0.000521723556</v>
      </c>
      <c r="AO178" s="1760">
        <f t="shared" si="81"/>
        <v>0.0005518524052</v>
      </c>
      <c r="AP178" s="1760">
        <f t="shared" si="81"/>
        <v>0.000583703579</v>
      </c>
      <c r="AQ178" s="1760">
        <f t="shared" si="81"/>
        <v>0.000617373449</v>
      </c>
      <c r="AR178" s="1760">
        <f t="shared" si="81"/>
        <v>0.0006529635318</v>
      </c>
      <c r="AS178" s="1760">
        <f t="shared" si="81"/>
        <v>0.0006905807345</v>
      </c>
      <c r="AT178" s="1761">
        <f t="shared" si="81"/>
        <v>0.000730337608</v>
      </c>
      <c r="AU178" s="1761"/>
      <c r="AV178" s="1761">
        <f>AV176/AT177</f>
        <v>0.0007478271902</v>
      </c>
      <c r="AW178" s="1761">
        <f t="shared" ref="AW178:BG178" si="82">AW176/AV177</f>
        <v>0.0007657222177</v>
      </c>
      <c r="AX178" s="1761">
        <f t="shared" si="82"/>
        <v>0.0007840314421</v>
      </c>
      <c r="AY178" s="1761">
        <f t="shared" si="82"/>
        <v>0.0008027637728</v>
      </c>
      <c r="AZ178" s="1761">
        <f t="shared" si="82"/>
        <v>0.0008219282778</v>
      </c>
      <c r="BA178" s="1761">
        <f t="shared" si="82"/>
        <v>0.0008415341857</v>
      </c>
      <c r="BB178" s="1761">
        <f t="shared" si="82"/>
        <v>0.0008512720563</v>
      </c>
      <c r="BC178" s="1761">
        <f t="shared" si="82"/>
        <v>0.0008611142311</v>
      </c>
      <c r="BD178" s="1761">
        <f t="shared" si="82"/>
        <v>0.0008710616326</v>
      </c>
      <c r="BE178" s="1761">
        <f t="shared" si="82"/>
        <v>0.0008811151871</v>
      </c>
      <c r="BF178" s="1761">
        <f t="shared" si="82"/>
        <v>0.0008912758243</v>
      </c>
      <c r="BG178" s="1761">
        <f t="shared" si="82"/>
        <v>0.0009015444774</v>
      </c>
    </row>
    <row r="179">
      <c r="S179" s="1725" t="s">
        <v>303</v>
      </c>
      <c r="T179" s="1762"/>
      <c r="U179" s="1762"/>
      <c r="V179" s="1762"/>
      <c r="W179" s="1762"/>
      <c r="X179" s="1763">
        <f t="shared" ref="X179:AT179" si="83">(X147*32)/X177</f>
        <v>0.03764820187</v>
      </c>
      <c r="Y179" s="1763">
        <f t="shared" si="83"/>
        <v>0.04215653676</v>
      </c>
      <c r="Z179" s="1763">
        <f t="shared" si="83"/>
        <v>0.04720412608</v>
      </c>
      <c r="AA179" s="1763">
        <f t="shared" si="83"/>
        <v>0.05285535817</v>
      </c>
      <c r="AB179" s="1763">
        <f t="shared" si="83"/>
        <v>0.05918228864</v>
      </c>
      <c r="AC179" s="1763">
        <f t="shared" si="83"/>
        <v>0.06626554946</v>
      </c>
      <c r="AD179" s="1763">
        <f t="shared" si="83"/>
        <v>0.07419536524</v>
      </c>
      <c r="AE179" s="1763">
        <f t="shared" si="83"/>
        <v>0.08307268909</v>
      </c>
      <c r="AF179" s="1763">
        <f t="shared" si="83"/>
        <v>0.09301047187</v>
      </c>
      <c r="AG179" s="1763">
        <f t="shared" si="83"/>
        <v>0.1041350806</v>
      </c>
      <c r="AH179" s="1763">
        <f t="shared" si="83"/>
        <v>0.1165878831</v>
      </c>
      <c r="AI179" s="1763">
        <f t="shared" si="83"/>
        <v>0.1305270181</v>
      </c>
      <c r="AJ179" s="1763">
        <f t="shared" si="83"/>
        <v>0.1461293725</v>
      </c>
      <c r="AK179" s="1763">
        <f t="shared" si="83"/>
        <v>0.1635927888</v>
      </c>
      <c r="AL179" s="1763">
        <f t="shared" si="83"/>
        <v>0.1831385311</v>
      </c>
      <c r="AM179" s="1763">
        <f t="shared" si="83"/>
        <v>0.2050140367</v>
      </c>
      <c r="AN179" s="1763">
        <f t="shared" si="83"/>
        <v>0.2294959877</v>
      </c>
      <c r="AO179" s="1763">
        <f t="shared" si="83"/>
        <v>0.2568937388</v>
      </c>
      <c r="AP179" s="1763">
        <f t="shared" si="83"/>
        <v>0.2875531416</v>
      </c>
      <c r="AQ179" s="1763">
        <f t="shared" si="83"/>
        <v>0.3218608103</v>
      </c>
      <c r="AR179" s="1763">
        <f t="shared" si="83"/>
        <v>0.3602488781</v>
      </c>
      <c r="AS179" s="1763">
        <f t="shared" si="83"/>
        <v>0.4032003012</v>
      </c>
      <c r="AT179" s="1764">
        <f t="shared" si="83"/>
        <v>0.451254769</v>
      </c>
      <c r="AU179" s="1764"/>
      <c r="AV179" s="1764">
        <f t="shared" ref="AV179:BG179" si="84">(AV147*32)/AV177</f>
        <v>0.4734634386</v>
      </c>
      <c r="AW179" s="1764">
        <f t="shared" si="84"/>
        <v>0.4967562332</v>
      </c>
      <c r="AX179" s="1764">
        <f t="shared" si="84"/>
        <v>0.5211854191</v>
      </c>
      <c r="AY179" s="1764">
        <f t="shared" si="84"/>
        <v>0.5468057342</v>
      </c>
      <c r="AZ179" s="1764">
        <f t="shared" si="84"/>
        <v>0.5736745017</v>
      </c>
      <c r="BA179" s="1764">
        <f t="shared" si="84"/>
        <v>0.6018517479</v>
      </c>
      <c r="BB179" s="1764">
        <f t="shared" si="84"/>
        <v>0.6163733402</v>
      </c>
      <c r="BC179" s="1764">
        <f t="shared" si="84"/>
        <v>0.6312391048</v>
      </c>
      <c r="BD179" s="1764">
        <f t="shared" si="84"/>
        <v>0.6464569785</v>
      </c>
      <c r="BE179" s="1764">
        <f t="shared" si="84"/>
        <v>0.6620350738</v>
      </c>
      <c r="BF179" s="1764">
        <f t="shared" si="84"/>
        <v>0.677981682</v>
      </c>
      <c r="BG179" s="1764">
        <f t="shared" si="84"/>
        <v>0.6943052769</v>
      </c>
    </row>
    <row r="180">
      <c r="S180" s="9"/>
      <c r="X180" s="379"/>
      <c r="Y180" s="379"/>
      <c r="Z180" s="379"/>
      <c r="AA180" s="379"/>
      <c r="AB180" s="379"/>
      <c r="AC180" s="379"/>
      <c r="AD180" s="379"/>
      <c r="AE180" s="379"/>
      <c r="AF180" s="379"/>
      <c r="AG180" s="379"/>
      <c r="AH180" s="379"/>
      <c r="AI180" s="379"/>
      <c r="AJ180" s="379"/>
      <c r="AK180" s="379"/>
      <c r="AL180" s="379"/>
      <c r="AM180" s="379"/>
      <c r="AN180" s="379"/>
      <c r="AO180" s="379"/>
      <c r="AP180" s="379"/>
      <c r="AQ180" s="379"/>
      <c r="AR180" s="379"/>
      <c r="AS180" s="379"/>
      <c r="AT180" s="1765"/>
      <c r="AU180" s="1766"/>
      <c r="AV180" s="1766"/>
      <c r="AW180" s="1766"/>
      <c r="AX180" s="1766"/>
      <c r="AY180" s="1766"/>
      <c r="AZ180" s="1766"/>
      <c r="BA180" s="1766"/>
      <c r="BB180" s="1766"/>
      <c r="BC180" s="1766"/>
      <c r="BD180" s="1766"/>
      <c r="BE180" s="1766"/>
      <c r="BF180" s="1766"/>
      <c r="BG180" s="1766"/>
      <c r="BH180" s="1766"/>
      <c r="BI180" s="1766"/>
      <c r="BJ180" s="1766"/>
      <c r="BK180" s="1718"/>
      <c r="BL180" s="1766"/>
      <c r="BM180" s="1766"/>
      <c r="BN180" s="1766"/>
      <c r="BO180" s="1766"/>
      <c r="BP180" s="1766"/>
      <c r="BQ180" s="1766"/>
      <c r="BR180" s="1766"/>
    </row>
    <row r="181">
      <c r="S181" s="1767" t="s">
        <v>304</v>
      </c>
      <c r="T181" s="1768">
        <f>average(W182:AT182)</f>
        <v>0.6607655016</v>
      </c>
      <c r="U181" s="1769"/>
      <c r="V181" s="1769"/>
      <c r="W181" s="1769"/>
      <c r="X181" s="1769"/>
      <c r="Y181" s="1769"/>
      <c r="Z181" s="1769"/>
      <c r="AA181" s="1769"/>
      <c r="AB181" s="1769"/>
      <c r="AC181" s="1769"/>
      <c r="AD181" s="1769"/>
      <c r="AE181" s="1769"/>
      <c r="AF181" s="1769"/>
      <c r="AG181" s="1769"/>
      <c r="AH181" s="1769"/>
      <c r="AI181" s="1769"/>
      <c r="AJ181" s="1769"/>
      <c r="AK181" s="1769"/>
      <c r="AL181" s="1769"/>
      <c r="AM181" s="1769"/>
      <c r="AN181" s="1769"/>
      <c r="AO181" s="1769"/>
      <c r="AP181" s="1769"/>
      <c r="AQ181" s="1769"/>
      <c r="AR181" s="1769"/>
      <c r="AS181" s="1769"/>
      <c r="AT181" s="1770"/>
      <c r="AU181" s="23"/>
      <c r="AV181" s="23"/>
      <c r="AW181" s="23"/>
      <c r="AX181" s="23"/>
      <c r="AY181" s="23"/>
      <c r="AZ181" s="23"/>
      <c r="BA181" s="23"/>
      <c r="BB181" s="23"/>
      <c r="BC181" s="23"/>
      <c r="BD181" s="23"/>
      <c r="BE181" s="23"/>
      <c r="BF181" s="23"/>
      <c r="BG181" s="23"/>
      <c r="BH181" s="23"/>
      <c r="BI181" s="23"/>
      <c r="BJ181" s="23"/>
      <c r="BK181" s="1681"/>
      <c r="BL181" s="23"/>
      <c r="BM181" s="23"/>
      <c r="BN181" s="23"/>
      <c r="BO181" s="23"/>
      <c r="BP181" s="23"/>
      <c r="BQ181" s="23"/>
      <c r="BR181" s="23"/>
    </row>
    <row r="182">
      <c r="S182" s="1771" t="s">
        <v>305</v>
      </c>
      <c r="T182" s="1772" t="str">
        <f t="shared" ref="T182:V182" si="85">(T158/T147)*T198</f>
        <v>#DIV/0!</v>
      </c>
      <c r="U182" s="1772" t="str">
        <f t="shared" si="85"/>
        <v>#DIV/0!</v>
      </c>
      <c r="V182" s="1772">
        <f t="shared" si="85"/>
        <v>29.10315789</v>
      </c>
      <c r="W182" s="1772">
        <f t="shared" ref="W182:AT182" si="86">(W158/W147)*1</f>
        <v>1.818947368</v>
      </c>
      <c r="X182" s="1772">
        <f t="shared" si="86"/>
        <v>1.62406015</v>
      </c>
      <c r="Y182" s="1772">
        <f t="shared" si="86"/>
        <v>1.450053706</v>
      </c>
      <c r="Z182" s="1772">
        <f t="shared" si="86"/>
        <v>1.294690809</v>
      </c>
      <c r="AA182" s="1772">
        <f t="shared" si="86"/>
        <v>1.155973936</v>
      </c>
      <c r="AB182" s="1772">
        <f t="shared" si="86"/>
        <v>1.032119586</v>
      </c>
      <c r="AC182" s="1772">
        <f t="shared" si="86"/>
        <v>0.9215353446</v>
      </c>
      <c r="AD182" s="1772">
        <f t="shared" si="86"/>
        <v>0.8227994148</v>
      </c>
      <c r="AE182" s="1772">
        <f t="shared" si="86"/>
        <v>0.7346423347</v>
      </c>
      <c r="AF182" s="1772">
        <f t="shared" si="86"/>
        <v>0.655930656</v>
      </c>
      <c r="AG182" s="1772">
        <f t="shared" si="86"/>
        <v>0.5856523714</v>
      </c>
      <c r="AH182" s="1772">
        <f t="shared" si="86"/>
        <v>0.522903903</v>
      </c>
      <c r="AI182" s="1772">
        <f t="shared" si="86"/>
        <v>0.4668784849</v>
      </c>
      <c r="AJ182" s="1772">
        <f t="shared" si="86"/>
        <v>0.41685579</v>
      </c>
      <c r="AK182" s="1772">
        <f t="shared" si="86"/>
        <v>0.3721926697</v>
      </c>
      <c r="AL182" s="1772">
        <f t="shared" si="86"/>
        <v>0.3323148836</v>
      </c>
      <c r="AM182" s="1772">
        <f t="shared" si="86"/>
        <v>0.2967097175</v>
      </c>
      <c r="AN182" s="1772">
        <f t="shared" si="86"/>
        <v>0.2649193907</v>
      </c>
      <c r="AO182" s="1772">
        <f t="shared" si="86"/>
        <v>0.2365351702</v>
      </c>
      <c r="AP182" s="1772">
        <f t="shared" si="86"/>
        <v>0.2111921163</v>
      </c>
      <c r="AQ182" s="1772">
        <f t="shared" si="86"/>
        <v>0.1885643895</v>
      </c>
      <c r="AR182" s="1772">
        <f t="shared" si="86"/>
        <v>0.1683610621</v>
      </c>
      <c r="AS182" s="1772">
        <f t="shared" si="86"/>
        <v>0.1503223769</v>
      </c>
      <c r="AT182" s="1773">
        <f t="shared" si="86"/>
        <v>0.1342164079</v>
      </c>
      <c r="AU182" s="1773"/>
      <c r="AV182" s="1773">
        <f t="shared" ref="AV182:BG182" si="87">(AV158/AV147)*1</f>
        <v>0.1278251504</v>
      </c>
      <c r="AW182" s="1773">
        <f t="shared" si="87"/>
        <v>0.1217382385</v>
      </c>
      <c r="AX182" s="1773">
        <f t="shared" si="87"/>
        <v>0.1159411795</v>
      </c>
      <c r="AY182" s="1773">
        <f t="shared" si="87"/>
        <v>0.1104201709</v>
      </c>
      <c r="AZ182" s="1773">
        <f t="shared" si="87"/>
        <v>0.1051620676</v>
      </c>
      <c r="BA182" s="1773">
        <f t="shared" si="87"/>
        <v>0.1001543501</v>
      </c>
      <c r="BB182" s="1773">
        <f t="shared" si="87"/>
        <v>0.09771156104</v>
      </c>
      <c r="BC182" s="1773">
        <f t="shared" si="87"/>
        <v>0.09532835223</v>
      </c>
      <c r="BD182" s="1773">
        <f t="shared" si="87"/>
        <v>0.09300327047</v>
      </c>
      <c r="BE182" s="1773">
        <f t="shared" si="87"/>
        <v>0.09073489802</v>
      </c>
      <c r="BF182" s="1773">
        <f t="shared" si="87"/>
        <v>0.08852185173</v>
      </c>
      <c r="BG182" s="1773">
        <f t="shared" si="87"/>
        <v>0.08636278217</v>
      </c>
      <c r="BH182" s="1774"/>
      <c r="BI182" s="1774"/>
      <c r="BJ182" s="1774"/>
      <c r="BK182" s="1775"/>
      <c r="BL182" s="1774"/>
      <c r="BM182" s="1774"/>
      <c r="BN182" s="1774"/>
      <c r="BO182" s="1774"/>
      <c r="BP182" s="1774"/>
      <c r="BQ182" s="1774"/>
      <c r="BR182" s="1774"/>
    </row>
    <row r="183">
      <c r="S183" s="1776"/>
      <c r="T183" s="1777"/>
      <c r="U183" s="1777"/>
      <c r="V183" s="1777"/>
      <c r="W183" s="1778">
        <f t="shared" ref="W183:AT183" si="88">W182</f>
        <v>1.818947368</v>
      </c>
      <c r="X183" s="1778">
        <f t="shared" si="88"/>
        <v>1.62406015</v>
      </c>
      <c r="Y183" s="1778">
        <f t="shared" si="88"/>
        <v>1.450053706</v>
      </c>
      <c r="Z183" s="1778">
        <f t="shared" si="88"/>
        <v>1.294690809</v>
      </c>
      <c r="AA183" s="1778">
        <f t="shared" si="88"/>
        <v>1.155973936</v>
      </c>
      <c r="AB183" s="1778">
        <f t="shared" si="88"/>
        <v>1.032119586</v>
      </c>
      <c r="AC183" s="1778">
        <f t="shared" si="88"/>
        <v>0.9215353446</v>
      </c>
      <c r="AD183" s="1778">
        <f t="shared" si="88"/>
        <v>0.8227994148</v>
      </c>
      <c r="AE183" s="1778">
        <f t="shared" si="88"/>
        <v>0.7346423347</v>
      </c>
      <c r="AF183" s="1778">
        <f t="shared" si="88"/>
        <v>0.655930656</v>
      </c>
      <c r="AG183" s="1778">
        <f t="shared" si="88"/>
        <v>0.5856523714</v>
      </c>
      <c r="AH183" s="1778">
        <f t="shared" si="88"/>
        <v>0.522903903</v>
      </c>
      <c r="AI183" s="1778">
        <f t="shared" si="88"/>
        <v>0.4668784849</v>
      </c>
      <c r="AJ183" s="1778">
        <f t="shared" si="88"/>
        <v>0.41685579</v>
      </c>
      <c r="AK183" s="1778">
        <f t="shared" si="88"/>
        <v>0.3721926697</v>
      </c>
      <c r="AL183" s="1778">
        <f t="shared" si="88"/>
        <v>0.3323148836</v>
      </c>
      <c r="AM183" s="1778">
        <f t="shared" si="88"/>
        <v>0.2967097175</v>
      </c>
      <c r="AN183" s="1778">
        <f t="shared" si="88"/>
        <v>0.2649193907</v>
      </c>
      <c r="AO183" s="1778">
        <f t="shared" si="88"/>
        <v>0.2365351702</v>
      </c>
      <c r="AP183" s="1778">
        <f t="shared" si="88"/>
        <v>0.2111921163</v>
      </c>
      <c r="AQ183" s="1778">
        <f t="shared" si="88"/>
        <v>0.1885643895</v>
      </c>
      <c r="AR183" s="1778">
        <f t="shared" si="88"/>
        <v>0.1683610621</v>
      </c>
      <c r="AS183" s="1778">
        <f t="shared" si="88"/>
        <v>0.1503223769</v>
      </c>
      <c r="AT183" s="1778">
        <f t="shared" si="88"/>
        <v>0.1342164079</v>
      </c>
      <c r="AU183" s="1779"/>
      <c r="AV183" s="1779"/>
      <c r="AW183" s="1779"/>
      <c r="AX183" s="1779"/>
      <c r="AY183" s="1779"/>
      <c r="AZ183" s="1779"/>
      <c r="BA183" s="1779"/>
      <c r="BB183" s="1779"/>
      <c r="BC183" s="1779"/>
      <c r="BD183" s="1779"/>
      <c r="BE183" s="1779"/>
      <c r="BF183" s="1779"/>
      <c r="BG183" s="1779"/>
      <c r="BH183" s="1779"/>
      <c r="BI183" s="1779"/>
      <c r="BJ183" s="1779"/>
      <c r="BK183" s="1780"/>
      <c r="BL183" s="1779"/>
      <c r="BM183" s="1779"/>
      <c r="BN183" s="1779"/>
      <c r="BO183" s="1779"/>
      <c r="BP183" s="1779"/>
      <c r="BQ183" s="1779"/>
      <c r="BR183" s="1779"/>
    </row>
    <row r="184">
      <c r="AT184" s="1695"/>
      <c r="AU184" s="23"/>
      <c r="AV184" s="23"/>
      <c r="AW184" s="23"/>
      <c r="AX184" s="23"/>
      <c r="AY184" s="23"/>
      <c r="AZ184" s="23"/>
      <c r="BA184" s="23"/>
      <c r="BB184" s="23"/>
      <c r="BC184" s="23"/>
      <c r="BD184" s="23"/>
      <c r="BE184" s="23"/>
      <c r="BF184" s="23"/>
      <c r="BG184" s="23"/>
      <c r="BH184" s="23"/>
      <c r="BI184" s="23"/>
      <c r="BJ184" s="23"/>
      <c r="BK184" s="1681"/>
      <c r="BL184" s="23"/>
      <c r="BM184" s="23"/>
      <c r="BN184" s="23"/>
      <c r="BO184" s="23"/>
      <c r="BP184" s="23"/>
      <c r="BQ184" s="23"/>
      <c r="BR184" s="23"/>
    </row>
    <row r="185">
      <c r="S185" s="1767" t="s">
        <v>306</v>
      </c>
      <c r="U185" s="1743"/>
      <c r="V185" s="1781"/>
      <c r="W185" s="1743"/>
      <c r="X185" s="1743"/>
      <c r="Y185" s="1743"/>
      <c r="Z185" s="1743"/>
      <c r="AA185" s="1743"/>
      <c r="AB185" s="1743"/>
      <c r="AC185" s="1743"/>
      <c r="AD185" s="1743"/>
      <c r="AE185" s="1743"/>
      <c r="AF185" s="1743"/>
      <c r="AG185" s="1743"/>
      <c r="AH185" s="1743"/>
      <c r="AI185" s="1743"/>
      <c r="AJ185" s="1743"/>
      <c r="AK185" s="1743"/>
      <c r="AL185" s="1743"/>
      <c r="AM185" s="1743"/>
      <c r="AN185" s="1743"/>
      <c r="AO185" s="1743"/>
      <c r="AP185" s="1743"/>
      <c r="AQ185" s="1743"/>
      <c r="AR185" s="1743"/>
      <c r="AS185" s="1743"/>
      <c r="AT185" s="1744"/>
      <c r="AU185" s="23"/>
      <c r="AV185" s="23"/>
      <c r="AW185" s="23"/>
      <c r="AX185" s="23"/>
      <c r="AY185" s="23"/>
      <c r="AZ185" s="23"/>
      <c r="BA185" s="23"/>
      <c r="BB185" s="23"/>
      <c r="BC185" s="23"/>
      <c r="BD185" s="23"/>
      <c r="BE185" s="23"/>
      <c r="BF185" s="23"/>
      <c r="BG185" s="23"/>
      <c r="BH185" s="23"/>
      <c r="BI185" s="23"/>
      <c r="BJ185" s="23"/>
      <c r="BK185" s="1681"/>
      <c r="BL185" s="23"/>
      <c r="BM185" s="23"/>
      <c r="BN185" s="23"/>
      <c r="BO185" s="23"/>
      <c r="BP185" s="23"/>
      <c r="BQ185" s="23"/>
      <c r="BR185" s="23"/>
    </row>
    <row r="186">
      <c r="S186" s="1705" t="s">
        <v>307</v>
      </c>
      <c r="T186" s="1782" t="str">
        <f t="shared" ref="T186:U186" si="89">((#REF!*$F$93-T173*(1-$F$93))*(1-$V$185))*T161</f>
        <v>#REF!</v>
      </c>
      <c r="U186" s="1782" t="str">
        <f t="shared" si="89"/>
        <v>#REF!</v>
      </c>
      <c r="V186" s="1782">
        <f t="shared" ref="V186:AT186" si="90">(V167+V168+V169)*$F$93</f>
        <v>87673.51567</v>
      </c>
      <c r="W186" s="1782">
        <f t="shared" si="90"/>
        <v>21918.37892</v>
      </c>
      <c r="X186" s="1782">
        <f t="shared" si="90"/>
        <v>20710.92134</v>
      </c>
      <c r="Y186" s="1782">
        <f t="shared" si="90"/>
        <v>19569.98118</v>
      </c>
      <c r="Z186" s="1782">
        <f t="shared" si="90"/>
        <v>18491.89406</v>
      </c>
      <c r="AA186" s="1782">
        <f t="shared" si="90"/>
        <v>17473.19748</v>
      </c>
      <c r="AB186" s="1782">
        <f t="shared" si="90"/>
        <v>16510.61969</v>
      </c>
      <c r="AC186" s="1782">
        <f t="shared" si="90"/>
        <v>15601.06918</v>
      </c>
      <c r="AD186" s="1782">
        <f t="shared" si="90"/>
        <v>14741.62473</v>
      </c>
      <c r="AE186" s="1782">
        <f t="shared" si="90"/>
        <v>13929.52605</v>
      </c>
      <c r="AF186" s="1782">
        <f t="shared" si="90"/>
        <v>13162.16493</v>
      </c>
      <c r="AG186" s="1782">
        <f t="shared" si="90"/>
        <v>12437.07683</v>
      </c>
      <c r="AH186" s="1782">
        <f t="shared" si="90"/>
        <v>11751.93298</v>
      </c>
      <c r="AI186" s="1782">
        <f t="shared" si="90"/>
        <v>11104.53289</v>
      </c>
      <c r="AJ186" s="1782">
        <f t="shared" si="90"/>
        <v>10492.7973</v>
      </c>
      <c r="AK186" s="1782">
        <f t="shared" si="90"/>
        <v>9914.761505</v>
      </c>
      <c r="AL186" s="1782">
        <f t="shared" si="90"/>
        <v>9368.569018</v>
      </c>
      <c r="AM186" s="1782">
        <f t="shared" si="90"/>
        <v>8852.46563</v>
      </c>
      <c r="AN186" s="1782">
        <f t="shared" si="90"/>
        <v>8364.793766</v>
      </c>
      <c r="AO186" s="1782">
        <f t="shared" si="90"/>
        <v>7903.987169</v>
      </c>
      <c r="AP186" s="1782">
        <f t="shared" si="90"/>
        <v>7468.565863</v>
      </c>
      <c r="AQ186" s="1782">
        <f t="shared" si="90"/>
        <v>7057.131401</v>
      </c>
      <c r="AR186" s="1782">
        <f t="shared" si="90"/>
        <v>6668.362377</v>
      </c>
      <c r="AS186" s="1782">
        <f t="shared" si="90"/>
        <v>6301.01018</v>
      </c>
      <c r="AT186" s="1783">
        <f t="shared" si="90"/>
        <v>5953.89498</v>
      </c>
      <c r="AU186" s="1783"/>
      <c r="AV186" s="1783">
        <f t="shared" ref="AV186:BG186" si="91">(AV167+AV168+AV169)*$F$93</f>
        <v>5810.406545</v>
      </c>
      <c r="AW186" s="1783">
        <f t="shared" si="91"/>
        <v>5670.376171</v>
      </c>
      <c r="AX186" s="1783">
        <f t="shared" si="91"/>
        <v>5533.720519</v>
      </c>
      <c r="AY186" s="1783">
        <f t="shared" si="91"/>
        <v>5400.358258</v>
      </c>
      <c r="AZ186" s="1783">
        <f t="shared" si="91"/>
        <v>5270.210018</v>
      </c>
      <c r="BA186" s="1783">
        <f t="shared" si="91"/>
        <v>5143.198341</v>
      </c>
      <c r="BB186" s="1783">
        <f t="shared" si="91"/>
        <v>5080.089223</v>
      </c>
      <c r="BC186" s="1783">
        <f t="shared" si="91"/>
        <v>5017.754479</v>
      </c>
      <c r="BD186" s="1783">
        <f t="shared" si="91"/>
        <v>4956.184608</v>
      </c>
      <c r="BE186" s="1783">
        <f t="shared" si="91"/>
        <v>4895.370224</v>
      </c>
      <c r="BF186" s="1783">
        <f t="shared" si="91"/>
        <v>4835.302057</v>
      </c>
      <c r="BG186" s="1783">
        <f t="shared" si="91"/>
        <v>4775.97095</v>
      </c>
      <c r="BH186" s="23"/>
      <c r="BI186" s="23"/>
      <c r="BJ186" s="23"/>
      <c r="BK186" s="1681"/>
      <c r="BL186" s="23"/>
      <c r="BM186" s="23"/>
      <c r="BN186" s="23"/>
      <c r="BO186" s="23"/>
      <c r="BP186" s="23"/>
      <c r="BQ186" s="23"/>
      <c r="BR186" s="23"/>
    </row>
    <row r="187">
      <c r="S187" s="1705" t="s">
        <v>308</v>
      </c>
      <c r="T187" s="1782" t="str">
        <f t="shared" ref="T187:U187" si="92">((#REF!*$F$93-T173*(1-$F$93))*($V$185))*T182</f>
        <v>#REF!</v>
      </c>
      <c r="U187" s="1782" t="str">
        <f t="shared" si="92"/>
        <v>#REF!</v>
      </c>
      <c r="V187" s="1782">
        <f t="shared" ref="V187:AT187" si="93">(V171*$F$93)*(1/V188)</f>
        <v>26430.48489</v>
      </c>
      <c r="W187" s="1782">
        <f t="shared" si="93"/>
        <v>6607.622862</v>
      </c>
      <c r="X187" s="1782">
        <f t="shared" si="93"/>
        <v>6243.616852</v>
      </c>
      <c r="Y187" s="1782">
        <f t="shared" si="93"/>
        <v>5899.663503</v>
      </c>
      <c r="Z187" s="1782">
        <f t="shared" si="93"/>
        <v>5574.658138</v>
      </c>
      <c r="AA187" s="1782">
        <f t="shared" si="93"/>
        <v>5267.556934</v>
      </c>
      <c r="AB187" s="1782">
        <f t="shared" si="93"/>
        <v>4977.373572</v>
      </c>
      <c r="AC187" s="1782">
        <f t="shared" si="93"/>
        <v>4703.176068</v>
      </c>
      <c r="AD187" s="1782">
        <f t="shared" si="93"/>
        <v>4444.08378</v>
      </c>
      <c r="AE187" s="1782">
        <f t="shared" si="93"/>
        <v>4199.26458</v>
      </c>
      <c r="AF187" s="1782">
        <f t="shared" si="93"/>
        <v>3967.932181</v>
      </c>
      <c r="AG187" s="1782">
        <f t="shared" si="93"/>
        <v>3749.34361</v>
      </c>
      <c r="AH187" s="1782">
        <f t="shared" si="93"/>
        <v>3542.796824</v>
      </c>
      <c r="AI187" s="1782">
        <f t="shared" si="93"/>
        <v>3347.628457</v>
      </c>
      <c r="AJ187" s="1782">
        <f t="shared" si="93"/>
        <v>3163.211684</v>
      </c>
      <c r="AK187" s="1782">
        <f t="shared" si="93"/>
        <v>2988.954214</v>
      </c>
      <c r="AL187" s="1782">
        <f t="shared" si="93"/>
        <v>2824.296381</v>
      </c>
      <c r="AM187" s="1782">
        <f t="shared" si="93"/>
        <v>2668.709354</v>
      </c>
      <c r="AN187" s="1782">
        <f t="shared" si="93"/>
        <v>2521.693431</v>
      </c>
      <c r="AO187" s="1782">
        <f t="shared" si="93"/>
        <v>2382.776443</v>
      </c>
      <c r="AP187" s="1782">
        <f t="shared" si="93"/>
        <v>2251.512227</v>
      </c>
      <c r="AQ187" s="1782">
        <f t="shared" si="93"/>
        <v>2127.479201</v>
      </c>
      <c r="AR187" s="1782">
        <f t="shared" si="93"/>
        <v>2010.279008</v>
      </c>
      <c r="AS187" s="1782">
        <f t="shared" si="93"/>
        <v>1899.535235</v>
      </c>
      <c r="AT187" s="1783">
        <f t="shared" si="93"/>
        <v>1794.892206</v>
      </c>
      <c r="AU187" s="1783"/>
      <c r="AV187" s="1783">
        <f t="shared" ref="AV187:BG187" si="94">(AV171*$F$93)*(1/AV188)</f>
        <v>1751.635487</v>
      </c>
      <c r="AW187" s="1783">
        <f t="shared" si="94"/>
        <v>1709.421252</v>
      </c>
      <c r="AX187" s="1783">
        <f t="shared" si="94"/>
        <v>1668.224377</v>
      </c>
      <c r="AY187" s="1783">
        <f t="shared" si="94"/>
        <v>1628.020344</v>
      </c>
      <c r="AZ187" s="1783">
        <f t="shared" si="94"/>
        <v>1588.785225</v>
      </c>
      <c r="BA187" s="1783">
        <f t="shared" si="94"/>
        <v>1550.49567</v>
      </c>
      <c r="BB187" s="1783">
        <f t="shared" si="94"/>
        <v>1531.47049</v>
      </c>
      <c r="BC187" s="1783">
        <f t="shared" si="94"/>
        <v>1512.678756</v>
      </c>
      <c r="BD187" s="1783">
        <f t="shared" si="94"/>
        <v>1494.117604</v>
      </c>
      <c r="BE187" s="1783">
        <f t="shared" si="94"/>
        <v>1475.784205</v>
      </c>
      <c r="BF187" s="1783">
        <f t="shared" si="94"/>
        <v>1457.675765</v>
      </c>
      <c r="BG187" s="1783">
        <f t="shared" si="94"/>
        <v>1439.789522</v>
      </c>
      <c r="BH187" s="23"/>
      <c r="BI187" s="23"/>
      <c r="BJ187" s="23"/>
      <c r="BK187" s="1681"/>
      <c r="BL187" s="23"/>
      <c r="BM187" s="23"/>
      <c r="BN187" s="23"/>
      <c r="BO187" s="23"/>
      <c r="BP187" s="23"/>
      <c r="BQ187" s="23"/>
      <c r="BR187" s="23"/>
    </row>
    <row r="188">
      <c r="S188" s="1784" t="s">
        <v>309</v>
      </c>
      <c r="T188" s="1782"/>
      <c r="U188" s="1782"/>
      <c r="V188" s="1785">
        <v>1.0</v>
      </c>
      <c r="W188" s="1785">
        <f>F94</f>
        <v>1</v>
      </c>
      <c r="X188" s="1785">
        <v>1.0</v>
      </c>
      <c r="Y188" s="1785">
        <v>1.0</v>
      </c>
      <c r="Z188" s="1785">
        <v>1.0</v>
      </c>
      <c r="AA188" s="1785">
        <v>1.0</v>
      </c>
      <c r="AB188" s="1785">
        <v>1.0</v>
      </c>
      <c r="AC188" s="1785">
        <v>1.0</v>
      </c>
      <c r="AD188" s="1785">
        <v>1.0</v>
      </c>
      <c r="AE188" s="1785">
        <v>1.0</v>
      </c>
      <c r="AF188" s="1785">
        <v>1.0</v>
      </c>
      <c r="AG188" s="1785">
        <v>1.0</v>
      </c>
      <c r="AH188" s="1785">
        <v>1.0</v>
      </c>
      <c r="AI188" s="1785">
        <v>1.0</v>
      </c>
      <c r="AJ188" s="1785">
        <v>1.0</v>
      </c>
      <c r="AK188" s="1785">
        <v>1.0</v>
      </c>
      <c r="AL188" s="1785">
        <v>1.0</v>
      </c>
      <c r="AM188" s="1785">
        <v>1.0</v>
      </c>
      <c r="AN188" s="1785">
        <v>1.0</v>
      </c>
      <c r="AO188" s="1785">
        <v>1.0</v>
      </c>
      <c r="AP188" s="1785">
        <v>1.0</v>
      </c>
      <c r="AQ188" s="1785">
        <v>1.0</v>
      </c>
      <c r="AR188" s="1785">
        <v>1.0</v>
      </c>
      <c r="AS188" s="1785">
        <v>1.0</v>
      </c>
      <c r="AT188" s="1786">
        <v>1.0</v>
      </c>
      <c r="AU188" s="1786"/>
      <c r="AV188" s="1786">
        <v>1.0</v>
      </c>
      <c r="AW188" s="1786">
        <v>1.0</v>
      </c>
      <c r="AX188" s="1786">
        <v>1.0</v>
      </c>
      <c r="AY188" s="1786">
        <v>1.0</v>
      </c>
      <c r="AZ188" s="1786">
        <v>1.0</v>
      </c>
      <c r="BA188" s="1786">
        <v>1.0</v>
      </c>
      <c r="BB188" s="1786">
        <v>1.0</v>
      </c>
      <c r="BC188" s="1786">
        <v>1.0</v>
      </c>
      <c r="BD188" s="1786">
        <v>1.0</v>
      </c>
      <c r="BE188" s="1786">
        <v>1.0</v>
      </c>
      <c r="BF188" s="1786">
        <v>1.0</v>
      </c>
      <c r="BG188" s="1786">
        <v>1.0</v>
      </c>
      <c r="BH188" s="1787"/>
      <c r="BI188" s="1787"/>
      <c r="BJ188" s="1787"/>
      <c r="BK188" s="1788"/>
      <c r="BL188" s="1787"/>
      <c r="BM188" s="1787"/>
      <c r="BN188" s="1787"/>
      <c r="BO188" s="1787"/>
      <c r="BP188" s="1787"/>
      <c r="BQ188" s="1787"/>
      <c r="BR188" s="1787"/>
    </row>
    <row r="189">
      <c r="S189" s="1705" t="s">
        <v>296</v>
      </c>
      <c r="V189" s="378">
        <f t="shared" ref="V189:AT189" si="95">V170*$F$93</f>
        <v>3653.063153</v>
      </c>
      <c r="W189" s="378">
        <f t="shared" si="95"/>
        <v>913.2657883</v>
      </c>
      <c r="X189" s="378">
        <f t="shared" si="95"/>
        <v>862.9550559</v>
      </c>
      <c r="Y189" s="378">
        <f t="shared" si="95"/>
        <v>815.4158824</v>
      </c>
      <c r="Z189" s="378">
        <f t="shared" si="95"/>
        <v>770.4955857</v>
      </c>
      <c r="AA189" s="378">
        <f t="shared" si="95"/>
        <v>728.049895</v>
      </c>
      <c r="AB189" s="378">
        <f t="shared" si="95"/>
        <v>687.9424872</v>
      </c>
      <c r="AC189" s="378">
        <f t="shared" si="95"/>
        <v>650.0445491</v>
      </c>
      <c r="AD189" s="378">
        <f t="shared" si="95"/>
        <v>614.2343636</v>
      </c>
      <c r="AE189" s="378">
        <f t="shared" si="95"/>
        <v>580.3969188</v>
      </c>
      <c r="AF189" s="378">
        <f t="shared" si="95"/>
        <v>548.4235389</v>
      </c>
      <c r="AG189" s="378">
        <f t="shared" si="95"/>
        <v>518.2115347</v>
      </c>
      <c r="AH189" s="378">
        <f t="shared" si="95"/>
        <v>489.663874</v>
      </c>
      <c r="AI189" s="378">
        <f t="shared" si="95"/>
        <v>462.6888702</v>
      </c>
      <c r="AJ189" s="378">
        <f t="shared" si="95"/>
        <v>437.1998875</v>
      </c>
      <c r="AK189" s="378">
        <f t="shared" si="95"/>
        <v>413.1150627</v>
      </c>
      <c r="AL189" s="378">
        <f t="shared" si="95"/>
        <v>390.3570424</v>
      </c>
      <c r="AM189" s="378">
        <f t="shared" si="95"/>
        <v>368.8527346</v>
      </c>
      <c r="AN189" s="378">
        <f t="shared" si="95"/>
        <v>348.5330736</v>
      </c>
      <c r="AO189" s="378">
        <f t="shared" si="95"/>
        <v>329.3327987</v>
      </c>
      <c r="AP189" s="378">
        <f t="shared" si="95"/>
        <v>311.1902443</v>
      </c>
      <c r="AQ189" s="378">
        <f t="shared" si="95"/>
        <v>294.0471417</v>
      </c>
      <c r="AR189" s="378">
        <f t="shared" si="95"/>
        <v>277.8484324</v>
      </c>
      <c r="AS189" s="378">
        <f t="shared" si="95"/>
        <v>262.5420908</v>
      </c>
      <c r="AT189" s="1789">
        <f t="shared" si="95"/>
        <v>248.0789575</v>
      </c>
      <c r="AU189" s="1789"/>
      <c r="AV189" s="1789">
        <f t="shared" ref="AV189:BG189" si="96">AV170*$F$93</f>
        <v>242.1002727</v>
      </c>
      <c r="AW189" s="1789">
        <f t="shared" si="96"/>
        <v>236.2656738</v>
      </c>
      <c r="AX189" s="1789">
        <f t="shared" si="96"/>
        <v>230.5716883</v>
      </c>
      <c r="AY189" s="1789">
        <f t="shared" si="96"/>
        <v>225.0149274</v>
      </c>
      <c r="AZ189" s="1789">
        <f t="shared" si="96"/>
        <v>219.5920841</v>
      </c>
      <c r="BA189" s="1789">
        <f t="shared" si="96"/>
        <v>214.2999309</v>
      </c>
      <c r="BB189" s="1789">
        <f t="shared" si="96"/>
        <v>211.6703843</v>
      </c>
      <c r="BC189" s="1789">
        <f t="shared" si="96"/>
        <v>209.0731033</v>
      </c>
      <c r="BD189" s="1789">
        <f t="shared" si="96"/>
        <v>206.507692</v>
      </c>
      <c r="BE189" s="1789">
        <f t="shared" si="96"/>
        <v>203.9737593</v>
      </c>
      <c r="BF189" s="1789">
        <f t="shared" si="96"/>
        <v>201.470919</v>
      </c>
      <c r="BG189" s="1789">
        <f t="shared" si="96"/>
        <v>198.9987896</v>
      </c>
      <c r="BH189" s="1787"/>
      <c r="BI189" s="1787"/>
      <c r="BJ189" s="1787"/>
      <c r="BK189" s="1788"/>
      <c r="BL189" s="1787"/>
      <c r="BM189" s="1787"/>
      <c r="BN189" s="1787"/>
      <c r="BO189" s="1787"/>
      <c r="BP189" s="1787"/>
      <c r="BQ189" s="1787"/>
      <c r="BR189" s="1787"/>
    </row>
    <row r="190">
      <c r="S190" s="1705" t="s">
        <v>299</v>
      </c>
      <c r="V190" s="378">
        <f t="shared" ref="V190:AT190" si="97">V173*(1-$F$93)</f>
        <v>6476.344648</v>
      </c>
      <c r="W190" s="378">
        <f t="shared" si="97"/>
        <v>1619.086162</v>
      </c>
      <c r="X190" s="378">
        <f t="shared" si="97"/>
        <v>1529.89262</v>
      </c>
      <c r="Y190" s="378">
        <f t="shared" si="97"/>
        <v>1445.612645</v>
      </c>
      <c r="Z190" s="378">
        <f t="shared" si="97"/>
        <v>1365.975554</v>
      </c>
      <c r="AA190" s="378">
        <f t="shared" si="97"/>
        <v>1290.725576</v>
      </c>
      <c r="AB190" s="378">
        <f t="shared" si="97"/>
        <v>1219.62103</v>
      </c>
      <c r="AC190" s="378">
        <f t="shared" si="97"/>
        <v>1152.43355</v>
      </c>
      <c r="AD190" s="378">
        <f t="shared" si="97"/>
        <v>1088.947348</v>
      </c>
      <c r="AE190" s="378">
        <f t="shared" si="97"/>
        <v>1028.958526</v>
      </c>
      <c r="AF190" s="378">
        <f t="shared" si="97"/>
        <v>972.274418</v>
      </c>
      <c r="AG190" s="378">
        <f t="shared" si="97"/>
        <v>918.71297</v>
      </c>
      <c r="AH190" s="378">
        <f t="shared" si="97"/>
        <v>868.1021589</v>
      </c>
      <c r="AI190" s="378">
        <f t="shared" si="97"/>
        <v>820.2794375</v>
      </c>
      <c r="AJ190" s="378">
        <f t="shared" si="97"/>
        <v>775.0912133</v>
      </c>
      <c r="AK190" s="378">
        <f t="shared" si="97"/>
        <v>732.3923549</v>
      </c>
      <c r="AL190" s="378">
        <f t="shared" si="97"/>
        <v>692.0457262</v>
      </c>
      <c r="AM190" s="378">
        <f t="shared" si="97"/>
        <v>653.9217455</v>
      </c>
      <c r="AN190" s="378">
        <f t="shared" si="97"/>
        <v>617.8979698</v>
      </c>
      <c r="AO190" s="378">
        <f t="shared" si="97"/>
        <v>583.8587013</v>
      </c>
      <c r="AP190" s="378">
        <f t="shared" si="97"/>
        <v>551.6946159</v>
      </c>
      <c r="AQ190" s="378">
        <f t="shared" si="97"/>
        <v>521.3024119</v>
      </c>
      <c r="AR190" s="378">
        <f t="shared" si="97"/>
        <v>492.5844785</v>
      </c>
      <c r="AS190" s="378">
        <f t="shared" si="97"/>
        <v>465.4485821</v>
      </c>
      <c r="AT190" s="1789">
        <f t="shared" si="97"/>
        <v>439.8075701</v>
      </c>
      <c r="AU190" s="1789"/>
      <c r="AV190" s="1789">
        <f t="shared" ref="AV190:BG190" si="98">AV173*(1-$F$93)</f>
        <v>429.2082397</v>
      </c>
      <c r="AW190" s="1789">
        <f t="shared" si="98"/>
        <v>418.8643524</v>
      </c>
      <c r="AX190" s="1789">
        <f t="shared" si="98"/>
        <v>408.7697521</v>
      </c>
      <c r="AY190" s="1789">
        <f t="shared" si="98"/>
        <v>398.9184309</v>
      </c>
      <c r="AZ190" s="1789">
        <f t="shared" si="98"/>
        <v>389.3045258</v>
      </c>
      <c r="BA190" s="1789">
        <f t="shared" si="98"/>
        <v>379.9223151</v>
      </c>
      <c r="BB190" s="1789">
        <f t="shared" si="98"/>
        <v>375.2605151</v>
      </c>
      <c r="BC190" s="1789">
        <f t="shared" si="98"/>
        <v>370.6559172</v>
      </c>
      <c r="BD190" s="1789">
        <f t="shared" si="98"/>
        <v>366.1078196</v>
      </c>
      <c r="BE190" s="1789">
        <f t="shared" si="98"/>
        <v>361.615529</v>
      </c>
      <c r="BF190" s="1789">
        <f t="shared" si="98"/>
        <v>357.1783606</v>
      </c>
      <c r="BG190" s="1789">
        <f t="shared" si="98"/>
        <v>352.795638</v>
      </c>
      <c r="BH190" s="1787"/>
      <c r="BI190" s="1787"/>
      <c r="BJ190" s="1787"/>
      <c r="BK190" s="1788"/>
      <c r="BL190" s="1787"/>
      <c r="BM190" s="1787"/>
      <c r="BN190" s="1787"/>
      <c r="BO190" s="1787"/>
      <c r="BP190" s="1787"/>
      <c r="BQ190" s="1787"/>
      <c r="BR190" s="1787"/>
    </row>
    <row r="191">
      <c r="S191" s="1705" t="s">
        <v>310</v>
      </c>
      <c r="V191" s="1653">
        <f t="shared" ref="V191:AT191" si="99">(V186+V187+V189)-V190</f>
        <v>111280.7191</v>
      </c>
      <c r="W191" s="1653">
        <f t="shared" si="99"/>
        <v>27820.18141</v>
      </c>
      <c r="X191" s="1653">
        <f t="shared" si="99"/>
        <v>26287.60063</v>
      </c>
      <c r="Y191" s="1653">
        <f t="shared" si="99"/>
        <v>24839.44792</v>
      </c>
      <c r="Z191" s="1653">
        <f t="shared" si="99"/>
        <v>23471.07223</v>
      </c>
      <c r="AA191" s="1653">
        <f t="shared" si="99"/>
        <v>22178.07873</v>
      </c>
      <c r="AB191" s="1653">
        <f t="shared" si="99"/>
        <v>20956.31472</v>
      </c>
      <c r="AC191" s="1653">
        <f t="shared" si="99"/>
        <v>19801.85625</v>
      </c>
      <c r="AD191" s="1653">
        <f t="shared" si="99"/>
        <v>18710.99552</v>
      </c>
      <c r="AE191" s="1653">
        <f t="shared" si="99"/>
        <v>17680.22902</v>
      </c>
      <c r="AF191" s="1653">
        <f t="shared" si="99"/>
        <v>16706.24624</v>
      </c>
      <c r="AG191" s="1653">
        <f t="shared" si="99"/>
        <v>15785.91901</v>
      </c>
      <c r="AH191" s="1653">
        <f t="shared" si="99"/>
        <v>14916.29152</v>
      </c>
      <c r="AI191" s="1653">
        <f t="shared" si="99"/>
        <v>14094.57078</v>
      </c>
      <c r="AJ191" s="1653">
        <f t="shared" si="99"/>
        <v>13318.11766</v>
      </c>
      <c r="AK191" s="1653">
        <f t="shared" si="99"/>
        <v>12584.43843</v>
      </c>
      <c r="AL191" s="1653">
        <f t="shared" si="99"/>
        <v>11891.17672</v>
      </c>
      <c r="AM191" s="1653">
        <f t="shared" si="99"/>
        <v>11236.10597</v>
      </c>
      <c r="AN191" s="1653">
        <f t="shared" si="99"/>
        <v>10617.1223</v>
      </c>
      <c r="AO191" s="1653">
        <f t="shared" si="99"/>
        <v>10032.23771</v>
      </c>
      <c r="AP191" s="1653">
        <f t="shared" si="99"/>
        <v>9479.573718</v>
      </c>
      <c r="AQ191" s="1653">
        <f t="shared" si="99"/>
        <v>8957.355332</v>
      </c>
      <c r="AR191" s="1653">
        <f t="shared" si="99"/>
        <v>8463.905339</v>
      </c>
      <c r="AS191" s="1653">
        <f t="shared" si="99"/>
        <v>7997.638923</v>
      </c>
      <c r="AT191" s="1719">
        <f t="shared" si="99"/>
        <v>7557.058573</v>
      </c>
      <c r="AU191" s="1719"/>
      <c r="AV191" s="1719">
        <f t="shared" ref="AV191:BG191" si="100">(AV186+AV187+AV189)-AV190</f>
        <v>7374.934065</v>
      </c>
      <c r="AW191" s="1719">
        <f t="shared" si="100"/>
        <v>7197.198745</v>
      </c>
      <c r="AX191" s="1719">
        <f t="shared" si="100"/>
        <v>7023.746833</v>
      </c>
      <c r="AY191" s="1719">
        <f t="shared" si="100"/>
        <v>6854.475099</v>
      </c>
      <c r="AZ191" s="1719">
        <f t="shared" si="100"/>
        <v>6689.282802</v>
      </c>
      <c r="BA191" s="1719">
        <f t="shared" si="100"/>
        <v>6528.071627</v>
      </c>
      <c r="BB191" s="1719">
        <f t="shared" si="100"/>
        <v>6447.969582</v>
      </c>
      <c r="BC191" s="1719">
        <f t="shared" si="100"/>
        <v>6368.850421</v>
      </c>
      <c r="BD191" s="1719">
        <f t="shared" si="100"/>
        <v>6290.702085</v>
      </c>
      <c r="BE191" s="1719">
        <f t="shared" si="100"/>
        <v>6213.512659</v>
      </c>
      <c r="BF191" s="1719">
        <f t="shared" si="100"/>
        <v>6137.27038</v>
      </c>
      <c r="BG191" s="1719">
        <f t="shared" si="100"/>
        <v>6061.963623</v>
      </c>
      <c r="BH191" s="23"/>
      <c r="BI191" s="23"/>
      <c r="BJ191" s="23"/>
      <c r="BK191" s="1681"/>
      <c r="BL191" s="23"/>
      <c r="BM191" s="23"/>
      <c r="BN191" s="23"/>
      <c r="BO191" s="23"/>
      <c r="BP191" s="23"/>
      <c r="BQ191" s="23"/>
      <c r="BR191" s="23"/>
    </row>
    <row r="192">
      <c r="O192" s="23"/>
      <c r="P192" s="23"/>
      <c r="Q192" s="23"/>
      <c r="S192" s="1705" t="s">
        <v>311</v>
      </c>
      <c r="T192" s="377" t="str">
        <f t="shared" ref="T192:U192" si="101">((T186)+(T187))/(10^9)</f>
        <v>#REF!</v>
      </c>
      <c r="U192" s="377" t="str">
        <f t="shared" si="101"/>
        <v>#REF!</v>
      </c>
      <c r="V192" s="1674">
        <f t="shared" ref="V192:AT192" si="102">V191/(10^9)</f>
        <v>0.0001112807191</v>
      </c>
      <c r="W192" s="1674">
        <f t="shared" si="102"/>
        <v>0.00002782018141</v>
      </c>
      <c r="X192" s="1674">
        <f t="shared" si="102"/>
        <v>0.00002628760063</v>
      </c>
      <c r="Y192" s="1674">
        <f t="shared" si="102"/>
        <v>0.00002483944792</v>
      </c>
      <c r="Z192" s="1674">
        <f t="shared" si="102"/>
        <v>0.00002347107223</v>
      </c>
      <c r="AA192" s="1674">
        <f t="shared" si="102"/>
        <v>0.00002217807873</v>
      </c>
      <c r="AB192" s="1674">
        <f t="shared" si="102"/>
        <v>0.00002095631472</v>
      </c>
      <c r="AC192" s="1674">
        <f t="shared" si="102"/>
        <v>0.00001980185625</v>
      </c>
      <c r="AD192" s="1674">
        <f t="shared" si="102"/>
        <v>0.00001871099552</v>
      </c>
      <c r="AE192" s="1674">
        <f t="shared" si="102"/>
        <v>0.00001768022902</v>
      </c>
      <c r="AF192" s="1674">
        <f t="shared" si="102"/>
        <v>0.00001670624624</v>
      </c>
      <c r="AG192" s="1674">
        <f t="shared" si="102"/>
        <v>0.00001578591901</v>
      </c>
      <c r="AH192" s="1674">
        <f t="shared" si="102"/>
        <v>0.00001491629152</v>
      </c>
      <c r="AI192" s="1674">
        <f t="shared" si="102"/>
        <v>0.00001409457078</v>
      </c>
      <c r="AJ192" s="1674">
        <f t="shared" si="102"/>
        <v>0.00001331811766</v>
      </c>
      <c r="AK192" s="1674">
        <f t="shared" si="102"/>
        <v>0.00001258443843</v>
      </c>
      <c r="AL192" s="1674">
        <f t="shared" si="102"/>
        <v>0.00001189117672</v>
      </c>
      <c r="AM192" s="1674">
        <f t="shared" si="102"/>
        <v>0.00001123610597</v>
      </c>
      <c r="AN192" s="1674">
        <f t="shared" si="102"/>
        <v>0.0000106171223</v>
      </c>
      <c r="AO192" s="1674">
        <f t="shared" si="102"/>
        <v>0.00001003223771</v>
      </c>
      <c r="AP192" s="1674">
        <f t="shared" si="102"/>
        <v>0.000009479573718</v>
      </c>
      <c r="AQ192" s="1674">
        <f t="shared" si="102"/>
        <v>0.000008957355332</v>
      </c>
      <c r="AR192" s="1674">
        <f t="shared" si="102"/>
        <v>0.000008463905339</v>
      </c>
      <c r="AS192" s="1674">
        <f t="shared" si="102"/>
        <v>0.000007997638923</v>
      </c>
      <c r="AT192" s="1790">
        <f t="shared" si="102"/>
        <v>0.000007557058573</v>
      </c>
      <c r="AU192" s="1790"/>
      <c r="AV192" s="1790">
        <f t="shared" ref="AV192:BG192" si="103">AV191/(10^9)</f>
        <v>0.000007374934065</v>
      </c>
      <c r="AW192" s="1790">
        <f t="shared" si="103"/>
        <v>0.000007197198745</v>
      </c>
      <c r="AX192" s="1790">
        <f t="shared" si="103"/>
        <v>0.000007023746833</v>
      </c>
      <c r="AY192" s="1790">
        <f t="shared" si="103"/>
        <v>0.000006854475099</v>
      </c>
      <c r="AZ192" s="1790">
        <f t="shared" si="103"/>
        <v>0.000006689282802</v>
      </c>
      <c r="BA192" s="1790">
        <f t="shared" si="103"/>
        <v>0.000006528071627</v>
      </c>
      <c r="BB192" s="1790">
        <f t="shared" si="103"/>
        <v>0.000006447969582</v>
      </c>
      <c r="BC192" s="1790">
        <f t="shared" si="103"/>
        <v>0.000006368850421</v>
      </c>
      <c r="BD192" s="1790">
        <f t="shared" si="103"/>
        <v>0.000006290702085</v>
      </c>
      <c r="BE192" s="1790">
        <f t="shared" si="103"/>
        <v>0.000006213512659</v>
      </c>
      <c r="BF192" s="1790">
        <f t="shared" si="103"/>
        <v>0.00000613727038</v>
      </c>
      <c r="BG192" s="1790">
        <f t="shared" si="103"/>
        <v>0.000006061963623</v>
      </c>
      <c r="BH192" s="23"/>
      <c r="BI192" s="23"/>
      <c r="BJ192" s="23"/>
      <c r="BK192" s="1681"/>
      <c r="BL192" s="23"/>
      <c r="BM192" s="23"/>
      <c r="BN192" s="23"/>
      <c r="BO192" s="23"/>
      <c r="BP192" s="23"/>
      <c r="BQ192" s="23"/>
      <c r="BR192" s="23"/>
      <c r="BS192" s="23"/>
      <c r="BT192" s="23"/>
      <c r="BU192" s="23"/>
      <c r="BV192" s="570"/>
      <c r="BW192" s="570"/>
      <c r="BX192" s="570"/>
      <c r="BY192" s="570"/>
      <c r="BZ192" s="570"/>
    </row>
    <row r="193">
      <c r="O193" s="23"/>
      <c r="P193" s="23"/>
      <c r="Q193" s="23"/>
      <c r="S193" s="1791" t="s">
        <v>312</v>
      </c>
      <c r="T193" s="1792" t="str">
        <f t="shared" ref="T193:U193" si="104">((T186)+(T187))/(10^9)</f>
        <v>#REF!</v>
      </c>
      <c r="U193" s="1792" t="str">
        <f t="shared" si="104"/>
        <v>#REF!</v>
      </c>
      <c r="V193" s="1792">
        <f>(((V186+V187-V190)*V161)+(V189*V182))/(10^9)</f>
        <v>0.7371714463</v>
      </c>
      <c r="W193" s="1793">
        <f>(((W186+W187+W189-W190)*1)/(10^9))</f>
        <v>0.00002782018141</v>
      </c>
      <c r="X193" s="1792">
        <f t="shared" ref="X193:AT193" si="105">(((X186+X187-X190)*X161)+(X189*X182))/(10^9)</f>
        <v>0.174116684</v>
      </c>
      <c r="Y193" s="1792">
        <f t="shared" si="105"/>
        <v>0.1645246607</v>
      </c>
      <c r="Z193" s="1792">
        <f t="shared" si="105"/>
        <v>0.1554610728</v>
      </c>
      <c r="AA193" s="1792">
        <f t="shared" si="105"/>
        <v>0.146896806</v>
      </c>
      <c r="AB193" s="1792">
        <f t="shared" si="105"/>
        <v>0.1388043503</v>
      </c>
      <c r="AC193" s="1792">
        <f t="shared" si="105"/>
        <v>0.1311577117</v>
      </c>
      <c r="AD193" s="1792">
        <f t="shared" si="105"/>
        <v>0.1239323286</v>
      </c>
      <c r="AE193" s="1792">
        <f t="shared" si="105"/>
        <v>0.1171049928</v>
      </c>
      <c r="AF193" s="1792">
        <f t="shared" si="105"/>
        <v>0.1106537749</v>
      </c>
      <c r="AG193" s="1792">
        <f t="shared" si="105"/>
        <v>0.1045579537</v>
      </c>
      <c r="AH193" s="1792">
        <f t="shared" si="105"/>
        <v>0.09879794979</v>
      </c>
      <c r="AI193" s="1792">
        <f t="shared" si="105"/>
        <v>0.09335526247</v>
      </c>
      <c r="AJ193" s="1792">
        <f t="shared" si="105"/>
        <v>0.08821241041</v>
      </c>
      <c r="AK193" s="1792">
        <f t="shared" si="105"/>
        <v>0.08335287541</v>
      </c>
      <c r="AL193" s="1792">
        <f t="shared" si="105"/>
        <v>0.07876104933</v>
      </c>
      <c r="AM193" s="1792">
        <f t="shared" si="105"/>
        <v>0.07442218395</v>
      </c>
      <c r="AN193" s="1792">
        <f t="shared" si="105"/>
        <v>0.07032234359</v>
      </c>
      <c r="AO193" s="1792">
        <f t="shared" si="105"/>
        <v>0.06644836031</v>
      </c>
      <c r="AP193" s="1792">
        <f t="shared" si="105"/>
        <v>0.06278779166</v>
      </c>
      <c r="AQ193" s="1792">
        <f t="shared" si="105"/>
        <v>0.05932888063</v>
      </c>
      <c r="AR193" s="1792">
        <f t="shared" si="105"/>
        <v>0.05606051797</v>
      </c>
      <c r="AS193" s="1792">
        <f t="shared" si="105"/>
        <v>0.05297220642</v>
      </c>
      <c r="AT193" s="1794">
        <f t="shared" si="105"/>
        <v>0.05005402703</v>
      </c>
      <c r="AU193" s="1794"/>
      <c r="AV193" s="1794">
        <f t="shared" ref="AV193:BG193" si="106">(((AV186+AV187-AV190)*AV161)+(AV189*AV182))/(10^9)</f>
        <v>0.04884772745</v>
      </c>
      <c r="AW193" s="1794">
        <f t="shared" si="106"/>
        <v>0.0476704997</v>
      </c>
      <c r="AX193" s="1794">
        <f t="shared" si="106"/>
        <v>0.04652164316</v>
      </c>
      <c r="AY193" s="1794">
        <f t="shared" si="106"/>
        <v>0.04540047407</v>
      </c>
      <c r="AZ193" s="1794">
        <f t="shared" si="106"/>
        <v>0.04430632517</v>
      </c>
      <c r="BA193" s="1794">
        <f t="shared" si="106"/>
        <v>0.04323854525</v>
      </c>
      <c r="BB193" s="1794">
        <f t="shared" si="106"/>
        <v>0.04270799052</v>
      </c>
      <c r="BC193" s="1794">
        <f t="shared" si="106"/>
        <v>0.04218394594</v>
      </c>
      <c r="BD193" s="1794">
        <f t="shared" si="106"/>
        <v>0.04166633161</v>
      </c>
      <c r="BE193" s="1794">
        <f t="shared" si="106"/>
        <v>0.04115506864</v>
      </c>
      <c r="BF193" s="1794">
        <f t="shared" si="106"/>
        <v>0.04065007908</v>
      </c>
      <c r="BG193" s="1794">
        <f t="shared" si="106"/>
        <v>0.04015128597</v>
      </c>
      <c r="BH193" s="23"/>
      <c r="BI193" s="23"/>
      <c r="BJ193" s="23"/>
      <c r="BK193" s="1681"/>
      <c r="BL193" s="23"/>
      <c r="BM193" s="23"/>
      <c r="BN193" s="23"/>
      <c r="BO193" s="23"/>
      <c r="BP193" s="23"/>
      <c r="BQ193" s="23"/>
      <c r="BR193" s="23"/>
      <c r="BS193" s="23"/>
      <c r="BT193" s="23"/>
      <c r="BU193" s="23"/>
      <c r="BV193" s="23"/>
      <c r="BW193" s="23"/>
      <c r="BX193" s="23"/>
      <c r="BY193" s="23"/>
      <c r="BZ193" s="23"/>
    </row>
    <row r="194">
      <c r="O194" s="23"/>
      <c r="P194" s="23"/>
      <c r="Q194" s="23"/>
      <c r="S194" s="1725" t="s">
        <v>313</v>
      </c>
      <c r="T194" s="1763" t="str">
        <f t="shared" ref="T194:AT194" si="107">T193/32</f>
        <v>#REF!</v>
      </c>
      <c r="U194" s="1763" t="str">
        <f t="shared" si="107"/>
        <v>#REF!</v>
      </c>
      <c r="V194" s="1763">
        <f t="shared" si="107"/>
        <v>0.0230366077</v>
      </c>
      <c r="W194" s="1763">
        <f t="shared" si="107"/>
        <v>0.0000008693806689</v>
      </c>
      <c r="X194" s="1763">
        <f t="shared" si="107"/>
        <v>0.005441146374</v>
      </c>
      <c r="Y194" s="1763">
        <f t="shared" si="107"/>
        <v>0.005141395646</v>
      </c>
      <c r="Z194" s="1763">
        <f t="shared" si="107"/>
        <v>0.004858158525</v>
      </c>
      <c r="AA194" s="1763">
        <f t="shared" si="107"/>
        <v>0.004590525187</v>
      </c>
      <c r="AB194" s="1763">
        <f t="shared" si="107"/>
        <v>0.004337635946</v>
      </c>
      <c r="AC194" s="1763">
        <f t="shared" si="107"/>
        <v>0.00409867849</v>
      </c>
      <c r="AD194" s="1763">
        <f t="shared" si="107"/>
        <v>0.003872885269</v>
      </c>
      <c r="AE194" s="1763">
        <f t="shared" si="107"/>
        <v>0.003659531026</v>
      </c>
      <c r="AF194" s="1763">
        <f t="shared" si="107"/>
        <v>0.003457930466</v>
      </c>
      <c r="AG194" s="1763">
        <f t="shared" si="107"/>
        <v>0.003267436054</v>
      </c>
      <c r="AH194" s="1763">
        <f t="shared" si="107"/>
        <v>0.003087435931</v>
      </c>
      <c r="AI194" s="1763">
        <f t="shared" si="107"/>
        <v>0.002917351952</v>
      </c>
      <c r="AJ194" s="1763">
        <f t="shared" si="107"/>
        <v>0.002756637825</v>
      </c>
      <c r="AK194" s="1763">
        <f t="shared" si="107"/>
        <v>0.002604777357</v>
      </c>
      <c r="AL194" s="1763">
        <f t="shared" si="107"/>
        <v>0.002461282791</v>
      </c>
      <c r="AM194" s="1763">
        <f t="shared" si="107"/>
        <v>0.002325693248</v>
      </c>
      <c r="AN194" s="1763">
        <f t="shared" si="107"/>
        <v>0.002197573237</v>
      </c>
      <c r="AO194" s="1763">
        <f t="shared" si="107"/>
        <v>0.00207651126</v>
      </c>
      <c r="AP194" s="1763">
        <f t="shared" si="107"/>
        <v>0.001962118489</v>
      </c>
      <c r="AQ194" s="1763">
        <f t="shared" si="107"/>
        <v>0.00185402752</v>
      </c>
      <c r="AR194" s="1763">
        <f t="shared" si="107"/>
        <v>0.001751891187</v>
      </c>
      <c r="AS194" s="1763">
        <f t="shared" si="107"/>
        <v>0.00165538145</v>
      </c>
      <c r="AT194" s="1764">
        <f t="shared" si="107"/>
        <v>0.001564188345</v>
      </c>
      <c r="AU194" s="1764"/>
      <c r="AV194" s="1764">
        <f t="shared" ref="AV194:BG194" si="108">AV193/32</f>
        <v>0.001526491483</v>
      </c>
      <c r="AW194" s="1764">
        <f t="shared" si="108"/>
        <v>0.001489703116</v>
      </c>
      <c r="AX194" s="1764">
        <f t="shared" si="108"/>
        <v>0.001453801349</v>
      </c>
      <c r="AY194" s="1764">
        <f t="shared" si="108"/>
        <v>0.001418764815</v>
      </c>
      <c r="AZ194" s="1764">
        <f t="shared" si="108"/>
        <v>0.001384572661</v>
      </c>
      <c r="BA194" s="1764">
        <f t="shared" si="108"/>
        <v>0.001351204539</v>
      </c>
      <c r="BB194" s="1764">
        <f t="shared" si="108"/>
        <v>0.001334624704</v>
      </c>
      <c r="BC194" s="1764">
        <f t="shared" si="108"/>
        <v>0.001318248311</v>
      </c>
      <c r="BD194" s="1764">
        <f t="shared" si="108"/>
        <v>0.001302072863</v>
      </c>
      <c r="BE194" s="1764">
        <f t="shared" si="108"/>
        <v>0.001286095895</v>
      </c>
      <c r="BF194" s="1764">
        <f t="shared" si="108"/>
        <v>0.001270314971</v>
      </c>
      <c r="BG194" s="1764">
        <f t="shared" si="108"/>
        <v>0.001254727687</v>
      </c>
      <c r="BH194" s="23"/>
      <c r="BI194" s="23"/>
      <c r="BJ194" s="23"/>
      <c r="BK194" s="1681"/>
      <c r="BL194" s="23"/>
      <c r="BM194" s="23"/>
      <c r="BN194" s="23"/>
      <c r="BO194" s="23"/>
      <c r="BP194" s="23"/>
      <c r="BQ194" s="23"/>
      <c r="BR194" s="23"/>
      <c r="BS194" s="23"/>
      <c r="BT194" s="23"/>
      <c r="BU194" s="23"/>
      <c r="BV194" s="23"/>
      <c r="BW194" s="23"/>
      <c r="BX194" s="23"/>
      <c r="BY194" s="23"/>
      <c r="BZ194" s="23"/>
    </row>
    <row r="195">
      <c r="O195" s="23"/>
      <c r="P195" s="23"/>
      <c r="Q195" s="23"/>
      <c r="AI195" s="379"/>
      <c r="AT195" s="1695"/>
      <c r="AU195" s="1795"/>
      <c r="AV195" s="1795"/>
      <c r="AW195" s="1795"/>
      <c r="AX195" s="1795"/>
      <c r="AY195" s="1795"/>
      <c r="AZ195" s="1795"/>
      <c r="BA195" s="1795"/>
      <c r="BB195" s="1795"/>
      <c r="BC195" s="1795"/>
      <c r="BD195" s="1795"/>
      <c r="BE195" s="1795"/>
      <c r="BF195" s="1795"/>
      <c r="BG195" s="1795"/>
      <c r="BH195" s="1795"/>
      <c r="BI195" s="1795"/>
      <c r="BJ195" s="1795"/>
      <c r="BK195" s="1796"/>
      <c r="BL195" s="1795"/>
      <c r="BM195" s="1795"/>
      <c r="BN195" s="1795"/>
      <c r="BO195" s="1795"/>
      <c r="BP195" s="1795"/>
      <c r="BQ195" s="1795"/>
      <c r="BR195" s="1795"/>
      <c r="BS195" s="569"/>
      <c r="BT195" s="569"/>
      <c r="BU195" s="569"/>
      <c r="BV195" s="569"/>
      <c r="BW195" s="569"/>
      <c r="BX195" s="23"/>
      <c r="BY195" s="23"/>
      <c r="BZ195" s="23"/>
    </row>
    <row r="196">
      <c r="O196" s="23"/>
      <c r="P196" s="23"/>
      <c r="Q196" s="23"/>
      <c r="S196" s="1797" t="s">
        <v>40</v>
      </c>
      <c r="T196" s="1743"/>
      <c r="U196" s="1743"/>
      <c r="V196" s="1743"/>
      <c r="W196" s="1743"/>
      <c r="X196" s="1743"/>
      <c r="Y196" s="1743"/>
      <c r="Z196" s="1743"/>
      <c r="AA196" s="1743"/>
      <c r="AB196" s="1743"/>
      <c r="AC196" s="1743"/>
      <c r="AD196" s="1743"/>
      <c r="AE196" s="1743"/>
      <c r="AF196" s="1743"/>
      <c r="AG196" s="1743"/>
      <c r="AH196" s="1743"/>
      <c r="AI196" s="1743"/>
      <c r="AJ196" s="1743"/>
      <c r="AK196" s="1743"/>
      <c r="AL196" s="1743"/>
      <c r="AM196" s="1743"/>
      <c r="AN196" s="1743"/>
      <c r="AO196" s="1743"/>
      <c r="AP196" s="1743"/>
      <c r="AQ196" s="1743"/>
      <c r="AR196" s="1743"/>
      <c r="AS196" s="1743"/>
      <c r="AT196" s="1744"/>
      <c r="AU196" s="1744"/>
      <c r="AV196" s="1744"/>
      <c r="AW196" s="1744"/>
      <c r="AX196" s="1744"/>
      <c r="AY196" s="1744"/>
      <c r="AZ196" s="1744"/>
      <c r="BA196" s="1744"/>
      <c r="BB196" s="1744"/>
      <c r="BC196" s="1744"/>
      <c r="BD196" s="1744"/>
      <c r="BE196" s="1744"/>
      <c r="BF196" s="1744"/>
      <c r="BG196" s="1744"/>
      <c r="BH196" s="1798"/>
      <c r="BI196" s="1798"/>
      <c r="BJ196" s="1798"/>
      <c r="BK196" s="1799"/>
      <c r="BL196" s="1798"/>
      <c r="BM196" s="1798"/>
      <c r="BN196" s="1798"/>
      <c r="BO196" s="1798"/>
      <c r="BP196" s="1798"/>
      <c r="BQ196" s="1798"/>
      <c r="BR196" s="1798"/>
      <c r="BS196" s="581"/>
      <c r="BT196" s="581"/>
      <c r="BU196" s="581"/>
      <c r="BV196" s="581"/>
      <c r="BW196" s="581"/>
      <c r="BX196" s="23"/>
      <c r="BY196" s="23"/>
      <c r="BZ196" s="23"/>
    </row>
    <row r="197">
      <c r="O197" s="23"/>
      <c r="P197" s="23"/>
      <c r="Q197" s="23"/>
      <c r="S197" s="1705" t="s">
        <v>226</v>
      </c>
      <c r="T197" s="9">
        <v>-3.0</v>
      </c>
      <c r="U197" s="9">
        <v>-2.0</v>
      </c>
      <c r="V197" s="9">
        <v>-1.0</v>
      </c>
      <c r="W197" s="9">
        <v>0.0</v>
      </c>
      <c r="X197" s="9">
        <v>1.0</v>
      </c>
      <c r="Y197" s="9">
        <f t="shared" ref="Y197:AT197" si="109">X197+1</f>
        <v>2</v>
      </c>
      <c r="Z197" s="9">
        <f t="shared" si="109"/>
        <v>3</v>
      </c>
      <c r="AA197" s="9">
        <f t="shared" si="109"/>
        <v>4</v>
      </c>
      <c r="AB197" s="9">
        <f t="shared" si="109"/>
        <v>5</v>
      </c>
      <c r="AC197" s="9">
        <f t="shared" si="109"/>
        <v>6</v>
      </c>
      <c r="AD197" s="9">
        <f t="shared" si="109"/>
        <v>7</v>
      </c>
      <c r="AE197" s="9">
        <f t="shared" si="109"/>
        <v>8</v>
      </c>
      <c r="AF197" s="9">
        <f t="shared" si="109"/>
        <v>9</v>
      </c>
      <c r="AG197" s="9">
        <f t="shared" si="109"/>
        <v>10</v>
      </c>
      <c r="AH197" s="9">
        <f t="shared" si="109"/>
        <v>11</v>
      </c>
      <c r="AI197" s="9">
        <f t="shared" si="109"/>
        <v>12</v>
      </c>
      <c r="AJ197" s="9">
        <f t="shared" si="109"/>
        <v>13</v>
      </c>
      <c r="AK197" s="9">
        <f t="shared" si="109"/>
        <v>14</v>
      </c>
      <c r="AL197" s="9">
        <f t="shared" si="109"/>
        <v>15</v>
      </c>
      <c r="AM197" s="9">
        <f t="shared" si="109"/>
        <v>16</v>
      </c>
      <c r="AN197" s="9">
        <f t="shared" si="109"/>
        <v>17</v>
      </c>
      <c r="AO197" s="9">
        <f t="shared" si="109"/>
        <v>18</v>
      </c>
      <c r="AP197" s="9">
        <f t="shared" si="109"/>
        <v>19</v>
      </c>
      <c r="AQ197" s="9">
        <f t="shared" si="109"/>
        <v>20</v>
      </c>
      <c r="AR197" s="9">
        <f t="shared" si="109"/>
        <v>21</v>
      </c>
      <c r="AS197" s="9">
        <f t="shared" si="109"/>
        <v>22</v>
      </c>
      <c r="AT197" s="1697">
        <f t="shared" si="109"/>
        <v>23</v>
      </c>
      <c r="AU197" s="1697"/>
      <c r="AV197" s="1697">
        <f>AT197+1</f>
        <v>24</v>
      </c>
      <c r="AW197" s="1697">
        <f t="shared" ref="AW197:BG197" si="110">AV197+1</f>
        <v>25</v>
      </c>
      <c r="AX197" s="1697">
        <f t="shared" si="110"/>
        <v>26</v>
      </c>
      <c r="AY197" s="1697">
        <f t="shared" si="110"/>
        <v>27</v>
      </c>
      <c r="AZ197" s="1697">
        <f t="shared" si="110"/>
        <v>28</v>
      </c>
      <c r="BA197" s="1697">
        <f t="shared" si="110"/>
        <v>29</v>
      </c>
      <c r="BB197" s="1697">
        <f t="shared" si="110"/>
        <v>30</v>
      </c>
      <c r="BC197" s="1697">
        <f t="shared" si="110"/>
        <v>31</v>
      </c>
      <c r="BD197" s="1697">
        <f t="shared" si="110"/>
        <v>32</v>
      </c>
      <c r="BE197" s="1697">
        <f t="shared" si="110"/>
        <v>33</v>
      </c>
      <c r="BF197" s="1697">
        <f t="shared" si="110"/>
        <v>34</v>
      </c>
      <c r="BG197" s="1697">
        <f t="shared" si="110"/>
        <v>35</v>
      </c>
      <c r="BH197" s="23"/>
      <c r="BI197" s="23"/>
      <c r="BJ197" s="23"/>
      <c r="BK197" s="1681"/>
      <c r="BL197" s="23"/>
      <c r="BM197" s="23"/>
      <c r="BN197" s="23"/>
      <c r="BO197" s="23"/>
      <c r="BP197" s="23"/>
      <c r="BQ197" s="23"/>
      <c r="BR197" s="23"/>
      <c r="BS197" s="581"/>
      <c r="BT197" s="581"/>
      <c r="BU197" s="581"/>
      <c r="BV197" s="581"/>
      <c r="BW197" s="581"/>
      <c r="BX197" s="23"/>
      <c r="BY197" s="23"/>
      <c r="BZ197" s="23"/>
    </row>
    <row r="198">
      <c r="O198" s="23"/>
      <c r="P198" s="23"/>
      <c r="Q198" s="23"/>
      <c r="S198" s="1705" t="s">
        <v>44</v>
      </c>
      <c r="T198" s="1800">
        <v>0.0</v>
      </c>
      <c r="U198" s="1800">
        <v>0.0</v>
      </c>
      <c r="V198" s="1801">
        <v>1.0</v>
      </c>
      <c r="W198" s="1802">
        <f>F92</f>
        <v>1</v>
      </c>
      <c r="X198" s="1803">
        <f t="shared" ref="X198:AT198" si="111">W198</f>
        <v>1</v>
      </c>
      <c r="Y198" s="1803">
        <f t="shared" si="111"/>
        <v>1</v>
      </c>
      <c r="Z198" s="1803">
        <f t="shared" si="111"/>
        <v>1</v>
      </c>
      <c r="AA198" s="1803">
        <f t="shared" si="111"/>
        <v>1</v>
      </c>
      <c r="AB198" s="1803">
        <f t="shared" si="111"/>
        <v>1</v>
      </c>
      <c r="AC198" s="1803">
        <f t="shared" si="111"/>
        <v>1</v>
      </c>
      <c r="AD198" s="1803">
        <f t="shared" si="111"/>
        <v>1</v>
      </c>
      <c r="AE198" s="1803">
        <f t="shared" si="111"/>
        <v>1</v>
      </c>
      <c r="AF198" s="1803">
        <f t="shared" si="111"/>
        <v>1</v>
      </c>
      <c r="AG198" s="1803">
        <f t="shared" si="111"/>
        <v>1</v>
      </c>
      <c r="AH198" s="1803">
        <f t="shared" si="111"/>
        <v>1</v>
      </c>
      <c r="AI198" s="1803">
        <f t="shared" si="111"/>
        <v>1</v>
      </c>
      <c r="AJ198" s="1803">
        <f t="shared" si="111"/>
        <v>1</v>
      </c>
      <c r="AK198" s="1803">
        <f t="shared" si="111"/>
        <v>1</v>
      </c>
      <c r="AL198" s="1803">
        <f t="shared" si="111"/>
        <v>1</v>
      </c>
      <c r="AM198" s="1803">
        <f t="shared" si="111"/>
        <v>1</v>
      </c>
      <c r="AN198" s="1803">
        <f t="shared" si="111"/>
        <v>1</v>
      </c>
      <c r="AO198" s="1803">
        <f t="shared" si="111"/>
        <v>1</v>
      </c>
      <c r="AP198" s="1803">
        <f t="shared" si="111"/>
        <v>1</v>
      </c>
      <c r="AQ198" s="1803">
        <f t="shared" si="111"/>
        <v>1</v>
      </c>
      <c r="AR198" s="1803">
        <f t="shared" si="111"/>
        <v>1</v>
      </c>
      <c r="AS198" s="1803">
        <f t="shared" si="111"/>
        <v>1</v>
      </c>
      <c r="AT198" s="1804">
        <f t="shared" si="111"/>
        <v>1</v>
      </c>
      <c r="AU198" s="1805"/>
      <c r="AV198" s="1804">
        <f>AT198</f>
        <v>1</v>
      </c>
      <c r="AW198" s="1804">
        <f t="shared" ref="AW198:BG198" si="112">AV198</f>
        <v>1</v>
      </c>
      <c r="AX198" s="1804">
        <f t="shared" si="112"/>
        <v>1</v>
      </c>
      <c r="AY198" s="1804">
        <f t="shared" si="112"/>
        <v>1</v>
      </c>
      <c r="AZ198" s="1804">
        <f t="shared" si="112"/>
        <v>1</v>
      </c>
      <c r="BA198" s="1804">
        <f t="shared" si="112"/>
        <v>1</v>
      </c>
      <c r="BB198" s="1804">
        <f t="shared" si="112"/>
        <v>1</v>
      </c>
      <c r="BC198" s="1804">
        <f t="shared" si="112"/>
        <v>1</v>
      </c>
      <c r="BD198" s="1804">
        <f t="shared" si="112"/>
        <v>1</v>
      </c>
      <c r="BE198" s="1804">
        <f t="shared" si="112"/>
        <v>1</v>
      </c>
      <c r="BF198" s="1804">
        <f t="shared" si="112"/>
        <v>1</v>
      </c>
      <c r="BG198" s="1804">
        <f t="shared" si="112"/>
        <v>1</v>
      </c>
      <c r="BH198" s="23"/>
      <c r="BI198" s="23"/>
      <c r="BJ198" s="23"/>
      <c r="BK198" s="1681"/>
      <c r="BL198" s="23"/>
      <c r="BM198" s="23"/>
      <c r="BN198" s="23"/>
      <c r="BO198" s="23"/>
      <c r="BP198" s="23"/>
      <c r="BQ198" s="23"/>
      <c r="BR198" s="23"/>
      <c r="BS198" s="581"/>
      <c r="BT198" s="581"/>
      <c r="BU198" s="581"/>
      <c r="BV198" s="581"/>
      <c r="BW198" s="581"/>
      <c r="BX198" s="23"/>
      <c r="BY198" s="23"/>
      <c r="BZ198" s="23"/>
    </row>
    <row r="199">
      <c r="O199" s="23"/>
      <c r="P199" s="23"/>
      <c r="Q199" s="23"/>
      <c r="S199" s="1705" t="s">
        <v>314</v>
      </c>
      <c r="T199" s="377">
        <f t="shared" ref="T199:AT199" si="113">T198*32</f>
        <v>0</v>
      </c>
      <c r="U199" s="377">
        <f t="shared" si="113"/>
        <v>0</v>
      </c>
      <c r="V199" s="377">
        <f t="shared" si="113"/>
        <v>32</v>
      </c>
      <c r="W199" s="377">
        <f t="shared" si="113"/>
        <v>32</v>
      </c>
      <c r="X199" s="377">
        <f t="shared" si="113"/>
        <v>32</v>
      </c>
      <c r="Y199" s="377">
        <f t="shared" si="113"/>
        <v>32</v>
      </c>
      <c r="Z199" s="377">
        <f t="shared" si="113"/>
        <v>32</v>
      </c>
      <c r="AA199" s="377">
        <f t="shared" si="113"/>
        <v>32</v>
      </c>
      <c r="AB199" s="377">
        <f t="shared" si="113"/>
        <v>32</v>
      </c>
      <c r="AC199" s="377">
        <f t="shared" si="113"/>
        <v>32</v>
      </c>
      <c r="AD199" s="377">
        <f t="shared" si="113"/>
        <v>32</v>
      </c>
      <c r="AE199" s="377">
        <f t="shared" si="113"/>
        <v>32</v>
      </c>
      <c r="AF199" s="377">
        <f t="shared" si="113"/>
        <v>32</v>
      </c>
      <c r="AG199" s="377">
        <f t="shared" si="113"/>
        <v>32</v>
      </c>
      <c r="AH199" s="377">
        <f t="shared" si="113"/>
        <v>32</v>
      </c>
      <c r="AI199" s="377">
        <f t="shared" si="113"/>
        <v>32</v>
      </c>
      <c r="AJ199" s="377">
        <f t="shared" si="113"/>
        <v>32</v>
      </c>
      <c r="AK199" s="377">
        <f t="shared" si="113"/>
        <v>32</v>
      </c>
      <c r="AL199" s="377">
        <f t="shared" si="113"/>
        <v>32</v>
      </c>
      <c r="AM199" s="377">
        <f t="shared" si="113"/>
        <v>32</v>
      </c>
      <c r="AN199" s="377">
        <f t="shared" si="113"/>
        <v>32</v>
      </c>
      <c r="AO199" s="377">
        <f t="shared" si="113"/>
        <v>32</v>
      </c>
      <c r="AP199" s="377">
        <f t="shared" si="113"/>
        <v>32</v>
      </c>
      <c r="AQ199" s="377">
        <f t="shared" si="113"/>
        <v>32</v>
      </c>
      <c r="AR199" s="377">
        <f t="shared" si="113"/>
        <v>32</v>
      </c>
      <c r="AS199" s="377">
        <f t="shared" si="113"/>
        <v>32</v>
      </c>
      <c r="AT199" s="1695">
        <f t="shared" si="113"/>
        <v>32</v>
      </c>
      <c r="AU199" s="1695"/>
      <c r="AV199" s="1695">
        <f t="shared" ref="AV199:BG199" si="114">AV198*32</f>
        <v>32</v>
      </c>
      <c r="AW199" s="1695">
        <f t="shared" si="114"/>
        <v>32</v>
      </c>
      <c r="AX199" s="1695">
        <f t="shared" si="114"/>
        <v>32</v>
      </c>
      <c r="AY199" s="1695">
        <f t="shared" si="114"/>
        <v>32</v>
      </c>
      <c r="AZ199" s="1695">
        <f t="shared" si="114"/>
        <v>32</v>
      </c>
      <c r="BA199" s="1695">
        <f t="shared" si="114"/>
        <v>32</v>
      </c>
      <c r="BB199" s="1695">
        <f t="shared" si="114"/>
        <v>32</v>
      </c>
      <c r="BC199" s="1695">
        <f t="shared" si="114"/>
        <v>32</v>
      </c>
      <c r="BD199" s="1695">
        <f t="shared" si="114"/>
        <v>32</v>
      </c>
      <c r="BE199" s="1695">
        <f t="shared" si="114"/>
        <v>32</v>
      </c>
      <c r="BF199" s="1695">
        <f t="shared" si="114"/>
        <v>32</v>
      </c>
      <c r="BG199" s="1695">
        <f t="shared" si="114"/>
        <v>32</v>
      </c>
      <c r="BH199" s="152"/>
      <c r="BI199" s="152"/>
      <c r="BJ199" s="152"/>
      <c r="BK199" s="153"/>
      <c r="BL199" s="152"/>
      <c r="BM199" s="152"/>
      <c r="BN199" s="152"/>
      <c r="BO199" s="152"/>
      <c r="BP199" s="152"/>
      <c r="BQ199" s="152"/>
      <c r="BR199" s="152"/>
      <c r="BS199" s="586"/>
      <c r="BT199" s="586"/>
      <c r="BU199" s="586"/>
      <c r="BV199" s="586"/>
      <c r="BW199" s="586"/>
      <c r="BX199" s="23"/>
      <c r="BY199" s="23"/>
      <c r="BZ199" s="23"/>
    </row>
    <row r="200">
      <c r="O200" s="23"/>
      <c r="P200" s="23"/>
      <c r="Q200" s="23"/>
      <c r="S200" s="1701"/>
      <c r="AT200" s="1695"/>
      <c r="AU200" s="1695"/>
      <c r="AV200" s="1695"/>
      <c r="AW200" s="1695"/>
      <c r="AX200" s="1695"/>
      <c r="AY200" s="1695"/>
      <c r="AZ200" s="1695"/>
      <c r="BA200" s="1695"/>
      <c r="BB200" s="1695"/>
      <c r="BC200" s="1695"/>
      <c r="BD200" s="1695"/>
      <c r="BE200" s="1695"/>
      <c r="BF200" s="1695"/>
      <c r="BG200" s="1695"/>
      <c r="BH200" s="152"/>
      <c r="BI200" s="152"/>
      <c r="BJ200" s="152"/>
      <c r="BK200" s="153"/>
      <c r="BL200" s="152"/>
      <c r="BM200" s="152"/>
      <c r="BN200" s="152"/>
      <c r="BO200" s="152"/>
      <c r="BP200" s="152"/>
      <c r="BQ200" s="152"/>
      <c r="BR200" s="152"/>
      <c r="BS200" s="577"/>
      <c r="BT200" s="577"/>
      <c r="BU200" s="577"/>
      <c r="BV200" s="577"/>
      <c r="BW200" s="577"/>
      <c r="BX200" s="23"/>
      <c r="BY200" s="23"/>
      <c r="BZ200" s="23"/>
    </row>
    <row r="201">
      <c r="O201" s="23"/>
      <c r="P201" s="23"/>
      <c r="Q201" s="23"/>
      <c r="S201" s="1705" t="s">
        <v>315</v>
      </c>
      <c r="T201" s="1758" t="str">
        <f t="shared" ref="T201:AT201" si="115">T193*T198</f>
        <v>#REF!</v>
      </c>
      <c r="U201" s="1758" t="str">
        <f t="shared" si="115"/>
        <v>#REF!</v>
      </c>
      <c r="V201" s="1806">
        <f t="shared" si="115"/>
        <v>0.7371714463</v>
      </c>
      <c r="W201" s="1806">
        <f t="shared" si="115"/>
        <v>0.00002782018141</v>
      </c>
      <c r="X201" s="1806">
        <f t="shared" si="115"/>
        <v>0.174116684</v>
      </c>
      <c r="Y201" s="1806">
        <f t="shared" si="115"/>
        <v>0.1645246607</v>
      </c>
      <c r="Z201" s="1806">
        <f t="shared" si="115"/>
        <v>0.1554610728</v>
      </c>
      <c r="AA201" s="1806">
        <f t="shared" si="115"/>
        <v>0.146896806</v>
      </c>
      <c r="AB201" s="1806">
        <f t="shared" si="115"/>
        <v>0.1388043503</v>
      </c>
      <c r="AC201" s="1806">
        <f t="shared" si="115"/>
        <v>0.1311577117</v>
      </c>
      <c r="AD201" s="1806">
        <f t="shared" si="115"/>
        <v>0.1239323286</v>
      </c>
      <c r="AE201" s="1806">
        <f t="shared" si="115"/>
        <v>0.1171049928</v>
      </c>
      <c r="AF201" s="1806">
        <f t="shared" si="115"/>
        <v>0.1106537749</v>
      </c>
      <c r="AG201" s="1806">
        <f t="shared" si="115"/>
        <v>0.1045579537</v>
      </c>
      <c r="AH201" s="1806">
        <f t="shared" si="115"/>
        <v>0.09879794979</v>
      </c>
      <c r="AI201" s="1806">
        <f t="shared" si="115"/>
        <v>0.09335526247</v>
      </c>
      <c r="AJ201" s="1806">
        <f t="shared" si="115"/>
        <v>0.08821241041</v>
      </c>
      <c r="AK201" s="1806">
        <f t="shared" si="115"/>
        <v>0.08335287541</v>
      </c>
      <c r="AL201" s="1806">
        <f t="shared" si="115"/>
        <v>0.07876104933</v>
      </c>
      <c r="AM201" s="1806">
        <f t="shared" si="115"/>
        <v>0.07442218395</v>
      </c>
      <c r="AN201" s="1806">
        <f t="shared" si="115"/>
        <v>0.07032234359</v>
      </c>
      <c r="AO201" s="1806">
        <f t="shared" si="115"/>
        <v>0.06644836031</v>
      </c>
      <c r="AP201" s="1806">
        <f t="shared" si="115"/>
        <v>0.06278779166</v>
      </c>
      <c r="AQ201" s="1806">
        <f t="shared" si="115"/>
        <v>0.05932888063</v>
      </c>
      <c r="AR201" s="1806">
        <f t="shared" si="115"/>
        <v>0.05606051797</v>
      </c>
      <c r="AS201" s="1806">
        <f t="shared" si="115"/>
        <v>0.05297220642</v>
      </c>
      <c r="AT201" s="1807">
        <f t="shared" si="115"/>
        <v>0.05005402703</v>
      </c>
      <c r="AU201" s="1807"/>
      <c r="AV201" s="1807">
        <f t="shared" ref="AV201:BG201" si="116">AV193*AV198</f>
        <v>0.04884772745</v>
      </c>
      <c r="AW201" s="1807">
        <f t="shared" si="116"/>
        <v>0.0476704997</v>
      </c>
      <c r="AX201" s="1807">
        <f t="shared" si="116"/>
        <v>0.04652164316</v>
      </c>
      <c r="AY201" s="1807">
        <f t="shared" si="116"/>
        <v>0.04540047407</v>
      </c>
      <c r="AZ201" s="1807">
        <f t="shared" si="116"/>
        <v>0.04430632517</v>
      </c>
      <c r="BA201" s="1807">
        <f t="shared" si="116"/>
        <v>0.04323854525</v>
      </c>
      <c r="BB201" s="1807">
        <f t="shared" si="116"/>
        <v>0.04270799052</v>
      </c>
      <c r="BC201" s="1807">
        <f t="shared" si="116"/>
        <v>0.04218394594</v>
      </c>
      <c r="BD201" s="1807">
        <f t="shared" si="116"/>
        <v>0.04166633161</v>
      </c>
      <c r="BE201" s="1807">
        <f t="shared" si="116"/>
        <v>0.04115506864</v>
      </c>
      <c r="BF201" s="1807">
        <f t="shared" si="116"/>
        <v>0.04065007908</v>
      </c>
      <c r="BG201" s="1807">
        <f t="shared" si="116"/>
        <v>0.04015128597</v>
      </c>
      <c r="BH201" s="152"/>
      <c r="BI201" s="152"/>
      <c r="BJ201" s="152"/>
      <c r="BK201" s="153"/>
      <c r="BL201" s="152"/>
      <c r="BM201" s="152"/>
      <c r="BN201" s="152"/>
      <c r="BO201" s="152"/>
      <c r="BP201" s="152"/>
      <c r="BQ201" s="152"/>
      <c r="BR201" s="152"/>
      <c r="BS201" s="594"/>
      <c r="BT201" s="594"/>
      <c r="BU201" s="594"/>
      <c r="BV201" s="594"/>
      <c r="BW201" s="594"/>
      <c r="BX201" s="23"/>
      <c r="BY201" s="23"/>
      <c r="BZ201" s="23"/>
      <c r="CA201" s="179"/>
    </row>
    <row r="202">
      <c r="O202" s="23"/>
      <c r="P202" s="23"/>
      <c r="Q202" s="23"/>
      <c r="S202" s="1725" t="s">
        <v>316</v>
      </c>
      <c r="T202" s="1762">
        <f t="shared" ref="T202:V202" si="117">T199</f>
        <v>0</v>
      </c>
      <c r="U202" s="1762">
        <f t="shared" si="117"/>
        <v>0</v>
      </c>
      <c r="V202" s="1808">
        <f t="shared" si="117"/>
        <v>32</v>
      </c>
      <c r="W202" s="1808">
        <f>W199+W201</f>
        <v>32.00002782</v>
      </c>
      <c r="X202" s="1808">
        <f t="shared" ref="X202:AT202" si="118">W202+X201</f>
        <v>32.1741445</v>
      </c>
      <c r="Y202" s="1808">
        <f t="shared" si="118"/>
        <v>32.33866916</v>
      </c>
      <c r="Z202" s="1808">
        <f t="shared" si="118"/>
        <v>32.49413024</v>
      </c>
      <c r="AA202" s="1808">
        <f t="shared" si="118"/>
        <v>32.64102704</v>
      </c>
      <c r="AB202" s="1808">
        <f t="shared" si="118"/>
        <v>32.77983139</v>
      </c>
      <c r="AC202" s="1808">
        <f t="shared" si="118"/>
        <v>32.91098911</v>
      </c>
      <c r="AD202" s="1808">
        <f t="shared" si="118"/>
        <v>33.03492143</v>
      </c>
      <c r="AE202" s="1808">
        <f t="shared" si="118"/>
        <v>33.15202643</v>
      </c>
      <c r="AF202" s="1808">
        <f t="shared" si="118"/>
        <v>33.2626802</v>
      </c>
      <c r="AG202" s="1808">
        <f t="shared" si="118"/>
        <v>33.36723816</v>
      </c>
      <c r="AH202" s="1808">
        <f t="shared" si="118"/>
        <v>33.46603611</v>
      </c>
      <c r="AI202" s="1808">
        <f t="shared" si="118"/>
        <v>33.55939137</v>
      </c>
      <c r="AJ202" s="1808">
        <f t="shared" si="118"/>
        <v>33.64760378</v>
      </c>
      <c r="AK202" s="1808">
        <f t="shared" si="118"/>
        <v>33.73095665</v>
      </c>
      <c r="AL202" s="1808">
        <f t="shared" si="118"/>
        <v>33.8097177</v>
      </c>
      <c r="AM202" s="1808">
        <f t="shared" si="118"/>
        <v>33.88413989</v>
      </c>
      <c r="AN202" s="1808">
        <f t="shared" si="118"/>
        <v>33.95446223</v>
      </c>
      <c r="AO202" s="1808">
        <f t="shared" si="118"/>
        <v>34.02091059</v>
      </c>
      <c r="AP202" s="1808">
        <f t="shared" si="118"/>
        <v>34.08369838</v>
      </c>
      <c r="AQ202" s="1808">
        <f t="shared" si="118"/>
        <v>34.14302726</v>
      </c>
      <c r="AR202" s="1808">
        <f t="shared" si="118"/>
        <v>34.19908778</v>
      </c>
      <c r="AS202" s="1808">
        <f t="shared" si="118"/>
        <v>34.25205999</v>
      </c>
      <c r="AT202" s="1809">
        <f t="shared" si="118"/>
        <v>34.30211401</v>
      </c>
      <c r="AU202" s="1809"/>
      <c r="AV202" s="1809">
        <f>AT202+AV201</f>
        <v>34.35096174</v>
      </c>
      <c r="AW202" s="1809">
        <f t="shared" ref="AW202:BG202" si="119">AV202+AW201</f>
        <v>34.39863224</v>
      </c>
      <c r="AX202" s="1809">
        <f t="shared" si="119"/>
        <v>34.44515388</v>
      </c>
      <c r="AY202" s="1809">
        <f t="shared" si="119"/>
        <v>34.49055436</v>
      </c>
      <c r="AZ202" s="1809">
        <f t="shared" si="119"/>
        <v>34.53486068</v>
      </c>
      <c r="BA202" s="1809">
        <f t="shared" si="119"/>
        <v>34.57809923</v>
      </c>
      <c r="BB202" s="1809">
        <f t="shared" si="119"/>
        <v>34.62080722</v>
      </c>
      <c r="BC202" s="1809">
        <f t="shared" si="119"/>
        <v>34.66299117</v>
      </c>
      <c r="BD202" s="1809">
        <f t="shared" si="119"/>
        <v>34.7046575</v>
      </c>
      <c r="BE202" s="1809">
        <f t="shared" si="119"/>
        <v>34.74581257</v>
      </c>
      <c r="BF202" s="1809">
        <f t="shared" si="119"/>
        <v>34.78646265</v>
      </c>
      <c r="BG202" s="1809">
        <f t="shared" si="119"/>
        <v>34.82661393</v>
      </c>
      <c r="BH202" s="152"/>
      <c r="BI202" s="152"/>
      <c r="BJ202" s="152"/>
      <c r="BK202" s="153"/>
      <c r="BL202" s="152"/>
      <c r="BM202" s="152"/>
      <c r="BN202" s="152"/>
      <c r="BO202" s="152"/>
      <c r="BP202" s="152"/>
      <c r="BQ202" s="152"/>
      <c r="BR202" s="152"/>
      <c r="BS202" s="577"/>
      <c r="BT202" s="577"/>
      <c r="BU202" s="577"/>
      <c r="BV202" s="577"/>
      <c r="BW202" s="577"/>
      <c r="BX202" s="23"/>
      <c r="BY202" s="23"/>
      <c r="BZ202" s="23"/>
    </row>
    <row r="203">
      <c r="O203" s="23"/>
      <c r="P203" s="23"/>
      <c r="Q203" s="23"/>
      <c r="AT203" s="1695"/>
      <c r="AU203" s="152"/>
      <c r="AV203" s="152"/>
      <c r="AW203" s="152"/>
      <c r="AX203" s="152"/>
      <c r="AY203" s="152"/>
      <c r="AZ203" s="152"/>
      <c r="BA203" s="152"/>
      <c r="BB203" s="152"/>
      <c r="BC203" s="152"/>
      <c r="BD203" s="152"/>
      <c r="BE203" s="152"/>
      <c r="BF203" s="152"/>
      <c r="BG203" s="152"/>
      <c r="BH203" s="152"/>
      <c r="BI203" s="152"/>
      <c r="BJ203" s="152"/>
      <c r="BK203" s="153"/>
      <c r="BL203" s="152"/>
      <c r="BM203" s="152"/>
      <c r="BN203" s="152"/>
      <c r="BO203" s="152"/>
      <c r="BP203" s="152"/>
      <c r="BQ203" s="152"/>
      <c r="BR203" s="152"/>
      <c r="BS203" s="577"/>
      <c r="BT203" s="577"/>
      <c r="BU203" s="577"/>
      <c r="BV203" s="577"/>
      <c r="BW203" s="577"/>
      <c r="BX203" s="23"/>
      <c r="BY203" s="23"/>
      <c r="BZ203" s="23"/>
    </row>
    <row r="204">
      <c r="O204" s="23"/>
      <c r="P204" s="23"/>
      <c r="Q204" s="23"/>
      <c r="S204" s="1797" t="s">
        <v>317</v>
      </c>
      <c r="T204" s="1743"/>
      <c r="U204" s="1743"/>
      <c r="V204" s="1743"/>
      <c r="W204" s="1743"/>
      <c r="X204" s="1743"/>
      <c r="Y204" s="1743"/>
      <c r="Z204" s="1743"/>
      <c r="AA204" s="1743"/>
      <c r="AB204" s="1743"/>
      <c r="AC204" s="1743"/>
      <c r="AD204" s="1743"/>
      <c r="AE204" s="1743"/>
      <c r="AF204" s="1743"/>
      <c r="AG204" s="1743"/>
      <c r="AH204" s="1743"/>
      <c r="AI204" s="1743"/>
      <c r="AJ204" s="1743"/>
      <c r="AK204" s="1743"/>
      <c r="AL204" s="1743"/>
      <c r="AM204" s="1743"/>
      <c r="AN204" s="1743"/>
      <c r="AO204" s="1743"/>
      <c r="AP204" s="1743"/>
      <c r="AQ204" s="1743"/>
      <c r="AR204" s="1743"/>
      <c r="AS204" s="1743"/>
      <c r="AT204" s="1744"/>
      <c r="AU204" s="1810"/>
      <c r="AV204" s="1810"/>
      <c r="AW204" s="1810"/>
      <c r="AX204" s="1810"/>
      <c r="AY204" s="1810"/>
      <c r="AZ204" s="1810"/>
      <c r="BA204" s="1810"/>
      <c r="BB204" s="1810"/>
      <c r="BC204" s="1810"/>
      <c r="BD204" s="1810"/>
      <c r="BE204" s="1810"/>
      <c r="BF204" s="1810"/>
      <c r="BG204" s="1810"/>
      <c r="BH204" s="1810"/>
      <c r="BI204" s="1810"/>
      <c r="BJ204" s="1810"/>
      <c r="BK204" s="1811"/>
      <c r="BL204" s="1810"/>
      <c r="BM204" s="1810"/>
      <c r="BN204" s="1810"/>
      <c r="BO204" s="1810"/>
      <c r="BP204" s="1810"/>
      <c r="BQ204" s="1810"/>
      <c r="BR204" s="1810"/>
      <c r="BS204" s="577"/>
      <c r="BT204" s="577"/>
      <c r="BU204" s="577"/>
      <c r="BV204" s="577"/>
      <c r="BW204" s="577"/>
      <c r="BX204" s="23"/>
      <c r="BY204" s="23"/>
      <c r="BZ204" s="23"/>
    </row>
    <row r="205">
      <c r="O205" s="23"/>
      <c r="P205" s="23"/>
      <c r="Q205" s="23"/>
      <c r="S205" s="1705" t="s">
        <v>318</v>
      </c>
      <c r="T205" s="1812">
        <v>350.0</v>
      </c>
      <c r="U205" s="1812">
        <v>350.0</v>
      </c>
      <c r="V205" s="1812">
        <v>350.0</v>
      </c>
      <c r="W205" s="1812">
        <f>C98</f>
        <v>400</v>
      </c>
      <c r="X205" s="1813">
        <f t="shared" ref="X205:AT205" si="120">W205*(1+X206)</f>
        <v>412</v>
      </c>
      <c r="Y205" s="1813">
        <f t="shared" si="120"/>
        <v>424.36</v>
      </c>
      <c r="Z205" s="1813">
        <f t="shared" si="120"/>
        <v>437.0908</v>
      </c>
      <c r="AA205" s="1813">
        <f t="shared" si="120"/>
        <v>450.203524</v>
      </c>
      <c r="AB205" s="1813">
        <f t="shared" si="120"/>
        <v>463.7096297</v>
      </c>
      <c r="AC205" s="1813">
        <f t="shared" si="120"/>
        <v>477.6209186</v>
      </c>
      <c r="AD205" s="1813">
        <f t="shared" si="120"/>
        <v>491.9495462</v>
      </c>
      <c r="AE205" s="1813">
        <f t="shared" si="120"/>
        <v>506.7080326</v>
      </c>
      <c r="AF205" s="1813">
        <f t="shared" si="120"/>
        <v>521.9092735</v>
      </c>
      <c r="AG205" s="1813">
        <f t="shared" si="120"/>
        <v>537.5665517</v>
      </c>
      <c r="AH205" s="1813">
        <f t="shared" si="120"/>
        <v>553.6935483</v>
      </c>
      <c r="AI205" s="1813">
        <f t="shared" si="120"/>
        <v>570.3043547</v>
      </c>
      <c r="AJ205" s="1813">
        <f t="shared" si="120"/>
        <v>587.4134854</v>
      </c>
      <c r="AK205" s="1813">
        <f t="shared" si="120"/>
        <v>605.0358899</v>
      </c>
      <c r="AL205" s="1813">
        <f t="shared" si="120"/>
        <v>623.1869666</v>
      </c>
      <c r="AM205" s="1813">
        <f t="shared" si="120"/>
        <v>641.8825756</v>
      </c>
      <c r="AN205" s="1813">
        <f t="shared" si="120"/>
        <v>661.1390529</v>
      </c>
      <c r="AO205" s="1813">
        <f t="shared" si="120"/>
        <v>680.9732245</v>
      </c>
      <c r="AP205" s="1813">
        <f t="shared" si="120"/>
        <v>701.4024212</v>
      </c>
      <c r="AQ205" s="1813">
        <f t="shared" si="120"/>
        <v>722.4444939</v>
      </c>
      <c r="AR205" s="1813">
        <f t="shared" si="120"/>
        <v>744.1178287</v>
      </c>
      <c r="AS205" s="1813">
        <f t="shared" si="120"/>
        <v>766.4413635</v>
      </c>
      <c r="AT205" s="1814">
        <f t="shared" si="120"/>
        <v>789.4346045</v>
      </c>
      <c r="AU205" s="1814"/>
      <c r="AV205" s="1814">
        <f>AT205*(1+AV206)</f>
        <v>813.1176426</v>
      </c>
      <c r="AW205" s="1814">
        <f t="shared" ref="AW205:BG205" si="121">AV205*(1+AW206)</f>
        <v>837.5111719</v>
      </c>
      <c r="AX205" s="1814">
        <f t="shared" si="121"/>
        <v>862.636507</v>
      </c>
      <c r="AY205" s="1814">
        <f t="shared" si="121"/>
        <v>888.5156022</v>
      </c>
      <c r="AZ205" s="1814">
        <f t="shared" si="121"/>
        <v>915.1710703</v>
      </c>
      <c r="BA205" s="1814">
        <f t="shared" si="121"/>
        <v>942.6262024</v>
      </c>
      <c r="BB205" s="1814">
        <f t="shared" si="121"/>
        <v>970.9049885</v>
      </c>
      <c r="BC205" s="1814">
        <f t="shared" si="121"/>
        <v>1000.032138</v>
      </c>
      <c r="BD205" s="1814">
        <f t="shared" si="121"/>
        <v>1030.033102</v>
      </c>
      <c r="BE205" s="1814">
        <f t="shared" si="121"/>
        <v>1060.934095</v>
      </c>
      <c r="BF205" s="1814">
        <f t="shared" si="121"/>
        <v>1092.762118</v>
      </c>
      <c r="BG205" s="1814">
        <f t="shared" si="121"/>
        <v>1125.544982</v>
      </c>
      <c r="BH205" s="23"/>
      <c r="BI205" s="23"/>
      <c r="BJ205" s="23"/>
      <c r="BK205" s="1681"/>
      <c r="BL205" s="23"/>
      <c r="BM205" s="23"/>
      <c r="BN205" s="23"/>
      <c r="BO205" s="23"/>
      <c r="BP205" s="23"/>
      <c r="BQ205" s="23"/>
      <c r="BR205" s="23"/>
      <c r="BS205" s="577"/>
      <c r="BT205" s="577"/>
      <c r="BU205" s="577"/>
      <c r="BV205" s="577"/>
      <c r="BW205" s="577"/>
      <c r="BX205" s="23"/>
      <c r="BY205" s="23"/>
      <c r="BZ205" s="23"/>
    </row>
    <row r="206">
      <c r="O206" s="23"/>
      <c r="P206" s="23"/>
      <c r="Q206" s="23"/>
      <c r="R206" s="1651"/>
      <c r="S206" s="1705" t="s">
        <v>319</v>
      </c>
      <c r="T206" s="1631"/>
      <c r="U206" s="1631"/>
      <c r="V206" s="1631"/>
      <c r="W206" s="1631"/>
      <c r="X206" s="1713">
        <f>C99</f>
        <v>0.03</v>
      </c>
      <c r="Y206" s="1713">
        <f t="shared" ref="Y206:AS206" si="122">X206</f>
        <v>0.03</v>
      </c>
      <c r="Z206" s="1713">
        <f t="shared" si="122"/>
        <v>0.03</v>
      </c>
      <c r="AA206" s="1713">
        <f t="shared" si="122"/>
        <v>0.03</v>
      </c>
      <c r="AB206" s="1713">
        <f t="shared" si="122"/>
        <v>0.03</v>
      </c>
      <c r="AC206" s="1713">
        <f t="shared" si="122"/>
        <v>0.03</v>
      </c>
      <c r="AD206" s="1713">
        <f t="shared" si="122"/>
        <v>0.03</v>
      </c>
      <c r="AE206" s="1713">
        <f t="shared" si="122"/>
        <v>0.03</v>
      </c>
      <c r="AF206" s="1713">
        <f t="shared" si="122"/>
        <v>0.03</v>
      </c>
      <c r="AG206" s="1713">
        <f t="shared" si="122"/>
        <v>0.03</v>
      </c>
      <c r="AH206" s="1713">
        <f t="shared" si="122"/>
        <v>0.03</v>
      </c>
      <c r="AI206" s="1713">
        <f t="shared" si="122"/>
        <v>0.03</v>
      </c>
      <c r="AJ206" s="1713">
        <f t="shared" si="122"/>
        <v>0.03</v>
      </c>
      <c r="AK206" s="1713">
        <f t="shared" si="122"/>
        <v>0.03</v>
      </c>
      <c r="AL206" s="1713">
        <f t="shared" si="122"/>
        <v>0.03</v>
      </c>
      <c r="AM206" s="1713">
        <f t="shared" si="122"/>
        <v>0.03</v>
      </c>
      <c r="AN206" s="1713">
        <f t="shared" si="122"/>
        <v>0.03</v>
      </c>
      <c r="AO206" s="1713">
        <f t="shared" si="122"/>
        <v>0.03</v>
      </c>
      <c r="AP206" s="1713">
        <f t="shared" si="122"/>
        <v>0.03</v>
      </c>
      <c r="AQ206" s="1713">
        <f t="shared" si="122"/>
        <v>0.03</v>
      </c>
      <c r="AR206" s="1713">
        <f t="shared" si="122"/>
        <v>0.03</v>
      </c>
      <c r="AS206" s="1713">
        <f t="shared" si="122"/>
        <v>0.03</v>
      </c>
      <c r="AT206" s="1714">
        <v>0.03</v>
      </c>
      <c r="AU206" s="1714"/>
      <c r="AV206" s="1714">
        <f>AT206</f>
        <v>0.03</v>
      </c>
      <c r="AW206" s="1714">
        <f>AV206</f>
        <v>0.03</v>
      </c>
      <c r="AX206" s="1714">
        <v>0.03</v>
      </c>
      <c r="AY206" s="1714">
        <v>0.03</v>
      </c>
      <c r="AZ206" s="1714">
        <v>0.03</v>
      </c>
      <c r="BA206" s="1714">
        <v>0.03</v>
      </c>
      <c r="BB206" s="1714">
        <f t="shared" ref="BB206:BG206" si="123">BA206</f>
        <v>0.03</v>
      </c>
      <c r="BC206" s="1714">
        <f t="shared" si="123"/>
        <v>0.03</v>
      </c>
      <c r="BD206" s="1714">
        <f t="shared" si="123"/>
        <v>0.03</v>
      </c>
      <c r="BE206" s="1714">
        <f t="shared" si="123"/>
        <v>0.03</v>
      </c>
      <c r="BF206" s="1714">
        <f t="shared" si="123"/>
        <v>0.03</v>
      </c>
      <c r="BG206" s="1714">
        <f t="shared" si="123"/>
        <v>0.03</v>
      </c>
      <c r="BH206" s="23"/>
      <c r="BI206" s="23"/>
      <c r="BJ206" s="23"/>
      <c r="BK206" s="1681"/>
      <c r="BL206" s="23"/>
      <c r="BM206" s="23"/>
      <c r="BN206" s="23"/>
      <c r="BO206" s="23"/>
      <c r="BP206" s="23"/>
      <c r="BQ206" s="23"/>
      <c r="BR206" s="23"/>
      <c r="BS206" s="577"/>
      <c r="BT206" s="577"/>
      <c r="BU206" s="577"/>
      <c r="BV206" s="577"/>
      <c r="BW206" s="577"/>
      <c r="BX206" s="23"/>
      <c r="BY206" s="23"/>
      <c r="BZ206" s="23"/>
    </row>
    <row r="207">
      <c r="O207" s="23"/>
      <c r="P207" s="23"/>
      <c r="Q207" s="23"/>
      <c r="R207" s="1651"/>
      <c r="S207" s="1705" t="s">
        <v>227</v>
      </c>
      <c r="T207" s="1640" t="str">
        <f t="shared" ref="T207:AT207" si="124">T201</f>
        <v>#REF!</v>
      </c>
      <c r="U207" s="1640" t="str">
        <f t="shared" si="124"/>
        <v>#REF!</v>
      </c>
      <c r="V207" s="1639">
        <f t="shared" si="124"/>
        <v>0.7371714463</v>
      </c>
      <c r="W207" s="1639">
        <f t="shared" si="124"/>
        <v>0.00002782018141</v>
      </c>
      <c r="X207" s="1639">
        <f t="shared" si="124"/>
        <v>0.174116684</v>
      </c>
      <c r="Y207" s="1639">
        <f t="shared" si="124"/>
        <v>0.1645246607</v>
      </c>
      <c r="Z207" s="1639">
        <f t="shared" si="124"/>
        <v>0.1554610728</v>
      </c>
      <c r="AA207" s="1639">
        <f t="shared" si="124"/>
        <v>0.146896806</v>
      </c>
      <c r="AB207" s="1639">
        <f t="shared" si="124"/>
        <v>0.1388043503</v>
      </c>
      <c r="AC207" s="1639">
        <f t="shared" si="124"/>
        <v>0.1311577117</v>
      </c>
      <c r="AD207" s="1639">
        <f t="shared" si="124"/>
        <v>0.1239323286</v>
      </c>
      <c r="AE207" s="1639">
        <f t="shared" si="124"/>
        <v>0.1171049928</v>
      </c>
      <c r="AF207" s="1639">
        <f t="shared" si="124"/>
        <v>0.1106537749</v>
      </c>
      <c r="AG207" s="1639">
        <f t="shared" si="124"/>
        <v>0.1045579537</v>
      </c>
      <c r="AH207" s="1639">
        <f t="shared" si="124"/>
        <v>0.09879794979</v>
      </c>
      <c r="AI207" s="1639">
        <f t="shared" si="124"/>
        <v>0.09335526247</v>
      </c>
      <c r="AJ207" s="1639">
        <f t="shared" si="124"/>
        <v>0.08821241041</v>
      </c>
      <c r="AK207" s="1639">
        <f t="shared" si="124"/>
        <v>0.08335287541</v>
      </c>
      <c r="AL207" s="1639">
        <f t="shared" si="124"/>
        <v>0.07876104933</v>
      </c>
      <c r="AM207" s="1639">
        <f t="shared" si="124"/>
        <v>0.07442218395</v>
      </c>
      <c r="AN207" s="1639">
        <f t="shared" si="124"/>
        <v>0.07032234359</v>
      </c>
      <c r="AO207" s="1639">
        <f t="shared" si="124"/>
        <v>0.06644836031</v>
      </c>
      <c r="AP207" s="1639">
        <f t="shared" si="124"/>
        <v>0.06278779166</v>
      </c>
      <c r="AQ207" s="1639">
        <f t="shared" si="124"/>
        <v>0.05932888063</v>
      </c>
      <c r="AR207" s="1639">
        <f t="shared" si="124"/>
        <v>0.05606051797</v>
      </c>
      <c r="AS207" s="1639">
        <f t="shared" si="124"/>
        <v>0.05297220642</v>
      </c>
      <c r="AT207" s="1815">
        <f t="shared" si="124"/>
        <v>0.05005402703</v>
      </c>
      <c r="AU207" s="1704"/>
      <c r="AV207" s="1815">
        <f t="shared" ref="AV207:BG207" si="125">AV201</f>
        <v>0.04884772745</v>
      </c>
      <c r="AW207" s="1815">
        <f t="shared" si="125"/>
        <v>0.0476704997</v>
      </c>
      <c r="AX207" s="1815">
        <f t="shared" si="125"/>
        <v>0.04652164316</v>
      </c>
      <c r="AY207" s="1815">
        <f t="shared" si="125"/>
        <v>0.04540047407</v>
      </c>
      <c r="AZ207" s="1815">
        <f t="shared" si="125"/>
        <v>0.04430632517</v>
      </c>
      <c r="BA207" s="1815">
        <f t="shared" si="125"/>
        <v>0.04323854525</v>
      </c>
      <c r="BB207" s="1815">
        <f t="shared" si="125"/>
        <v>0.04270799052</v>
      </c>
      <c r="BC207" s="1815">
        <f t="shared" si="125"/>
        <v>0.04218394594</v>
      </c>
      <c r="BD207" s="1815">
        <f t="shared" si="125"/>
        <v>0.04166633161</v>
      </c>
      <c r="BE207" s="1815">
        <f t="shared" si="125"/>
        <v>0.04115506864</v>
      </c>
      <c r="BF207" s="1815">
        <f t="shared" si="125"/>
        <v>0.04065007908</v>
      </c>
      <c r="BG207" s="1815">
        <f t="shared" si="125"/>
        <v>0.04015128597</v>
      </c>
      <c r="BH207" s="1816"/>
      <c r="BI207" s="1816"/>
      <c r="BJ207" s="1816"/>
      <c r="BK207" s="1816"/>
      <c r="BL207" s="1816"/>
      <c r="BM207" s="1816"/>
      <c r="BN207" s="1816"/>
      <c r="BO207" s="1816"/>
      <c r="BP207" s="1816"/>
      <c r="BQ207" s="1816"/>
      <c r="BR207" s="1816"/>
      <c r="BS207" s="577"/>
      <c r="BT207" s="577"/>
      <c r="BU207" s="577"/>
      <c r="BV207" s="577"/>
      <c r="BW207" s="577"/>
      <c r="BX207" s="23"/>
      <c r="BY207" s="23"/>
      <c r="BZ207" s="23"/>
    </row>
    <row r="208">
      <c r="O208" s="23"/>
      <c r="P208" s="23"/>
      <c r="Q208" s="23"/>
      <c r="R208" s="1651"/>
      <c r="S208" s="1705" t="s">
        <v>320</v>
      </c>
      <c r="T208" s="1631" t="str">
        <f t="shared" ref="T208:AT208" si="126">T207*T205</f>
        <v>#REF!</v>
      </c>
      <c r="U208" s="1631" t="str">
        <f t="shared" si="126"/>
        <v>#REF!</v>
      </c>
      <c r="V208" s="1643">
        <f t="shared" si="126"/>
        <v>258.0100062</v>
      </c>
      <c r="W208" s="1817">
        <f t="shared" si="126"/>
        <v>0.01112807256</v>
      </c>
      <c r="X208" s="1643">
        <f t="shared" si="126"/>
        <v>71.7360738</v>
      </c>
      <c r="Y208" s="1643">
        <f t="shared" si="126"/>
        <v>69.81768501</v>
      </c>
      <c r="Z208" s="1643">
        <f t="shared" si="126"/>
        <v>67.95060468</v>
      </c>
      <c r="AA208" s="1643">
        <f t="shared" si="126"/>
        <v>66.13345971</v>
      </c>
      <c r="AB208" s="1643">
        <f t="shared" si="126"/>
        <v>64.36491386</v>
      </c>
      <c r="AC208" s="1643">
        <f t="shared" si="126"/>
        <v>62.64366674</v>
      </c>
      <c r="AD208" s="1643">
        <f t="shared" si="126"/>
        <v>60.96845282</v>
      </c>
      <c r="AE208" s="1643">
        <f t="shared" si="126"/>
        <v>59.33804053</v>
      </c>
      <c r="AF208" s="1643">
        <f t="shared" si="126"/>
        <v>57.75123129</v>
      </c>
      <c r="AG208" s="1643">
        <f t="shared" si="126"/>
        <v>56.20685864</v>
      </c>
      <c r="AH208" s="1643">
        <f t="shared" si="126"/>
        <v>54.70378738</v>
      </c>
      <c r="AI208" s="1643">
        <f t="shared" si="126"/>
        <v>53.24091273</v>
      </c>
      <c r="AJ208" s="1643">
        <f t="shared" si="126"/>
        <v>51.81715945</v>
      </c>
      <c r="AK208" s="1643">
        <f t="shared" si="126"/>
        <v>50.43148115</v>
      </c>
      <c r="AL208" s="1643">
        <f t="shared" si="126"/>
        <v>49.08285942</v>
      </c>
      <c r="AM208" s="1643">
        <f t="shared" si="126"/>
        <v>47.77030312</v>
      </c>
      <c r="AN208" s="1643">
        <f t="shared" si="126"/>
        <v>46.49284764</v>
      </c>
      <c r="AO208" s="1643">
        <f t="shared" si="126"/>
        <v>45.24955418</v>
      </c>
      <c r="AP208" s="1643">
        <f t="shared" si="126"/>
        <v>44.03950909</v>
      </c>
      <c r="AQ208" s="1643">
        <f t="shared" si="126"/>
        <v>42.86182314</v>
      </c>
      <c r="AR208" s="1643">
        <f t="shared" si="126"/>
        <v>41.71563091</v>
      </c>
      <c r="AS208" s="1643">
        <f t="shared" si="126"/>
        <v>40.60009011</v>
      </c>
      <c r="AT208" s="1711">
        <f t="shared" si="126"/>
        <v>39.51438103</v>
      </c>
      <c r="AU208" s="1704"/>
      <c r="AV208" s="1711">
        <f t="shared" ref="AV208:BG208" si="127">AV207*AV205</f>
        <v>39.71894899</v>
      </c>
      <c r="AW208" s="1711">
        <f t="shared" si="127"/>
        <v>39.92457607</v>
      </c>
      <c r="AX208" s="1711">
        <f t="shared" si="127"/>
        <v>40.13126776</v>
      </c>
      <c r="AY208" s="1711">
        <f t="shared" si="127"/>
        <v>40.33902956</v>
      </c>
      <c r="AZ208" s="1711">
        <f t="shared" si="127"/>
        <v>40.54786702</v>
      </c>
      <c r="BA208" s="1711">
        <f t="shared" si="127"/>
        <v>40.7577857</v>
      </c>
      <c r="BB208" s="1711">
        <f t="shared" si="127"/>
        <v>41.46540105</v>
      </c>
      <c r="BC208" s="1711">
        <f t="shared" si="127"/>
        <v>42.18530165</v>
      </c>
      <c r="BD208" s="1711">
        <f t="shared" si="127"/>
        <v>42.91770081</v>
      </c>
      <c r="BE208" s="1711">
        <f t="shared" si="127"/>
        <v>43.66281551</v>
      </c>
      <c r="BF208" s="1711">
        <f t="shared" si="127"/>
        <v>44.42086652</v>
      </c>
      <c r="BG208" s="1711">
        <f t="shared" si="127"/>
        <v>45.19207844</v>
      </c>
      <c r="BH208" s="1816"/>
      <c r="BI208" s="1816"/>
      <c r="BJ208" s="1816"/>
      <c r="BK208" s="1816"/>
      <c r="BL208" s="1816"/>
      <c r="BM208" s="1816"/>
      <c r="BN208" s="1816"/>
      <c r="BO208" s="1816"/>
      <c r="BP208" s="1816"/>
      <c r="BQ208" s="1816"/>
      <c r="BR208" s="1816"/>
      <c r="BS208" s="594"/>
      <c r="BT208" s="594"/>
      <c r="BU208" s="594"/>
      <c r="BV208" s="594"/>
      <c r="BW208" s="594"/>
      <c r="BX208" s="23"/>
      <c r="BY208" s="23"/>
      <c r="BZ208" s="23"/>
    </row>
    <row r="209">
      <c r="O209" s="23"/>
      <c r="P209" s="23"/>
      <c r="Q209" s="23"/>
      <c r="R209" s="1651"/>
      <c r="S209" s="1705" t="s">
        <v>321</v>
      </c>
      <c r="T209" s="1631" t="str">
        <f t="shared" ref="T209:W209" si="128">T208</f>
        <v>#REF!</v>
      </c>
      <c r="U209" s="1631" t="str">
        <f t="shared" si="128"/>
        <v>#REF!</v>
      </c>
      <c r="V209" s="1643">
        <f t="shared" si="128"/>
        <v>258.0100062</v>
      </c>
      <c r="W209" s="1817">
        <f t="shared" si="128"/>
        <v>0.01112807256</v>
      </c>
      <c r="X209" s="1817">
        <f t="shared" ref="X209:AT209" si="129">W209+X208</f>
        <v>71.74720187</v>
      </c>
      <c r="Y209" s="1817">
        <f t="shared" si="129"/>
        <v>141.5648869</v>
      </c>
      <c r="Z209" s="1817">
        <f t="shared" si="129"/>
        <v>209.5154916</v>
      </c>
      <c r="AA209" s="1817">
        <f t="shared" si="129"/>
        <v>275.6489513</v>
      </c>
      <c r="AB209" s="1817">
        <f t="shared" si="129"/>
        <v>340.0138651</v>
      </c>
      <c r="AC209" s="1817">
        <f t="shared" si="129"/>
        <v>402.6575319</v>
      </c>
      <c r="AD209" s="1817">
        <f t="shared" si="129"/>
        <v>463.6259847</v>
      </c>
      <c r="AE209" s="1817">
        <f t="shared" si="129"/>
        <v>522.9640252</v>
      </c>
      <c r="AF209" s="1817">
        <f t="shared" si="129"/>
        <v>580.7152565</v>
      </c>
      <c r="AG209" s="1817">
        <f t="shared" si="129"/>
        <v>636.9221151</v>
      </c>
      <c r="AH209" s="1817">
        <f t="shared" si="129"/>
        <v>691.6259025</v>
      </c>
      <c r="AI209" s="1817">
        <f t="shared" si="129"/>
        <v>744.8668153</v>
      </c>
      <c r="AJ209" s="1817">
        <f t="shared" si="129"/>
        <v>796.6839747</v>
      </c>
      <c r="AK209" s="1817">
        <f t="shared" si="129"/>
        <v>847.1154559</v>
      </c>
      <c r="AL209" s="1817">
        <f t="shared" si="129"/>
        <v>896.1983153</v>
      </c>
      <c r="AM209" s="1817">
        <f t="shared" si="129"/>
        <v>943.9686184</v>
      </c>
      <c r="AN209" s="1817">
        <f t="shared" si="129"/>
        <v>990.461466</v>
      </c>
      <c r="AO209" s="1817">
        <f t="shared" si="129"/>
        <v>1035.71102</v>
      </c>
      <c r="AP209" s="1817">
        <f t="shared" si="129"/>
        <v>1079.750529</v>
      </c>
      <c r="AQ209" s="1817">
        <f t="shared" si="129"/>
        <v>1122.612352</v>
      </c>
      <c r="AR209" s="1817">
        <f t="shared" si="129"/>
        <v>1164.327983</v>
      </c>
      <c r="AS209" s="1817">
        <f t="shared" si="129"/>
        <v>1204.928073</v>
      </c>
      <c r="AT209" s="1818">
        <f t="shared" si="129"/>
        <v>1244.442455</v>
      </c>
      <c r="AU209" s="1704"/>
      <c r="AV209" s="1818">
        <f>AT209+AV208</f>
        <v>1284.161403</v>
      </c>
      <c r="AW209" s="1818">
        <f t="shared" ref="AW209:BG209" si="130">AV209+AW208</f>
        <v>1324.08598</v>
      </c>
      <c r="AX209" s="1818">
        <f t="shared" si="130"/>
        <v>1364.217247</v>
      </c>
      <c r="AY209" s="1818">
        <f t="shared" si="130"/>
        <v>1404.556277</v>
      </c>
      <c r="AZ209" s="1818">
        <f t="shared" si="130"/>
        <v>1445.104144</v>
      </c>
      <c r="BA209" s="1818">
        <f t="shared" si="130"/>
        <v>1485.86193</v>
      </c>
      <c r="BB209" s="1818">
        <f t="shared" si="130"/>
        <v>1527.327331</v>
      </c>
      <c r="BC209" s="1818">
        <f t="shared" si="130"/>
        <v>1569.512632</v>
      </c>
      <c r="BD209" s="1818">
        <f t="shared" si="130"/>
        <v>1612.430333</v>
      </c>
      <c r="BE209" s="1818">
        <f t="shared" si="130"/>
        <v>1656.093149</v>
      </c>
      <c r="BF209" s="1818">
        <f t="shared" si="130"/>
        <v>1700.514015</v>
      </c>
      <c r="BG209" s="1818">
        <f t="shared" si="130"/>
        <v>1745.706094</v>
      </c>
      <c r="BH209" s="1816"/>
      <c r="BI209" s="1816"/>
      <c r="BJ209" s="1816"/>
      <c r="BK209" s="1816"/>
      <c r="BL209" s="1816"/>
      <c r="BM209" s="1816"/>
      <c r="BN209" s="1816"/>
      <c r="BO209" s="1816"/>
      <c r="BP209" s="1816"/>
      <c r="BQ209" s="1816"/>
      <c r="BR209" s="1816"/>
      <c r="BS209" s="577"/>
      <c r="BT209" s="577"/>
      <c r="BU209" s="577"/>
      <c r="BV209" s="577"/>
      <c r="BW209" s="577"/>
      <c r="BX209" s="23"/>
      <c r="BY209" s="23"/>
      <c r="BZ209" s="23"/>
    </row>
    <row r="210">
      <c r="O210" s="23"/>
      <c r="P210" s="23"/>
      <c r="Q210" s="23"/>
      <c r="S210" s="1705" t="s">
        <v>233</v>
      </c>
      <c r="T210" s="1643">
        <f t="shared" ref="T210:U210" si="131">32*T205</f>
        <v>11200</v>
      </c>
      <c r="U210" s="1643">
        <f t="shared" si="131"/>
        <v>11200</v>
      </c>
      <c r="V210" s="1643">
        <f t="shared" ref="V210:AT210" si="132">V199*V205</f>
        <v>11200</v>
      </c>
      <c r="W210" s="1643">
        <f t="shared" si="132"/>
        <v>12800</v>
      </c>
      <c r="X210" s="1643">
        <f t="shared" si="132"/>
        <v>13184</v>
      </c>
      <c r="Y210" s="1643">
        <f t="shared" si="132"/>
        <v>13579.52</v>
      </c>
      <c r="Z210" s="1643">
        <f t="shared" si="132"/>
        <v>13986.9056</v>
      </c>
      <c r="AA210" s="1643">
        <f t="shared" si="132"/>
        <v>14406.51277</v>
      </c>
      <c r="AB210" s="1643">
        <f t="shared" si="132"/>
        <v>14838.70815</v>
      </c>
      <c r="AC210" s="1643">
        <f t="shared" si="132"/>
        <v>15283.8694</v>
      </c>
      <c r="AD210" s="1643">
        <f t="shared" si="132"/>
        <v>15742.38548</v>
      </c>
      <c r="AE210" s="1643">
        <f t="shared" si="132"/>
        <v>16214.65704</v>
      </c>
      <c r="AF210" s="1643">
        <f t="shared" si="132"/>
        <v>16701.09675</v>
      </c>
      <c r="AG210" s="1643">
        <f t="shared" si="132"/>
        <v>17202.12966</v>
      </c>
      <c r="AH210" s="1643">
        <f t="shared" si="132"/>
        <v>17718.19355</v>
      </c>
      <c r="AI210" s="1643">
        <f t="shared" si="132"/>
        <v>18249.73935</v>
      </c>
      <c r="AJ210" s="1643">
        <f t="shared" si="132"/>
        <v>18797.23153</v>
      </c>
      <c r="AK210" s="1643">
        <f t="shared" si="132"/>
        <v>19361.14848</v>
      </c>
      <c r="AL210" s="1643">
        <f t="shared" si="132"/>
        <v>19941.98293</v>
      </c>
      <c r="AM210" s="1643">
        <f t="shared" si="132"/>
        <v>20540.24242</v>
      </c>
      <c r="AN210" s="1643">
        <f t="shared" si="132"/>
        <v>21156.44969</v>
      </c>
      <c r="AO210" s="1643">
        <f t="shared" si="132"/>
        <v>21791.14318</v>
      </c>
      <c r="AP210" s="1643">
        <f t="shared" si="132"/>
        <v>22444.87748</v>
      </c>
      <c r="AQ210" s="1643">
        <f t="shared" si="132"/>
        <v>23118.2238</v>
      </c>
      <c r="AR210" s="1643">
        <f t="shared" si="132"/>
        <v>23811.77052</v>
      </c>
      <c r="AS210" s="1643">
        <f t="shared" si="132"/>
        <v>24526.12363</v>
      </c>
      <c r="AT210" s="1711">
        <f t="shared" si="132"/>
        <v>25261.90734</v>
      </c>
      <c r="AU210" s="1704"/>
      <c r="AV210" s="1711">
        <f t="shared" ref="AV210:BG210" si="133">AV199*AV205</f>
        <v>26019.76456</v>
      </c>
      <c r="AW210" s="1711">
        <f t="shared" si="133"/>
        <v>26800.3575</v>
      </c>
      <c r="AX210" s="1711">
        <f t="shared" si="133"/>
        <v>27604.36822</v>
      </c>
      <c r="AY210" s="1711">
        <f t="shared" si="133"/>
        <v>28432.49927</v>
      </c>
      <c r="AZ210" s="1711">
        <f t="shared" si="133"/>
        <v>29285.47425</v>
      </c>
      <c r="BA210" s="1711">
        <f t="shared" si="133"/>
        <v>30164.03848</v>
      </c>
      <c r="BB210" s="1711">
        <f t="shared" si="133"/>
        <v>31068.95963</v>
      </c>
      <c r="BC210" s="1711">
        <f t="shared" si="133"/>
        <v>32001.02842</v>
      </c>
      <c r="BD210" s="1711">
        <f t="shared" si="133"/>
        <v>32961.05927</v>
      </c>
      <c r="BE210" s="1711">
        <f t="shared" si="133"/>
        <v>33949.89105</v>
      </c>
      <c r="BF210" s="1711">
        <f t="shared" si="133"/>
        <v>34968.38778</v>
      </c>
      <c r="BG210" s="1711">
        <f t="shared" si="133"/>
        <v>36017.43942</v>
      </c>
      <c r="BH210" s="1816"/>
      <c r="BI210" s="1816"/>
      <c r="BJ210" s="1816"/>
      <c r="BK210" s="1816"/>
      <c r="BL210" s="1816"/>
      <c r="BM210" s="1816"/>
      <c r="BN210" s="1816"/>
      <c r="BO210" s="1816"/>
      <c r="BP210" s="1816"/>
      <c r="BQ210" s="1816"/>
      <c r="BR210" s="1816"/>
      <c r="BS210" s="577"/>
      <c r="BT210" s="577"/>
      <c r="BU210" s="577"/>
      <c r="BV210" s="577"/>
      <c r="BW210" s="577"/>
      <c r="BX210" s="23"/>
      <c r="BY210" s="23"/>
      <c r="BZ210" s="23"/>
    </row>
    <row r="211">
      <c r="D211" s="213"/>
      <c r="G211" s="214"/>
      <c r="H211" s="214"/>
      <c r="I211" s="214"/>
      <c r="J211" s="214"/>
      <c r="K211" s="214"/>
      <c r="L211" s="214"/>
      <c r="M211" s="214"/>
      <c r="N211" s="214"/>
      <c r="O211" s="214"/>
      <c r="P211" s="214"/>
      <c r="Q211" s="214"/>
      <c r="S211" s="1819" t="s">
        <v>234</v>
      </c>
      <c r="T211" s="1820" t="str">
        <f t="shared" ref="T211:V211" si="134">(T199*T205)+T209</f>
        <v>#REF!</v>
      </c>
      <c r="U211" s="1820" t="str">
        <f t="shared" si="134"/>
        <v>#REF!</v>
      </c>
      <c r="V211" s="1821">
        <f t="shared" si="134"/>
        <v>11458.01001</v>
      </c>
      <c r="W211" s="1821">
        <f t="shared" ref="W211:AT211" si="135">W202*W205</f>
        <v>12800.01113</v>
      </c>
      <c r="X211" s="1821">
        <f t="shared" si="135"/>
        <v>13255.74754</v>
      </c>
      <c r="Y211" s="1821">
        <f t="shared" si="135"/>
        <v>13723.23765</v>
      </c>
      <c r="Z211" s="1821">
        <f t="shared" si="135"/>
        <v>14202.88538</v>
      </c>
      <c r="AA211" s="1821">
        <f t="shared" si="135"/>
        <v>14695.1054</v>
      </c>
      <c r="AB211" s="1821">
        <f t="shared" si="135"/>
        <v>15200.32348</v>
      </c>
      <c r="AC211" s="1821">
        <f t="shared" si="135"/>
        <v>15718.97685</v>
      </c>
      <c r="AD211" s="1821">
        <f t="shared" si="135"/>
        <v>16251.51461</v>
      </c>
      <c r="AE211" s="1821">
        <f t="shared" si="135"/>
        <v>16798.39809</v>
      </c>
      <c r="AF211" s="1821">
        <f t="shared" si="135"/>
        <v>17360.10126</v>
      </c>
      <c r="AG211" s="1821">
        <f t="shared" si="135"/>
        <v>17937.11116</v>
      </c>
      <c r="AH211" s="1821">
        <f t="shared" si="135"/>
        <v>18529.92828</v>
      </c>
      <c r="AI211" s="1821">
        <f t="shared" si="135"/>
        <v>19139.06704</v>
      </c>
      <c r="AJ211" s="1821">
        <f t="shared" si="135"/>
        <v>19765.05621</v>
      </c>
      <c r="AK211" s="1821">
        <f t="shared" si="135"/>
        <v>20408.43938</v>
      </c>
      <c r="AL211" s="1821">
        <f t="shared" si="135"/>
        <v>21069.77542</v>
      </c>
      <c r="AM211" s="1821">
        <f t="shared" si="135"/>
        <v>21749.63898</v>
      </c>
      <c r="AN211" s="1821">
        <f t="shared" si="135"/>
        <v>22448.621</v>
      </c>
      <c r="AO211" s="1821">
        <f t="shared" si="135"/>
        <v>23167.32919</v>
      </c>
      <c r="AP211" s="1821">
        <f t="shared" si="135"/>
        <v>23906.38857</v>
      </c>
      <c r="AQ211" s="1821">
        <f t="shared" si="135"/>
        <v>24666.44205</v>
      </c>
      <c r="AR211" s="1821">
        <f t="shared" si="135"/>
        <v>25448.15094</v>
      </c>
      <c r="AS211" s="1821">
        <f t="shared" si="135"/>
        <v>26252.19556</v>
      </c>
      <c r="AT211" s="1822">
        <f t="shared" si="135"/>
        <v>27079.27581</v>
      </c>
      <c r="AU211" s="1823"/>
      <c r="AV211" s="1822">
        <f t="shared" ref="AV211:BG211" si="136">AV202*AV205</f>
        <v>27931.37303</v>
      </c>
      <c r="AW211" s="1822">
        <f t="shared" si="136"/>
        <v>28809.2388</v>
      </c>
      <c r="AX211" s="1822">
        <f t="shared" si="136"/>
        <v>29713.64723</v>
      </c>
      <c r="AY211" s="1822">
        <f t="shared" si="136"/>
        <v>30645.39568</v>
      </c>
      <c r="AZ211" s="1822">
        <f t="shared" si="136"/>
        <v>31605.30541</v>
      </c>
      <c r="BA211" s="1822">
        <f t="shared" si="136"/>
        <v>32594.22236</v>
      </c>
      <c r="BB211" s="1822">
        <f t="shared" si="136"/>
        <v>33613.51443</v>
      </c>
      <c r="BC211" s="1822">
        <f t="shared" si="136"/>
        <v>34664.10517</v>
      </c>
      <c r="BD211" s="1822">
        <f t="shared" si="136"/>
        <v>35746.94603</v>
      </c>
      <c r="BE211" s="1822">
        <f t="shared" si="136"/>
        <v>36863.01722</v>
      </c>
      <c r="BF211" s="1822">
        <f t="shared" si="136"/>
        <v>38013.3286</v>
      </c>
      <c r="BG211" s="1822">
        <f t="shared" si="136"/>
        <v>39198.92054</v>
      </c>
      <c r="BH211" s="1681"/>
      <c r="BI211" s="1681"/>
      <c r="BJ211" s="1681"/>
      <c r="BK211" s="1681"/>
      <c r="BL211" s="1681"/>
      <c r="BM211" s="1681"/>
      <c r="BN211" s="1681"/>
      <c r="BO211" s="1681"/>
      <c r="BP211" s="1681"/>
      <c r="BQ211" s="1681"/>
      <c r="BR211" s="1681"/>
      <c r="BS211" s="577"/>
      <c r="BT211" s="577"/>
      <c r="BU211" s="577"/>
      <c r="BV211" s="577"/>
      <c r="BW211" s="577"/>
      <c r="BX211" s="23"/>
      <c r="BY211" s="23"/>
      <c r="BZ211" s="23"/>
    </row>
    <row r="212">
      <c r="D212" s="173"/>
      <c r="E212" s="216"/>
      <c r="F212" s="214"/>
      <c r="G212" s="214"/>
      <c r="H212" s="214"/>
      <c r="I212" s="214"/>
      <c r="J212" s="214"/>
      <c r="K212" s="214"/>
      <c r="L212" s="214"/>
      <c r="M212" s="214"/>
      <c r="N212" s="214"/>
      <c r="O212" s="214"/>
      <c r="P212" s="214"/>
      <c r="Q212" s="214"/>
      <c r="AU212" s="1824"/>
      <c r="AV212" s="1824"/>
      <c r="AW212" s="1824"/>
      <c r="AX212" s="1824"/>
      <c r="AY212" s="1824"/>
      <c r="AZ212" s="1824"/>
      <c r="BA212" s="1824"/>
      <c r="BB212" s="1824"/>
      <c r="BC212" s="1824"/>
      <c r="BD212" s="1824"/>
      <c r="BE212" s="1824"/>
      <c r="BF212" s="1824"/>
      <c r="BG212" s="1824"/>
      <c r="BH212" s="1681"/>
      <c r="BI212" s="1681"/>
      <c r="BJ212" s="1681"/>
      <c r="BK212" s="1681"/>
      <c r="BL212" s="1681"/>
      <c r="BM212" s="1681"/>
      <c r="BN212" s="1681"/>
      <c r="BO212" s="1681"/>
      <c r="BP212" s="1681"/>
      <c r="BQ212" s="1681"/>
      <c r="BR212" s="1681"/>
      <c r="BS212" s="577"/>
      <c r="BT212" s="577"/>
      <c r="BU212" s="577"/>
      <c r="BV212" s="577"/>
      <c r="BW212" s="577"/>
      <c r="BX212" s="23"/>
      <c r="BY212" s="23"/>
      <c r="BZ212" s="23"/>
    </row>
    <row r="213">
      <c r="D213" s="173"/>
      <c r="E213" s="216"/>
      <c r="F213" s="214"/>
      <c r="G213" s="214"/>
      <c r="H213" s="214"/>
      <c r="I213" s="214"/>
      <c r="J213" s="214"/>
      <c r="K213" s="214"/>
      <c r="L213" s="214"/>
      <c r="M213" s="214"/>
      <c r="N213" s="214"/>
      <c r="O213" s="214"/>
      <c r="P213" s="214"/>
      <c r="Q213" s="214"/>
      <c r="AU213" s="1681"/>
      <c r="AV213" s="1681"/>
      <c r="AW213" s="1681"/>
      <c r="AX213" s="1681"/>
      <c r="AY213" s="1681"/>
      <c r="AZ213" s="1681"/>
      <c r="BA213" s="1681"/>
      <c r="BB213" s="1681"/>
      <c r="BC213" s="1681"/>
      <c r="BD213" s="1681"/>
      <c r="BE213" s="1681"/>
      <c r="BF213" s="1681"/>
      <c r="BG213" s="1681"/>
      <c r="BH213" s="1681"/>
      <c r="BI213" s="1681"/>
      <c r="BJ213" s="1681"/>
      <c r="BK213" s="1681"/>
      <c r="BL213" s="1681"/>
      <c r="BM213" s="1681"/>
      <c r="BN213" s="1681"/>
      <c r="BO213" s="1681"/>
      <c r="BP213" s="1681"/>
      <c r="BQ213" s="1681"/>
      <c r="BR213" s="1681"/>
      <c r="BS213" s="577"/>
      <c r="BT213" s="577"/>
      <c r="BU213" s="577"/>
      <c r="BV213" s="577"/>
      <c r="BW213" s="577"/>
      <c r="BX213" s="23"/>
      <c r="BY213" s="23"/>
      <c r="BZ213" s="23"/>
    </row>
    <row r="214">
      <c r="D214" s="173"/>
      <c r="E214" s="216"/>
      <c r="F214" s="214"/>
      <c r="G214" s="174"/>
      <c r="H214" s="174"/>
      <c r="I214" s="174"/>
      <c r="J214" s="174"/>
      <c r="K214" s="174"/>
      <c r="L214" s="174"/>
      <c r="M214" s="174"/>
      <c r="N214" s="174"/>
      <c r="O214" s="174"/>
      <c r="P214" s="174"/>
      <c r="Q214" s="174"/>
      <c r="S214" s="1825"/>
      <c r="T214" s="1826"/>
      <c r="U214" s="1826"/>
      <c r="V214" s="1827">
        <v>-1.0</v>
      </c>
      <c r="W214" s="1827">
        <v>0.0</v>
      </c>
      <c r="X214" s="1828">
        <f t="shared" ref="X214:AT214" si="137">W214+1</f>
        <v>1</v>
      </c>
      <c r="Y214" s="1828">
        <f t="shared" si="137"/>
        <v>2</v>
      </c>
      <c r="Z214" s="1828">
        <f t="shared" si="137"/>
        <v>3</v>
      </c>
      <c r="AA214" s="1828">
        <f t="shared" si="137"/>
        <v>4</v>
      </c>
      <c r="AB214" s="1828">
        <f t="shared" si="137"/>
        <v>5</v>
      </c>
      <c r="AC214" s="1828">
        <f t="shared" si="137"/>
        <v>6</v>
      </c>
      <c r="AD214" s="1828">
        <f t="shared" si="137"/>
        <v>7</v>
      </c>
      <c r="AE214" s="1828">
        <f t="shared" si="137"/>
        <v>8</v>
      </c>
      <c r="AF214" s="1828">
        <f t="shared" si="137"/>
        <v>9</v>
      </c>
      <c r="AG214" s="1828">
        <f t="shared" si="137"/>
        <v>10</v>
      </c>
      <c r="AH214" s="1828">
        <f t="shared" si="137"/>
        <v>11</v>
      </c>
      <c r="AI214" s="1828">
        <f t="shared" si="137"/>
        <v>12</v>
      </c>
      <c r="AJ214" s="1828">
        <f t="shared" si="137"/>
        <v>13</v>
      </c>
      <c r="AK214" s="1828">
        <f t="shared" si="137"/>
        <v>14</v>
      </c>
      <c r="AL214" s="1828">
        <f t="shared" si="137"/>
        <v>15</v>
      </c>
      <c r="AM214" s="1828">
        <f t="shared" si="137"/>
        <v>16</v>
      </c>
      <c r="AN214" s="1828">
        <f t="shared" si="137"/>
        <v>17</v>
      </c>
      <c r="AO214" s="1828">
        <f t="shared" si="137"/>
        <v>18</v>
      </c>
      <c r="AP214" s="1828">
        <f t="shared" si="137"/>
        <v>19</v>
      </c>
      <c r="AQ214" s="1828">
        <f t="shared" si="137"/>
        <v>20</v>
      </c>
      <c r="AR214" s="1828">
        <f t="shared" si="137"/>
        <v>21</v>
      </c>
      <c r="AS214" s="1828">
        <f t="shared" si="137"/>
        <v>22</v>
      </c>
      <c r="AT214" s="1829">
        <f t="shared" si="137"/>
        <v>23</v>
      </c>
      <c r="AU214" s="23"/>
      <c r="AV214" s="23"/>
      <c r="AW214" s="23"/>
      <c r="AX214" s="23"/>
      <c r="AY214" s="23"/>
      <c r="AZ214" s="23"/>
      <c r="BA214" s="23"/>
      <c r="BB214" s="23"/>
      <c r="BC214" s="23"/>
      <c r="BD214" s="23"/>
      <c r="BE214" s="23"/>
      <c r="BF214" s="23"/>
      <c r="BG214" s="23"/>
      <c r="BH214" s="23"/>
      <c r="BI214" s="23"/>
      <c r="BJ214" s="23"/>
      <c r="BK214" s="1681"/>
      <c r="BL214" s="23"/>
      <c r="BM214" s="23"/>
      <c r="BN214" s="23"/>
      <c r="BO214" s="23"/>
      <c r="BP214" s="23"/>
      <c r="BQ214" s="23"/>
      <c r="BR214" s="23"/>
      <c r="BS214" s="577"/>
      <c r="BT214" s="577"/>
      <c r="BU214" s="577"/>
      <c r="BV214" s="577"/>
      <c r="BW214" s="577"/>
      <c r="BX214" s="23"/>
      <c r="BY214" s="23"/>
      <c r="BZ214" s="23"/>
    </row>
    <row r="215">
      <c r="D215" s="218"/>
      <c r="E215" s="219"/>
      <c r="F215" s="174"/>
      <c r="G215" s="220"/>
      <c r="H215" s="220"/>
      <c r="I215" s="220"/>
      <c r="J215" s="220"/>
      <c r="K215" s="220"/>
      <c r="L215" s="220"/>
      <c r="M215" s="220"/>
      <c r="N215" s="220"/>
      <c r="O215" s="220"/>
      <c r="P215" s="220"/>
      <c r="Q215" s="220"/>
      <c r="S215" s="1830" t="s">
        <v>322</v>
      </c>
      <c r="T215" s="1831"/>
      <c r="U215" s="1831"/>
      <c r="V215" s="1832">
        <v>0.5</v>
      </c>
      <c r="W215" s="1833">
        <f>C102</f>
        <v>0.2</v>
      </c>
      <c r="X215" s="1832">
        <f>C103</f>
        <v>0.15</v>
      </c>
      <c r="Y215" s="1832">
        <f t="shared" ref="Y215:AG215" si="138">X215</f>
        <v>0.15</v>
      </c>
      <c r="Z215" s="1832">
        <f t="shared" si="138"/>
        <v>0.15</v>
      </c>
      <c r="AA215" s="1832">
        <f t="shared" si="138"/>
        <v>0.15</v>
      </c>
      <c r="AB215" s="1832">
        <f t="shared" si="138"/>
        <v>0.15</v>
      </c>
      <c r="AC215" s="1832">
        <f t="shared" si="138"/>
        <v>0.15</v>
      </c>
      <c r="AD215" s="1832">
        <f t="shared" si="138"/>
        <v>0.15</v>
      </c>
      <c r="AE215" s="1832">
        <f t="shared" si="138"/>
        <v>0.15</v>
      </c>
      <c r="AF215" s="1832">
        <f t="shared" si="138"/>
        <v>0.15</v>
      </c>
      <c r="AG215" s="1832">
        <f t="shared" si="138"/>
        <v>0.15</v>
      </c>
      <c r="AH215" s="1832">
        <f>C104</f>
        <v>0.1</v>
      </c>
      <c r="AI215" s="1832">
        <f t="shared" ref="AI215:AT215" si="139">(AH215-($AH$215*(1/12)))</f>
        <v>0.09166666667</v>
      </c>
      <c r="AJ215" s="1832">
        <f t="shared" si="139"/>
        <v>0.08333333333</v>
      </c>
      <c r="AK215" s="1832">
        <f t="shared" si="139"/>
        <v>0.075</v>
      </c>
      <c r="AL215" s="1832">
        <f t="shared" si="139"/>
        <v>0.06666666667</v>
      </c>
      <c r="AM215" s="1832">
        <f t="shared" si="139"/>
        <v>0.05833333333</v>
      </c>
      <c r="AN215" s="1832">
        <f t="shared" si="139"/>
        <v>0.05</v>
      </c>
      <c r="AO215" s="1832">
        <f t="shared" si="139"/>
        <v>0.04166666667</v>
      </c>
      <c r="AP215" s="1832">
        <f t="shared" si="139"/>
        <v>0.03333333333</v>
      </c>
      <c r="AQ215" s="1832">
        <f t="shared" si="139"/>
        <v>0.025</v>
      </c>
      <c r="AR215" s="1832">
        <f t="shared" si="139"/>
        <v>0.01666666667</v>
      </c>
      <c r="AS215" s="1832">
        <f t="shared" si="139"/>
        <v>0.008333333333</v>
      </c>
      <c r="AT215" s="1834">
        <f t="shared" si="139"/>
        <v>0</v>
      </c>
      <c r="AU215" s="410"/>
      <c r="AV215" s="410"/>
      <c r="AW215" s="410"/>
      <c r="AX215" s="410"/>
      <c r="AY215" s="410"/>
      <c r="AZ215" s="410"/>
      <c r="BA215" s="410"/>
      <c r="BB215" s="410"/>
      <c r="BC215" s="410"/>
      <c r="BD215" s="410"/>
      <c r="BE215" s="410"/>
      <c r="BF215" s="410"/>
      <c r="BG215" s="410"/>
      <c r="BH215" s="410"/>
      <c r="BI215" s="410"/>
      <c r="BJ215" s="410"/>
      <c r="BK215" s="410"/>
      <c r="BL215" s="410"/>
      <c r="BM215" s="410"/>
      <c r="BN215" s="410"/>
      <c r="BO215" s="410"/>
      <c r="BP215" s="410"/>
      <c r="BQ215" s="410"/>
      <c r="BR215" s="410"/>
      <c r="BS215" s="577"/>
      <c r="BT215" s="577"/>
      <c r="BU215" s="577"/>
      <c r="BV215" s="577"/>
      <c r="BW215" s="577"/>
      <c r="BX215" s="23"/>
      <c r="BY215" s="23"/>
      <c r="BZ215" s="23"/>
    </row>
    <row r="216">
      <c r="E216" s="174"/>
      <c r="F216" s="220"/>
      <c r="G216" s="175"/>
      <c r="H216" s="175"/>
      <c r="I216" s="175"/>
      <c r="J216" s="175"/>
      <c r="K216" s="175"/>
      <c r="L216" s="175"/>
      <c r="M216" s="175"/>
      <c r="N216" s="175"/>
      <c r="O216" s="175"/>
      <c r="P216" s="175"/>
      <c r="Q216" s="175"/>
      <c r="S216" s="1835"/>
      <c r="T216" s="1831"/>
      <c r="U216" s="1831"/>
      <c r="V216" s="1831"/>
      <c r="W216" s="1836" t="s">
        <v>274</v>
      </c>
      <c r="X216" s="1831"/>
      <c r="Y216" s="1831"/>
      <c r="Z216" s="1831"/>
      <c r="AA216" s="1831"/>
      <c r="AB216" s="1831"/>
      <c r="AC216" s="1836"/>
      <c r="AD216" s="1831"/>
      <c r="AE216" s="1831"/>
      <c r="AF216" s="1831"/>
      <c r="AG216" s="1831"/>
      <c r="AH216" s="1836" t="s">
        <v>275</v>
      </c>
      <c r="AI216" s="1831"/>
      <c r="AJ216" s="1831"/>
      <c r="AK216" s="1831"/>
      <c r="AL216" s="1831"/>
      <c r="AM216" s="1831"/>
      <c r="AN216" s="1831"/>
      <c r="AO216" s="1831"/>
      <c r="AP216" s="1831"/>
      <c r="AQ216" s="1831"/>
      <c r="AR216" s="1831"/>
      <c r="AS216" s="1831"/>
      <c r="AT216" s="1837" t="s">
        <v>276</v>
      </c>
      <c r="AU216" s="1838"/>
      <c r="AV216" s="1838"/>
      <c r="AW216" s="1838"/>
      <c r="AX216" s="1838"/>
      <c r="AY216" s="1838"/>
      <c r="AZ216" s="1838"/>
      <c r="BA216" s="1838"/>
      <c r="BB216" s="1838"/>
      <c r="BC216" s="1838"/>
      <c r="BD216" s="1838"/>
      <c r="BE216" s="1838"/>
      <c r="BF216" s="1838"/>
      <c r="BG216" s="1838"/>
      <c r="BH216" s="1838"/>
      <c r="BI216" s="1838"/>
      <c r="BJ216" s="1838"/>
      <c r="BK216" s="1838"/>
      <c r="BL216" s="1838"/>
      <c r="BM216" s="1838"/>
      <c r="BN216" s="1838"/>
      <c r="BO216" s="1838"/>
      <c r="BP216" s="1838"/>
      <c r="BQ216" s="1838"/>
      <c r="BR216" s="1838"/>
      <c r="BS216" s="577"/>
      <c r="BT216" s="577"/>
      <c r="BU216" s="577"/>
      <c r="BV216" s="577"/>
      <c r="BW216" s="577"/>
      <c r="BX216" s="23"/>
      <c r="BY216" s="23"/>
      <c r="BZ216" s="23"/>
    </row>
    <row r="217">
      <c r="E217" s="174"/>
      <c r="F217" s="175"/>
      <c r="G217" s="220"/>
      <c r="H217" s="220"/>
      <c r="I217" s="220"/>
      <c r="J217" s="220"/>
      <c r="K217" s="220"/>
      <c r="L217" s="220"/>
      <c r="M217" s="220"/>
      <c r="N217" s="220"/>
      <c r="O217" s="220"/>
      <c r="P217" s="220"/>
      <c r="Q217" s="220"/>
      <c r="S217" s="1839" t="s">
        <v>323</v>
      </c>
      <c r="T217" s="1840"/>
      <c r="U217" s="1840"/>
      <c r="V217" s="1840"/>
      <c r="W217" s="1840"/>
      <c r="X217" s="1840"/>
      <c r="Y217" s="1840"/>
      <c r="Z217" s="1840"/>
      <c r="AA217" s="1840"/>
      <c r="AB217" s="1840"/>
      <c r="AC217" s="1840"/>
      <c r="AD217" s="1840"/>
      <c r="AE217" s="1840"/>
      <c r="AF217" s="1840"/>
      <c r="AG217" s="1840"/>
      <c r="AH217" s="1840"/>
      <c r="AI217" s="1840"/>
      <c r="AJ217" s="1840"/>
      <c r="AK217" s="1840"/>
      <c r="AL217" s="1840"/>
      <c r="AM217" s="1840"/>
      <c r="AN217" s="1840"/>
      <c r="AO217" s="1840"/>
      <c r="AP217" s="1840"/>
      <c r="AQ217" s="1840"/>
      <c r="AR217" s="1840"/>
      <c r="AS217" s="1840"/>
      <c r="AT217" s="1841"/>
      <c r="AU217" s="1842" t="s">
        <v>324</v>
      </c>
      <c r="AW217" s="225"/>
      <c r="AX217" s="225"/>
      <c r="AY217" s="225"/>
      <c r="AZ217" s="225"/>
      <c r="BA217" s="225"/>
      <c r="BB217" s="225"/>
      <c r="BC217" s="225"/>
      <c r="BD217" s="225"/>
      <c r="BE217" s="225"/>
      <c r="BF217" s="225"/>
      <c r="BG217" s="225"/>
      <c r="BH217" s="225"/>
      <c r="BI217" s="225"/>
      <c r="BJ217" s="225"/>
      <c r="BK217" s="410"/>
      <c r="BL217" s="225"/>
      <c r="BM217" s="225"/>
      <c r="BN217" s="225"/>
      <c r="BO217" s="225"/>
      <c r="BP217" s="225"/>
      <c r="BQ217" s="225"/>
      <c r="BR217" s="225"/>
      <c r="BS217" s="594"/>
      <c r="BT217" s="594"/>
      <c r="BU217" s="594"/>
      <c r="BV217" s="594"/>
      <c r="BW217" s="594"/>
      <c r="BX217" s="23"/>
      <c r="BY217" s="23"/>
      <c r="BZ217" s="23"/>
    </row>
    <row r="218">
      <c r="E218" s="174"/>
      <c r="F218" s="220"/>
      <c r="G218" s="220"/>
      <c r="H218" s="220"/>
      <c r="I218" s="220"/>
      <c r="J218" s="220"/>
      <c r="K218" s="220"/>
      <c r="L218" s="220"/>
      <c r="M218" s="220"/>
      <c r="N218" s="220"/>
      <c r="O218" s="220"/>
      <c r="P218" s="220"/>
      <c r="Q218" s="220"/>
      <c r="S218" s="1705" t="s">
        <v>325</v>
      </c>
      <c r="T218" s="1641" t="str">
        <f t="shared" ref="T218:U218" si="140">T194</f>
        <v>#REF!</v>
      </c>
      <c r="U218" s="1641" t="str">
        <f t="shared" si="140"/>
        <v>#REF!</v>
      </c>
      <c r="V218" s="1641">
        <f>$V$194</f>
        <v>0.0230366077</v>
      </c>
      <c r="W218" s="178">
        <v>0.0165</v>
      </c>
      <c r="X218" s="1641">
        <f t="shared" ref="X218:AT218" si="141">X194</f>
        <v>0.005441146374</v>
      </c>
      <c r="Y218" s="1641">
        <f t="shared" si="141"/>
        <v>0.005141395646</v>
      </c>
      <c r="Z218" s="1641">
        <f t="shared" si="141"/>
        <v>0.004858158525</v>
      </c>
      <c r="AA218" s="1641">
        <f t="shared" si="141"/>
        <v>0.004590525187</v>
      </c>
      <c r="AB218" s="1641">
        <f t="shared" si="141"/>
        <v>0.004337635946</v>
      </c>
      <c r="AC218" s="1641">
        <f t="shared" si="141"/>
        <v>0.00409867849</v>
      </c>
      <c r="AD218" s="1641">
        <f t="shared" si="141"/>
        <v>0.003872885269</v>
      </c>
      <c r="AE218" s="1641">
        <f t="shared" si="141"/>
        <v>0.003659531026</v>
      </c>
      <c r="AF218" s="1641">
        <f t="shared" si="141"/>
        <v>0.003457930466</v>
      </c>
      <c r="AG218" s="1641">
        <f t="shared" si="141"/>
        <v>0.003267436054</v>
      </c>
      <c r="AH218" s="1641">
        <f t="shared" si="141"/>
        <v>0.003087435931</v>
      </c>
      <c r="AI218" s="1641">
        <f t="shared" si="141"/>
        <v>0.002917351952</v>
      </c>
      <c r="AJ218" s="1641">
        <f t="shared" si="141"/>
        <v>0.002756637825</v>
      </c>
      <c r="AK218" s="1641">
        <f t="shared" si="141"/>
        <v>0.002604777357</v>
      </c>
      <c r="AL218" s="1641">
        <f t="shared" si="141"/>
        <v>0.002461282791</v>
      </c>
      <c r="AM218" s="1641">
        <f t="shared" si="141"/>
        <v>0.002325693248</v>
      </c>
      <c r="AN218" s="1641">
        <f t="shared" si="141"/>
        <v>0.002197573237</v>
      </c>
      <c r="AO218" s="1641">
        <f t="shared" si="141"/>
        <v>0.00207651126</v>
      </c>
      <c r="AP218" s="1641">
        <f t="shared" si="141"/>
        <v>0.001962118489</v>
      </c>
      <c r="AQ218" s="1641">
        <f t="shared" si="141"/>
        <v>0.00185402752</v>
      </c>
      <c r="AR218" s="1641">
        <f t="shared" si="141"/>
        <v>0.001751891187</v>
      </c>
      <c r="AS218" s="1641">
        <f t="shared" si="141"/>
        <v>0.00165538145</v>
      </c>
      <c r="AT218" s="1843">
        <f t="shared" si="141"/>
        <v>0.001564188345</v>
      </c>
      <c r="AU218" s="152" t="s">
        <v>326</v>
      </c>
      <c r="AV218" s="1844">
        <f t="shared" ref="AV218:BG218" si="142">AV208</f>
        <v>39.71894899</v>
      </c>
      <c r="AW218" s="1844">
        <f t="shared" si="142"/>
        <v>39.92457607</v>
      </c>
      <c r="AX218" s="1844">
        <f t="shared" si="142"/>
        <v>40.13126776</v>
      </c>
      <c r="AY218" s="1844">
        <f t="shared" si="142"/>
        <v>40.33902956</v>
      </c>
      <c r="AZ218" s="1844">
        <f t="shared" si="142"/>
        <v>40.54786702</v>
      </c>
      <c r="BA218" s="1844">
        <f t="shared" si="142"/>
        <v>40.7577857</v>
      </c>
      <c r="BB218" s="1844">
        <f t="shared" si="142"/>
        <v>41.46540105</v>
      </c>
      <c r="BC218" s="1844">
        <f t="shared" si="142"/>
        <v>42.18530165</v>
      </c>
      <c r="BD218" s="1844">
        <f t="shared" si="142"/>
        <v>42.91770081</v>
      </c>
      <c r="BE218" s="1844">
        <f t="shared" si="142"/>
        <v>43.66281551</v>
      </c>
      <c r="BF218" s="1844">
        <f t="shared" si="142"/>
        <v>44.42086652</v>
      </c>
      <c r="BG218" s="1844">
        <f t="shared" si="142"/>
        <v>45.19207844</v>
      </c>
      <c r="BH218" s="23"/>
      <c r="BI218" s="23"/>
      <c r="BJ218" s="23"/>
      <c r="BK218" s="1681"/>
      <c r="BL218" s="23"/>
      <c r="BM218" s="23"/>
      <c r="BN218" s="23"/>
      <c r="BO218" s="23"/>
      <c r="BP218" s="23"/>
      <c r="BQ218" s="23"/>
      <c r="BR218" s="23"/>
      <c r="BS218" s="577"/>
      <c r="BT218" s="577"/>
      <c r="BU218" s="577"/>
      <c r="BV218" s="577"/>
      <c r="BW218" s="577"/>
      <c r="BX218" s="23"/>
      <c r="BY218" s="23"/>
      <c r="BZ218" s="23"/>
    </row>
    <row r="219">
      <c r="E219" s="174"/>
      <c r="F219" s="220"/>
      <c r="G219" s="220"/>
      <c r="H219" s="220"/>
      <c r="I219" s="220"/>
      <c r="J219" s="220"/>
      <c r="K219" s="220"/>
      <c r="L219" s="220"/>
      <c r="M219" s="220"/>
      <c r="N219" s="220"/>
      <c r="O219" s="220"/>
      <c r="P219" s="220"/>
      <c r="Q219" s="220"/>
      <c r="S219" s="1705" t="s">
        <v>327</v>
      </c>
      <c r="V219" s="1641">
        <f>(V208/V210)+(V218-$AT$218)</f>
        <v>0.04450902705</v>
      </c>
      <c r="W219" s="178">
        <f t="shared" ref="W219:AT219" si="143">0.0525/12</f>
        <v>0.004375</v>
      </c>
      <c r="X219" s="249">
        <f t="shared" si="143"/>
        <v>0.004375</v>
      </c>
      <c r="Y219" s="249">
        <f t="shared" si="143"/>
        <v>0.004375</v>
      </c>
      <c r="Z219" s="249">
        <f t="shared" si="143"/>
        <v>0.004375</v>
      </c>
      <c r="AA219" s="249">
        <f t="shared" si="143"/>
        <v>0.004375</v>
      </c>
      <c r="AB219" s="249">
        <f t="shared" si="143"/>
        <v>0.004375</v>
      </c>
      <c r="AC219" s="249">
        <f t="shared" si="143"/>
        <v>0.004375</v>
      </c>
      <c r="AD219" s="249">
        <f t="shared" si="143"/>
        <v>0.004375</v>
      </c>
      <c r="AE219" s="249">
        <f t="shared" si="143"/>
        <v>0.004375</v>
      </c>
      <c r="AF219" s="249">
        <f t="shared" si="143"/>
        <v>0.004375</v>
      </c>
      <c r="AG219" s="249">
        <f t="shared" si="143"/>
        <v>0.004375</v>
      </c>
      <c r="AH219" s="249">
        <f t="shared" si="143"/>
        <v>0.004375</v>
      </c>
      <c r="AI219" s="249">
        <f t="shared" si="143"/>
        <v>0.004375</v>
      </c>
      <c r="AJ219" s="249">
        <f t="shared" si="143"/>
        <v>0.004375</v>
      </c>
      <c r="AK219" s="249">
        <f t="shared" si="143"/>
        <v>0.004375</v>
      </c>
      <c r="AL219" s="249">
        <f t="shared" si="143"/>
        <v>0.004375</v>
      </c>
      <c r="AM219" s="249">
        <f t="shared" si="143"/>
        <v>0.004375</v>
      </c>
      <c r="AN219" s="249">
        <f t="shared" si="143"/>
        <v>0.004375</v>
      </c>
      <c r="AO219" s="249">
        <f t="shared" si="143"/>
        <v>0.004375</v>
      </c>
      <c r="AP219" s="249">
        <f t="shared" si="143"/>
        <v>0.004375</v>
      </c>
      <c r="AQ219" s="249">
        <f t="shared" si="143"/>
        <v>0.004375</v>
      </c>
      <c r="AR219" s="249">
        <f t="shared" si="143"/>
        <v>0.004375</v>
      </c>
      <c r="AS219" s="249">
        <f t="shared" si="143"/>
        <v>0.004375</v>
      </c>
      <c r="AT219" s="1845">
        <f t="shared" si="143"/>
        <v>0.004375</v>
      </c>
      <c r="AU219" s="152" t="s">
        <v>328</v>
      </c>
      <c r="AV219" s="1799">
        <f>(AV218-AT208)/AT208</f>
        <v>0.00517705072</v>
      </c>
      <c r="AW219" s="1799">
        <f t="shared" ref="AW219:BG219" si="144">(AW218-AV218)/AV218</f>
        <v>0.005177052419</v>
      </c>
      <c r="AX219" s="1799">
        <f t="shared" si="144"/>
        <v>0.005177054051</v>
      </c>
      <c r="AY219" s="1799">
        <f t="shared" si="144"/>
        <v>0.005177055619</v>
      </c>
      <c r="AZ219" s="1799">
        <f t="shared" si="144"/>
        <v>0.005177057126</v>
      </c>
      <c r="BA219" s="1799">
        <f t="shared" si="144"/>
        <v>0.005177058575</v>
      </c>
      <c r="BB219" s="1799">
        <f t="shared" si="144"/>
        <v>0.01736147661</v>
      </c>
      <c r="BC219" s="1799">
        <f t="shared" si="144"/>
        <v>0.01736147696</v>
      </c>
      <c r="BD219" s="1799">
        <f t="shared" si="144"/>
        <v>0.01736147731</v>
      </c>
      <c r="BE219" s="1799">
        <f t="shared" si="144"/>
        <v>0.01736147765</v>
      </c>
      <c r="BF219" s="1799">
        <f t="shared" si="144"/>
        <v>0.01736147799</v>
      </c>
      <c r="BG219" s="1799">
        <f t="shared" si="144"/>
        <v>0.01736147832</v>
      </c>
      <c r="BH219" s="23"/>
      <c r="BI219" s="23"/>
      <c r="BJ219" s="23"/>
      <c r="BK219" s="1681"/>
      <c r="BL219" s="23"/>
      <c r="BM219" s="23"/>
      <c r="BN219" s="23"/>
      <c r="BO219" s="23"/>
      <c r="BP219" s="23"/>
      <c r="BQ219" s="23"/>
      <c r="BR219" s="23"/>
      <c r="BS219" s="594"/>
      <c r="BT219" s="594"/>
      <c r="BU219" s="594"/>
      <c r="BV219" s="594"/>
      <c r="BW219" s="594"/>
      <c r="BX219" s="23"/>
      <c r="BY219" s="23"/>
      <c r="BZ219" s="23"/>
    </row>
    <row r="220">
      <c r="E220" s="174"/>
      <c r="F220" s="220"/>
      <c r="G220" s="220"/>
      <c r="H220" s="220"/>
      <c r="I220" s="220"/>
      <c r="J220" s="220"/>
      <c r="K220" s="220"/>
      <c r="L220" s="220"/>
      <c r="M220" s="220"/>
      <c r="N220" s="220"/>
      <c r="O220" s="220"/>
      <c r="P220" s="220"/>
      <c r="Q220" s="220"/>
      <c r="S220" s="1705" t="s">
        <v>329</v>
      </c>
      <c r="T220" s="1670"/>
      <c r="U220" s="1670"/>
      <c r="V220" s="1670">
        <v>24.0</v>
      </c>
      <c r="W220" s="1846">
        <v>23.0</v>
      </c>
      <c r="X220" s="1847">
        <f t="shared" ref="X220:AT220" si="145">W220-1</f>
        <v>22</v>
      </c>
      <c r="Y220" s="1847">
        <f t="shared" si="145"/>
        <v>21</v>
      </c>
      <c r="Z220" s="1847">
        <f t="shared" si="145"/>
        <v>20</v>
      </c>
      <c r="AA220" s="1847">
        <f t="shared" si="145"/>
        <v>19</v>
      </c>
      <c r="AB220" s="1847">
        <f t="shared" si="145"/>
        <v>18</v>
      </c>
      <c r="AC220" s="1847">
        <f t="shared" si="145"/>
        <v>17</v>
      </c>
      <c r="AD220" s="1847">
        <f t="shared" si="145"/>
        <v>16</v>
      </c>
      <c r="AE220" s="1847">
        <f t="shared" si="145"/>
        <v>15</v>
      </c>
      <c r="AF220" s="1847">
        <f t="shared" si="145"/>
        <v>14</v>
      </c>
      <c r="AG220" s="1847">
        <f t="shared" si="145"/>
        <v>13</v>
      </c>
      <c r="AH220" s="1847">
        <f t="shared" si="145"/>
        <v>12</v>
      </c>
      <c r="AI220" s="1847">
        <f t="shared" si="145"/>
        <v>11</v>
      </c>
      <c r="AJ220" s="1847">
        <f t="shared" si="145"/>
        <v>10</v>
      </c>
      <c r="AK220" s="1847">
        <f t="shared" si="145"/>
        <v>9</v>
      </c>
      <c r="AL220" s="1847">
        <f t="shared" si="145"/>
        <v>8</v>
      </c>
      <c r="AM220" s="1847">
        <f t="shared" si="145"/>
        <v>7</v>
      </c>
      <c r="AN220" s="1847">
        <f t="shared" si="145"/>
        <v>6</v>
      </c>
      <c r="AO220" s="1847">
        <f t="shared" si="145"/>
        <v>5</v>
      </c>
      <c r="AP220" s="1847">
        <f t="shared" si="145"/>
        <v>4</v>
      </c>
      <c r="AQ220" s="1847">
        <f t="shared" si="145"/>
        <v>3</v>
      </c>
      <c r="AR220" s="1847">
        <f t="shared" si="145"/>
        <v>2</v>
      </c>
      <c r="AS220" s="1847">
        <f t="shared" si="145"/>
        <v>1</v>
      </c>
      <c r="AT220" s="1848">
        <f t="shared" si="145"/>
        <v>0</v>
      </c>
      <c r="BH220" s="1681"/>
      <c r="BI220" s="1681"/>
      <c r="BJ220" s="1681"/>
      <c r="BK220" s="1681"/>
      <c r="BL220" s="1681"/>
      <c r="BM220" s="1681"/>
      <c r="BN220" s="1681"/>
      <c r="BO220" s="1681"/>
      <c r="BP220" s="1681"/>
      <c r="BQ220" s="1681"/>
      <c r="BR220" s="1681"/>
      <c r="BS220" s="594"/>
      <c r="BT220" s="594"/>
      <c r="BU220" s="594"/>
      <c r="BV220" s="594"/>
      <c r="BW220" s="594"/>
      <c r="BX220" s="23"/>
      <c r="BY220" s="23"/>
      <c r="BZ220" s="23"/>
    </row>
    <row r="221">
      <c r="E221" s="174"/>
      <c r="F221" s="220"/>
      <c r="G221" s="220"/>
      <c r="H221" s="220"/>
      <c r="I221" s="220"/>
      <c r="J221" s="220"/>
      <c r="K221" s="220"/>
      <c r="L221" s="220"/>
      <c r="M221" s="220"/>
      <c r="N221" s="220"/>
      <c r="O221" s="220"/>
      <c r="P221" s="220"/>
      <c r="Q221" s="220"/>
      <c r="S221" s="1849" t="s">
        <v>251</v>
      </c>
      <c r="T221" s="1850" t="str">
        <f t="shared" ref="T221:U221" si="146">T211/((1+T218)^T220)</f>
        <v>#REF!</v>
      </c>
      <c r="U221" s="1850" t="str">
        <f t="shared" si="146"/>
        <v>#REF!</v>
      </c>
      <c r="V221" s="1851">
        <f>V211/((1+V219)^V220)</f>
        <v>4029.177991</v>
      </c>
      <c r="W221" s="1851">
        <f t="shared" ref="W221:AT221" si="147">W211/((1+(W219))^((W220)))</f>
        <v>11577.23324</v>
      </c>
      <c r="X221" s="1851">
        <f t="shared" si="147"/>
        <v>12041.88717</v>
      </c>
      <c r="Y221" s="1851">
        <f t="shared" si="147"/>
        <v>12521.10934</v>
      </c>
      <c r="Z221" s="1851">
        <f t="shared" si="147"/>
        <v>13015.43537</v>
      </c>
      <c r="AA221" s="1851">
        <f t="shared" si="147"/>
        <v>13525.41867</v>
      </c>
      <c r="AB221" s="1851">
        <f t="shared" si="147"/>
        <v>14051.63099</v>
      </c>
      <c r="AC221" s="1851">
        <f t="shared" si="147"/>
        <v>14594.66311</v>
      </c>
      <c r="AD221" s="1851">
        <f t="shared" si="147"/>
        <v>15155.12549</v>
      </c>
      <c r="AE221" s="1851">
        <f t="shared" si="147"/>
        <v>15733.649</v>
      </c>
      <c r="AF221" s="1851">
        <f t="shared" si="147"/>
        <v>16330.8856</v>
      </c>
      <c r="AG221" s="1851">
        <f t="shared" si="147"/>
        <v>16947.50911</v>
      </c>
      <c r="AH221" s="1851">
        <f t="shared" si="147"/>
        <v>17584.21597</v>
      </c>
      <c r="AI221" s="1851">
        <f t="shared" si="147"/>
        <v>18241.72602</v>
      </c>
      <c r="AJ221" s="1851">
        <f t="shared" si="147"/>
        <v>18920.78334</v>
      </c>
      <c r="AK221" s="1851">
        <f t="shared" si="147"/>
        <v>19622.15711</v>
      </c>
      <c r="AL221" s="1851">
        <f t="shared" si="147"/>
        <v>20346.64247</v>
      </c>
      <c r="AM221" s="1851">
        <f t="shared" si="147"/>
        <v>21095.0614</v>
      </c>
      <c r="AN221" s="1851">
        <f t="shared" si="147"/>
        <v>21868.26375</v>
      </c>
      <c r="AO221" s="1851">
        <f t="shared" si="147"/>
        <v>22667.12811</v>
      </c>
      <c r="AP221" s="1851">
        <f t="shared" si="147"/>
        <v>23492.56287</v>
      </c>
      <c r="AQ221" s="1851">
        <f t="shared" si="147"/>
        <v>24345.50726</v>
      </c>
      <c r="AR221" s="1851">
        <f t="shared" si="147"/>
        <v>25226.93242</v>
      </c>
      <c r="AS221" s="1851">
        <f t="shared" si="147"/>
        <v>26137.8425</v>
      </c>
      <c r="AT221" s="1851">
        <f t="shared" si="147"/>
        <v>27079.27581</v>
      </c>
      <c r="AU221" s="153" t="s">
        <v>330</v>
      </c>
      <c r="AV221" s="1844">
        <f t="shared" ref="AV221:BG221" si="148">AW218/(AV228-AV219)</f>
        <v>890.7172935</v>
      </c>
      <c r="AW221" s="1844">
        <f t="shared" si="148"/>
        <v>895.328619</v>
      </c>
      <c r="AX221" s="1844">
        <f t="shared" si="148"/>
        <v>899.9638178</v>
      </c>
      <c r="AY221" s="1844">
        <f t="shared" si="148"/>
        <v>904.6230135</v>
      </c>
      <c r="AZ221" s="1844">
        <f t="shared" si="148"/>
        <v>909.3063304</v>
      </c>
      <c r="BA221" s="1844">
        <f t="shared" si="148"/>
        <v>925.093261</v>
      </c>
      <c r="BB221" s="1844">
        <f t="shared" si="148"/>
        <v>1292.500312</v>
      </c>
      <c r="BC221" s="1844">
        <f t="shared" si="148"/>
        <v>1314.940041</v>
      </c>
      <c r="BD221" s="1844">
        <f t="shared" si="148"/>
        <v>1337.769357</v>
      </c>
      <c r="BE221" s="1844">
        <f t="shared" si="148"/>
        <v>1360.995025</v>
      </c>
      <c r="BF221" s="1844">
        <f t="shared" si="148"/>
        <v>1384.623924</v>
      </c>
      <c r="BG221" s="1681">
        <f t="shared" si="148"/>
        <v>0</v>
      </c>
      <c r="BH221" s="1681"/>
      <c r="BI221" s="1681"/>
      <c r="BJ221" s="1681"/>
      <c r="BK221" s="1681"/>
      <c r="BL221" s="1681"/>
      <c r="BM221" s="1681"/>
      <c r="BN221" s="1681"/>
      <c r="BO221" s="1681"/>
      <c r="BP221" s="1681"/>
      <c r="BQ221" s="1681"/>
      <c r="BR221" s="1681"/>
      <c r="BS221" s="23"/>
      <c r="BT221" s="23"/>
      <c r="BU221" s="23"/>
      <c r="BV221" s="23"/>
      <c r="BW221" s="23"/>
      <c r="BX221" s="23"/>
      <c r="BY221" s="23"/>
      <c r="BZ221" s="23"/>
    </row>
    <row r="222">
      <c r="E222" s="174"/>
      <c r="F222" s="220"/>
      <c r="G222" s="220"/>
      <c r="H222" s="220"/>
      <c r="I222" s="220"/>
      <c r="J222" s="220"/>
      <c r="K222" s="220"/>
      <c r="L222" s="220"/>
      <c r="M222" s="220"/>
      <c r="N222" s="220"/>
      <c r="O222" s="220"/>
      <c r="P222" s="220"/>
      <c r="Q222" s="220"/>
      <c r="S222" s="1852" t="s">
        <v>331</v>
      </c>
      <c r="T222" s="1853" t="str">
        <f t="shared" ref="T222:AT222" si="149">1-(T221/T211)</f>
        <v>#REF!</v>
      </c>
      <c r="U222" s="1853" t="str">
        <f t="shared" si="149"/>
        <v>#REF!</v>
      </c>
      <c r="V222" s="1853">
        <f t="shared" si="149"/>
        <v>0.6483527254</v>
      </c>
      <c r="W222" s="1853">
        <f t="shared" si="149"/>
        <v>0.09552943971</v>
      </c>
      <c r="X222" s="1853">
        <f t="shared" si="149"/>
        <v>0.09157238101</v>
      </c>
      <c r="Y222" s="1853">
        <f t="shared" si="149"/>
        <v>0.08759801017</v>
      </c>
      <c r="Z222" s="1853">
        <f t="shared" si="149"/>
        <v>0.08360625147</v>
      </c>
      <c r="AA222" s="1853">
        <f t="shared" si="149"/>
        <v>0.07959702882</v>
      </c>
      <c r="AB222" s="1853">
        <f t="shared" si="149"/>
        <v>0.07557026582</v>
      </c>
      <c r="AC222" s="1853">
        <f t="shared" si="149"/>
        <v>0.07152588573</v>
      </c>
      <c r="AD222" s="1853">
        <f t="shared" si="149"/>
        <v>0.06746381148</v>
      </c>
      <c r="AE222" s="1853">
        <f t="shared" si="149"/>
        <v>0.06338396566</v>
      </c>
      <c r="AF222" s="1853">
        <f t="shared" si="149"/>
        <v>0.05928627051</v>
      </c>
      <c r="AG222" s="1853">
        <f t="shared" si="149"/>
        <v>0.05517064794</v>
      </c>
      <c r="AH222" s="1853">
        <f t="shared" si="149"/>
        <v>0.05103701952</v>
      </c>
      <c r="AI222" s="1853">
        <f t="shared" si="149"/>
        <v>0.04688530648</v>
      </c>
      <c r="AJ222" s="1853">
        <f t="shared" si="149"/>
        <v>0.0427154297</v>
      </c>
      <c r="AK222" s="1853">
        <f t="shared" si="149"/>
        <v>0.03852730971</v>
      </c>
      <c r="AL222" s="1853">
        <f t="shared" si="149"/>
        <v>0.03432086669</v>
      </c>
      <c r="AM222" s="1853">
        <f t="shared" si="149"/>
        <v>0.03009602048</v>
      </c>
      <c r="AN222" s="1853">
        <f t="shared" si="149"/>
        <v>0.02585269057</v>
      </c>
      <c r="AO222" s="1853">
        <f t="shared" si="149"/>
        <v>0.02159079609</v>
      </c>
      <c r="AP222" s="1853">
        <f t="shared" si="149"/>
        <v>0.01731025582</v>
      </c>
      <c r="AQ222" s="1853">
        <f t="shared" si="149"/>
        <v>0.01301098819</v>
      </c>
      <c r="AR222" s="1853">
        <f t="shared" si="149"/>
        <v>0.008692911264</v>
      </c>
      <c r="AS222" s="1853">
        <f t="shared" si="149"/>
        <v>0.00435594275</v>
      </c>
      <c r="AT222" s="1854">
        <f t="shared" si="149"/>
        <v>0</v>
      </c>
      <c r="BH222" s="153"/>
      <c r="BI222" s="153"/>
      <c r="BJ222" s="153"/>
      <c r="BK222" s="153"/>
      <c r="BL222" s="153"/>
      <c r="BM222" s="153"/>
      <c r="BN222" s="153"/>
      <c r="BO222" s="153"/>
      <c r="BP222" s="153"/>
      <c r="BQ222" s="153"/>
      <c r="BR222" s="153"/>
      <c r="BS222" s="23"/>
      <c r="BT222" s="23"/>
      <c r="BU222" s="23"/>
      <c r="BV222" s="23"/>
      <c r="BW222" s="23"/>
      <c r="BX222" s="23"/>
      <c r="BY222" s="23"/>
      <c r="BZ222" s="23"/>
    </row>
    <row r="223">
      <c r="E223" s="174"/>
      <c r="F223" s="220"/>
      <c r="G223" s="175"/>
      <c r="H223" s="175"/>
      <c r="I223" s="175"/>
      <c r="J223" s="175"/>
      <c r="K223" s="175"/>
      <c r="L223" s="175"/>
      <c r="M223" s="175"/>
      <c r="N223" s="175"/>
      <c r="O223" s="175"/>
      <c r="P223" s="175"/>
      <c r="Q223" s="175"/>
      <c r="R223" s="1134"/>
      <c r="S223" s="1855" t="s">
        <v>253</v>
      </c>
      <c r="T223" s="1856"/>
      <c r="U223" s="1856"/>
      <c r="V223" s="1857">
        <f t="shared" ref="V223:AT223" si="150">V221*(1-V215)</f>
        <v>2014.588996</v>
      </c>
      <c r="W223" s="1857">
        <f t="shared" si="150"/>
        <v>9261.786589</v>
      </c>
      <c r="X223" s="1857">
        <f t="shared" si="150"/>
        <v>10235.6041</v>
      </c>
      <c r="Y223" s="1857">
        <f t="shared" si="150"/>
        <v>10642.94294</v>
      </c>
      <c r="Z223" s="1857">
        <f t="shared" si="150"/>
        <v>11063.12007</v>
      </c>
      <c r="AA223" s="1857">
        <f t="shared" si="150"/>
        <v>11496.60587</v>
      </c>
      <c r="AB223" s="1857">
        <f t="shared" si="150"/>
        <v>11943.88634</v>
      </c>
      <c r="AC223" s="1857">
        <f t="shared" si="150"/>
        <v>12405.46364</v>
      </c>
      <c r="AD223" s="1857">
        <f t="shared" si="150"/>
        <v>12881.85667</v>
      </c>
      <c r="AE223" s="1857">
        <f t="shared" si="150"/>
        <v>13373.60165</v>
      </c>
      <c r="AF223" s="1857">
        <f t="shared" si="150"/>
        <v>13881.25276</v>
      </c>
      <c r="AG223" s="1857">
        <f t="shared" si="150"/>
        <v>14405.38274</v>
      </c>
      <c r="AH223" s="1857">
        <f t="shared" si="150"/>
        <v>15825.79437</v>
      </c>
      <c r="AI223" s="1857">
        <f t="shared" si="150"/>
        <v>16569.5678</v>
      </c>
      <c r="AJ223" s="1857">
        <f t="shared" si="150"/>
        <v>17344.0514</v>
      </c>
      <c r="AK223" s="1857">
        <f t="shared" si="150"/>
        <v>18150.49533</v>
      </c>
      <c r="AL223" s="1857">
        <f t="shared" si="150"/>
        <v>18990.19963</v>
      </c>
      <c r="AM223" s="1857">
        <f t="shared" si="150"/>
        <v>19864.51616</v>
      </c>
      <c r="AN223" s="1857">
        <f t="shared" si="150"/>
        <v>20774.85056</v>
      </c>
      <c r="AO223" s="1857">
        <f t="shared" si="150"/>
        <v>21722.66443</v>
      </c>
      <c r="AP223" s="1857">
        <f t="shared" si="150"/>
        <v>22709.47744</v>
      </c>
      <c r="AQ223" s="1857">
        <f t="shared" si="150"/>
        <v>23736.86958</v>
      </c>
      <c r="AR223" s="1857">
        <f t="shared" si="150"/>
        <v>24806.48355</v>
      </c>
      <c r="AS223" s="1857">
        <f t="shared" si="150"/>
        <v>25920.02715</v>
      </c>
      <c r="AT223" s="1858">
        <f t="shared" si="150"/>
        <v>27079.27581</v>
      </c>
      <c r="BH223" s="1681"/>
      <c r="BI223" s="1681"/>
      <c r="BJ223" s="1681"/>
      <c r="BK223" s="1681"/>
      <c r="BL223" s="1681"/>
      <c r="BM223" s="1681"/>
      <c r="BN223" s="1681"/>
      <c r="BO223" s="1681"/>
      <c r="BP223" s="1681"/>
      <c r="BQ223" s="1681"/>
      <c r="BR223" s="1681"/>
    </row>
    <row r="224">
      <c r="E224" s="174"/>
      <c r="F224" s="175"/>
      <c r="G224" s="220"/>
      <c r="H224" s="220"/>
      <c r="I224" s="220"/>
      <c r="J224" s="220"/>
      <c r="K224" s="220"/>
      <c r="L224" s="220"/>
      <c r="M224" s="220"/>
      <c r="N224" s="220"/>
      <c r="O224" s="220"/>
      <c r="P224" s="220"/>
      <c r="Q224" s="220"/>
      <c r="S224" s="1859" t="s">
        <v>332</v>
      </c>
      <c r="T224" s="1860"/>
      <c r="U224" s="1860"/>
      <c r="V224" s="1861">
        <f t="shared" ref="V224:AT224" si="151">1-(V223/V211)</f>
        <v>0.8241763627</v>
      </c>
      <c r="W224" s="1861">
        <f t="shared" si="151"/>
        <v>0.2764235518</v>
      </c>
      <c r="X224" s="1861">
        <f t="shared" si="151"/>
        <v>0.2278365239</v>
      </c>
      <c r="Y224" s="1861">
        <f t="shared" si="151"/>
        <v>0.2244583086</v>
      </c>
      <c r="Z224" s="1861">
        <f t="shared" si="151"/>
        <v>0.2210653137</v>
      </c>
      <c r="AA224" s="1861">
        <f t="shared" si="151"/>
        <v>0.2176574745</v>
      </c>
      <c r="AB224" s="1861">
        <f t="shared" si="151"/>
        <v>0.2142347259</v>
      </c>
      <c r="AC224" s="1861">
        <f t="shared" si="151"/>
        <v>0.2107970029</v>
      </c>
      <c r="AD224" s="1861">
        <f t="shared" si="151"/>
        <v>0.2073442398</v>
      </c>
      <c r="AE224" s="1861">
        <f t="shared" si="151"/>
        <v>0.2038763708</v>
      </c>
      <c r="AF224" s="1861">
        <f t="shared" si="151"/>
        <v>0.2003933299</v>
      </c>
      <c r="AG224" s="1861">
        <f t="shared" si="151"/>
        <v>0.1968950507</v>
      </c>
      <c r="AH224" s="1861">
        <f t="shared" si="151"/>
        <v>0.1459333176</v>
      </c>
      <c r="AI224" s="1861">
        <f t="shared" si="151"/>
        <v>0.1342541534</v>
      </c>
      <c r="AJ224" s="1861">
        <f t="shared" si="151"/>
        <v>0.1224891439</v>
      </c>
      <c r="AK224" s="1861">
        <f t="shared" si="151"/>
        <v>0.1106377615</v>
      </c>
      <c r="AL224" s="1861">
        <f t="shared" si="151"/>
        <v>0.09869947557</v>
      </c>
      <c r="AM224" s="1861">
        <f t="shared" si="151"/>
        <v>0.08667375262</v>
      </c>
      <c r="AN224" s="1861">
        <f t="shared" si="151"/>
        <v>0.07456005604</v>
      </c>
      <c r="AO224" s="1861">
        <f t="shared" si="151"/>
        <v>0.06235784625</v>
      </c>
      <c r="AP224" s="1861">
        <f t="shared" si="151"/>
        <v>0.05006658063</v>
      </c>
      <c r="AQ224" s="1861">
        <f t="shared" si="151"/>
        <v>0.03768571349</v>
      </c>
      <c r="AR224" s="1861">
        <f t="shared" si="151"/>
        <v>0.02521469608</v>
      </c>
      <c r="AS224" s="1861">
        <f t="shared" si="151"/>
        <v>0.01265297656</v>
      </c>
      <c r="AT224" s="1862">
        <f t="shared" si="151"/>
        <v>0</v>
      </c>
      <c r="AU224" s="1863" t="s">
        <v>333</v>
      </c>
      <c r="AV224" s="1864">
        <f>((AV210*AV194)/W219)</f>
        <v>9078.616911</v>
      </c>
      <c r="AW224" s="1864">
        <f t="shared" ref="AW224:BG224" si="152">(AW210*AW194)/X219</f>
        <v>9125.617387</v>
      </c>
      <c r="AX224" s="1864">
        <f t="shared" si="152"/>
        <v>9172.861201</v>
      </c>
      <c r="AY224" s="1864">
        <f t="shared" si="152"/>
        <v>9220.349614</v>
      </c>
      <c r="AZ224" s="1864">
        <f t="shared" si="152"/>
        <v>9268.083891</v>
      </c>
      <c r="BA224" s="1864">
        <f t="shared" si="152"/>
        <v>9316.065304</v>
      </c>
      <c r="BB224" s="1864">
        <f t="shared" si="152"/>
        <v>9477.805954</v>
      </c>
      <c r="BC224" s="1864">
        <f t="shared" si="152"/>
        <v>9642.354664</v>
      </c>
      <c r="BD224" s="1864">
        <f t="shared" si="152"/>
        <v>9809.760185</v>
      </c>
      <c r="BE224" s="1864">
        <f t="shared" si="152"/>
        <v>9980.072117</v>
      </c>
      <c r="BF224" s="1864">
        <f t="shared" si="152"/>
        <v>10153.34092</v>
      </c>
      <c r="BG224" s="1864">
        <f t="shared" si="152"/>
        <v>10329.61793</v>
      </c>
      <c r="BH224" s="1799"/>
      <c r="BI224" s="1799"/>
      <c r="BJ224" s="1799"/>
      <c r="BK224" s="1799"/>
      <c r="BL224" s="1799"/>
      <c r="BM224" s="1799"/>
      <c r="BN224" s="1799"/>
      <c r="BO224" s="1799"/>
      <c r="BP224" s="1799"/>
      <c r="BQ224" s="1799"/>
      <c r="BR224" s="1799"/>
    </row>
    <row r="225">
      <c r="E225" s="174"/>
      <c r="F225" s="220"/>
      <c r="G225" s="220"/>
      <c r="H225" s="220"/>
      <c r="I225" s="220"/>
      <c r="J225" s="220"/>
      <c r="K225" s="220"/>
      <c r="L225" s="220"/>
      <c r="M225" s="220"/>
      <c r="N225" s="220"/>
      <c r="O225" s="220"/>
      <c r="P225" s="220"/>
      <c r="Q225" s="220"/>
      <c r="S225" s="1865" t="s">
        <v>334</v>
      </c>
      <c r="T225" s="1866"/>
      <c r="U225" s="1866"/>
      <c r="V225" s="1866"/>
      <c r="W225" s="1867">
        <f t="shared" ref="W225:X225" si="153">(W211*(1+X206)^(W137))+(W208*(1+W219)^(W137))</f>
        <v>25261.94161</v>
      </c>
      <c r="X225" s="1867">
        <f t="shared" si="153"/>
        <v>25478.35034</v>
      </c>
      <c r="Y225" s="1867">
        <f t="shared" ref="Y225:AT225" si="154">(Y211*(1+(Y226*(24/12))))+(Y208*(1+Y219)^(Y137))</f>
        <v>13799.7584</v>
      </c>
      <c r="Z225" s="1867">
        <f t="shared" si="154"/>
        <v>14277.03539</v>
      </c>
      <c r="AA225" s="1867">
        <f t="shared" si="154"/>
        <v>14766.95812</v>
      </c>
      <c r="AB225" s="1867">
        <f t="shared" si="154"/>
        <v>15269.95009</v>
      </c>
      <c r="AC225" s="1867">
        <f t="shared" si="154"/>
        <v>15786.44633</v>
      </c>
      <c r="AD225" s="1867">
        <f t="shared" si="154"/>
        <v>16316.89379</v>
      </c>
      <c r="AE225" s="1867">
        <f t="shared" si="154"/>
        <v>16861.75173</v>
      </c>
      <c r="AF225" s="1867">
        <f t="shared" si="154"/>
        <v>17421.49213</v>
      </c>
      <c r="AG225" s="1867">
        <f t="shared" si="154"/>
        <v>17996.60006</v>
      </c>
      <c r="AH225" s="1867">
        <f t="shared" si="154"/>
        <v>18587.57414</v>
      </c>
      <c r="AI225" s="1867">
        <f t="shared" si="154"/>
        <v>19194.92696</v>
      </c>
      <c r="AJ225" s="1867">
        <f t="shared" si="154"/>
        <v>19819.18553</v>
      </c>
      <c r="AK225" s="1867">
        <f t="shared" si="154"/>
        <v>20460.89171</v>
      </c>
      <c r="AL225" s="1867">
        <f t="shared" si="154"/>
        <v>21120.60271</v>
      </c>
      <c r="AM225" s="1867">
        <f t="shared" si="154"/>
        <v>21798.89159</v>
      </c>
      <c r="AN225" s="1867">
        <f t="shared" si="154"/>
        <v>22496.34771</v>
      </c>
      <c r="AO225" s="1867">
        <f t="shared" si="154"/>
        <v>23213.57727</v>
      </c>
      <c r="AP225" s="1867">
        <f t="shared" si="154"/>
        <v>23951.20384</v>
      </c>
      <c r="AQ225" s="1867">
        <f t="shared" si="154"/>
        <v>24709.8689</v>
      </c>
      <c r="AR225" s="1867">
        <f t="shared" si="154"/>
        <v>25490.23238</v>
      </c>
      <c r="AS225" s="1867">
        <f t="shared" si="154"/>
        <v>26292.97328</v>
      </c>
      <c r="AT225" s="1867">
        <f t="shared" si="154"/>
        <v>27118.79019</v>
      </c>
      <c r="AU225" s="153" t="s">
        <v>335</v>
      </c>
      <c r="AV225" s="1868">
        <f t="shared" ref="AV225:BG225" si="155">(AV194/W219)</f>
        <v>0.3489123389</v>
      </c>
      <c r="AW225" s="1868">
        <f t="shared" si="155"/>
        <v>0.3405035693</v>
      </c>
      <c r="AX225" s="1868">
        <f t="shared" si="155"/>
        <v>0.3322974511</v>
      </c>
      <c r="AY225" s="1868">
        <f t="shared" si="155"/>
        <v>0.3242891005</v>
      </c>
      <c r="AZ225" s="1868">
        <f t="shared" si="155"/>
        <v>0.3164737512</v>
      </c>
      <c r="BA225" s="1868">
        <f t="shared" si="155"/>
        <v>0.3088467518</v>
      </c>
      <c r="BB225" s="1868">
        <f t="shared" si="155"/>
        <v>0.3050570752</v>
      </c>
      <c r="BC225" s="1868">
        <f t="shared" si="155"/>
        <v>0.3013138996</v>
      </c>
      <c r="BD225" s="1868">
        <f t="shared" si="155"/>
        <v>0.2976166544</v>
      </c>
      <c r="BE225" s="1868">
        <f t="shared" si="155"/>
        <v>0.293964776</v>
      </c>
      <c r="BF225" s="1868">
        <f t="shared" si="155"/>
        <v>0.2903577077</v>
      </c>
      <c r="BG225" s="1868">
        <f t="shared" si="155"/>
        <v>0.2867948998</v>
      </c>
      <c r="BH225" s="1869"/>
      <c r="BI225" s="1869"/>
      <c r="BJ225" s="1869"/>
      <c r="BK225" s="1869"/>
      <c r="BL225" s="1869"/>
      <c r="BM225" s="1869"/>
      <c r="BN225" s="1869"/>
      <c r="BO225" s="1869"/>
      <c r="BP225" s="1869"/>
      <c r="BQ225" s="1869"/>
      <c r="BR225" s="1869"/>
    </row>
    <row r="226">
      <c r="E226" s="174"/>
      <c r="F226" s="220"/>
      <c r="G226" s="220"/>
      <c r="H226" s="220"/>
      <c r="I226" s="220"/>
      <c r="J226" s="220"/>
      <c r="K226" s="220"/>
      <c r="L226" s="220"/>
      <c r="M226" s="220"/>
      <c r="N226" s="220"/>
      <c r="O226" s="220"/>
      <c r="P226" s="220"/>
      <c r="Q226" s="220"/>
      <c r="W226" s="1713"/>
      <c r="X226" s="1870" t="str">
        <f t="shared" ref="X226:AT226" si="156">W226</f>
        <v/>
      </c>
      <c r="Y226" s="1870" t="str">
        <f t="shared" si="156"/>
        <v/>
      </c>
      <c r="Z226" s="1870" t="str">
        <f t="shared" si="156"/>
        <v/>
      </c>
      <c r="AA226" s="1870" t="str">
        <f t="shared" si="156"/>
        <v/>
      </c>
      <c r="AB226" s="1870" t="str">
        <f t="shared" si="156"/>
        <v/>
      </c>
      <c r="AC226" s="1870" t="str">
        <f t="shared" si="156"/>
        <v/>
      </c>
      <c r="AD226" s="1870" t="str">
        <f t="shared" si="156"/>
        <v/>
      </c>
      <c r="AE226" s="1870" t="str">
        <f t="shared" si="156"/>
        <v/>
      </c>
      <c r="AF226" s="1870" t="str">
        <f t="shared" si="156"/>
        <v/>
      </c>
      <c r="AG226" s="1870" t="str">
        <f t="shared" si="156"/>
        <v/>
      </c>
      <c r="AH226" s="1870" t="str">
        <f t="shared" si="156"/>
        <v/>
      </c>
      <c r="AI226" s="1870" t="str">
        <f t="shared" si="156"/>
        <v/>
      </c>
      <c r="AJ226" s="1870" t="str">
        <f t="shared" si="156"/>
        <v/>
      </c>
      <c r="AK226" s="1870" t="str">
        <f t="shared" si="156"/>
        <v/>
      </c>
      <c r="AL226" s="1870" t="str">
        <f t="shared" si="156"/>
        <v/>
      </c>
      <c r="AM226" s="1870" t="str">
        <f t="shared" si="156"/>
        <v/>
      </c>
      <c r="AN226" s="1870" t="str">
        <f t="shared" si="156"/>
        <v/>
      </c>
      <c r="AO226" s="1870" t="str">
        <f t="shared" si="156"/>
        <v/>
      </c>
      <c r="AP226" s="1870" t="str">
        <f t="shared" si="156"/>
        <v/>
      </c>
      <c r="AQ226" s="1870" t="str">
        <f t="shared" si="156"/>
        <v/>
      </c>
      <c r="AR226" s="1870" t="str">
        <f t="shared" si="156"/>
        <v/>
      </c>
      <c r="AS226" s="1870" t="str">
        <f t="shared" si="156"/>
        <v/>
      </c>
      <c r="AT226" s="1870" t="str">
        <f t="shared" si="156"/>
        <v/>
      </c>
      <c r="AU226" s="1871"/>
      <c r="AV226" s="1872">
        <f t="shared" ref="AV226:BG226" si="157">(AV210*AV194)/W219</f>
        <v>9078.616911</v>
      </c>
      <c r="AW226" s="1872">
        <f t="shared" si="157"/>
        <v>9125.617387</v>
      </c>
      <c r="AX226" s="1872">
        <f t="shared" si="157"/>
        <v>9172.861201</v>
      </c>
      <c r="AY226" s="1872">
        <f t="shared" si="157"/>
        <v>9220.349614</v>
      </c>
      <c r="AZ226" s="1872">
        <f t="shared" si="157"/>
        <v>9268.083891</v>
      </c>
      <c r="BA226" s="1872">
        <f t="shared" si="157"/>
        <v>9316.065304</v>
      </c>
      <c r="BB226" s="1872">
        <f t="shared" si="157"/>
        <v>9477.805954</v>
      </c>
      <c r="BC226" s="1872">
        <f t="shared" si="157"/>
        <v>9642.354664</v>
      </c>
      <c r="BD226" s="1872">
        <f t="shared" si="157"/>
        <v>9809.760185</v>
      </c>
      <c r="BE226" s="1872">
        <f t="shared" si="157"/>
        <v>9980.072117</v>
      </c>
      <c r="BF226" s="1872">
        <f t="shared" si="157"/>
        <v>10153.34092</v>
      </c>
      <c r="BG226" s="1872">
        <f t="shared" si="157"/>
        <v>10329.61793</v>
      </c>
      <c r="BH226" s="1871"/>
      <c r="BI226" s="1871"/>
      <c r="BJ226" s="1871"/>
      <c r="BK226" s="1871"/>
      <c r="BL226" s="1871"/>
      <c r="BM226" s="1871"/>
      <c r="BN226" s="1871"/>
      <c r="BO226" s="1871"/>
      <c r="BP226" s="1871"/>
      <c r="BQ226" s="1871"/>
      <c r="BR226" s="1871"/>
      <c r="BS226" s="1651"/>
      <c r="BT226" s="1651"/>
      <c r="BU226" s="1651"/>
      <c r="BV226" s="1651"/>
      <c r="BW226" s="1651"/>
    </row>
    <row r="227">
      <c r="E227" s="174"/>
      <c r="F227" s="220"/>
      <c r="G227" s="220"/>
      <c r="H227" s="220"/>
      <c r="I227" s="220"/>
      <c r="J227" s="220"/>
      <c r="K227" s="220"/>
      <c r="L227" s="220"/>
      <c r="M227" s="220"/>
      <c r="N227" s="220"/>
      <c r="O227" s="220"/>
      <c r="P227" s="220"/>
      <c r="Q227" s="220"/>
      <c r="BK227" s="1631"/>
      <c r="BS227" s="1651"/>
      <c r="BT227" s="1651"/>
      <c r="BU227" s="1651"/>
      <c r="BV227" s="1651"/>
      <c r="BW227" s="1651"/>
    </row>
    <row r="228">
      <c r="E228" s="174"/>
      <c r="F228" s="220"/>
      <c r="G228" s="220"/>
      <c r="H228" s="220"/>
      <c r="I228" s="220"/>
      <c r="J228" s="220"/>
      <c r="K228" s="220"/>
      <c r="L228" s="220"/>
      <c r="M228" s="220"/>
      <c r="N228" s="220"/>
      <c r="O228" s="220"/>
      <c r="P228" s="220"/>
      <c r="Q228" s="220"/>
      <c r="S228" s="1730" t="s">
        <v>336</v>
      </c>
      <c r="T228" s="1743"/>
      <c r="U228" s="1743"/>
      <c r="V228" s="1743"/>
      <c r="W228" s="1873"/>
      <c r="X228" s="1873"/>
      <c r="Y228" s="1873"/>
      <c r="Z228" s="1873"/>
      <c r="AA228" s="1873"/>
      <c r="AB228" s="1743"/>
      <c r="AC228" s="1743"/>
      <c r="AD228" s="1743"/>
      <c r="AE228" s="1743"/>
      <c r="AF228" s="1743"/>
      <c r="AG228" s="1743"/>
      <c r="AH228" s="1743"/>
      <c r="AI228" s="1743"/>
      <c r="AJ228" s="1743"/>
      <c r="AK228" s="1743"/>
      <c r="AL228" s="1743"/>
      <c r="AM228" s="1743"/>
      <c r="AN228" s="1743"/>
      <c r="AO228" s="1743"/>
      <c r="AP228" s="1743"/>
      <c r="AQ228" s="1743"/>
      <c r="AR228" s="1743"/>
      <c r="AS228" s="1743"/>
      <c r="AT228" s="1744"/>
      <c r="AU228" s="1874" t="s">
        <v>337</v>
      </c>
      <c r="AV228" s="1875">
        <v>0.05</v>
      </c>
      <c r="AW228" s="1876">
        <f t="shared" ref="AW228:BG228" si="158">AV228</f>
        <v>0.05</v>
      </c>
      <c r="AX228" s="1876">
        <f t="shared" si="158"/>
        <v>0.05</v>
      </c>
      <c r="AY228" s="1876">
        <f t="shared" si="158"/>
        <v>0.05</v>
      </c>
      <c r="AZ228" s="1876">
        <f t="shared" si="158"/>
        <v>0.05</v>
      </c>
      <c r="BA228" s="1876">
        <f t="shared" si="158"/>
        <v>0.05</v>
      </c>
      <c r="BB228" s="1876">
        <f t="shared" si="158"/>
        <v>0.05</v>
      </c>
      <c r="BC228" s="1876">
        <f t="shared" si="158"/>
        <v>0.05</v>
      </c>
      <c r="BD228" s="1876">
        <f t="shared" si="158"/>
        <v>0.05</v>
      </c>
      <c r="BE228" s="1876">
        <f t="shared" si="158"/>
        <v>0.05</v>
      </c>
      <c r="BF228" s="1876">
        <f t="shared" si="158"/>
        <v>0.05</v>
      </c>
      <c r="BG228" s="1876">
        <f t="shared" si="158"/>
        <v>0.05</v>
      </c>
      <c r="BK228" s="1631"/>
      <c r="BS228" s="1651"/>
      <c r="BT228" s="1651"/>
      <c r="BU228" s="1651"/>
      <c r="BV228" s="1651"/>
      <c r="BW228" s="1651"/>
    </row>
    <row r="229">
      <c r="E229" s="174"/>
      <c r="F229" s="220"/>
      <c r="G229" s="220"/>
      <c r="H229" s="220"/>
      <c r="I229" s="220"/>
      <c r="J229" s="220"/>
      <c r="K229" s="220"/>
      <c r="L229" s="220"/>
      <c r="M229" s="220"/>
      <c r="N229" s="220"/>
      <c r="O229" s="220"/>
      <c r="P229" s="220"/>
      <c r="Q229" s="220"/>
      <c r="S229" s="1705" t="s">
        <v>234</v>
      </c>
      <c r="W229" s="1648">
        <f t="shared" ref="W229:AT229" si="159">W210</f>
        <v>12800</v>
      </c>
      <c r="X229" s="1648">
        <f t="shared" si="159"/>
        <v>13184</v>
      </c>
      <c r="Y229" s="1648">
        <f t="shared" si="159"/>
        <v>13579.52</v>
      </c>
      <c r="Z229" s="1648">
        <f t="shared" si="159"/>
        <v>13986.9056</v>
      </c>
      <c r="AA229" s="1648">
        <f t="shared" si="159"/>
        <v>14406.51277</v>
      </c>
      <c r="AB229" s="1648">
        <f t="shared" si="159"/>
        <v>14838.70815</v>
      </c>
      <c r="AC229" s="1648">
        <f t="shared" si="159"/>
        <v>15283.8694</v>
      </c>
      <c r="AD229" s="1648">
        <f t="shared" si="159"/>
        <v>15742.38548</v>
      </c>
      <c r="AE229" s="1648">
        <f t="shared" si="159"/>
        <v>16214.65704</v>
      </c>
      <c r="AF229" s="1648">
        <f t="shared" si="159"/>
        <v>16701.09675</v>
      </c>
      <c r="AG229" s="1648">
        <f t="shared" si="159"/>
        <v>17202.12966</v>
      </c>
      <c r="AH229" s="1648">
        <f t="shared" si="159"/>
        <v>17718.19355</v>
      </c>
      <c r="AI229" s="1648">
        <f t="shared" si="159"/>
        <v>18249.73935</v>
      </c>
      <c r="AJ229" s="1648">
        <f t="shared" si="159"/>
        <v>18797.23153</v>
      </c>
      <c r="AK229" s="1648">
        <f t="shared" si="159"/>
        <v>19361.14848</v>
      </c>
      <c r="AL229" s="1648">
        <f t="shared" si="159"/>
        <v>19941.98293</v>
      </c>
      <c r="AM229" s="1648">
        <f t="shared" si="159"/>
        <v>20540.24242</v>
      </c>
      <c r="AN229" s="1648">
        <f t="shared" si="159"/>
        <v>21156.44969</v>
      </c>
      <c r="AO229" s="1648">
        <f t="shared" si="159"/>
        <v>21791.14318</v>
      </c>
      <c r="AP229" s="1648">
        <f t="shared" si="159"/>
        <v>22444.87748</v>
      </c>
      <c r="AQ229" s="1648">
        <f t="shared" si="159"/>
        <v>23118.2238</v>
      </c>
      <c r="AR229" s="1648">
        <f t="shared" si="159"/>
        <v>23811.77052</v>
      </c>
      <c r="AS229" s="1648">
        <f t="shared" si="159"/>
        <v>24526.12363</v>
      </c>
      <c r="AT229" s="1646">
        <f t="shared" si="159"/>
        <v>25261.90734</v>
      </c>
      <c r="AU229" s="9" t="s">
        <v>338</v>
      </c>
      <c r="AV229" s="1643">
        <f t="shared" ref="AV229:BG229" si="160">AV218/AV228</f>
        <v>794.3789797</v>
      </c>
      <c r="AW229" s="1643">
        <f t="shared" si="160"/>
        <v>798.4915214</v>
      </c>
      <c r="AX229" s="1643">
        <f t="shared" si="160"/>
        <v>802.6253551</v>
      </c>
      <c r="AY229" s="1643">
        <f t="shared" si="160"/>
        <v>806.7805912</v>
      </c>
      <c r="AZ229" s="1643">
        <f t="shared" si="160"/>
        <v>810.9573404</v>
      </c>
      <c r="BA229" s="1643">
        <f t="shared" si="160"/>
        <v>815.1557141</v>
      </c>
      <c r="BB229" s="1643">
        <f t="shared" si="160"/>
        <v>829.308021</v>
      </c>
      <c r="BC229" s="1643">
        <f t="shared" si="160"/>
        <v>843.7060331</v>
      </c>
      <c r="BD229" s="1643">
        <f t="shared" si="160"/>
        <v>858.3540162</v>
      </c>
      <c r="BE229" s="1643">
        <f t="shared" si="160"/>
        <v>873.2563103</v>
      </c>
      <c r="BF229" s="1643">
        <f t="shared" si="160"/>
        <v>888.4173305</v>
      </c>
      <c r="BG229" s="1643">
        <f t="shared" si="160"/>
        <v>903.8415687</v>
      </c>
      <c r="BK229" s="1631"/>
      <c r="BS229" s="1651"/>
      <c r="BT229" s="1651"/>
      <c r="BU229" s="1651"/>
      <c r="BV229" s="1651"/>
      <c r="BW229" s="1651"/>
    </row>
    <row r="230">
      <c r="E230" s="174"/>
      <c r="F230" s="220"/>
      <c r="G230" s="220"/>
      <c r="H230" s="220"/>
      <c r="I230" s="220"/>
      <c r="J230" s="220"/>
      <c r="K230" s="220"/>
      <c r="L230" s="220"/>
      <c r="M230" s="220"/>
      <c r="N230" s="220"/>
      <c r="O230" s="220"/>
      <c r="P230" s="220"/>
      <c r="Q230" s="220"/>
      <c r="S230" s="1705" t="s">
        <v>102</v>
      </c>
      <c r="W230" s="379">
        <f t="shared" ref="W230:AT230" si="161">W218</f>
        <v>0.0165</v>
      </c>
      <c r="X230" s="379">
        <f t="shared" si="161"/>
        <v>0.005441146374</v>
      </c>
      <c r="Y230" s="379">
        <f t="shared" si="161"/>
        <v>0.005141395646</v>
      </c>
      <c r="Z230" s="379">
        <f t="shared" si="161"/>
        <v>0.004858158525</v>
      </c>
      <c r="AA230" s="379">
        <f t="shared" si="161"/>
        <v>0.004590525187</v>
      </c>
      <c r="AB230" s="379">
        <f t="shared" si="161"/>
        <v>0.004337635946</v>
      </c>
      <c r="AC230" s="379">
        <f t="shared" si="161"/>
        <v>0.00409867849</v>
      </c>
      <c r="AD230" s="379">
        <f t="shared" si="161"/>
        <v>0.003872885269</v>
      </c>
      <c r="AE230" s="379">
        <f t="shared" si="161"/>
        <v>0.003659531026</v>
      </c>
      <c r="AF230" s="379">
        <f t="shared" si="161"/>
        <v>0.003457930466</v>
      </c>
      <c r="AG230" s="379">
        <f t="shared" si="161"/>
        <v>0.003267436054</v>
      </c>
      <c r="AH230" s="379">
        <f t="shared" si="161"/>
        <v>0.003087435931</v>
      </c>
      <c r="AI230" s="379">
        <f t="shared" si="161"/>
        <v>0.002917351952</v>
      </c>
      <c r="AJ230" s="379">
        <f t="shared" si="161"/>
        <v>0.002756637825</v>
      </c>
      <c r="AK230" s="379">
        <f t="shared" si="161"/>
        <v>0.002604777357</v>
      </c>
      <c r="AL230" s="379">
        <f t="shared" si="161"/>
        <v>0.002461282791</v>
      </c>
      <c r="AM230" s="379">
        <f t="shared" si="161"/>
        <v>0.002325693248</v>
      </c>
      <c r="AN230" s="379">
        <f t="shared" si="161"/>
        <v>0.002197573237</v>
      </c>
      <c r="AO230" s="379">
        <f t="shared" si="161"/>
        <v>0.00207651126</v>
      </c>
      <c r="AP230" s="379">
        <f t="shared" si="161"/>
        <v>0.001962118489</v>
      </c>
      <c r="AQ230" s="379">
        <f t="shared" si="161"/>
        <v>0.00185402752</v>
      </c>
      <c r="AR230" s="379">
        <f t="shared" si="161"/>
        <v>0.001751891187</v>
      </c>
      <c r="AS230" s="379">
        <f t="shared" si="161"/>
        <v>0.00165538145</v>
      </c>
      <c r="AT230" s="1765">
        <f t="shared" si="161"/>
        <v>0.001564188345</v>
      </c>
      <c r="AU230" s="9" t="s">
        <v>339</v>
      </c>
      <c r="AV230" s="1643">
        <f t="shared" ref="AV230:BG230" si="162">AV211+AV229</f>
        <v>28725.75201</v>
      </c>
      <c r="AW230" s="1643">
        <f t="shared" si="162"/>
        <v>29607.73032</v>
      </c>
      <c r="AX230" s="1643">
        <f t="shared" si="162"/>
        <v>30516.27259</v>
      </c>
      <c r="AY230" s="1643">
        <f t="shared" si="162"/>
        <v>31452.17627</v>
      </c>
      <c r="AZ230" s="1643">
        <f t="shared" si="162"/>
        <v>32416.26276</v>
      </c>
      <c r="BA230" s="1643">
        <f t="shared" si="162"/>
        <v>33409.37808</v>
      </c>
      <c r="BB230" s="1643">
        <f t="shared" si="162"/>
        <v>34442.82246</v>
      </c>
      <c r="BC230" s="1643">
        <f t="shared" si="162"/>
        <v>35507.8112</v>
      </c>
      <c r="BD230" s="1643">
        <f t="shared" si="162"/>
        <v>36605.30004</v>
      </c>
      <c r="BE230" s="1643">
        <f t="shared" si="162"/>
        <v>37736.27353</v>
      </c>
      <c r="BF230" s="1643">
        <f t="shared" si="162"/>
        <v>38901.74594</v>
      </c>
      <c r="BG230" s="1643">
        <f t="shared" si="162"/>
        <v>40102.76211</v>
      </c>
      <c r="BK230" s="1631"/>
    </row>
    <row r="231">
      <c r="E231" s="174"/>
      <c r="F231" s="220"/>
      <c r="G231" s="220"/>
      <c r="H231" s="220"/>
      <c r="I231" s="220"/>
      <c r="J231" s="220"/>
      <c r="K231" s="220"/>
      <c r="L231" s="220"/>
      <c r="M231" s="220"/>
      <c r="N231" s="220"/>
      <c r="O231" s="220"/>
      <c r="S231" s="1705" t="s">
        <v>340</v>
      </c>
      <c r="W231" s="9">
        <v>0.0</v>
      </c>
      <c r="X231" s="377">
        <f t="shared" ref="X231:AT231" si="163">W231</f>
        <v>0</v>
      </c>
      <c r="Y231" s="377">
        <f t="shared" si="163"/>
        <v>0</v>
      </c>
      <c r="Z231" s="377">
        <f t="shared" si="163"/>
        <v>0</v>
      </c>
      <c r="AA231" s="377">
        <f t="shared" si="163"/>
        <v>0</v>
      </c>
      <c r="AB231" s="377">
        <f t="shared" si="163"/>
        <v>0</v>
      </c>
      <c r="AC231" s="377">
        <f t="shared" si="163"/>
        <v>0</v>
      </c>
      <c r="AD231" s="377">
        <f t="shared" si="163"/>
        <v>0</v>
      </c>
      <c r="AE231" s="377">
        <f t="shared" si="163"/>
        <v>0</v>
      </c>
      <c r="AF231" s="377">
        <f t="shared" si="163"/>
        <v>0</v>
      </c>
      <c r="AG231" s="377">
        <f t="shared" si="163"/>
        <v>0</v>
      </c>
      <c r="AH231" s="377">
        <f t="shared" si="163"/>
        <v>0</v>
      </c>
      <c r="AI231" s="377">
        <f t="shared" si="163"/>
        <v>0</v>
      </c>
      <c r="AJ231" s="377">
        <f t="shared" si="163"/>
        <v>0</v>
      </c>
      <c r="AK231" s="377">
        <f t="shared" si="163"/>
        <v>0</v>
      </c>
      <c r="AL231" s="377">
        <f t="shared" si="163"/>
        <v>0</v>
      </c>
      <c r="AM231" s="377">
        <f t="shared" si="163"/>
        <v>0</v>
      </c>
      <c r="AN231" s="377">
        <f t="shared" si="163"/>
        <v>0</v>
      </c>
      <c r="AO231" s="377">
        <f t="shared" si="163"/>
        <v>0</v>
      </c>
      <c r="AP231" s="377">
        <f t="shared" si="163"/>
        <v>0</v>
      </c>
      <c r="AQ231" s="377">
        <f t="shared" si="163"/>
        <v>0</v>
      </c>
      <c r="AR231" s="377">
        <f t="shared" si="163"/>
        <v>0</v>
      </c>
      <c r="AS231" s="377">
        <f t="shared" si="163"/>
        <v>0</v>
      </c>
      <c r="AT231" s="1695">
        <f t="shared" si="163"/>
        <v>0</v>
      </c>
      <c r="BK231" s="1631"/>
    </row>
    <row r="232">
      <c r="E232" s="174"/>
      <c r="F232" s="220"/>
      <c r="G232" s="220"/>
      <c r="H232" s="220"/>
      <c r="I232" s="220"/>
      <c r="J232" s="220"/>
      <c r="K232" s="220"/>
      <c r="L232" s="220"/>
      <c r="M232" s="220"/>
      <c r="N232" s="220"/>
      <c r="O232" s="220"/>
      <c r="S232" s="1705" t="s">
        <v>341</v>
      </c>
      <c r="W232" s="1877">
        <f>24/12</f>
        <v>2</v>
      </c>
      <c r="X232" s="1877">
        <f>23/12</f>
        <v>1.916666667</v>
      </c>
      <c r="Y232" s="1877">
        <f>22/12</f>
        <v>1.833333333</v>
      </c>
      <c r="Z232" s="1877">
        <f>21/12</f>
        <v>1.75</v>
      </c>
      <c r="AA232" s="1877">
        <f>20/12</f>
        <v>1.666666667</v>
      </c>
      <c r="AB232" s="1877">
        <f>19/12</f>
        <v>1.583333333</v>
      </c>
      <c r="AC232" s="1877">
        <f>18/12</f>
        <v>1.5</v>
      </c>
      <c r="AD232" s="1877">
        <f>17/12</f>
        <v>1.416666667</v>
      </c>
      <c r="AE232" s="1877">
        <f>16/12</f>
        <v>1.333333333</v>
      </c>
      <c r="AF232" s="1877">
        <f>15/12</f>
        <v>1.25</v>
      </c>
      <c r="AG232" s="1877">
        <f>14/12</f>
        <v>1.166666667</v>
      </c>
      <c r="AH232" s="1877">
        <f>13/12</f>
        <v>1.083333333</v>
      </c>
      <c r="AI232" s="1877">
        <f>12/12</f>
        <v>1</v>
      </c>
      <c r="AJ232" s="1877">
        <f>11/12</f>
        <v>0.9166666667</v>
      </c>
      <c r="AK232" s="1877">
        <f>10/12</f>
        <v>0.8333333333</v>
      </c>
      <c r="AL232" s="1877">
        <f>9/12</f>
        <v>0.75</v>
      </c>
      <c r="AM232" s="1877">
        <f>8/12</f>
        <v>0.6666666667</v>
      </c>
      <c r="AN232" s="1877">
        <f>7/12</f>
        <v>0.5833333333</v>
      </c>
      <c r="AO232" s="1877">
        <f>6/12</f>
        <v>0.5</v>
      </c>
      <c r="AP232" s="1877">
        <f>5/12</f>
        <v>0.4166666667</v>
      </c>
      <c r="AQ232" s="1877">
        <f>4/12</f>
        <v>0.3333333333</v>
      </c>
      <c r="AR232" s="1877">
        <f>3/12</f>
        <v>0.25</v>
      </c>
      <c r="AS232" s="1877">
        <f>2/12</f>
        <v>0.1666666667</v>
      </c>
      <c r="AT232" s="1878">
        <f>1/12</f>
        <v>0.08333333333</v>
      </c>
      <c r="BK232" s="1631"/>
    </row>
    <row r="233">
      <c r="E233" s="174"/>
      <c r="F233" s="220"/>
      <c r="G233" s="220"/>
      <c r="H233" s="220"/>
      <c r="I233" s="220"/>
      <c r="J233" s="220"/>
      <c r="K233" s="220"/>
      <c r="L233" s="220"/>
      <c r="M233" s="220"/>
      <c r="N233" s="220"/>
      <c r="O233" s="220"/>
      <c r="S233" s="1725" t="s">
        <v>342</v>
      </c>
      <c r="T233" s="1762"/>
      <c r="U233" s="1762"/>
      <c r="V233" s="1762"/>
      <c r="W233" s="1762">
        <f t="shared" ref="W233:AT233" si="164">(W231+(W232*W229)/(1+W230)^1/((W231+W229)/(1+W230)^1))</f>
        <v>2</v>
      </c>
      <c r="X233" s="1879">
        <f t="shared" si="164"/>
        <v>1.916666667</v>
      </c>
      <c r="Y233" s="1879">
        <f t="shared" si="164"/>
        <v>1.833333333</v>
      </c>
      <c r="Z233" s="1879">
        <f t="shared" si="164"/>
        <v>1.75</v>
      </c>
      <c r="AA233" s="1879">
        <f t="shared" si="164"/>
        <v>1.666666667</v>
      </c>
      <c r="AB233" s="1879">
        <f t="shared" si="164"/>
        <v>1.583333333</v>
      </c>
      <c r="AC233" s="1879">
        <f t="shared" si="164"/>
        <v>1.5</v>
      </c>
      <c r="AD233" s="1879">
        <f t="shared" si="164"/>
        <v>1.416666667</v>
      </c>
      <c r="AE233" s="1879">
        <f t="shared" si="164"/>
        <v>1.333333333</v>
      </c>
      <c r="AF233" s="1879">
        <f t="shared" si="164"/>
        <v>1.25</v>
      </c>
      <c r="AG233" s="1879">
        <f t="shared" si="164"/>
        <v>1.166666667</v>
      </c>
      <c r="AH233" s="1879">
        <f t="shared" si="164"/>
        <v>1.083333333</v>
      </c>
      <c r="AI233" s="1879">
        <f t="shared" si="164"/>
        <v>1</v>
      </c>
      <c r="AJ233" s="1879">
        <f t="shared" si="164"/>
        <v>0.9166666667</v>
      </c>
      <c r="AK233" s="1879">
        <f t="shared" si="164"/>
        <v>0.8333333333</v>
      </c>
      <c r="AL233" s="1879">
        <f t="shared" si="164"/>
        <v>0.75</v>
      </c>
      <c r="AM233" s="1879">
        <f t="shared" si="164"/>
        <v>0.6666666667</v>
      </c>
      <c r="AN233" s="1879">
        <f t="shared" si="164"/>
        <v>0.5833333333</v>
      </c>
      <c r="AO233" s="1879">
        <f t="shared" si="164"/>
        <v>0.5</v>
      </c>
      <c r="AP233" s="1879">
        <f t="shared" si="164"/>
        <v>0.4166666667</v>
      </c>
      <c r="AQ233" s="1879">
        <f t="shared" si="164"/>
        <v>0.3333333333</v>
      </c>
      <c r="AR233" s="1879">
        <f t="shared" si="164"/>
        <v>0.25</v>
      </c>
      <c r="AS233" s="1879">
        <f t="shared" si="164"/>
        <v>0.1666666667</v>
      </c>
      <c r="AT233" s="1880">
        <f t="shared" si="164"/>
        <v>0.08333333333</v>
      </c>
      <c r="BK233" s="1631"/>
    </row>
    <row r="234">
      <c r="E234" s="174"/>
      <c r="F234" s="220"/>
      <c r="G234" s="220"/>
      <c r="H234" s="220"/>
      <c r="I234" s="220"/>
      <c r="J234" s="220"/>
      <c r="K234" s="220"/>
      <c r="L234" s="220"/>
      <c r="M234" s="220"/>
      <c r="N234" s="220"/>
      <c r="O234" s="220"/>
      <c r="BK234" s="1631"/>
    </row>
    <row r="235">
      <c r="E235" s="174"/>
      <c r="F235" s="220"/>
      <c r="G235" s="220"/>
      <c r="H235" s="220"/>
      <c r="I235" s="220"/>
      <c r="J235" s="220"/>
      <c r="K235" s="220"/>
      <c r="L235" s="220"/>
      <c r="M235" s="220"/>
      <c r="N235" s="220"/>
      <c r="O235" s="220"/>
      <c r="S235" s="1881" t="s">
        <v>343</v>
      </c>
      <c r="T235" s="1840"/>
      <c r="U235" s="1840"/>
      <c r="V235" s="1840"/>
      <c r="W235" s="1840"/>
      <c r="X235" s="1840"/>
      <c r="Y235" s="1840"/>
      <c r="Z235" s="1840"/>
      <c r="AA235" s="1840"/>
      <c r="AB235" s="1840"/>
      <c r="AC235" s="1840"/>
      <c r="AD235" s="1840"/>
      <c r="AE235" s="1840"/>
      <c r="AF235" s="1840"/>
      <c r="AG235" s="1840"/>
      <c r="AH235" s="1840"/>
      <c r="AI235" s="1840"/>
      <c r="AJ235" s="1840"/>
      <c r="AK235" s="1840"/>
      <c r="AL235" s="1840"/>
      <c r="AM235" s="1840"/>
      <c r="AN235" s="1840"/>
      <c r="AO235" s="1840"/>
      <c r="AP235" s="1840"/>
      <c r="AQ235" s="1840"/>
      <c r="AR235" s="1840"/>
      <c r="AS235" s="1840"/>
      <c r="AT235" s="1840"/>
      <c r="BK235" s="1631"/>
    </row>
    <row r="236">
      <c r="E236" s="174"/>
      <c r="F236" s="220"/>
      <c r="G236" s="220"/>
      <c r="H236" s="220"/>
      <c r="I236" s="220"/>
      <c r="J236" s="220"/>
      <c r="K236" s="220"/>
      <c r="L236" s="220"/>
      <c r="M236" s="220"/>
      <c r="N236" s="220"/>
      <c r="O236" s="220"/>
      <c r="S236" s="1882" t="s">
        <v>325</v>
      </c>
      <c r="T236" s="1640" t="str">
        <f t="shared" ref="T236:U236" si="165">T201</f>
        <v>#REF!</v>
      </c>
      <c r="U236" s="1640" t="str">
        <f t="shared" si="165"/>
        <v>#REF!</v>
      </c>
      <c r="V236" s="1641">
        <f>$V$194</f>
        <v>0.0230366077</v>
      </c>
      <c r="W236" s="1641">
        <f t="shared" ref="W236:AN236" si="166">W194</f>
        <v>0.0000008693806689</v>
      </c>
      <c r="X236" s="1641">
        <f t="shared" si="166"/>
        <v>0.005441146374</v>
      </c>
      <c r="Y236" s="1641">
        <f t="shared" si="166"/>
        <v>0.005141395646</v>
      </c>
      <c r="Z236" s="1641">
        <f t="shared" si="166"/>
        <v>0.004858158525</v>
      </c>
      <c r="AA236" s="1641">
        <f t="shared" si="166"/>
        <v>0.004590525187</v>
      </c>
      <c r="AB236" s="1641">
        <f t="shared" si="166"/>
        <v>0.004337635946</v>
      </c>
      <c r="AC236" s="1641">
        <f t="shared" si="166"/>
        <v>0.00409867849</v>
      </c>
      <c r="AD236" s="1641">
        <f t="shared" si="166"/>
        <v>0.003872885269</v>
      </c>
      <c r="AE236" s="1641">
        <f t="shared" si="166"/>
        <v>0.003659531026</v>
      </c>
      <c r="AF236" s="1641">
        <f t="shared" si="166"/>
        <v>0.003457930466</v>
      </c>
      <c r="AG236" s="1641">
        <f t="shared" si="166"/>
        <v>0.003267436054</v>
      </c>
      <c r="AH236" s="1641">
        <f t="shared" si="166"/>
        <v>0.003087435931</v>
      </c>
      <c r="AI236" s="1641">
        <f t="shared" si="166"/>
        <v>0.002917351952</v>
      </c>
      <c r="AJ236" s="1641">
        <f t="shared" si="166"/>
        <v>0.002756637825</v>
      </c>
      <c r="AK236" s="1641">
        <f t="shared" si="166"/>
        <v>0.002604777357</v>
      </c>
      <c r="AL236" s="1641">
        <f t="shared" si="166"/>
        <v>0.002461282791</v>
      </c>
      <c r="AM236" s="1641">
        <f t="shared" si="166"/>
        <v>0.002325693248</v>
      </c>
      <c r="AN236" s="1641">
        <f t="shared" si="166"/>
        <v>0.002197573237</v>
      </c>
      <c r="AO236" s="1631"/>
      <c r="AP236" s="1631"/>
      <c r="AQ236" s="1631"/>
      <c r="AR236" s="1631"/>
      <c r="AS236" s="1631"/>
      <c r="AT236" s="1631"/>
      <c r="BK236" s="1631"/>
    </row>
    <row r="237">
      <c r="E237" s="174"/>
      <c r="F237" s="220"/>
      <c r="G237" s="220"/>
      <c r="H237" s="220"/>
      <c r="I237" s="220"/>
      <c r="J237" s="220"/>
      <c r="K237" s="220"/>
      <c r="L237" s="220"/>
      <c r="M237" s="220"/>
      <c r="N237" s="220"/>
      <c r="O237" s="220"/>
      <c r="S237" s="9" t="s">
        <v>327</v>
      </c>
      <c r="V237" s="1641">
        <f>(V208/V210)+(V236-$AN$236)</f>
        <v>0.04387564216</v>
      </c>
      <c r="W237" s="249">
        <f t="shared" ref="W237:AN237" si="167">0.0525/12</f>
        <v>0.004375</v>
      </c>
      <c r="X237" s="249">
        <f t="shared" si="167"/>
        <v>0.004375</v>
      </c>
      <c r="Y237" s="249">
        <f t="shared" si="167"/>
        <v>0.004375</v>
      </c>
      <c r="Z237" s="249">
        <f t="shared" si="167"/>
        <v>0.004375</v>
      </c>
      <c r="AA237" s="249">
        <f t="shared" si="167"/>
        <v>0.004375</v>
      </c>
      <c r="AB237" s="249">
        <f t="shared" si="167"/>
        <v>0.004375</v>
      </c>
      <c r="AC237" s="249">
        <f t="shared" si="167"/>
        <v>0.004375</v>
      </c>
      <c r="AD237" s="249">
        <f t="shared" si="167"/>
        <v>0.004375</v>
      </c>
      <c r="AE237" s="249">
        <f t="shared" si="167"/>
        <v>0.004375</v>
      </c>
      <c r="AF237" s="249">
        <f t="shared" si="167"/>
        <v>0.004375</v>
      </c>
      <c r="AG237" s="249">
        <f t="shared" si="167"/>
        <v>0.004375</v>
      </c>
      <c r="AH237" s="249">
        <f t="shared" si="167"/>
        <v>0.004375</v>
      </c>
      <c r="AI237" s="249">
        <f t="shared" si="167"/>
        <v>0.004375</v>
      </c>
      <c r="AJ237" s="249">
        <f t="shared" si="167"/>
        <v>0.004375</v>
      </c>
      <c r="AK237" s="249">
        <f t="shared" si="167"/>
        <v>0.004375</v>
      </c>
      <c r="AL237" s="249">
        <f t="shared" si="167"/>
        <v>0.004375</v>
      </c>
      <c r="AM237" s="249">
        <f t="shared" si="167"/>
        <v>0.004375</v>
      </c>
      <c r="AN237" s="249">
        <f t="shared" si="167"/>
        <v>0.004375</v>
      </c>
      <c r="BK237" s="1631"/>
    </row>
    <row r="238">
      <c r="E238" s="174"/>
      <c r="F238" s="220"/>
      <c r="G238" s="220"/>
      <c r="H238" s="220"/>
      <c r="I238" s="220"/>
      <c r="J238" s="220"/>
      <c r="K238" s="220"/>
      <c r="L238" s="220"/>
      <c r="M238" s="220"/>
      <c r="N238" s="220"/>
      <c r="O238" s="220"/>
      <c r="S238" s="1882" t="s">
        <v>329</v>
      </c>
      <c r="T238" s="1670"/>
      <c r="U238" s="1670"/>
      <c r="V238" s="1670">
        <v>18.0</v>
      </c>
      <c r="W238" s="1670">
        <f t="shared" ref="W238:AM238" si="168">X238+1</f>
        <v>17</v>
      </c>
      <c r="X238" s="1670">
        <f t="shared" si="168"/>
        <v>16</v>
      </c>
      <c r="Y238" s="1670">
        <f t="shared" si="168"/>
        <v>15</v>
      </c>
      <c r="Z238" s="1670">
        <f t="shared" si="168"/>
        <v>14</v>
      </c>
      <c r="AA238" s="1670">
        <f t="shared" si="168"/>
        <v>13</v>
      </c>
      <c r="AB238" s="1670">
        <f t="shared" si="168"/>
        <v>12</v>
      </c>
      <c r="AC238" s="1670">
        <f t="shared" si="168"/>
        <v>11</v>
      </c>
      <c r="AD238" s="1670">
        <f t="shared" si="168"/>
        <v>10</v>
      </c>
      <c r="AE238" s="1670">
        <f t="shared" si="168"/>
        <v>9</v>
      </c>
      <c r="AF238" s="1670">
        <f t="shared" si="168"/>
        <v>8</v>
      </c>
      <c r="AG238" s="1670">
        <f t="shared" si="168"/>
        <v>7</v>
      </c>
      <c r="AH238" s="1670">
        <f t="shared" si="168"/>
        <v>6</v>
      </c>
      <c r="AI238" s="1670">
        <f t="shared" si="168"/>
        <v>5</v>
      </c>
      <c r="AJ238" s="1670">
        <f t="shared" si="168"/>
        <v>4</v>
      </c>
      <c r="AK238" s="1670">
        <f t="shared" si="168"/>
        <v>3</v>
      </c>
      <c r="AL238" s="1670">
        <f t="shared" si="168"/>
        <v>2</v>
      </c>
      <c r="AM238" s="1670">
        <f t="shared" si="168"/>
        <v>1</v>
      </c>
      <c r="AN238" s="1883">
        <v>0.0</v>
      </c>
      <c r="BK238" s="1631"/>
    </row>
    <row r="239">
      <c r="E239" s="174"/>
      <c r="F239" s="220"/>
      <c r="G239" s="220"/>
      <c r="H239" s="220"/>
      <c r="I239" s="220"/>
      <c r="J239" s="220"/>
      <c r="K239" s="220"/>
      <c r="L239" s="220"/>
      <c r="M239" s="220"/>
      <c r="N239" s="220"/>
      <c r="O239" s="220"/>
      <c r="S239" s="1884" t="s">
        <v>251</v>
      </c>
      <c r="T239" s="1850" t="str">
        <f t="shared" ref="T239:U239" si="169">T222/((1+T236)^T238)</f>
        <v>#REF!</v>
      </c>
      <c r="U239" s="1850" t="str">
        <f t="shared" si="169"/>
        <v>#REF!</v>
      </c>
      <c r="V239" s="1851">
        <f t="shared" ref="V239:AN239" si="170">V211/((1+V237)^V238)</f>
        <v>5289.70494</v>
      </c>
      <c r="W239" s="1851">
        <f t="shared" si="170"/>
        <v>11884.47899</v>
      </c>
      <c r="X239" s="1851">
        <f t="shared" si="170"/>
        <v>12361.46428</v>
      </c>
      <c r="Y239" s="1851">
        <f t="shared" si="170"/>
        <v>12853.40442</v>
      </c>
      <c r="Z239" s="1851">
        <f t="shared" si="170"/>
        <v>13360.84928</v>
      </c>
      <c r="AA239" s="1851">
        <f t="shared" si="170"/>
        <v>13884.36692</v>
      </c>
      <c r="AB239" s="1851">
        <f t="shared" si="170"/>
        <v>14424.54427</v>
      </c>
      <c r="AC239" s="1851">
        <f t="shared" si="170"/>
        <v>14981.9878</v>
      </c>
      <c r="AD239" s="1851">
        <f t="shared" si="170"/>
        <v>15557.32418</v>
      </c>
      <c r="AE239" s="1851">
        <f t="shared" si="170"/>
        <v>16151.201</v>
      </c>
      <c r="AF239" s="1851">
        <f t="shared" si="170"/>
        <v>16764.28754</v>
      </c>
      <c r="AG239" s="1851">
        <f t="shared" si="170"/>
        <v>17397.27549</v>
      </c>
      <c r="AH239" s="1851">
        <f t="shared" si="170"/>
        <v>18050.87978</v>
      </c>
      <c r="AI239" s="1851">
        <f t="shared" si="170"/>
        <v>18725.83935</v>
      </c>
      <c r="AJ239" s="1851">
        <f t="shared" si="170"/>
        <v>19422.91803</v>
      </c>
      <c r="AK239" s="1851">
        <f t="shared" si="170"/>
        <v>20142.90541</v>
      </c>
      <c r="AL239" s="1851">
        <f t="shared" si="170"/>
        <v>20886.61773</v>
      </c>
      <c r="AM239" s="1851">
        <f t="shared" si="170"/>
        <v>21654.8988</v>
      </c>
      <c r="AN239" s="1851">
        <f t="shared" si="170"/>
        <v>22448.621</v>
      </c>
      <c r="AO239" s="1850"/>
      <c r="AP239" s="1850"/>
      <c r="AQ239" s="1850"/>
      <c r="AR239" s="1850"/>
      <c r="AS239" s="1850"/>
      <c r="AT239" s="1850"/>
      <c r="BK239" s="1631"/>
    </row>
    <row r="240">
      <c r="E240" s="174"/>
      <c r="F240" s="220"/>
      <c r="G240" s="220"/>
      <c r="H240" s="220"/>
      <c r="I240" s="220"/>
      <c r="J240" s="220"/>
      <c r="K240" s="220"/>
      <c r="L240" s="220"/>
      <c r="M240" s="220"/>
      <c r="N240" s="220"/>
      <c r="O240" s="220"/>
      <c r="P240" s="220"/>
      <c r="Q240" s="220"/>
      <c r="S240" s="1885" t="s">
        <v>331</v>
      </c>
      <c r="T240" s="1886" t="str">
        <f t="shared" ref="T240:U240" si="171">1-(T239/T222)</f>
        <v>#REF!</v>
      </c>
      <c r="U240" s="1886" t="str">
        <f t="shared" si="171"/>
        <v>#REF!</v>
      </c>
      <c r="V240" s="1886">
        <f t="shared" ref="V240:AN240" si="172">1-(V239/V211)</f>
        <v>0.5383399964</v>
      </c>
      <c r="W240" s="1886">
        <f t="shared" si="172"/>
        <v>0.07152588573</v>
      </c>
      <c r="X240" s="1886">
        <f t="shared" si="172"/>
        <v>0.06746381148</v>
      </c>
      <c r="Y240" s="1886">
        <f t="shared" si="172"/>
        <v>0.06338396566</v>
      </c>
      <c r="Z240" s="1886">
        <f t="shared" si="172"/>
        <v>0.05928627051</v>
      </c>
      <c r="AA240" s="1886">
        <f t="shared" si="172"/>
        <v>0.05517064794</v>
      </c>
      <c r="AB240" s="1886">
        <f t="shared" si="172"/>
        <v>0.05103701952</v>
      </c>
      <c r="AC240" s="1886">
        <f t="shared" si="172"/>
        <v>0.04688530648</v>
      </c>
      <c r="AD240" s="1886">
        <f t="shared" si="172"/>
        <v>0.0427154297</v>
      </c>
      <c r="AE240" s="1886">
        <f t="shared" si="172"/>
        <v>0.03852730971</v>
      </c>
      <c r="AF240" s="1886">
        <f t="shared" si="172"/>
        <v>0.03432086669</v>
      </c>
      <c r="AG240" s="1886">
        <f t="shared" si="172"/>
        <v>0.03009602048</v>
      </c>
      <c r="AH240" s="1886">
        <f t="shared" si="172"/>
        <v>0.02585269057</v>
      </c>
      <c r="AI240" s="1886">
        <f t="shared" si="172"/>
        <v>0.02159079609</v>
      </c>
      <c r="AJ240" s="1886">
        <f t="shared" si="172"/>
        <v>0.01731025582</v>
      </c>
      <c r="AK240" s="1886">
        <f t="shared" si="172"/>
        <v>0.01301098819</v>
      </c>
      <c r="AL240" s="1886">
        <f t="shared" si="172"/>
        <v>0.008692911264</v>
      </c>
      <c r="AM240" s="1886">
        <f t="shared" si="172"/>
        <v>0.00435594275</v>
      </c>
      <c r="AN240" s="1886">
        <f t="shared" si="172"/>
        <v>0</v>
      </c>
      <c r="AO240" s="1886"/>
      <c r="AP240" s="1886"/>
      <c r="AQ240" s="1886"/>
      <c r="AR240" s="1886"/>
      <c r="AS240" s="1886"/>
      <c r="AT240" s="1886"/>
      <c r="BK240" s="1631"/>
    </row>
    <row r="241">
      <c r="E241" s="174"/>
      <c r="F241" s="220"/>
      <c r="G241" s="220"/>
      <c r="H241" s="220"/>
      <c r="I241" s="220"/>
      <c r="J241" s="220"/>
      <c r="K241" s="220"/>
      <c r="L241" s="220"/>
      <c r="M241" s="220"/>
      <c r="N241" s="220"/>
      <c r="O241" s="220"/>
      <c r="P241" s="220"/>
      <c r="Q241" s="220"/>
      <c r="S241" s="1887" t="s">
        <v>253</v>
      </c>
      <c r="T241" s="1888"/>
      <c r="U241" s="1888"/>
      <c r="V241" s="1889">
        <f t="shared" ref="V241:AM241" si="173">V239*(1-V215)</f>
        <v>2644.85247</v>
      </c>
      <c r="W241" s="1889">
        <f t="shared" si="173"/>
        <v>9507.583196</v>
      </c>
      <c r="X241" s="1889">
        <f t="shared" si="173"/>
        <v>10507.24464</v>
      </c>
      <c r="Y241" s="1889">
        <f t="shared" si="173"/>
        <v>10925.39376</v>
      </c>
      <c r="Z241" s="1889">
        <f t="shared" si="173"/>
        <v>11356.72188</v>
      </c>
      <c r="AA241" s="1889">
        <f t="shared" si="173"/>
        <v>11801.71188</v>
      </c>
      <c r="AB241" s="1889">
        <f t="shared" si="173"/>
        <v>12260.86263</v>
      </c>
      <c r="AC241" s="1889">
        <f t="shared" si="173"/>
        <v>12734.68963</v>
      </c>
      <c r="AD241" s="1889">
        <f t="shared" si="173"/>
        <v>13223.72555</v>
      </c>
      <c r="AE241" s="1889">
        <f t="shared" si="173"/>
        <v>13728.52085</v>
      </c>
      <c r="AF241" s="1889">
        <f t="shared" si="173"/>
        <v>14249.64441</v>
      </c>
      <c r="AG241" s="1889">
        <f t="shared" si="173"/>
        <v>14787.68417</v>
      </c>
      <c r="AH241" s="1889">
        <f t="shared" si="173"/>
        <v>16245.7918</v>
      </c>
      <c r="AI241" s="1889">
        <f t="shared" si="173"/>
        <v>17009.30407</v>
      </c>
      <c r="AJ241" s="1889">
        <f t="shared" si="173"/>
        <v>17804.34153</v>
      </c>
      <c r="AK241" s="1889">
        <f t="shared" si="173"/>
        <v>18632.18751</v>
      </c>
      <c r="AL241" s="1889">
        <f t="shared" si="173"/>
        <v>19494.17655</v>
      </c>
      <c r="AM241" s="1889">
        <f t="shared" si="173"/>
        <v>20391.69637</v>
      </c>
      <c r="AN241" s="1889">
        <f>AN239*(1-0)</f>
        <v>22448.621</v>
      </c>
      <c r="AO241" s="1890"/>
      <c r="AP241" s="1890"/>
      <c r="AQ241" s="1890"/>
      <c r="AR241" s="1890"/>
      <c r="AS241" s="1890"/>
      <c r="AT241" s="1890"/>
      <c r="BK241" s="1631"/>
    </row>
    <row r="242">
      <c r="E242" s="174"/>
      <c r="F242" s="220"/>
      <c r="G242" s="220"/>
      <c r="H242" s="220"/>
      <c r="I242" s="220"/>
      <c r="J242" s="220"/>
      <c r="K242" s="220"/>
      <c r="L242" s="220"/>
      <c r="M242" s="220"/>
      <c r="N242" s="220"/>
      <c r="O242" s="220"/>
      <c r="P242" s="220"/>
      <c r="Q242" s="220"/>
      <c r="S242" s="1891" t="s">
        <v>332</v>
      </c>
      <c r="V242" s="1892">
        <f t="shared" ref="V242:AN242" si="174">1-(V241/V211)</f>
        <v>0.7691699982</v>
      </c>
      <c r="W242" s="1892">
        <f t="shared" si="174"/>
        <v>0.2572207086</v>
      </c>
      <c r="X242" s="1892">
        <f t="shared" si="174"/>
        <v>0.2073442398</v>
      </c>
      <c r="Y242" s="1892">
        <f t="shared" si="174"/>
        <v>0.2038763708</v>
      </c>
      <c r="Z242" s="1892">
        <f t="shared" si="174"/>
        <v>0.2003933299</v>
      </c>
      <c r="AA242" s="1892">
        <f t="shared" si="174"/>
        <v>0.1968950507</v>
      </c>
      <c r="AB242" s="1892">
        <f t="shared" si="174"/>
        <v>0.1933814666</v>
      </c>
      <c r="AC242" s="1892">
        <f t="shared" si="174"/>
        <v>0.1898525105</v>
      </c>
      <c r="AD242" s="1892">
        <f t="shared" si="174"/>
        <v>0.1863081152</v>
      </c>
      <c r="AE242" s="1892">
        <f t="shared" si="174"/>
        <v>0.1827482132</v>
      </c>
      <c r="AF242" s="1892">
        <f t="shared" si="174"/>
        <v>0.1791727367</v>
      </c>
      <c r="AG242" s="1892">
        <f t="shared" si="174"/>
        <v>0.1755816174</v>
      </c>
      <c r="AH242" s="1892">
        <f t="shared" si="174"/>
        <v>0.1232674215</v>
      </c>
      <c r="AI242" s="1892">
        <f t="shared" si="174"/>
        <v>0.1112783064</v>
      </c>
      <c r="AJ242" s="1892">
        <f t="shared" si="174"/>
        <v>0.09920106784</v>
      </c>
      <c r="AK242" s="1892">
        <f t="shared" si="174"/>
        <v>0.08703516408</v>
      </c>
      <c r="AL242" s="1892">
        <f t="shared" si="174"/>
        <v>0.07478005051</v>
      </c>
      <c r="AM242" s="1892">
        <f t="shared" si="174"/>
        <v>0.06243517942</v>
      </c>
      <c r="AN242" s="1892">
        <f t="shared" si="174"/>
        <v>0</v>
      </c>
      <c r="AO242" s="1651"/>
      <c r="AP242" s="1651"/>
      <c r="AQ242" s="1651"/>
      <c r="AR242" s="1651"/>
      <c r="AS242" s="1651"/>
      <c r="AT242" s="1651"/>
      <c r="BK242" s="1631"/>
    </row>
    <row r="243">
      <c r="E243" s="174"/>
      <c r="F243" s="220"/>
      <c r="G243" s="220"/>
      <c r="H243" s="220"/>
      <c r="I243" s="220"/>
      <c r="J243" s="220"/>
      <c r="K243" s="220"/>
      <c r="L243" s="220"/>
      <c r="M243" s="220"/>
      <c r="N243" s="220"/>
      <c r="O243" s="220"/>
      <c r="P243" s="220"/>
      <c r="Q243" s="220"/>
      <c r="BK243" s="1631"/>
    </row>
    <row r="244">
      <c r="E244" s="174"/>
      <c r="F244" s="220"/>
      <c r="G244" s="220"/>
      <c r="H244" s="220"/>
      <c r="I244" s="220"/>
      <c r="J244" s="220"/>
      <c r="K244" s="220"/>
      <c r="L244" s="220"/>
      <c r="M244" s="220"/>
      <c r="N244" s="220"/>
      <c r="O244" s="220"/>
      <c r="P244" s="220"/>
      <c r="Q244" s="220"/>
      <c r="S244" s="1881" t="s">
        <v>344</v>
      </c>
      <c r="T244" s="1840"/>
      <c r="U244" s="1840"/>
      <c r="V244" s="1840"/>
      <c r="W244" s="1840"/>
      <c r="X244" s="1840"/>
      <c r="Y244" s="1840"/>
      <c r="Z244" s="1840"/>
      <c r="AA244" s="1840"/>
      <c r="AB244" s="1840"/>
      <c r="AC244" s="1840"/>
      <c r="AD244" s="1840"/>
      <c r="AE244" s="1840"/>
      <c r="AF244" s="1840"/>
      <c r="AG244" s="1840"/>
      <c r="AH244" s="1840"/>
      <c r="AI244" s="1840"/>
      <c r="AJ244" s="1840"/>
      <c r="AK244" s="1840"/>
      <c r="AL244" s="1840"/>
      <c r="AM244" s="1840"/>
      <c r="AN244" s="1840"/>
      <c r="AO244" s="1840"/>
      <c r="AP244" s="1840"/>
      <c r="AQ244" s="1840"/>
      <c r="AR244" s="1840"/>
      <c r="AS244" s="1840"/>
      <c r="AT244" s="1840"/>
      <c r="BK244" s="1631"/>
    </row>
    <row r="245">
      <c r="E245" s="174"/>
      <c r="F245" s="220"/>
      <c r="G245" s="220"/>
      <c r="H245" s="220"/>
      <c r="I245" s="220"/>
      <c r="J245" s="220"/>
      <c r="K245" s="220"/>
      <c r="L245" s="220"/>
      <c r="M245" s="220"/>
      <c r="N245" s="220"/>
      <c r="O245" s="220"/>
      <c r="P245" s="220"/>
      <c r="Q245" s="220"/>
      <c r="S245" s="1882" t="s">
        <v>325</v>
      </c>
      <c r="T245" s="1631" t="str">
        <f t="shared" ref="T245:U245" si="175">T209</f>
        <v>#REF!</v>
      </c>
      <c r="U245" s="1631" t="str">
        <f t="shared" si="175"/>
        <v>#REF!</v>
      </c>
      <c r="V245" s="1641">
        <f>$V$194</f>
        <v>0.0230366077</v>
      </c>
      <c r="W245" s="1641">
        <f t="shared" ref="W245:AH245" si="176">W194</f>
        <v>0.0000008693806689</v>
      </c>
      <c r="X245" s="1641">
        <f t="shared" si="176"/>
        <v>0.005441146374</v>
      </c>
      <c r="Y245" s="1641">
        <f t="shared" si="176"/>
        <v>0.005141395646</v>
      </c>
      <c r="Z245" s="1641">
        <f t="shared" si="176"/>
        <v>0.004858158525</v>
      </c>
      <c r="AA245" s="1641">
        <f t="shared" si="176"/>
        <v>0.004590525187</v>
      </c>
      <c r="AB245" s="1641">
        <f t="shared" si="176"/>
        <v>0.004337635946</v>
      </c>
      <c r="AC245" s="1641">
        <f t="shared" si="176"/>
        <v>0.00409867849</v>
      </c>
      <c r="AD245" s="1641">
        <f t="shared" si="176"/>
        <v>0.003872885269</v>
      </c>
      <c r="AE245" s="1641">
        <f t="shared" si="176"/>
        <v>0.003659531026</v>
      </c>
      <c r="AF245" s="1641">
        <f t="shared" si="176"/>
        <v>0.003457930466</v>
      </c>
      <c r="AG245" s="1641">
        <f t="shared" si="176"/>
        <v>0.003267436054</v>
      </c>
      <c r="AH245" s="1641">
        <f t="shared" si="176"/>
        <v>0.003087435931</v>
      </c>
      <c r="AI245" s="1631"/>
      <c r="AJ245" s="1631"/>
      <c r="AK245" s="1631"/>
      <c r="AL245" s="1631"/>
      <c r="AM245" s="1631"/>
      <c r="AN245" s="1631"/>
      <c r="AO245" s="1631"/>
      <c r="AP245" s="1631"/>
      <c r="AQ245" s="1631"/>
      <c r="AR245" s="1631"/>
      <c r="AS245" s="1631"/>
      <c r="AT245" s="1631"/>
      <c r="BK245" s="1631"/>
    </row>
    <row r="246">
      <c r="E246" s="174"/>
      <c r="F246" s="220"/>
      <c r="G246" s="220"/>
      <c r="H246" s="220"/>
      <c r="I246" s="220"/>
      <c r="J246" s="220"/>
      <c r="K246" s="220"/>
      <c r="L246" s="220"/>
      <c r="M246" s="220"/>
      <c r="N246" s="220"/>
      <c r="O246" s="220"/>
      <c r="P246" s="220"/>
      <c r="Q246" s="220"/>
      <c r="S246" s="9" t="s">
        <v>327</v>
      </c>
      <c r="V246" s="1641">
        <f>(V208/V210)+(V245-$AH$245)</f>
        <v>0.04298577946</v>
      </c>
      <c r="W246" s="249">
        <f t="shared" ref="W246:AH246" si="177">W237</f>
        <v>0.004375</v>
      </c>
      <c r="X246" s="249">
        <f t="shared" si="177"/>
        <v>0.004375</v>
      </c>
      <c r="Y246" s="249">
        <f t="shared" si="177"/>
        <v>0.004375</v>
      </c>
      <c r="Z246" s="249">
        <f t="shared" si="177"/>
        <v>0.004375</v>
      </c>
      <c r="AA246" s="249">
        <f t="shared" si="177"/>
        <v>0.004375</v>
      </c>
      <c r="AB246" s="249">
        <f t="shared" si="177"/>
        <v>0.004375</v>
      </c>
      <c r="AC246" s="249">
        <f t="shared" si="177"/>
        <v>0.004375</v>
      </c>
      <c r="AD246" s="249">
        <f t="shared" si="177"/>
        <v>0.004375</v>
      </c>
      <c r="AE246" s="249">
        <f t="shared" si="177"/>
        <v>0.004375</v>
      </c>
      <c r="AF246" s="249">
        <f t="shared" si="177"/>
        <v>0.004375</v>
      </c>
      <c r="AG246" s="249">
        <f t="shared" si="177"/>
        <v>0.004375</v>
      </c>
      <c r="AH246" s="249">
        <f t="shared" si="177"/>
        <v>0.004375</v>
      </c>
      <c r="AI246" s="1631"/>
      <c r="AJ246" s="1631"/>
      <c r="AK246" s="1631"/>
      <c r="AL246" s="1631"/>
      <c r="AM246" s="1631"/>
      <c r="AN246" s="1631"/>
      <c r="BK246" s="1631"/>
    </row>
    <row r="247">
      <c r="E247" s="174"/>
      <c r="F247" s="220"/>
      <c r="G247" s="220"/>
      <c r="H247" s="220"/>
      <c r="I247" s="220"/>
      <c r="J247" s="220"/>
      <c r="K247" s="220"/>
      <c r="L247" s="220"/>
      <c r="M247" s="220"/>
      <c r="N247" s="220"/>
      <c r="O247" s="220"/>
      <c r="P247" s="220"/>
      <c r="Q247" s="220"/>
      <c r="S247" s="1882" t="s">
        <v>329</v>
      </c>
      <c r="T247" s="1670"/>
      <c r="U247" s="1670"/>
      <c r="V247" s="1670">
        <v>12.0</v>
      </c>
      <c r="W247" s="1670">
        <v>11.0</v>
      </c>
      <c r="X247" s="1670">
        <f t="shared" ref="X247:AH247" si="178">W247-1</f>
        <v>10</v>
      </c>
      <c r="Y247" s="1670">
        <f t="shared" si="178"/>
        <v>9</v>
      </c>
      <c r="Z247" s="1670">
        <f t="shared" si="178"/>
        <v>8</v>
      </c>
      <c r="AA247" s="1670">
        <f t="shared" si="178"/>
        <v>7</v>
      </c>
      <c r="AB247" s="1670">
        <f t="shared" si="178"/>
        <v>6</v>
      </c>
      <c r="AC247" s="1670">
        <f t="shared" si="178"/>
        <v>5</v>
      </c>
      <c r="AD247" s="1670">
        <f t="shared" si="178"/>
        <v>4</v>
      </c>
      <c r="AE247" s="1670">
        <f t="shared" si="178"/>
        <v>3</v>
      </c>
      <c r="AF247" s="1670">
        <f t="shared" si="178"/>
        <v>2</v>
      </c>
      <c r="AG247" s="1670">
        <f t="shared" si="178"/>
        <v>1</v>
      </c>
      <c r="AH247" s="1670">
        <f t="shared" si="178"/>
        <v>0</v>
      </c>
      <c r="AI247" s="1670"/>
      <c r="AJ247" s="1670"/>
      <c r="AK247" s="1670"/>
      <c r="AL247" s="1670"/>
      <c r="AM247" s="1670"/>
      <c r="AN247" s="1883"/>
      <c r="BK247" s="1631"/>
    </row>
    <row r="248">
      <c r="E248" s="174"/>
      <c r="F248" s="220"/>
      <c r="G248" s="220"/>
      <c r="H248" s="220"/>
      <c r="I248" s="220"/>
      <c r="J248" s="220"/>
      <c r="K248" s="220"/>
      <c r="L248" s="220"/>
      <c r="M248" s="220"/>
      <c r="N248" s="220"/>
      <c r="O248" s="220"/>
      <c r="P248" s="220"/>
      <c r="Q248" s="220"/>
      <c r="S248" s="1884" t="s">
        <v>251</v>
      </c>
      <c r="T248" s="1850" t="str">
        <f t="shared" ref="T248:U248" si="179">T240/((1+T245)^T247)</f>
        <v>#REF!</v>
      </c>
      <c r="U248" s="1850" t="str">
        <f t="shared" si="179"/>
        <v>#REF!</v>
      </c>
      <c r="V248" s="1851">
        <f t="shared" ref="V248:AH248" si="180">V211/((1+V246)^V247)</f>
        <v>6914.623725</v>
      </c>
      <c r="W248" s="1851">
        <f t="shared" si="180"/>
        <v>12199.87868</v>
      </c>
      <c r="X248" s="1851">
        <f t="shared" si="180"/>
        <v>12689.52258</v>
      </c>
      <c r="Y248" s="1851">
        <f t="shared" si="180"/>
        <v>13194.51822</v>
      </c>
      <c r="Z248" s="1851">
        <f t="shared" si="180"/>
        <v>13715.43005</v>
      </c>
      <c r="AA248" s="1851">
        <f t="shared" si="180"/>
        <v>14252.84121</v>
      </c>
      <c r="AB248" s="1851">
        <f t="shared" si="180"/>
        <v>14807.35422</v>
      </c>
      <c r="AC248" s="1851">
        <f t="shared" si="180"/>
        <v>15379.59163</v>
      </c>
      <c r="AD248" s="1851">
        <f t="shared" si="180"/>
        <v>15970.19673</v>
      </c>
      <c r="AE248" s="1851">
        <f t="shared" si="180"/>
        <v>16579.83433</v>
      </c>
      <c r="AF248" s="1851">
        <f t="shared" si="180"/>
        <v>17209.19144</v>
      </c>
      <c r="AG248" s="1851">
        <f t="shared" si="180"/>
        <v>17858.97813</v>
      </c>
      <c r="AH248" s="1851">
        <f t="shared" si="180"/>
        <v>18529.92828</v>
      </c>
      <c r="AI248" s="1850"/>
      <c r="AJ248" s="1850"/>
      <c r="AK248" s="1850"/>
      <c r="AL248" s="1850"/>
      <c r="AM248" s="1850"/>
      <c r="AN248" s="1850"/>
      <c r="AO248" s="1850"/>
      <c r="AP248" s="1850"/>
      <c r="AQ248" s="1850"/>
      <c r="AR248" s="1850"/>
      <c r="AS248" s="1850"/>
      <c r="AT248" s="1850"/>
      <c r="BK248" s="1631"/>
    </row>
    <row r="249">
      <c r="E249" s="174"/>
      <c r="F249" s="220"/>
      <c r="G249" s="220"/>
      <c r="H249" s="220"/>
      <c r="I249" s="220"/>
      <c r="J249" s="220"/>
      <c r="K249" s="220"/>
      <c r="L249" s="220"/>
      <c r="M249" s="220"/>
      <c r="N249" s="220"/>
      <c r="O249" s="220"/>
      <c r="P249" s="220"/>
      <c r="Q249" s="220"/>
      <c r="R249" s="23"/>
      <c r="S249" s="1885" t="s">
        <v>331</v>
      </c>
      <c r="T249" s="1886" t="str">
        <f t="shared" ref="T249:U249" si="181">1-(T248/T240)</f>
        <v>#REF!</v>
      </c>
      <c r="U249" s="1886" t="str">
        <f t="shared" si="181"/>
        <v>#REF!</v>
      </c>
      <c r="V249" s="1886">
        <f t="shared" ref="V249:AH249" si="182">1-(V248/V211)</f>
        <v>0.3965249008</v>
      </c>
      <c r="W249" s="1886">
        <f t="shared" si="182"/>
        <v>0.04688530648</v>
      </c>
      <c r="X249" s="1886">
        <f t="shared" si="182"/>
        <v>0.0427154297</v>
      </c>
      <c r="Y249" s="1886">
        <f t="shared" si="182"/>
        <v>0.03852730971</v>
      </c>
      <c r="Z249" s="1886">
        <f t="shared" si="182"/>
        <v>0.03432086669</v>
      </c>
      <c r="AA249" s="1886">
        <f t="shared" si="182"/>
        <v>0.03009602048</v>
      </c>
      <c r="AB249" s="1886">
        <f t="shared" si="182"/>
        <v>0.02585269057</v>
      </c>
      <c r="AC249" s="1886">
        <f t="shared" si="182"/>
        <v>0.02159079609</v>
      </c>
      <c r="AD249" s="1886">
        <f t="shared" si="182"/>
        <v>0.01731025582</v>
      </c>
      <c r="AE249" s="1886">
        <f t="shared" si="182"/>
        <v>0.01301098819</v>
      </c>
      <c r="AF249" s="1886">
        <f t="shared" si="182"/>
        <v>0.008692911264</v>
      </c>
      <c r="AG249" s="1886">
        <f t="shared" si="182"/>
        <v>0.00435594275</v>
      </c>
      <c r="AH249" s="1886">
        <f t="shared" si="182"/>
        <v>0</v>
      </c>
      <c r="AI249" s="1886"/>
      <c r="AJ249" s="1886"/>
      <c r="AK249" s="1886"/>
      <c r="AL249" s="1886"/>
      <c r="AM249" s="1886"/>
      <c r="AN249" s="1886"/>
      <c r="AO249" s="1886"/>
      <c r="AP249" s="1886"/>
      <c r="AQ249" s="1886"/>
      <c r="AR249" s="1886"/>
      <c r="AS249" s="1886"/>
      <c r="AT249" s="1886"/>
      <c r="AU249" s="505"/>
      <c r="AV249" s="505"/>
      <c r="AW249" s="535"/>
      <c r="AX249" s="535"/>
      <c r="AY249" s="535"/>
      <c r="AZ249" s="535"/>
      <c r="BA249" s="535"/>
      <c r="BK249" s="1631"/>
    </row>
    <row r="250">
      <c r="E250" s="174"/>
      <c r="F250" s="220"/>
      <c r="G250" s="220"/>
      <c r="H250" s="220"/>
      <c r="I250" s="220"/>
      <c r="J250" s="220"/>
      <c r="K250" s="220"/>
      <c r="L250" s="220"/>
      <c r="M250" s="220"/>
      <c r="N250" s="220"/>
      <c r="O250" s="220"/>
      <c r="P250" s="220"/>
      <c r="Q250" s="220"/>
      <c r="R250" s="23"/>
      <c r="S250" s="1887" t="s">
        <v>253</v>
      </c>
      <c r="T250" s="1888"/>
      <c r="U250" s="1888"/>
      <c r="V250" s="1889">
        <f t="shared" ref="V250:AG250" si="183">V248*(1-V215)</f>
        <v>3457.311863</v>
      </c>
      <c r="W250" s="1889">
        <f t="shared" si="183"/>
        <v>9759.902947</v>
      </c>
      <c r="X250" s="1889">
        <f t="shared" si="183"/>
        <v>10786.0942</v>
      </c>
      <c r="Y250" s="1889">
        <f t="shared" si="183"/>
        <v>11215.34049</v>
      </c>
      <c r="Z250" s="1889">
        <f t="shared" si="183"/>
        <v>11658.11554</v>
      </c>
      <c r="AA250" s="1889">
        <f t="shared" si="183"/>
        <v>12114.91503</v>
      </c>
      <c r="AB250" s="1889">
        <f t="shared" si="183"/>
        <v>12586.25109</v>
      </c>
      <c r="AC250" s="1889">
        <f t="shared" si="183"/>
        <v>13072.65288</v>
      </c>
      <c r="AD250" s="1889">
        <f t="shared" si="183"/>
        <v>13574.66722</v>
      </c>
      <c r="AE250" s="1889">
        <f t="shared" si="183"/>
        <v>14092.85918</v>
      </c>
      <c r="AF250" s="1889">
        <f t="shared" si="183"/>
        <v>14627.81272</v>
      </c>
      <c r="AG250" s="1889">
        <f t="shared" si="183"/>
        <v>15180.13141</v>
      </c>
      <c r="AH250" s="1889">
        <f>AH248*(1-0)</f>
        <v>18529.92828</v>
      </c>
      <c r="AI250" s="1890"/>
      <c r="AJ250" s="1890"/>
      <c r="AK250" s="1890"/>
      <c r="AL250" s="1890"/>
      <c r="AM250" s="1890"/>
      <c r="AN250" s="1890"/>
      <c r="AO250" s="1890"/>
      <c r="AP250" s="1890"/>
      <c r="AQ250" s="1890"/>
      <c r="AR250" s="1890"/>
      <c r="AS250" s="1890"/>
      <c r="AT250" s="1890"/>
      <c r="AU250" s="505"/>
      <c r="AV250" s="505"/>
      <c r="AW250" s="535"/>
      <c r="AX250" s="535"/>
      <c r="AY250" s="535"/>
      <c r="AZ250" s="535"/>
      <c r="BA250" s="535"/>
      <c r="BK250" s="1631"/>
    </row>
    <row r="251">
      <c r="E251" s="174"/>
      <c r="F251" s="220"/>
      <c r="G251" s="220"/>
      <c r="H251" s="220"/>
      <c r="I251" s="220"/>
      <c r="J251" s="220"/>
      <c r="K251" s="220"/>
      <c r="L251" s="220"/>
      <c r="M251" s="220"/>
      <c r="N251" s="220"/>
      <c r="O251" s="220"/>
      <c r="P251" s="220"/>
      <c r="Q251" s="220"/>
      <c r="R251" s="23"/>
      <c r="S251" s="1891" t="s">
        <v>332</v>
      </c>
      <c r="V251" s="1892">
        <f t="shared" ref="V251:AH251" si="184">1-(V250/V211)</f>
        <v>0.6982624504</v>
      </c>
      <c r="W251" s="1892">
        <f t="shared" si="184"/>
        <v>0.2375082452</v>
      </c>
      <c r="X251" s="1892">
        <f t="shared" si="184"/>
        <v>0.1863081152</v>
      </c>
      <c r="Y251" s="1892">
        <f t="shared" si="184"/>
        <v>0.1827482132</v>
      </c>
      <c r="Z251" s="1892">
        <f t="shared" si="184"/>
        <v>0.1791727367</v>
      </c>
      <c r="AA251" s="1892">
        <f t="shared" si="184"/>
        <v>0.1755816174</v>
      </c>
      <c r="AB251" s="1892">
        <f t="shared" si="184"/>
        <v>0.171974787</v>
      </c>
      <c r="AC251" s="1892">
        <f t="shared" si="184"/>
        <v>0.1683521767</v>
      </c>
      <c r="AD251" s="1892">
        <f t="shared" si="184"/>
        <v>0.1647137174</v>
      </c>
      <c r="AE251" s="1892">
        <f t="shared" si="184"/>
        <v>0.16105934</v>
      </c>
      <c r="AF251" s="1892">
        <f t="shared" si="184"/>
        <v>0.1573889746</v>
      </c>
      <c r="AG251" s="1892">
        <f t="shared" si="184"/>
        <v>0.1537025513</v>
      </c>
      <c r="AH251" s="1892">
        <f t="shared" si="184"/>
        <v>0</v>
      </c>
      <c r="AI251" s="1651"/>
      <c r="AJ251" s="1651"/>
      <c r="AK251" s="1651"/>
      <c r="AL251" s="1651"/>
      <c r="AM251" s="1651"/>
      <c r="AN251" s="1651"/>
      <c r="AO251" s="1651"/>
      <c r="AP251" s="1651"/>
      <c r="AQ251" s="1651"/>
      <c r="AR251" s="1651"/>
      <c r="AS251" s="1651"/>
      <c r="AT251" s="1651"/>
      <c r="AU251" s="546"/>
      <c r="AV251" s="546"/>
      <c r="AW251" s="546"/>
      <c r="AX251" s="546"/>
      <c r="AY251" s="546"/>
      <c r="AZ251" s="546"/>
      <c r="BA251" s="546"/>
      <c r="BK251" s="1631"/>
    </row>
    <row r="252">
      <c r="E252" s="174"/>
      <c r="F252" s="220"/>
      <c r="G252" s="220"/>
      <c r="H252" s="220"/>
      <c r="I252" s="220"/>
      <c r="J252" s="220"/>
      <c r="K252" s="220"/>
      <c r="L252" s="220"/>
      <c r="M252" s="220"/>
      <c r="N252" s="220"/>
      <c r="O252" s="220"/>
      <c r="P252" s="220"/>
      <c r="Q252" s="220"/>
      <c r="R252" s="23"/>
      <c r="AU252" s="550"/>
      <c r="AV252" s="550"/>
      <c r="AW252" s="550"/>
      <c r="AX252" s="550"/>
      <c r="AY252" s="550"/>
      <c r="AZ252" s="550"/>
      <c r="BA252" s="550"/>
      <c r="BK252" s="1631"/>
    </row>
    <row r="253">
      <c r="E253" s="174"/>
      <c r="F253" s="220"/>
      <c r="G253" s="175"/>
      <c r="H253" s="175"/>
      <c r="I253" s="175"/>
      <c r="J253" s="175"/>
      <c r="K253" s="175"/>
      <c r="L253" s="175"/>
      <c r="M253" s="175"/>
      <c r="N253" s="175"/>
      <c r="O253" s="175"/>
      <c r="P253" s="175"/>
      <c r="Q253" s="175"/>
      <c r="R253" s="23"/>
      <c r="S253" s="1881" t="s">
        <v>345</v>
      </c>
      <c r="T253" s="1840"/>
      <c r="U253" s="1840"/>
      <c r="V253" s="1840"/>
      <c r="W253" s="1840"/>
      <c r="X253" s="1840"/>
      <c r="Y253" s="1840"/>
      <c r="Z253" s="1840"/>
      <c r="AA253" s="1840"/>
      <c r="AB253" s="1840"/>
      <c r="AC253" s="1840"/>
      <c r="AD253" s="1840"/>
      <c r="AE253" s="1840"/>
      <c r="AF253" s="1840"/>
      <c r="AG253" s="1840"/>
      <c r="AH253" s="1840"/>
      <c r="AI253" s="1840"/>
      <c r="AJ253" s="1840"/>
      <c r="AK253" s="1840"/>
      <c r="AL253" s="1840"/>
      <c r="AM253" s="1840"/>
      <c r="AN253" s="1840"/>
      <c r="AO253" s="1840"/>
      <c r="AP253" s="1840"/>
      <c r="AQ253" s="1840"/>
      <c r="AR253" s="1840"/>
      <c r="AS253" s="1840"/>
      <c r="AT253" s="1840"/>
      <c r="AU253" s="554"/>
      <c r="AV253" s="554"/>
      <c r="AW253" s="554"/>
      <c r="AX253" s="554"/>
      <c r="AY253" s="554"/>
      <c r="AZ253" s="554"/>
      <c r="BA253" s="554"/>
      <c r="BK253" s="1631"/>
    </row>
    <row r="254">
      <c r="E254" s="174"/>
      <c r="F254" s="175"/>
      <c r="R254" s="569"/>
      <c r="S254" s="1882" t="s">
        <v>325</v>
      </c>
      <c r="T254" s="1641" t="str">
        <f t="shared" ref="T254:U254" si="185">T218</f>
        <v>#REF!</v>
      </c>
      <c r="U254" s="1641" t="str">
        <f t="shared" si="185"/>
        <v>#REF!</v>
      </c>
      <c r="V254" s="1641">
        <f>$V$194</f>
        <v>0.0230366077</v>
      </c>
      <c r="W254" s="1641">
        <f t="shared" ref="W254:AB254" si="186">W194</f>
        <v>0.0000008693806689</v>
      </c>
      <c r="X254" s="1641">
        <f t="shared" si="186"/>
        <v>0.005441146374</v>
      </c>
      <c r="Y254" s="1641">
        <f t="shared" si="186"/>
        <v>0.005141395646</v>
      </c>
      <c r="Z254" s="1641">
        <f t="shared" si="186"/>
        <v>0.004858158525</v>
      </c>
      <c r="AA254" s="1641">
        <f t="shared" si="186"/>
        <v>0.004590525187</v>
      </c>
      <c r="AB254" s="1641">
        <f t="shared" si="186"/>
        <v>0.004337635946</v>
      </c>
      <c r="AC254" s="1631"/>
      <c r="AD254" s="1631"/>
      <c r="AE254" s="1631"/>
      <c r="AF254" s="1631"/>
      <c r="AG254" s="1631"/>
      <c r="AH254" s="1631"/>
      <c r="AI254" s="1631"/>
      <c r="AJ254" s="1631"/>
      <c r="AK254" s="1631"/>
      <c r="AL254" s="1631"/>
      <c r="AM254" s="1631"/>
      <c r="AN254" s="1631"/>
      <c r="AO254" s="1631"/>
      <c r="AP254" s="1631"/>
      <c r="AQ254" s="1631"/>
      <c r="AR254" s="1631"/>
      <c r="AS254" s="1631"/>
      <c r="AT254" s="1631"/>
      <c r="AU254" s="569"/>
      <c r="AV254" s="569"/>
      <c r="AW254" s="569"/>
      <c r="AX254" s="569"/>
      <c r="AY254" s="569"/>
      <c r="AZ254" s="569"/>
      <c r="BA254" s="569"/>
      <c r="BB254" s="569"/>
      <c r="BC254" s="569"/>
      <c r="BD254" s="569"/>
      <c r="BE254" s="569"/>
      <c r="BF254" s="569"/>
      <c r="BG254" s="569"/>
      <c r="BH254" s="569"/>
      <c r="BI254" s="587"/>
      <c r="BJ254" s="594"/>
      <c r="BK254" s="594"/>
      <c r="BL254" s="594"/>
      <c r="BM254" s="594"/>
      <c r="BN254" s="594"/>
      <c r="BO254" s="594"/>
      <c r="BP254" s="594"/>
      <c r="BQ254" s="594"/>
      <c r="BR254" s="594"/>
    </row>
    <row r="255">
      <c r="S255" s="9" t="s">
        <v>327</v>
      </c>
      <c r="V255" s="1641">
        <f>(V208/V210)+(V254-$AB$254)</f>
        <v>0.04173557945</v>
      </c>
      <c r="W255" s="1670">
        <v>0.0</v>
      </c>
      <c r="X255" s="1641">
        <f t="shared" ref="X255:AB255" si="187">(X235/X237)+(X254-$AN$236)</f>
        <v>0.003243573137</v>
      </c>
      <c r="Y255" s="1641">
        <f t="shared" si="187"/>
        <v>0.002943822409</v>
      </c>
      <c r="Z255" s="1641">
        <f t="shared" si="187"/>
        <v>0.002660585288</v>
      </c>
      <c r="AA255" s="1641">
        <f t="shared" si="187"/>
        <v>0.002392951949</v>
      </c>
      <c r="AB255" s="1641">
        <f t="shared" si="187"/>
        <v>0.002140062708</v>
      </c>
      <c r="AC255" s="1631"/>
      <c r="AD255" s="1631"/>
      <c r="AE255" s="1631"/>
      <c r="AF255" s="1631"/>
      <c r="AG255" s="1631"/>
      <c r="AH255" s="1631"/>
      <c r="AI255" s="1631"/>
      <c r="AJ255" s="1631"/>
      <c r="AK255" s="1631"/>
      <c r="AL255" s="1631"/>
      <c r="AM255" s="1631"/>
      <c r="AN255" s="1631"/>
      <c r="BG255" s="23"/>
      <c r="BH255" s="23"/>
      <c r="BI255" s="23"/>
      <c r="BJ255" s="23"/>
      <c r="BK255" s="1681"/>
      <c r="BL255" s="23"/>
      <c r="BM255" s="23"/>
      <c r="BN255" s="23"/>
      <c r="BO255" s="23"/>
      <c r="BP255" s="23"/>
      <c r="BQ255" s="23"/>
      <c r="BR255" s="23"/>
    </row>
    <row r="256">
      <c r="S256" s="1882" t="s">
        <v>329</v>
      </c>
      <c r="T256" s="1670"/>
      <c r="U256" s="1670"/>
      <c r="V256" s="1670">
        <v>6.0</v>
      </c>
      <c r="W256" s="1670">
        <v>5.0</v>
      </c>
      <c r="X256" s="1670">
        <f t="shared" ref="X256:AB256" si="188">W256-1</f>
        <v>4</v>
      </c>
      <c r="Y256" s="1670">
        <f t="shared" si="188"/>
        <v>3</v>
      </c>
      <c r="Z256" s="1670">
        <f t="shared" si="188"/>
        <v>2</v>
      </c>
      <c r="AA256" s="1670">
        <f t="shared" si="188"/>
        <v>1</v>
      </c>
      <c r="AB256" s="1670">
        <f t="shared" si="188"/>
        <v>0</v>
      </c>
      <c r="AC256" s="1670"/>
      <c r="AD256" s="1670"/>
      <c r="AE256" s="1670"/>
      <c r="AF256" s="1670"/>
      <c r="AG256" s="1670"/>
      <c r="AH256" s="1670"/>
      <c r="AI256" s="1670"/>
      <c r="AJ256" s="1670"/>
      <c r="AK256" s="1670"/>
      <c r="AL256" s="1670"/>
      <c r="AM256" s="1670"/>
      <c r="AN256" s="1883"/>
      <c r="BG256" s="23"/>
      <c r="BH256" s="23"/>
      <c r="BI256" s="23"/>
      <c r="BJ256" s="23"/>
      <c r="BK256" s="1681"/>
      <c r="BL256" s="23"/>
      <c r="BM256" s="23"/>
      <c r="BN256" s="23"/>
      <c r="BO256" s="23"/>
      <c r="BP256" s="23"/>
      <c r="BQ256" s="23"/>
      <c r="BR256" s="23"/>
    </row>
    <row r="257">
      <c r="S257" s="1884" t="s">
        <v>251</v>
      </c>
      <c r="T257" s="1850" t="str">
        <f t="shared" ref="T257:U257" si="189">T249/((1+T254)^T256)</f>
        <v>#REF!</v>
      </c>
      <c r="U257" s="1850" t="str">
        <f t="shared" si="189"/>
        <v>#REF!</v>
      </c>
      <c r="V257" s="1851">
        <f t="shared" ref="V257:AB257" si="190">V211/((1+V255)^V256)</f>
        <v>8965.287338</v>
      </c>
      <c r="W257" s="1851">
        <f t="shared" si="190"/>
        <v>12800.01113</v>
      </c>
      <c r="X257" s="1851">
        <f t="shared" si="190"/>
        <v>13085.1492</v>
      </c>
      <c r="Y257" s="1851">
        <f t="shared" si="190"/>
        <v>13602.7514</v>
      </c>
      <c r="Z257" s="1851">
        <f t="shared" si="190"/>
        <v>14127.60995</v>
      </c>
      <c r="AA257" s="1851">
        <f t="shared" si="190"/>
        <v>14660.02467</v>
      </c>
      <c r="AB257" s="1851">
        <f t="shared" si="190"/>
        <v>15200.32348</v>
      </c>
      <c r="AC257" s="1850"/>
      <c r="AD257" s="1850"/>
      <c r="AE257" s="1850"/>
      <c r="AF257" s="1850"/>
      <c r="AG257" s="1850"/>
      <c r="AH257" s="1850"/>
      <c r="AI257" s="1850"/>
      <c r="AJ257" s="1850"/>
      <c r="AK257" s="1850"/>
      <c r="AL257" s="1850"/>
      <c r="AM257" s="1850"/>
      <c r="AN257" s="1850"/>
      <c r="AO257" s="1850"/>
      <c r="AP257" s="1850"/>
      <c r="AQ257" s="1850"/>
      <c r="AR257" s="1850"/>
      <c r="AS257" s="1850"/>
      <c r="AT257" s="1850"/>
      <c r="BK257" s="1631"/>
      <c r="CU257" s="38"/>
    </row>
    <row r="258">
      <c r="S258" s="1885" t="s">
        <v>331</v>
      </c>
      <c r="T258" s="1886" t="str">
        <f t="shared" ref="T258:U258" si="191">1-(T257/T249)</f>
        <v>#REF!</v>
      </c>
      <c r="U258" s="1886" t="str">
        <f t="shared" si="191"/>
        <v>#REF!</v>
      </c>
      <c r="V258" s="1886">
        <f t="shared" ref="V258:AB258" si="192">1-(V257/V211)</f>
        <v>0.2175528444</v>
      </c>
      <c r="W258" s="1886">
        <f t="shared" si="192"/>
        <v>0</v>
      </c>
      <c r="X258" s="1886">
        <f t="shared" si="192"/>
        <v>0.01286976352</v>
      </c>
      <c r="Y258" s="1886">
        <f t="shared" si="192"/>
        <v>0.008779724678</v>
      </c>
      <c r="Z258" s="1886">
        <f t="shared" si="192"/>
        <v>0.005300009518</v>
      </c>
      <c r="AA258" s="1886">
        <f t="shared" si="192"/>
        <v>0.0023872394</v>
      </c>
      <c r="AB258" s="1886">
        <f t="shared" si="192"/>
        <v>0</v>
      </c>
      <c r="AC258" s="1886"/>
      <c r="AD258" s="1886"/>
      <c r="AE258" s="1886"/>
      <c r="AF258" s="1886"/>
      <c r="AG258" s="1886"/>
      <c r="AH258" s="1886"/>
      <c r="AI258" s="1886"/>
      <c r="AJ258" s="1886"/>
      <c r="AK258" s="1886"/>
      <c r="AL258" s="1886"/>
      <c r="AM258" s="1886"/>
      <c r="AN258" s="1886"/>
      <c r="AO258" s="1886"/>
      <c r="AP258" s="1886"/>
      <c r="AQ258" s="1886"/>
      <c r="AR258" s="1886"/>
      <c r="AS258" s="1886"/>
      <c r="AT258" s="1886"/>
      <c r="AX258" s="176"/>
      <c r="AY258" s="177"/>
      <c r="AZ258" s="51"/>
      <c r="BA258" s="51"/>
      <c r="BB258" s="51"/>
      <c r="BC258" s="51"/>
      <c r="BD258" s="51"/>
      <c r="BE258" s="51"/>
      <c r="BF258" s="51"/>
      <c r="BG258" s="51"/>
      <c r="BH258" s="51"/>
      <c r="BI258" s="51"/>
      <c r="BJ258" s="51"/>
      <c r="BK258" s="51"/>
      <c r="BL258" s="51"/>
      <c r="BM258" s="51"/>
      <c r="BN258" s="175"/>
      <c r="CB258" s="580"/>
      <c r="CC258" s="569"/>
      <c r="CD258" s="569"/>
      <c r="CE258" s="569"/>
      <c r="CF258" s="569"/>
      <c r="CG258" s="569"/>
      <c r="CH258" s="569"/>
      <c r="CI258" s="569"/>
      <c r="CJ258" s="569"/>
      <c r="CK258" s="569"/>
      <c r="CL258" s="569"/>
      <c r="CM258" s="569"/>
      <c r="CN258" s="569"/>
      <c r="CO258" s="569"/>
      <c r="CP258" s="569"/>
      <c r="CQ258" s="569"/>
    </row>
    <row r="259">
      <c r="P259" s="23"/>
      <c r="Q259" s="23"/>
      <c r="R259" s="23"/>
      <c r="S259" s="1887" t="s">
        <v>253</v>
      </c>
      <c r="T259" s="1888"/>
      <c r="U259" s="1888"/>
      <c r="V259" s="1889">
        <f t="shared" ref="V259:AA259" si="193">V257*(1-V215)</f>
        <v>4482.643669</v>
      </c>
      <c r="W259" s="1889">
        <f t="shared" si="193"/>
        <v>10240.0089</v>
      </c>
      <c r="X259" s="1889">
        <f t="shared" si="193"/>
        <v>11122.37682</v>
      </c>
      <c r="Y259" s="1889">
        <f t="shared" si="193"/>
        <v>11562.33869</v>
      </c>
      <c r="Z259" s="1889">
        <f t="shared" si="193"/>
        <v>12008.46846</v>
      </c>
      <c r="AA259" s="1889">
        <f t="shared" si="193"/>
        <v>12461.02097</v>
      </c>
      <c r="AB259" s="1889">
        <f>AB257*(1-0)</f>
        <v>15200.32348</v>
      </c>
      <c r="AC259" s="1888"/>
      <c r="AD259" s="1890"/>
      <c r="AE259" s="1890"/>
      <c r="AF259" s="1890"/>
      <c r="AG259" s="1890"/>
      <c r="AH259" s="1890"/>
      <c r="AI259" s="1890"/>
      <c r="AJ259" s="1890"/>
      <c r="AK259" s="1890"/>
      <c r="AL259" s="1890"/>
      <c r="AM259" s="1890"/>
      <c r="AN259" s="1890"/>
      <c r="AO259" s="1890"/>
      <c r="AP259" s="1890"/>
      <c r="AQ259" s="1890"/>
      <c r="AR259" s="1890"/>
      <c r="AS259" s="1890"/>
      <c r="AT259" s="1890"/>
      <c r="AU259" s="23"/>
      <c r="AV259" s="23"/>
      <c r="AW259" s="23"/>
      <c r="AX259" s="176"/>
      <c r="AY259" s="177"/>
      <c r="AZ259" s="51"/>
      <c r="BA259" s="51"/>
      <c r="BB259" s="51"/>
      <c r="BC259" s="51"/>
      <c r="BD259" s="51"/>
      <c r="BE259" s="51"/>
      <c r="BF259" s="51"/>
      <c r="BG259" s="51"/>
      <c r="BH259" s="51"/>
      <c r="BI259" s="51"/>
      <c r="BJ259" s="51"/>
      <c r="BK259" s="51"/>
      <c r="BL259" s="51"/>
      <c r="BM259" s="51"/>
      <c r="BN259" s="175"/>
      <c r="BO259" s="23"/>
      <c r="BP259" s="23"/>
      <c r="BQ259" s="23"/>
      <c r="BR259" s="23"/>
      <c r="BS259" s="23"/>
      <c r="BT259" s="23"/>
      <c r="BU259" s="23"/>
      <c r="BV259" s="23"/>
      <c r="BW259" s="23"/>
      <c r="CB259" s="584"/>
      <c r="CC259" s="581"/>
      <c r="CD259" s="581"/>
    </row>
    <row r="260">
      <c r="P260" s="23"/>
      <c r="Q260" s="23"/>
      <c r="R260" s="23"/>
      <c r="S260" s="1891" t="s">
        <v>332</v>
      </c>
      <c r="V260" s="1892">
        <f t="shared" ref="V260:AB260" si="194">1-(V259/V211)</f>
        <v>0.6087764222</v>
      </c>
      <c r="W260" s="1892">
        <f t="shared" si="194"/>
        <v>0.2</v>
      </c>
      <c r="X260" s="1892">
        <f t="shared" si="194"/>
        <v>0.160939299</v>
      </c>
      <c r="Y260" s="1892">
        <f t="shared" si="194"/>
        <v>0.157462766</v>
      </c>
      <c r="Z260" s="1892">
        <f t="shared" si="194"/>
        <v>0.1545050081</v>
      </c>
      <c r="AA260" s="1892">
        <f t="shared" si="194"/>
        <v>0.1520291535</v>
      </c>
      <c r="AB260" s="1892">
        <f t="shared" si="194"/>
        <v>0</v>
      </c>
      <c r="AD260" s="1651"/>
      <c r="AE260" s="1651"/>
      <c r="AF260" s="1651"/>
      <c r="AG260" s="1651"/>
      <c r="AH260" s="1651"/>
      <c r="AI260" s="1651"/>
      <c r="AJ260" s="1651"/>
      <c r="AK260" s="1651"/>
      <c r="AL260" s="1651"/>
      <c r="AM260" s="1651"/>
      <c r="AN260" s="1651"/>
      <c r="AO260" s="1651"/>
      <c r="AP260" s="1651"/>
      <c r="AQ260" s="1651"/>
      <c r="AR260" s="1651"/>
      <c r="AS260" s="1651"/>
      <c r="AT260" s="1651"/>
      <c r="AU260" s="23"/>
      <c r="AV260" s="23"/>
      <c r="AW260" s="23"/>
      <c r="AX260" s="176"/>
      <c r="AY260" s="177"/>
      <c r="AZ260" s="51"/>
      <c r="BA260" s="51"/>
      <c r="BB260" s="51"/>
      <c r="BC260" s="51"/>
      <c r="BD260" s="51"/>
      <c r="BE260" s="51"/>
      <c r="BF260" s="51"/>
      <c r="BG260" s="51"/>
      <c r="BH260" s="51"/>
      <c r="BI260" s="51"/>
      <c r="BJ260" s="51"/>
      <c r="BK260" s="51"/>
      <c r="BL260" s="51"/>
      <c r="BM260" s="51"/>
      <c r="BN260" s="175"/>
      <c r="BO260" s="23"/>
      <c r="BP260" s="23"/>
      <c r="BQ260" s="23"/>
      <c r="BR260" s="23"/>
      <c r="BS260" s="23"/>
      <c r="BT260" s="23"/>
      <c r="BU260" s="23"/>
      <c r="BV260" s="23"/>
      <c r="BW260" s="23"/>
      <c r="CB260" s="584"/>
      <c r="CC260" s="581"/>
      <c r="CD260" s="581"/>
      <c r="CE260" s="581"/>
      <c r="CF260" s="581"/>
      <c r="CG260" s="581"/>
      <c r="CH260" s="581"/>
      <c r="CI260" s="581"/>
      <c r="CJ260" s="581"/>
      <c r="CK260" s="581"/>
      <c r="CL260" s="581"/>
      <c r="CM260" s="581"/>
      <c r="CN260" s="581"/>
      <c r="CO260" s="581"/>
      <c r="CP260" s="581"/>
      <c r="CQ260" s="581"/>
    </row>
    <row r="261">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176"/>
      <c r="AY261" s="177"/>
      <c r="AZ261" s="51"/>
      <c r="BA261" s="51"/>
      <c r="BB261" s="51"/>
      <c r="BC261" s="51"/>
      <c r="BD261" s="51"/>
      <c r="BE261" s="51"/>
      <c r="BF261" s="51"/>
      <c r="BG261" s="51"/>
      <c r="BH261" s="51"/>
      <c r="BI261" s="51"/>
      <c r="BJ261" s="51"/>
      <c r="BK261" s="51"/>
      <c r="BL261" s="51"/>
      <c r="BM261" s="51"/>
      <c r="BN261" s="175"/>
      <c r="BO261" s="23"/>
      <c r="BP261" s="23"/>
      <c r="BQ261" s="23"/>
      <c r="BR261" s="23"/>
      <c r="BS261" s="23"/>
      <c r="BT261" s="23"/>
      <c r="BU261" s="23"/>
      <c r="BV261" s="23"/>
      <c r="BW261" s="23"/>
      <c r="CB261" s="584"/>
      <c r="CC261" s="581"/>
      <c r="CD261" s="581"/>
      <c r="CE261" s="581"/>
      <c r="CF261" s="581"/>
      <c r="CG261" s="581"/>
      <c r="CH261" s="581"/>
      <c r="CI261" s="581"/>
      <c r="CJ261" s="581"/>
      <c r="CK261" s="581"/>
      <c r="CL261" s="581"/>
      <c r="CM261" s="581"/>
      <c r="CN261" s="581"/>
      <c r="CO261" s="581"/>
      <c r="CP261" s="581"/>
      <c r="CQ261" s="581"/>
    </row>
    <row r="262">
      <c r="P262" s="23"/>
      <c r="Q262" s="23"/>
      <c r="R262" s="580"/>
      <c r="S262" s="569"/>
      <c r="T262" s="569"/>
      <c r="U262" s="569"/>
      <c r="V262" s="569"/>
      <c r="W262" s="569"/>
      <c r="X262" s="569"/>
      <c r="Y262" s="569"/>
      <c r="Z262" s="569"/>
      <c r="AA262" s="569"/>
      <c r="AB262" s="580"/>
      <c r="AC262" s="569"/>
      <c r="AD262" s="569"/>
      <c r="AE262" s="569"/>
      <c r="AF262" s="569"/>
      <c r="AG262" s="569"/>
      <c r="AH262" s="569"/>
      <c r="AI262" s="569"/>
      <c r="AJ262" s="569"/>
      <c r="AK262" s="569"/>
      <c r="AL262" s="569"/>
      <c r="AM262" s="569"/>
      <c r="AN262" s="569"/>
      <c r="AO262" s="580"/>
      <c r="AP262" s="569"/>
      <c r="AQ262" s="569"/>
      <c r="AR262" s="569"/>
      <c r="AS262" s="569"/>
      <c r="AT262" s="569"/>
      <c r="AU262" s="569"/>
      <c r="AV262" s="569"/>
      <c r="AW262" s="569"/>
      <c r="AX262" s="569"/>
      <c r="AY262" s="569"/>
      <c r="AZ262" s="569"/>
      <c r="BA262" s="569"/>
      <c r="BB262" s="569"/>
      <c r="BC262" s="569"/>
      <c r="BD262" s="569"/>
      <c r="BE262" s="569"/>
      <c r="BF262" s="569"/>
      <c r="BG262" s="580"/>
      <c r="BH262" s="569"/>
      <c r="BI262" s="569"/>
      <c r="BJ262" s="569"/>
      <c r="BK262" s="1893"/>
      <c r="BL262" s="569"/>
      <c r="BM262" s="569"/>
      <c r="BN262" s="569"/>
      <c r="BO262" s="569"/>
      <c r="BP262" s="569"/>
      <c r="BQ262" s="569"/>
      <c r="BR262" s="569"/>
      <c r="BS262" s="569"/>
      <c r="BT262" s="569"/>
      <c r="BU262" s="569"/>
      <c r="BV262" s="569"/>
      <c r="BW262" s="23"/>
      <c r="CB262" s="553"/>
      <c r="CC262" s="597"/>
      <c r="CD262" s="586"/>
      <c r="CE262" s="587"/>
      <c r="CF262" s="587"/>
      <c r="CG262" s="587"/>
      <c r="CH262" s="587"/>
      <c r="CI262" s="586"/>
      <c r="CJ262" s="586"/>
      <c r="CK262" s="586"/>
      <c r="CL262" s="586"/>
      <c r="CM262" s="586"/>
      <c r="CN262" s="586"/>
      <c r="CO262" s="586"/>
      <c r="CP262" s="586"/>
      <c r="CQ262" s="586"/>
    </row>
    <row r="263">
      <c r="P263" s="23"/>
      <c r="Q263" s="23"/>
      <c r="R263" s="581"/>
      <c r="AA263" s="569"/>
      <c r="AB263" s="584"/>
      <c r="AC263" s="553"/>
      <c r="AD263" s="553"/>
      <c r="AE263" s="553"/>
      <c r="AF263" s="596"/>
      <c r="AG263" s="596"/>
      <c r="AH263" s="596"/>
      <c r="AI263" s="596"/>
      <c r="AJ263" s="596"/>
      <c r="AK263" s="596"/>
      <c r="AL263" s="596"/>
      <c r="AM263" s="596"/>
      <c r="AN263" s="569"/>
      <c r="AO263" s="584"/>
      <c r="AP263" s="581"/>
      <c r="AQ263" s="581"/>
      <c r="BF263" s="569"/>
      <c r="BG263" s="584"/>
      <c r="BH263" s="581"/>
      <c r="BI263" s="581"/>
      <c r="BW263" s="23"/>
      <c r="CB263" s="588"/>
      <c r="CC263" s="586"/>
      <c r="CD263" s="1369"/>
      <c r="CE263" s="1369"/>
      <c r="CF263" s="1369"/>
      <c r="CG263" s="1369"/>
      <c r="CH263" s="1369"/>
      <c r="CI263" s="1369"/>
      <c r="CJ263" s="1369"/>
      <c r="CK263" s="1369"/>
      <c r="CL263" s="1369"/>
      <c r="CM263" s="1369"/>
      <c r="CN263" s="1369"/>
      <c r="CO263" s="1369"/>
      <c r="CP263" s="1369"/>
      <c r="CQ263" s="1369"/>
    </row>
    <row r="264">
      <c r="P264" s="23"/>
      <c r="Q264" s="23"/>
      <c r="R264" s="553"/>
      <c r="S264" s="544"/>
      <c r="T264" s="543"/>
      <c r="U264" s="543"/>
      <c r="V264" s="543"/>
      <c r="W264" s="543"/>
      <c r="X264" s="543"/>
      <c r="Y264" s="543"/>
      <c r="Z264" s="543"/>
      <c r="AA264" s="569"/>
      <c r="AB264" s="553"/>
      <c r="AC264" s="545"/>
      <c r="AD264" s="546"/>
      <c r="AE264" s="546"/>
      <c r="AF264" s="546"/>
      <c r="AG264" s="546"/>
      <c r="AH264" s="546"/>
      <c r="AI264" s="546"/>
      <c r="AJ264" s="546"/>
      <c r="AK264" s="546"/>
      <c r="AL264" s="546"/>
      <c r="AM264" s="546"/>
      <c r="AN264" s="569"/>
      <c r="AO264" s="584"/>
      <c r="AP264" s="581"/>
      <c r="AQ264" s="581"/>
      <c r="AR264" s="581"/>
      <c r="AS264" s="581"/>
      <c r="AT264" s="581"/>
      <c r="AU264" s="581"/>
      <c r="AV264" s="581"/>
      <c r="AW264" s="581"/>
      <c r="AX264" s="581"/>
      <c r="AY264" s="581"/>
      <c r="AZ264" s="581"/>
      <c r="BA264" s="581"/>
      <c r="BB264" s="581"/>
      <c r="BC264" s="581"/>
      <c r="BD264" s="581"/>
      <c r="BE264" s="581"/>
      <c r="BF264" s="569"/>
      <c r="BG264" s="584"/>
      <c r="BH264" s="581"/>
      <c r="BI264" s="581"/>
      <c r="BJ264" s="581"/>
      <c r="BK264" s="581"/>
      <c r="BL264" s="581"/>
      <c r="BM264" s="581"/>
      <c r="BN264" s="581"/>
      <c r="BO264" s="581"/>
      <c r="BP264" s="581"/>
      <c r="BQ264" s="581"/>
      <c r="BR264" s="581"/>
      <c r="BS264" s="581"/>
      <c r="BT264" s="581"/>
      <c r="BU264" s="581"/>
      <c r="BV264" s="581"/>
      <c r="BW264" s="23"/>
      <c r="CC264" s="586"/>
      <c r="CD264" s="1359"/>
      <c r="CE264" s="1359"/>
      <c r="CF264" s="1359"/>
      <c r="CG264" s="1359"/>
      <c r="CH264" s="1359"/>
      <c r="CI264" s="1359"/>
      <c r="CJ264" s="1359"/>
      <c r="CK264" s="1359"/>
      <c r="CL264" s="1359"/>
      <c r="CM264" s="1359"/>
      <c r="CN264" s="1359"/>
      <c r="CO264" s="1359"/>
      <c r="CP264" s="1359"/>
      <c r="CQ264" s="1359"/>
    </row>
    <row r="265">
      <c r="P265" s="23"/>
      <c r="Q265" s="23"/>
      <c r="R265" s="588"/>
      <c r="S265" s="586"/>
      <c r="T265" s="590"/>
      <c r="U265" s="590"/>
      <c r="V265" s="590"/>
      <c r="W265" s="590"/>
      <c r="X265" s="590"/>
      <c r="Y265" s="590"/>
      <c r="Z265" s="590"/>
      <c r="AA265" s="569"/>
      <c r="AB265" s="588"/>
      <c r="AC265" s="586"/>
      <c r="AD265" s="550"/>
      <c r="AE265" s="550"/>
      <c r="AF265" s="550"/>
      <c r="AG265" s="550"/>
      <c r="AH265" s="550"/>
      <c r="AI265" s="550"/>
      <c r="AJ265" s="550"/>
      <c r="AK265" s="550"/>
      <c r="AL265" s="550"/>
      <c r="AM265" s="550"/>
      <c r="AN265" s="569"/>
      <c r="AO265" s="584"/>
      <c r="AP265" s="581"/>
      <c r="AQ265" s="581"/>
      <c r="AR265" s="581"/>
      <c r="AS265" s="581"/>
      <c r="AT265" s="581"/>
      <c r="AU265" s="581"/>
      <c r="AV265" s="581"/>
      <c r="AW265" s="581"/>
      <c r="AX265" s="581"/>
      <c r="AY265" s="581"/>
      <c r="AZ265" s="581"/>
      <c r="BA265" s="581"/>
      <c r="BB265" s="581"/>
      <c r="BC265" s="581"/>
      <c r="BD265" s="581"/>
      <c r="BE265" s="581"/>
      <c r="BF265" s="569"/>
      <c r="BG265" s="584"/>
      <c r="BH265" s="581"/>
      <c r="BI265" s="581"/>
      <c r="BJ265" s="581"/>
      <c r="BK265" s="581"/>
      <c r="BL265" s="581"/>
      <c r="BM265" s="581"/>
      <c r="BN265" s="581"/>
      <c r="BO265" s="581"/>
      <c r="BP265" s="581"/>
      <c r="BQ265" s="581"/>
      <c r="BR265" s="581"/>
      <c r="BS265" s="581"/>
      <c r="BT265" s="581"/>
      <c r="BU265" s="581"/>
      <c r="BV265" s="581"/>
      <c r="BW265" s="23"/>
      <c r="CC265" s="587"/>
      <c r="CD265" s="1369"/>
      <c r="CE265" s="1369"/>
      <c r="CF265" s="1369"/>
      <c r="CG265" s="1369"/>
      <c r="CH265" s="1369"/>
      <c r="CI265" s="1369"/>
      <c r="CJ265" s="1369"/>
      <c r="CK265" s="1369"/>
      <c r="CL265" s="1369"/>
      <c r="CM265" s="1369"/>
      <c r="CN265" s="1369"/>
      <c r="CO265" s="1369"/>
      <c r="CP265" s="1369"/>
      <c r="CQ265" s="1369"/>
    </row>
    <row r="266">
      <c r="P266" s="23"/>
      <c r="Q266" s="23"/>
      <c r="S266" s="586"/>
      <c r="T266" s="591"/>
      <c r="U266" s="591"/>
      <c r="V266" s="591"/>
      <c r="W266" s="591"/>
      <c r="X266" s="591"/>
      <c r="Y266" s="591"/>
      <c r="Z266" s="591"/>
      <c r="AA266" s="569"/>
      <c r="AC266" s="586"/>
      <c r="AD266" s="554"/>
      <c r="AE266" s="554"/>
      <c r="AF266" s="554"/>
      <c r="AG266" s="554"/>
      <c r="AH266" s="554"/>
      <c r="AI266" s="554"/>
      <c r="AJ266" s="554"/>
      <c r="AK266" s="554"/>
      <c r="AL266" s="554"/>
      <c r="AM266" s="554"/>
      <c r="AN266" s="569"/>
      <c r="AO266" s="553"/>
      <c r="AP266" s="597"/>
      <c r="AQ266" s="586"/>
      <c r="AR266" s="587"/>
      <c r="AS266" s="587"/>
      <c r="AT266" s="587"/>
      <c r="AU266" s="587"/>
      <c r="AV266" s="587"/>
      <c r="AW266" s="586"/>
      <c r="AX266" s="586"/>
      <c r="AY266" s="586"/>
      <c r="AZ266" s="586"/>
      <c r="BA266" s="586"/>
      <c r="BB266" s="586"/>
      <c r="BC266" s="586"/>
      <c r="BD266" s="586"/>
      <c r="BE266" s="586"/>
      <c r="BF266" s="569"/>
      <c r="BG266" s="553"/>
      <c r="BH266" s="597"/>
      <c r="BI266" s="586"/>
      <c r="BJ266" s="587"/>
      <c r="BK266" s="587"/>
      <c r="BL266" s="587"/>
      <c r="BM266" s="587"/>
      <c r="BN266" s="586"/>
      <c r="BO266" s="586"/>
      <c r="BP266" s="586"/>
      <c r="BQ266" s="586"/>
      <c r="BR266" s="586"/>
      <c r="BS266" s="586"/>
      <c r="BT266" s="586"/>
      <c r="BU266" s="586"/>
      <c r="BV266" s="586"/>
      <c r="BW266" s="23"/>
      <c r="CC266" s="587"/>
      <c r="CD266" s="1369"/>
      <c r="CE266" s="1369"/>
      <c r="CF266" s="1369"/>
      <c r="CG266" s="1369"/>
      <c r="CH266" s="1369"/>
      <c r="CI266" s="1369"/>
      <c r="CJ266" s="1369"/>
      <c r="CK266" s="1369"/>
      <c r="CL266" s="1369"/>
      <c r="CM266" s="1369"/>
      <c r="CN266" s="1369"/>
      <c r="CO266" s="1369"/>
      <c r="CP266" s="1369"/>
      <c r="CQ266" s="1369"/>
    </row>
    <row r="267">
      <c r="P267" s="23"/>
      <c r="Q267" s="23"/>
      <c r="S267" s="587"/>
      <c r="T267" s="590"/>
      <c r="U267" s="590"/>
      <c r="V267" s="590"/>
      <c r="W267" s="590"/>
      <c r="X267" s="590"/>
      <c r="Y267" s="590"/>
      <c r="Z267" s="590"/>
      <c r="AA267" s="569"/>
      <c r="AC267" s="587"/>
      <c r="AD267" s="550"/>
      <c r="AE267" s="550"/>
      <c r="AF267" s="550"/>
      <c r="AG267" s="550"/>
      <c r="AH267" s="550"/>
      <c r="AI267" s="550"/>
      <c r="AJ267" s="550"/>
      <c r="AK267" s="550"/>
      <c r="AL267" s="550"/>
      <c r="AM267" s="550"/>
      <c r="AN267" s="569"/>
      <c r="AO267" s="588"/>
      <c r="AP267" s="586"/>
      <c r="AQ267" s="1369"/>
      <c r="AR267" s="1369"/>
      <c r="AS267" s="1369"/>
      <c r="AT267" s="1369"/>
      <c r="AU267" s="1369"/>
      <c r="AV267" s="1369"/>
      <c r="AW267" s="1369"/>
      <c r="AX267" s="1369"/>
      <c r="AY267" s="1369"/>
      <c r="AZ267" s="1369"/>
      <c r="BA267" s="1369"/>
      <c r="BB267" s="1369"/>
      <c r="BC267" s="1369"/>
      <c r="BD267" s="1369"/>
      <c r="BE267" s="1369"/>
      <c r="BF267" s="569"/>
      <c r="BG267" s="588"/>
      <c r="BH267" s="586"/>
      <c r="BI267" s="577"/>
      <c r="BJ267" s="577"/>
      <c r="BK267" s="577"/>
      <c r="BL267" s="577"/>
      <c r="BM267" s="577"/>
      <c r="BN267" s="577"/>
      <c r="BO267" s="577"/>
      <c r="BP267" s="577"/>
      <c r="BQ267" s="577"/>
      <c r="BR267" s="577"/>
      <c r="BS267" s="577"/>
      <c r="BT267" s="577"/>
      <c r="BU267" s="577"/>
      <c r="BV267" s="577"/>
      <c r="BW267" s="23"/>
      <c r="CC267" s="587"/>
      <c r="CD267" s="1369"/>
      <c r="CE267" s="1369"/>
      <c r="CF267" s="1369"/>
      <c r="CG267" s="1369"/>
      <c r="CH267" s="1369"/>
      <c r="CI267" s="1369"/>
      <c r="CJ267" s="1369"/>
      <c r="CK267" s="1369"/>
      <c r="CL267" s="1369"/>
      <c r="CM267" s="1369"/>
      <c r="CN267" s="1369"/>
      <c r="CO267" s="1369"/>
      <c r="CP267" s="1369"/>
      <c r="CQ267" s="1369"/>
    </row>
    <row r="268">
      <c r="P268" s="23"/>
      <c r="Q268" s="23"/>
      <c r="S268" s="587"/>
      <c r="T268" s="590"/>
      <c r="U268" s="590"/>
      <c r="V268" s="590"/>
      <c r="W268" s="590"/>
      <c r="X268" s="590"/>
      <c r="Y268" s="590"/>
      <c r="Z268" s="590"/>
      <c r="AA268" s="569"/>
      <c r="AC268" s="587"/>
      <c r="AD268" s="550"/>
      <c r="AE268" s="550"/>
      <c r="AF268" s="550"/>
      <c r="AG268" s="550"/>
      <c r="AH268" s="550"/>
      <c r="AI268" s="550"/>
      <c r="AJ268" s="550"/>
      <c r="AK268" s="550"/>
      <c r="AL268" s="550"/>
      <c r="AM268" s="550"/>
      <c r="AN268" s="569"/>
      <c r="AP268" s="586"/>
      <c r="AQ268" s="1359"/>
      <c r="AR268" s="1359"/>
      <c r="AS268" s="1359"/>
      <c r="AT268" s="1359"/>
      <c r="AU268" s="1359"/>
      <c r="AV268" s="1359"/>
      <c r="AW268" s="1359"/>
      <c r="AX268" s="1359"/>
      <c r="AY268" s="1359"/>
      <c r="AZ268" s="1359"/>
      <c r="BA268" s="1359"/>
      <c r="BB268" s="1359"/>
      <c r="BC268" s="1359"/>
      <c r="BD268" s="1359"/>
      <c r="BE268" s="1359"/>
      <c r="BF268" s="569"/>
      <c r="BH268" s="586"/>
      <c r="BI268" s="594"/>
      <c r="BJ268" s="594"/>
      <c r="BK268" s="594"/>
      <c r="BL268" s="594"/>
      <c r="BM268" s="594"/>
      <c r="BN268" s="594"/>
      <c r="BO268" s="594"/>
      <c r="BP268" s="594"/>
      <c r="BQ268" s="594"/>
      <c r="BR268" s="594"/>
      <c r="BS268" s="594"/>
      <c r="BT268" s="594"/>
      <c r="BU268" s="594"/>
      <c r="BV268" s="594"/>
      <c r="BW268" s="23"/>
      <c r="CC268" s="587"/>
      <c r="CD268" s="1369"/>
      <c r="CE268" s="1369"/>
      <c r="CF268" s="1369"/>
      <c r="CG268" s="1369"/>
      <c r="CH268" s="1369"/>
      <c r="CI268" s="1369"/>
      <c r="CJ268" s="1369"/>
      <c r="CK268" s="1369"/>
      <c r="CL268" s="1369"/>
      <c r="CM268" s="1369"/>
      <c r="CN268" s="1369"/>
      <c r="CO268" s="1369"/>
      <c r="CP268" s="1369"/>
      <c r="CQ268" s="1369"/>
    </row>
    <row r="269">
      <c r="P269" s="23"/>
      <c r="Q269" s="23"/>
      <c r="S269" s="587"/>
      <c r="T269" s="590"/>
      <c r="U269" s="590"/>
      <c r="V269" s="590"/>
      <c r="W269" s="590"/>
      <c r="X269" s="590"/>
      <c r="Y269" s="590"/>
      <c r="Z269" s="590"/>
      <c r="AA269" s="569"/>
      <c r="AC269" s="587"/>
      <c r="AD269" s="550"/>
      <c r="AE269" s="550"/>
      <c r="AF269" s="550"/>
      <c r="AG269" s="550"/>
      <c r="AH269" s="550"/>
      <c r="AI269" s="550"/>
      <c r="AJ269" s="550"/>
      <c r="AK269" s="550"/>
      <c r="AL269" s="550"/>
      <c r="AM269" s="550"/>
      <c r="AN269" s="569"/>
      <c r="AP269" s="587"/>
      <c r="AQ269" s="1369"/>
      <c r="AR269" s="1369"/>
      <c r="AS269" s="1369"/>
      <c r="AT269" s="1369"/>
      <c r="AU269" s="1369"/>
      <c r="AV269" s="1369"/>
      <c r="AW269" s="1369"/>
      <c r="AX269" s="1369"/>
      <c r="AY269" s="1369"/>
      <c r="AZ269" s="1369"/>
      <c r="BA269" s="1369"/>
      <c r="BB269" s="1369"/>
      <c r="BC269" s="1369"/>
      <c r="BD269" s="1369"/>
      <c r="BE269" s="1369"/>
      <c r="BF269" s="569"/>
      <c r="BH269" s="587"/>
      <c r="BI269" s="577"/>
      <c r="BJ269" s="577"/>
      <c r="BK269" s="577"/>
      <c r="BL269" s="577"/>
      <c r="BM269" s="577"/>
      <c r="BN269" s="577"/>
      <c r="BO269" s="577"/>
      <c r="BP269" s="577"/>
      <c r="BQ269" s="577"/>
      <c r="BR269" s="577"/>
      <c r="BS269" s="577"/>
      <c r="BT269" s="577"/>
      <c r="BU269" s="577"/>
      <c r="BV269" s="577"/>
      <c r="BW269" s="23"/>
      <c r="CC269" s="587"/>
      <c r="CD269" s="1369"/>
      <c r="CE269" s="1369"/>
      <c r="CF269" s="1369"/>
      <c r="CG269" s="1369"/>
      <c r="CH269" s="1369"/>
      <c r="CI269" s="1369"/>
      <c r="CJ269" s="1369"/>
      <c r="CK269" s="1369"/>
      <c r="CL269" s="1369"/>
      <c r="CM269" s="1369"/>
      <c r="CN269" s="1369"/>
      <c r="CO269" s="1369"/>
      <c r="CP269" s="1369"/>
      <c r="CQ269" s="1369"/>
    </row>
    <row r="270">
      <c r="P270" s="23"/>
      <c r="Q270" s="23"/>
      <c r="S270" s="587"/>
      <c r="T270" s="590"/>
      <c r="U270" s="590"/>
      <c r="V270" s="590"/>
      <c r="W270" s="590"/>
      <c r="X270" s="590"/>
      <c r="Y270" s="590"/>
      <c r="Z270" s="590"/>
      <c r="AA270" s="569"/>
      <c r="AC270" s="587"/>
      <c r="AD270" s="550"/>
      <c r="AE270" s="550"/>
      <c r="AF270" s="550"/>
      <c r="AG270" s="550"/>
      <c r="AH270" s="550"/>
      <c r="AI270" s="550"/>
      <c r="AJ270" s="550"/>
      <c r="AK270" s="550"/>
      <c r="AL270" s="550"/>
      <c r="AM270" s="550"/>
      <c r="AN270" s="569"/>
      <c r="AP270" s="587"/>
      <c r="AQ270" s="1369"/>
      <c r="AR270" s="1369"/>
      <c r="AS270" s="1369"/>
      <c r="AT270" s="1369"/>
      <c r="AU270" s="1369"/>
      <c r="AV270" s="1369"/>
      <c r="AW270" s="1369"/>
      <c r="AX270" s="1369"/>
      <c r="AY270" s="1369"/>
      <c r="AZ270" s="1369"/>
      <c r="BA270" s="1369"/>
      <c r="BB270" s="1369"/>
      <c r="BC270" s="1369"/>
      <c r="BD270" s="1369"/>
      <c r="BE270" s="1369"/>
      <c r="BF270" s="569"/>
      <c r="BH270" s="587"/>
      <c r="BI270" s="577"/>
      <c r="BJ270" s="577"/>
      <c r="BK270" s="577"/>
      <c r="BL270" s="577"/>
      <c r="BM270" s="577"/>
      <c r="BN270" s="577"/>
      <c r="BO270" s="577"/>
      <c r="BP270" s="577"/>
      <c r="BQ270" s="577"/>
      <c r="BR270" s="577"/>
      <c r="BS270" s="577"/>
      <c r="BT270" s="577"/>
      <c r="BU270" s="577"/>
      <c r="BV270" s="577"/>
      <c r="BW270" s="23"/>
      <c r="CC270" s="587"/>
      <c r="CD270" s="1369"/>
      <c r="CE270" s="1369"/>
      <c r="CF270" s="1369"/>
      <c r="CG270" s="1369"/>
      <c r="CH270" s="1369"/>
      <c r="CI270" s="1369"/>
      <c r="CJ270" s="1369"/>
      <c r="CK270" s="1369"/>
      <c r="CL270" s="1369"/>
      <c r="CM270" s="1369"/>
      <c r="CN270" s="1369"/>
      <c r="CO270" s="1369"/>
      <c r="CP270" s="1369"/>
      <c r="CQ270" s="1369"/>
    </row>
    <row r="271">
      <c r="P271" s="23"/>
      <c r="Q271" s="23"/>
      <c r="S271" s="587"/>
      <c r="T271" s="590"/>
      <c r="U271" s="590"/>
      <c r="V271" s="590"/>
      <c r="W271" s="590"/>
      <c r="X271" s="590"/>
      <c r="Y271" s="590"/>
      <c r="Z271" s="590"/>
      <c r="AA271" s="569"/>
      <c r="AC271" s="587"/>
      <c r="AD271" s="550"/>
      <c r="AE271" s="550"/>
      <c r="AF271" s="550"/>
      <c r="AG271" s="550"/>
      <c r="AH271" s="550"/>
      <c r="AI271" s="550"/>
      <c r="AJ271" s="550"/>
      <c r="AK271" s="550"/>
      <c r="AL271" s="550"/>
      <c r="AM271" s="550"/>
      <c r="AN271" s="569"/>
      <c r="AP271" s="587"/>
      <c r="AQ271" s="1369"/>
      <c r="AR271" s="1369"/>
      <c r="AS271" s="1369"/>
      <c r="AT271" s="1369"/>
      <c r="AU271" s="1369"/>
      <c r="AV271" s="1369"/>
      <c r="AW271" s="1369"/>
      <c r="AX271" s="1369"/>
      <c r="AY271" s="1369"/>
      <c r="AZ271" s="1369"/>
      <c r="BA271" s="1369"/>
      <c r="BB271" s="1369"/>
      <c r="BC271" s="1369"/>
      <c r="BD271" s="1369"/>
      <c r="BE271" s="1369"/>
      <c r="BF271" s="569"/>
      <c r="BH271" s="587"/>
      <c r="BI271" s="577"/>
      <c r="BJ271" s="577"/>
      <c r="BK271" s="577"/>
      <c r="BL271" s="577"/>
      <c r="BM271" s="577"/>
      <c r="BN271" s="577"/>
      <c r="BO271" s="577"/>
      <c r="BP271" s="577"/>
      <c r="BQ271" s="577"/>
      <c r="BR271" s="577"/>
      <c r="BS271" s="577"/>
      <c r="BT271" s="577"/>
      <c r="BU271" s="577"/>
      <c r="BV271" s="577"/>
      <c r="BW271" s="179"/>
      <c r="BX271" s="179"/>
      <c r="BY271" s="179"/>
      <c r="BZ271" s="179"/>
      <c r="CC271" s="587"/>
      <c r="CD271" s="1359"/>
      <c r="CE271" s="1359"/>
      <c r="CF271" s="1359"/>
      <c r="CG271" s="1359"/>
      <c r="CH271" s="1359"/>
      <c r="CI271" s="1359"/>
      <c r="CJ271" s="1359"/>
      <c r="CK271" s="1359"/>
      <c r="CL271" s="1359"/>
      <c r="CM271" s="1359"/>
      <c r="CN271" s="1359"/>
      <c r="CO271" s="1359"/>
      <c r="CP271" s="1359"/>
      <c r="CQ271" s="1359"/>
    </row>
    <row r="272">
      <c r="P272" s="23"/>
      <c r="Q272" s="23"/>
      <c r="S272" s="587"/>
      <c r="T272" s="590"/>
      <c r="U272" s="590"/>
      <c r="V272" s="590"/>
      <c r="W272" s="590"/>
      <c r="X272" s="590"/>
      <c r="Y272" s="590"/>
      <c r="Z272" s="590"/>
      <c r="AA272" s="569"/>
      <c r="AC272" s="587"/>
      <c r="AD272" s="550"/>
      <c r="AE272" s="550"/>
      <c r="AF272" s="550"/>
      <c r="AG272" s="550"/>
      <c r="AH272" s="550"/>
      <c r="AI272" s="550"/>
      <c r="AJ272" s="550"/>
      <c r="AK272" s="550"/>
      <c r="AL272" s="550"/>
      <c r="AM272" s="550"/>
      <c r="AN272" s="569"/>
      <c r="AP272" s="587"/>
      <c r="AQ272" s="1369"/>
      <c r="AR272" s="1369"/>
      <c r="AS272" s="1369"/>
      <c r="AT272" s="1369"/>
      <c r="AU272" s="1369"/>
      <c r="AV272" s="1369"/>
      <c r="AW272" s="1369"/>
      <c r="AX272" s="1369"/>
      <c r="AY272" s="1369"/>
      <c r="AZ272" s="1369"/>
      <c r="BA272" s="1369"/>
      <c r="BB272" s="1369"/>
      <c r="BC272" s="1369"/>
      <c r="BD272" s="1369"/>
      <c r="BE272" s="1369"/>
      <c r="BF272" s="569"/>
      <c r="BH272" s="587"/>
      <c r="BI272" s="577"/>
      <c r="BJ272" s="577"/>
      <c r="BK272" s="577"/>
      <c r="BL272" s="577"/>
      <c r="BM272" s="577"/>
      <c r="BN272" s="577"/>
      <c r="BO272" s="577"/>
      <c r="BP272" s="577"/>
      <c r="BQ272" s="577"/>
      <c r="BR272" s="577"/>
      <c r="BS272" s="577"/>
      <c r="BT272" s="577"/>
      <c r="BU272" s="577"/>
      <c r="BV272" s="577"/>
      <c r="BW272" s="23"/>
      <c r="CC272" s="587"/>
      <c r="CD272" s="1369"/>
      <c r="CE272" s="1369"/>
      <c r="CF272" s="1369"/>
      <c r="CG272" s="1369"/>
      <c r="CH272" s="1369"/>
      <c r="CI272" s="1369"/>
      <c r="CJ272" s="1369"/>
      <c r="CK272" s="1369"/>
      <c r="CL272" s="1369"/>
      <c r="CM272" s="1369"/>
      <c r="CN272" s="1369"/>
      <c r="CO272" s="1369"/>
      <c r="CP272" s="1369"/>
      <c r="CQ272" s="1369"/>
    </row>
    <row r="273">
      <c r="P273" s="23"/>
      <c r="Q273" s="23"/>
      <c r="S273" s="587"/>
      <c r="T273" s="591"/>
      <c r="U273" s="591"/>
      <c r="V273" s="591"/>
      <c r="W273" s="591"/>
      <c r="X273" s="591"/>
      <c r="Y273" s="591"/>
      <c r="Z273" s="591"/>
      <c r="AA273" s="569"/>
      <c r="AC273" s="587"/>
      <c r="AD273" s="554"/>
      <c r="AE273" s="554"/>
      <c r="AF273" s="554"/>
      <c r="AG273" s="554"/>
      <c r="AH273" s="554"/>
      <c r="AI273" s="554"/>
      <c r="AJ273" s="554"/>
      <c r="AK273" s="554"/>
      <c r="AL273" s="554"/>
      <c r="AM273" s="554"/>
      <c r="AN273" s="569"/>
      <c r="AP273" s="587"/>
      <c r="AQ273" s="1369"/>
      <c r="AR273" s="1369"/>
      <c r="AS273" s="1369"/>
      <c r="AT273" s="1369"/>
      <c r="AU273" s="1369"/>
      <c r="AV273" s="1369"/>
      <c r="AW273" s="1369"/>
      <c r="AX273" s="1369"/>
      <c r="AY273" s="1369"/>
      <c r="AZ273" s="1369"/>
      <c r="BA273" s="1369"/>
      <c r="BB273" s="1369"/>
      <c r="BC273" s="1369"/>
      <c r="BD273" s="1369"/>
      <c r="BE273" s="1369"/>
      <c r="BF273" s="569"/>
      <c r="BH273" s="587"/>
      <c r="BI273" s="577"/>
      <c r="BJ273" s="577"/>
      <c r="BK273" s="577"/>
      <c r="BL273" s="577"/>
      <c r="BM273" s="577"/>
      <c r="BN273" s="577"/>
      <c r="BO273" s="577"/>
      <c r="BP273" s="577"/>
      <c r="BQ273" s="577"/>
      <c r="BR273" s="577"/>
      <c r="BS273" s="577"/>
      <c r="BT273" s="577"/>
      <c r="BU273" s="577"/>
      <c r="BV273" s="577"/>
      <c r="BW273" s="23"/>
      <c r="CC273" s="587"/>
      <c r="CD273" s="1369"/>
      <c r="CE273" s="1369"/>
      <c r="CF273" s="1369"/>
      <c r="CG273" s="1369"/>
      <c r="CH273" s="1369"/>
      <c r="CI273" s="1369"/>
      <c r="CJ273" s="1369"/>
      <c r="CK273" s="1369"/>
      <c r="CL273" s="1369"/>
      <c r="CM273" s="1369"/>
      <c r="CN273" s="1369"/>
      <c r="CO273" s="1369"/>
      <c r="CP273" s="1369"/>
      <c r="CQ273" s="1369"/>
    </row>
    <row r="274">
      <c r="P274" s="23"/>
      <c r="Q274" s="23"/>
      <c r="S274" s="587"/>
      <c r="T274" s="590"/>
      <c r="U274" s="590"/>
      <c r="V274" s="590"/>
      <c r="W274" s="590"/>
      <c r="X274" s="590"/>
      <c r="Y274" s="590"/>
      <c r="Z274" s="590"/>
      <c r="AA274" s="569"/>
      <c r="AC274" s="587"/>
      <c r="AD274" s="550"/>
      <c r="AE274" s="550"/>
      <c r="AF274" s="550"/>
      <c r="AG274" s="550"/>
      <c r="AH274" s="550"/>
      <c r="AI274" s="550"/>
      <c r="AJ274" s="550"/>
      <c r="AK274" s="550"/>
      <c r="AL274" s="550"/>
      <c r="AM274" s="550"/>
      <c r="AN274" s="569"/>
      <c r="AP274" s="587"/>
      <c r="AQ274" s="1369"/>
      <c r="AR274" s="1369"/>
      <c r="AS274" s="1369"/>
      <c r="AT274" s="1369"/>
      <c r="AU274" s="1369"/>
      <c r="AV274" s="1369"/>
      <c r="AW274" s="1369"/>
      <c r="AX274" s="1369"/>
      <c r="AY274" s="1369"/>
      <c r="AZ274" s="1369"/>
      <c r="BA274" s="1369"/>
      <c r="BB274" s="1369"/>
      <c r="BC274" s="1369"/>
      <c r="BD274" s="1369"/>
      <c r="BE274" s="1369"/>
      <c r="BF274" s="569"/>
      <c r="BH274" s="587"/>
      <c r="BI274" s="577"/>
      <c r="BJ274" s="577"/>
      <c r="BK274" s="577"/>
      <c r="BL274" s="577"/>
      <c r="BM274" s="577"/>
      <c r="BN274" s="577"/>
      <c r="BO274" s="577"/>
      <c r="BP274" s="577"/>
      <c r="BQ274" s="577"/>
      <c r="BR274" s="577"/>
      <c r="BS274" s="577"/>
      <c r="BT274" s="577"/>
      <c r="BU274" s="577"/>
      <c r="BV274" s="577"/>
      <c r="BW274" s="23"/>
      <c r="CC274" s="587"/>
      <c r="CD274" s="1369"/>
      <c r="CE274" s="1369"/>
      <c r="CF274" s="1369"/>
      <c r="CG274" s="1369"/>
      <c r="CH274" s="1369"/>
      <c r="CI274" s="1369"/>
      <c r="CJ274" s="1369"/>
      <c r="CK274" s="1369"/>
      <c r="CL274" s="1369"/>
      <c r="CM274" s="1369"/>
      <c r="CN274" s="1369"/>
      <c r="CO274" s="1369"/>
      <c r="CP274" s="1369"/>
      <c r="CQ274" s="1369"/>
    </row>
    <row r="275">
      <c r="P275" s="23"/>
      <c r="Q275" s="23"/>
      <c r="S275" s="587"/>
      <c r="T275" s="590"/>
      <c r="U275" s="590"/>
      <c r="V275" s="590"/>
      <c r="W275" s="590"/>
      <c r="X275" s="590"/>
      <c r="Y275" s="590"/>
      <c r="Z275" s="590"/>
      <c r="AA275" s="569"/>
      <c r="AC275" s="587"/>
      <c r="AD275" s="550"/>
      <c r="AE275" s="550"/>
      <c r="AF275" s="550"/>
      <c r="AG275" s="550"/>
      <c r="AH275" s="550"/>
      <c r="AI275" s="550"/>
      <c r="AJ275" s="550"/>
      <c r="AK275" s="550"/>
      <c r="AL275" s="550"/>
      <c r="AM275" s="550"/>
      <c r="AN275" s="569"/>
      <c r="AP275" s="587"/>
      <c r="AQ275" s="1359"/>
      <c r="AR275" s="1359"/>
      <c r="AS275" s="1359"/>
      <c r="AT275" s="1359"/>
      <c r="AU275" s="1359"/>
      <c r="AV275" s="1359"/>
      <c r="AW275" s="1359"/>
      <c r="AX275" s="1359"/>
      <c r="AY275" s="1359"/>
      <c r="AZ275" s="1359"/>
      <c r="BA275" s="1359"/>
      <c r="BB275" s="1359"/>
      <c r="BC275" s="1359"/>
      <c r="BD275" s="1359"/>
      <c r="BE275" s="1359"/>
      <c r="BF275" s="569"/>
      <c r="BH275" s="587"/>
      <c r="BI275" s="594"/>
      <c r="BJ275" s="594"/>
      <c r="BK275" s="594"/>
      <c r="BL275" s="594"/>
      <c r="BM275" s="594"/>
      <c r="BN275" s="594"/>
      <c r="BO275" s="594"/>
      <c r="BP275" s="594"/>
      <c r="BQ275" s="594"/>
      <c r="BR275" s="594"/>
      <c r="BS275" s="594"/>
      <c r="BT275" s="594"/>
      <c r="BU275" s="594"/>
      <c r="BV275" s="594"/>
      <c r="BW275" s="23"/>
      <c r="CC275" s="587"/>
      <c r="CD275" s="1369"/>
      <c r="CE275" s="1369"/>
      <c r="CF275" s="1369"/>
      <c r="CG275" s="1369"/>
      <c r="CH275" s="1369"/>
      <c r="CI275" s="1369"/>
      <c r="CJ275" s="1369"/>
      <c r="CK275" s="1369"/>
      <c r="CL275" s="1369"/>
      <c r="CM275" s="1369"/>
      <c r="CN275" s="1369"/>
      <c r="CO275" s="1369"/>
      <c r="CP275" s="1369"/>
      <c r="CQ275" s="1369"/>
    </row>
    <row r="276">
      <c r="P276" s="23"/>
      <c r="Q276" s="23"/>
      <c r="S276" s="587"/>
      <c r="T276" s="590"/>
      <c r="U276" s="590"/>
      <c r="V276" s="590"/>
      <c r="W276" s="590"/>
      <c r="X276" s="590"/>
      <c r="Y276" s="590"/>
      <c r="Z276" s="590"/>
      <c r="AA276" s="569"/>
      <c r="AC276" s="587"/>
      <c r="AD276" s="550"/>
      <c r="AE276" s="550"/>
      <c r="AF276" s="550"/>
      <c r="AG276" s="550"/>
      <c r="AH276" s="550"/>
      <c r="AI276" s="550"/>
      <c r="AJ276" s="550"/>
      <c r="AK276" s="550"/>
      <c r="AL276" s="550"/>
      <c r="AM276" s="550"/>
      <c r="AN276" s="569"/>
      <c r="AP276" s="587"/>
      <c r="AQ276" s="1369"/>
      <c r="AR276" s="1369"/>
      <c r="AS276" s="1369"/>
      <c r="AT276" s="1369"/>
      <c r="AU276" s="1369"/>
      <c r="AV276" s="1369"/>
      <c r="AW276" s="1369"/>
      <c r="AX276" s="1369"/>
      <c r="AY276" s="1369"/>
      <c r="AZ276" s="1369"/>
      <c r="BA276" s="1369"/>
      <c r="BB276" s="1369"/>
      <c r="BC276" s="1369"/>
      <c r="BD276" s="1369"/>
      <c r="BE276" s="1369"/>
      <c r="BF276" s="569"/>
      <c r="BH276" s="587"/>
      <c r="BI276" s="577"/>
      <c r="BJ276" s="577"/>
      <c r="BK276" s="577"/>
      <c r="BL276" s="577"/>
      <c r="BM276" s="577"/>
      <c r="BN276" s="577"/>
      <c r="BO276" s="577"/>
      <c r="BP276" s="577"/>
      <c r="BQ276" s="577"/>
      <c r="BR276" s="577"/>
      <c r="BS276" s="577"/>
      <c r="BT276" s="577"/>
      <c r="BU276" s="577"/>
      <c r="BV276" s="577"/>
      <c r="BW276" s="23"/>
      <c r="CC276" s="587"/>
      <c r="CD276" s="1369"/>
      <c r="CE276" s="1369"/>
      <c r="CF276" s="1369"/>
      <c r="CG276" s="1369"/>
      <c r="CH276" s="1369"/>
      <c r="CI276" s="1369"/>
      <c r="CJ276" s="1369"/>
      <c r="CK276" s="1369"/>
      <c r="CL276" s="1369"/>
      <c r="CM276" s="1369"/>
      <c r="CN276" s="1369"/>
      <c r="CO276" s="1369"/>
      <c r="CP276" s="1369"/>
      <c r="CQ276" s="1369"/>
    </row>
    <row r="277">
      <c r="P277" s="23"/>
      <c r="Q277" s="23"/>
      <c r="S277" s="587"/>
      <c r="T277" s="590"/>
      <c r="U277" s="590"/>
      <c r="V277" s="590"/>
      <c r="W277" s="590"/>
      <c r="X277" s="590"/>
      <c r="Y277" s="590"/>
      <c r="Z277" s="590"/>
      <c r="AA277" s="569"/>
      <c r="AC277" s="587"/>
      <c r="AD277" s="550"/>
      <c r="AE277" s="550"/>
      <c r="AF277" s="550"/>
      <c r="AG277" s="550"/>
      <c r="AH277" s="550"/>
      <c r="AI277" s="550"/>
      <c r="AJ277" s="550"/>
      <c r="AK277" s="550"/>
      <c r="AL277" s="550"/>
      <c r="AM277" s="550"/>
      <c r="AN277" s="569"/>
      <c r="AP277" s="587"/>
      <c r="AQ277" s="1369"/>
      <c r="AR277" s="1369"/>
      <c r="AS277" s="1369"/>
      <c r="AT277" s="1369"/>
      <c r="AU277" s="1369"/>
      <c r="AV277" s="1369"/>
      <c r="AW277" s="1369"/>
      <c r="AX277" s="1369"/>
      <c r="AY277" s="1369"/>
      <c r="AZ277" s="1369"/>
      <c r="BA277" s="1369"/>
      <c r="BB277" s="1369"/>
      <c r="BC277" s="1369"/>
      <c r="BD277" s="1369"/>
      <c r="BE277" s="1369"/>
      <c r="BF277" s="569"/>
      <c r="BH277" s="587"/>
      <c r="BI277" s="577"/>
      <c r="BJ277" s="577"/>
      <c r="BK277" s="577"/>
      <c r="BL277" s="577"/>
      <c r="BM277" s="577"/>
      <c r="BN277" s="577"/>
      <c r="BO277" s="577"/>
      <c r="BP277" s="577"/>
      <c r="BQ277" s="577"/>
      <c r="BR277" s="577"/>
      <c r="BS277" s="577"/>
      <c r="BT277" s="577"/>
      <c r="BU277" s="577"/>
      <c r="BV277" s="577"/>
      <c r="BW277" s="23"/>
      <c r="CC277" s="587"/>
      <c r="CD277" s="1369"/>
      <c r="CE277" s="1369"/>
      <c r="CF277" s="1369"/>
      <c r="CG277" s="1369"/>
      <c r="CH277" s="1369"/>
      <c r="CI277" s="1369"/>
      <c r="CJ277" s="1369"/>
      <c r="CK277" s="1369"/>
      <c r="CL277" s="1369"/>
      <c r="CM277" s="1369"/>
      <c r="CN277" s="1369"/>
      <c r="CO277" s="1369"/>
      <c r="CP277" s="1369"/>
      <c r="CQ277" s="1369"/>
    </row>
    <row r="278">
      <c r="P278" s="23"/>
      <c r="Q278" s="23"/>
      <c r="S278" s="587"/>
      <c r="T278" s="590"/>
      <c r="U278" s="590"/>
      <c r="V278" s="590"/>
      <c r="W278" s="590"/>
      <c r="X278" s="590"/>
      <c r="Y278" s="590"/>
      <c r="Z278" s="590"/>
      <c r="AA278" s="569"/>
      <c r="AC278" s="587"/>
      <c r="AD278" s="550"/>
      <c r="AE278" s="550"/>
      <c r="AF278" s="550"/>
      <c r="AG278" s="550"/>
      <c r="AH278" s="550"/>
      <c r="AI278" s="550"/>
      <c r="AJ278" s="550"/>
      <c r="AK278" s="550"/>
      <c r="AL278" s="550"/>
      <c r="AM278" s="550"/>
      <c r="AN278" s="569"/>
      <c r="AP278" s="587"/>
      <c r="AQ278" s="1369"/>
      <c r="AR278" s="1369"/>
      <c r="AS278" s="1369"/>
      <c r="AT278" s="1369"/>
      <c r="AU278" s="1369"/>
      <c r="AV278" s="1369"/>
      <c r="AW278" s="1369"/>
      <c r="AX278" s="1369"/>
      <c r="AY278" s="1369"/>
      <c r="AZ278" s="1369"/>
      <c r="BA278" s="1369"/>
      <c r="BB278" s="1369"/>
      <c r="BC278" s="1369"/>
      <c r="BD278" s="1369"/>
      <c r="BE278" s="1369"/>
      <c r="BF278" s="569"/>
      <c r="BH278" s="587"/>
      <c r="BI278" s="577"/>
      <c r="BJ278" s="577"/>
      <c r="BK278" s="577"/>
      <c r="BL278" s="577"/>
      <c r="BM278" s="577"/>
      <c r="BN278" s="577"/>
      <c r="BO278" s="577"/>
      <c r="BP278" s="577"/>
      <c r="BQ278" s="577"/>
      <c r="BR278" s="577"/>
      <c r="BS278" s="577"/>
      <c r="BT278" s="577"/>
      <c r="BU278" s="577"/>
      <c r="BV278" s="577"/>
      <c r="BW278" s="23"/>
      <c r="CC278" s="587"/>
      <c r="CD278" s="1369"/>
      <c r="CE278" s="1369"/>
      <c r="CF278" s="1369"/>
      <c r="CG278" s="1369"/>
      <c r="CH278" s="1369"/>
      <c r="CI278" s="1369"/>
      <c r="CJ278" s="1369"/>
      <c r="CK278" s="1369"/>
      <c r="CL278" s="1369"/>
      <c r="CM278" s="1369"/>
      <c r="CN278" s="1369"/>
      <c r="CO278" s="1369"/>
      <c r="CP278" s="1369"/>
      <c r="CQ278" s="1369"/>
    </row>
    <row r="279">
      <c r="P279" s="23"/>
      <c r="Q279" s="23"/>
      <c r="S279" s="587"/>
      <c r="T279" s="590"/>
      <c r="U279" s="590"/>
      <c r="V279" s="590"/>
      <c r="W279" s="590"/>
      <c r="X279" s="590"/>
      <c r="Y279" s="590"/>
      <c r="Z279" s="590"/>
      <c r="AA279" s="569"/>
      <c r="AC279" s="587"/>
      <c r="AD279" s="550"/>
      <c r="AE279" s="550"/>
      <c r="AF279" s="550"/>
      <c r="AG279" s="550"/>
      <c r="AH279" s="550"/>
      <c r="AI279" s="550"/>
      <c r="AJ279" s="550"/>
      <c r="AK279" s="550"/>
      <c r="AL279" s="550"/>
      <c r="AM279" s="550"/>
      <c r="AN279" s="569"/>
      <c r="AP279" s="587"/>
      <c r="AQ279" s="1369"/>
      <c r="AR279" s="1369"/>
      <c r="AS279" s="1369"/>
      <c r="AT279" s="1369"/>
      <c r="AU279" s="1369"/>
      <c r="AV279" s="1369"/>
      <c r="AW279" s="1369"/>
      <c r="AX279" s="1369"/>
      <c r="AY279" s="1369"/>
      <c r="AZ279" s="1369"/>
      <c r="BA279" s="1369"/>
      <c r="BB279" s="1369"/>
      <c r="BC279" s="1369"/>
      <c r="BD279" s="1369"/>
      <c r="BE279" s="1369"/>
      <c r="BF279" s="569"/>
      <c r="BH279" s="587"/>
      <c r="BI279" s="577"/>
      <c r="BJ279" s="577"/>
      <c r="BK279" s="577"/>
      <c r="BL279" s="577"/>
      <c r="BM279" s="577"/>
      <c r="BN279" s="577"/>
      <c r="BO279" s="577"/>
      <c r="BP279" s="577"/>
      <c r="BQ279" s="577"/>
      <c r="BR279" s="577"/>
      <c r="BS279" s="577"/>
      <c r="BT279" s="577"/>
      <c r="BU279" s="577"/>
      <c r="BV279" s="577"/>
      <c r="BW279" s="23"/>
      <c r="CC279" s="587"/>
      <c r="CD279" s="1359"/>
      <c r="CE279" s="1359"/>
      <c r="CF279" s="1359"/>
      <c r="CG279" s="1359"/>
      <c r="CH279" s="1359"/>
      <c r="CI279" s="1359"/>
      <c r="CJ279" s="1359"/>
      <c r="CK279" s="1359"/>
      <c r="CL279" s="1359"/>
      <c r="CM279" s="1359"/>
      <c r="CN279" s="1359"/>
      <c r="CO279" s="1359"/>
      <c r="CP279" s="1359"/>
      <c r="CQ279" s="1359"/>
    </row>
    <row r="280">
      <c r="P280" s="23"/>
      <c r="Q280" s="23"/>
      <c r="S280" s="587"/>
      <c r="T280" s="590"/>
      <c r="U280" s="590"/>
      <c r="V280" s="590"/>
      <c r="W280" s="590"/>
      <c r="X280" s="590"/>
      <c r="Y280" s="590"/>
      <c r="Z280" s="590"/>
      <c r="AA280" s="569"/>
      <c r="AC280" s="587"/>
      <c r="AD280" s="550"/>
      <c r="AE280" s="550"/>
      <c r="AF280" s="550"/>
      <c r="AG280" s="550"/>
      <c r="AH280" s="550"/>
      <c r="AI280" s="550"/>
      <c r="AJ280" s="550"/>
      <c r="AK280" s="550"/>
      <c r="AL280" s="550"/>
      <c r="AM280" s="550"/>
      <c r="AN280" s="569"/>
      <c r="AP280" s="587"/>
      <c r="AQ280" s="1369"/>
      <c r="AR280" s="1369"/>
      <c r="AS280" s="1369"/>
      <c r="AT280" s="1369"/>
      <c r="AU280" s="1369"/>
      <c r="AV280" s="1369"/>
      <c r="AW280" s="1369"/>
      <c r="AX280" s="1369"/>
      <c r="AY280" s="1369"/>
      <c r="AZ280" s="1369"/>
      <c r="BA280" s="1369"/>
      <c r="BB280" s="1369"/>
      <c r="BC280" s="1369"/>
      <c r="BD280" s="1369"/>
      <c r="BE280" s="1369"/>
      <c r="BF280" s="569"/>
      <c r="BH280" s="587"/>
      <c r="BI280" s="577"/>
      <c r="BJ280" s="577"/>
      <c r="BK280" s="577"/>
      <c r="BL280" s="577"/>
      <c r="BM280" s="577"/>
      <c r="BN280" s="577"/>
      <c r="BO280" s="577"/>
      <c r="BP280" s="577"/>
      <c r="BQ280" s="577"/>
      <c r="BR280" s="577"/>
      <c r="BS280" s="577"/>
      <c r="BT280" s="577"/>
      <c r="BU280" s="577"/>
      <c r="BV280" s="577"/>
      <c r="BW280" s="23"/>
      <c r="CB280" s="589"/>
      <c r="CC280" s="587"/>
      <c r="CD280" s="1369"/>
      <c r="CE280" s="1369"/>
      <c r="CF280" s="1369"/>
      <c r="CG280" s="1369"/>
      <c r="CH280" s="1369"/>
      <c r="CI280" s="1369"/>
      <c r="CJ280" s="1369"/>
      <c r="CK280" s="1369"/>
      <c r="CL280" s="1369"/>
      <c r="CM280" s="1369"/>
      <c r="CN280" s="1369"/>
      <c r="CO280" s="1369"/>
      <c r="CP280" s="1369"/>
      <c r="CQ280" s="1369"/>
    </row>
    <row r="281">
      <c r="P281" s="23"/>
      <c r="Q281" s="23"/>
      <c r="S281" s="587"/>
      <c r="T281" s="591"/>
      <c r="U281" s="591"/>
      <c r="V281" s="591"/>
      <c r="W281" s="591"/>
      <c r="X281" s="591"/>
      <c r="Y281" s="591"/>
      <c r="Z281" s="591"/>
      <c r="AA281" s="569"/>
      <c r="AC281" s="587"/>
      <c r="AD281" s="554"/>
      <c r="AE281" s="554"/>
      <c r="AF281" s="554"/>
      <c r="AG281" s="554"/>
      <c r="AH281" s="554"/>
      <c r="AI281" s="554"/>
      <c r="AJ281" s="554"/>
      <c r="AK281" s="554"/>
      <c r="AL281" s="554"/>
      <c r="AM281" s="554"/>
      <c r="AN281" s="569"/>
      <c r="AP281" s="587"/>
      <c r="AQ281" s="1369"/>
      <c r="AR281" s="1369"/>
      <c r="AS281" s="1369"/>
      <c r="AT281" s="1369"/>
      <c r="AU281" s="1369"/>
      <c r="AV281" s="1369"/>
      <c r="AW281" s="1369"/>
      <c r="AX281" s="1369"/>
      <c r="AY281" s="1369"/>
      <c r="AZ281" s="1369"/>
      <c r="BA281" s="1369"/>
      <c r="BB281" s="1369"/>
      <c r="BC281" s="1369"/>
      <c r="BD281" s="1369"/>
      <c r="BE281" s="1369"/>
      <c r="BF281" s="569"/>
      <c r="BH281" s="587"/>
      <c r="BI281" s="577"/>
      <c r="BJ281" s="577"/>
      <c r="BK281" s="577"/>
      <c r="BL281" s="577"/>
      <c r="BM281" s="577"/>
      <c r="BN281" s="577"/>
      <c r="BO281" s="577"/>
      <c r="BP281" s="577"/>
      <c r="BQ281" s="577"/>
      <c r="BR281" s="577"/>
      <c r="BS281" s="577"/>
      <c r="BT281" s="577"/>
      <c r="BU281" s="577"/>
      <c r="BV281" s="577"/>
      <c r="BW281" s="23"/>
      <c r="CB281" s="589"/>
      <c r="CC281" s="587"/>
      <c r="CD281" s="1359"/>
      <c r="CE281" s="1359"/>
      <c r="CF281" s="1359"/>
      <c r="CG281" s="1359"/>
      <c r="CH281" s="1359"/>
      <c r="CI281" s="1359"/>
      <c r="CJ281" s="1359"/>
      <c r="CK281" s="1359"/>
      <c r="CL281" s="1359"/>
      <c r="CM281" s="1359"/>
      <c r="CN281" s="1359"/>
      <c r="CO281" s="1359"/>
      <c r="CP281" s="1359"/>
      <c r="CQ281" s="1359"/>
    </row>
    <row r="282">
      <c r="P282" s="23"/>
      <c r="Q282" s="23"/>
      <c r="R282" s="569"/>
      <c r="S282" s="587"/>
      <c r="T282" s="590"/>
      <c r="U282" s="590"/>
      <c r="V282" s="590"/>
      <c r="W282" s="590"/>
      <c r="X282" s="590"/>
      <c r="Y282" s="590"/>
      <c r="Z282" s="590"/>
      <c r="AA282" s="569"/>
      <c r="AB282" s="598"/>
      <c r="AC282" s="587"/>
      <c r="AD282" s="550"/>
      <c r="AE282" s="550"/>
      <c r="AF282" s="550"/>
      <c r="AG282" s="550"/>
      <c r="AH282" s="550"/>
      <c r="AI282" s="550"/>
      <c r="AJ282" s="550"/>
      <c r="AK282" s="550"/>
      <c r="AL282" s="550"/>
      <c r="AM282" s="550"/>
      <c r="AN282" s="569"/>
      <c r="AP282" s="587"/>
      <c r="AQ282" s="1369"/>
      <c r="AR282" s="1369"/>
      <c r="AS282" s="1369"/>
      <c r="AT282" s="1369"/>
      <c r="AU282" s="1369"/>
      <c r="AV282" s="1369"/>
      <c r="AW282" s="1369"/>
      <c r="AX282" s="1369"/>
      <c r="AY282" s="1369"/>
      <c r="AZ282" s="1369"/>
      <c r="BA282" s="1369"/>
      <c r="BB282" s="1369"/>
      <c r="BC282" s="1369"/>
      <c r="BD282" s="1369"/>
      <c r="BE282" s="1369"/>
      <c r="BF282" s="569"/>
      <c r="BH282" s="587"/>
      <c r="BI282" s="577"/>
      <c r="BJ282" s="577"/>
      <c r="BK282" s="577"/>
      <c r="BL282" s="577"/>
      <c r="BM282" s="577"/>
      <c r="BN282" s="577"/>
      <c r="BO282" s="577"/>
      <c r="BP282" s="577"/>
      <c r="BQ282" s="577"/>
      <c r="BR282" s="577"/>
      <c r="BS282" s="577"/>
      <c r="BT282" s="577"/>
      <c r="BU282" s="577"/>
      <c r="BV282" s="577"/>
      <c r="BW282" s="23"/>
      <c r="CB282" s="569"/>
      <c r="CC282" s="587"/>
      <c r="CD282" s="1359"/>
      <c r="CE282" s="1359"/>
      <c r="CF282" s="1359"/>
      <c r="CG282" s="1359"/>
      <c r="CH282" s="1359"/>
      <c r="CI282" s="1359"/>
      <c r="CJ282" s="1359"/>
      <c r="CK282" s="1359"/>
      <c r="CL282" s="1359"/>
      <c r="CM282" s="1359"/>
      <c r="CN282" s="1359"/>
      <c r="CO282" s="1359"/>
      <c r="CP282" s="1359"/>
      <c r="CQ282" s="1359"/>
    </row>
    <row r="283">
      <c r="P283" s="23"/>
      <c r="Q283" s="23"/>
      <c r="R283" s="569"/>
      <c r="S283" s="587"/>
      <c r="T283" s="591"/>
      <c r="U283" s="591"/>
      <c r="V283" s="591"/>
      <c r="W283" s="591"/>
      <c r="X283" s="591"/>
      <c r="Y283" s="591"/>
      <c r="Z283" s="591"/>
      <c r="AA283" s="569"/>
      <c r="AB283" s="569"/>
      <c r="AC283" s="587"/>
      <c r="AD283" s="554"/>
      <c r="AE283" s="554"/>
      <c r="AF283" s="554"/>
      <c r="AG283" s="554"/>
      <c r="AH283" s="554"/>
      <c r="AI283" s="554"/>
      <c r="AJ283" s="554"/>
      <c r="AK283" s="554"/>
      <c r="AL283" s="554"/>
      <c r="AM283" s="554"/>
      <c r="AN283" s="569"/>
      <c r="AP283" s="587"/>
      <c r="AQ283" s="1359"/>
      <c r="AR283" s="1359"/>
      <c r="AS283" s="1359"/>
      <c r="AT283" s="1359"/>
      <c r="AU283" s="1359"/>
      <c r="AV283" s="1359"/>
      <c r="AW283" s="1359"/>
      <c r="AX283" s="1359"/>
      <c r="AY283" s="1359"/>
      <c r="AZ283" s="1359"/>
      <c r="BA283" s="1359"/>
      <c r="BB283" s="1359"/>
      <c r="BC283" s="1359"/>
      <c r="BD283" s="1359"/>
      <c r="BE283" s="1359"/>
      <c r="BF283" s="569"/>
      <c r="BH283" s="587"/>
      <c r="BI283" s="594"/>
      <c r="BJ283" s="594"/>
      <c r="BK283" s="594"/>
      <c r="BL283" s="594"/>
      <c r="BM283" s="594"/>
      <c r="BN283" s="594"/>
      <c r="BO283" s="594"/>
      <c r="BP283" s="594"/>
      <c r="BQ283" s="594"/>
      <c r="BR283" s="594"/>
      <c r="BS283" s="594"/>
      <c r="BT283" s="594"/>
      <c r="BU283" s="594"/>
      <c r="BV283" s="594"/>
      <c r="BW283" s="23"/>
    </row>
    <row r="284">
      <c r="P284" s="23"/>
      <c r="Q284" s="23"/>
      <c r="R284" s="569"/>
      <c r="S284" s="587"/>
      <c r="T284" s="591"/>
      <c r="U284" s="591"/>
      <c r="V284" s="591"/>
      <c r="W284" s="591"/>
      <c r="X284" s="591"/>
      <c r="Y284" s="591"/>
      <c r="Z284" s="591"/>
      <c r="AA284" s="569"/>
      <c r="AB284" s="569"/>
      <c r="AC284" s="587"/>
      <c r="AD284" s="550"/>
      <c r="AE284" s="550"/>
      <c r="AF284" s="550"/>
      <c r="AG284" s="550"/>
      <c r="AH284" s="550"/>
      <c r="AI284" s="550"/>
      <c r="AJ284" s="550"/>
      <c r="AK284" s="550"/>
      <c r="AL284" s="550"/>
      <c r="AM284" s="550"/>
      <c r="AN284" s="569"/>
      <c r="AO284" s="589"/>
      <c r="AP284" s="587"/>
      <c r="AQ284" s="1369"/>
      <c r="AR284" s="1369"/>
      <c r="AS284" s="1369"/>
      <c r="AT284" s="1369"/>
      <c r="AU284" s="1369"/>
      <c r="AV284" s="1369"/>
      <c r="AW284" s="1369"/>
      <c r="AX284" s="1369"/>
      <c r="AY284" s="1369"/>
      <c r="AZ284" s="1369"/>
      <c r="BA284" s="1369"/>
      <c r="BB284" s="1369"/>
      <c r="BC284" s="1369"/>
      <c r="BD284" s="1369"/>
      <c r="BE284" s="1369"/>
      <c r="BF284" s="569"/>
      <c r="BG284" s="589"/>
      <c r="BH284" s="587"/>
      <c r="BI284" s="577"/>
      <c r="BJ284" s="577"/>
      <c r="BK284" s="577"/>
      <c r="BL284" s="577"/>
      <c r="BM284" s="577"/>
      <c r="BN284" s="577"/>
      <c r="BO284" s="577"/>
      <c r="BP284" s="577"/>
      <c r="BQ284" s="577"/>
      <c r="BR284" s="577"/>
      <c r="BS284" s="577"/>
      <c r="BT284" s="577"/>
      <c r="BU284" s="577"/>
      <c r="BV284" s="577"/>
      <c r="BW284" s="23"/>
    </row>
    <row r="285">
      <c r="P285" s="23"/>
      <c r="Q285" s="23"/>
      <c r="R285" s="569"/>
      <c r="S285" s="569"/>
      <c r="T285" s="569"/>
      <c r="U285" s="569"/>
      <c r="V285" s="569"/>
      <c r="W285" s="569"/>
      <c r="X285" s="569"/>
      <c r="Y285" s="569"/>
      <c r="Z285" s="569"/>
      <c r="AA285" s="569"/>
      <c r="AB285" s="569"/>
      <c r="AC285" s="569"/>
      <c r="AD285" s="569"/>
      <c r="AE285" s="569"/>
      <c r="AF285" s="569"/>
      <c r="AG285" s="569"/>
      <c r="AH285" s="569"/>
      <c r="AI285" s="569"/>
      <c r="AJ285" s="569"/>
      <c r="AK285" s="569"/>
      <c r="AL285" s="569"/>
      <c r="AM285" s="569"/>
      <c r="AN285" s="569"/>
      <c r="AO285" s="589"/>
      <c r="AP285" s="587"/>
      <c r="AQ285" s="1359"/>
      <c r="AR285" s="1359"/>
      <c r="AS285" s="1359"/>
      <c r="AT285" s="1359"/>
      <c r="AU285" s="1359"/>
      <c r="AV285" s="1359"/>
      <c r="AW285" s="1359"/>
      <c r="AX285" s="1359"/>
      <c r="AY285" s="1359"/>
      <c r="AZ285" s="1359"/>
      <c r="BA285" s="1359"/>
      <c r="BB285" s="1359"/>
      <c r="BC285" s="1359"/>
      <c r="BD285" s="1359"/>
      <c r="BE285" s="1359"/>
      <c r="BF285" s="569"/>
      <c r="BG285" s="589"/>
      <c r="BH285" s="587"/>
      <c r="BI285" s="594"/>
      <c r="BJ285" s="594"/>
      <c r="BK285" s="594"/>
      <c r="BL285" s="594"/>
      <c r="BM285" s="594"/>
      <c r="BN285" s="594"/>
      <c r="BO285" s="594"/>
      <c r="BP285" s="594"/>
      <c r="BQ285" s="594"/>
      <c r="BR285" s="594"/>
      <c r="BS285" s="594"/>
      <c r="BT285" s="594"/>
      <c r="BU285" s="594"/>
      <c r="BV285" s="594"/>
      <c r="BW285" s="23"/>
    </row>
    <row r="286">
      <c r="P286" s="23"/>
      <c r="Q286" s="23"/>
      <c r="R286" s="569"/>
      <c r="S286" s="569"/>
      <c r="T286" s="569"/>
      <c r="U286" s="569"/>
      <c r="V286" s="569"/>
      <c r="W286" s="569"/>
      <c r="X286" s="569"/>
      <c r="Y286" s="569"/>
      <c r="Z286" s="569"/>
      <c r="AA286" s="569"/>
      <c r="AB286" s="569"/>
      <c r="AC286" s="569"/>
      <c r="AD286" s="569"/>
      <c r="AE286" s="569"/>
      <c r="AF286" s="569"/>
      <c r="AG286" s="569"/>
      <c r="AH286" s="569"/>
      <c r="AI286" s="569"/>
      <c r="AJ286" s="569"/>
      <c r="AK286" s="569"/>
      <c r="AL286" s="569"/>
      <c r="AM286" s="569"/>
      <c r="AN286" s="569"/>
      <c r="AO286" s="569"/>
      <c r="AP286" s="587"/>
      <c r="AQ286" s="1359"/>
      <c r="AR286" s="1359"/>
      <c r="AS286" s="1359"/>
      <c r="AT286" s="1359"/>
      <c r="AU286" s="1359"/>
      <c r="AV286" s="1359"/>
      <c r="AW286" s="1359"/>
      <c r="AX286" s="1359"/>
      <c r="AY286" s="1359"/>
      <c r="AZ286" s="1359"/>
      <c r="BA286" s="1359"/>
      <c r="BB286" s="1359"/>
      <c r="BC286" s="1359"/>
      <c r="BD286" s="1359"/>
      <c r="BE286" s="1359"/>
      <c r="BF286" s="569"/>
      <c r="BG286" s="569"/>
      <c r="BH286" s="587"/>
      <c r="BI286" s="594"/>
      <c r="BJ286" s="594"/>
      <c r="BK286" s="594"/>
      <c r="BL286" s="594"/>
      <c r="BM286" s="594"/>
      <c r="BN286" s="594"/>
      <c r="BO286" s="594"/>
      <c r="BP286" s="594"/>
      <c r="BQ286" s="594"/>
      <c r="BR286" s="594"/>
      <c r="BS286" s="594"/>
      <c r="BT286" s="594"/>
      <c r="BU286" s="594"/>
      <c r="BV286" s="594"/>
      <c r="BW286" s="23"/>
    </row>
    <row r="287">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1681"/>
      <c r="BL287" s="23"/>
      <c r="BM287" s="23"/>
      <c r="BN287" s="23"/>
      <c r="BO287" s="23"/>
      <c r="BP287" s="23"/>
      <c r="BQ287" s="23"/>
      <c r="BR287" s="23"/>
      <c r="BS287" s="23"/>
      <c r="BT287" s="23"/>
      <c r="BU287" s="23"/>
      <c r="BV287" s="23"/>
      <c r="BW287" s="23"/>
    </row>
    <row r="288">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1681"/>
      <c r="BL288" s="23"/>
      <c r="BM288" s="23"/>
      <c r="BN288" s="23"/>
      <c r="BO288" s="23"/>
      <c r="BP288" s="23"/>
      <c r="BQ288" s="23"/>
      <c r="BR288" s="23"/>
      <c r="BS288" s="23"/>
      <c r="BT288" s="23"/>
      <c r="BU288" s="23"/>
      <c r="BV288" s="23"/>
      <c r="BW288" s="23"/>
    </row>
    <row r="289">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1681"/>
      <c r="BL289" s="23"/>
      <c r="BM289" s="23"/>
      <c r="BN289" s="23"/>
      <c r="BO289" s="23"/>
      <c r="BP289" s="23"/>
      <c r="BQ289" s="23"/>
      <c r="BR289" s="23"/>
      <c r="BS289" s="23"/>
      <c r="BT289" s="23"/>
      <c r="BU289" s="23"/>
      <c r="BV289" s="23"/>
      <c r="BW289" s="23"/>
    </row>
    <row r="290">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1681"/>
      <c r="BL290" s="23"/>
      <c r="BM290" s="23"/>
      <c r="BN290" s="23"/>
      <c r="BO290" s="23"/>
      <c r="BP290" s="23"/>
      <c r="BQ290" s="23"/>
      <c r="BR290" s="23"/>
      <c r="BS290" s="23"/>
      <c r="BT290" s="23"/>
      <c r="BU290" s="23"/>
      <c r="BV290" s="23"/>
      <c r="BW290" s="23"/>
    </row>
    <row r="291">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1681"/>
      <c r="BL291" s="23"/>
      <c r="BM291" s="23"/>
      <c r="BN291" s="23"/>
      <c r="BO291" s="23"/>
      <c r="BP291" s="23"/>
      <c r="BQ291" s="23"/>
      <c r="BR291" s="23"/>
      <c r="BS291" s="23"/>
      <c r="BT291" s="23"/>
      <c r="BU291" s="23"/>
      <c r="BV291" s="23"/>
      <c r="BW291" s="23"/>
    </row>
    <row r="292">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1681"/>
      <c r="BL292" s="23"/>
      <c r="BM292" s="23"/>
      <c r="BN292" s="23"/>
      <c r="BO292" s="23"/>
      <c r="BP292" s="23"/>
      <c r="BQ292" s="23"/>
      <c r="BR292" s="23"/>
      <c r="BS292" s="23"/>
      <c r="BT292" s="23"/>
      <c r="BU292" s="23"/>
      <c r="BV292" s="23"/>
      <c r="BW292" s="23"/>
    </row>
    <row r="293">
      <c r="P293" s="23"/>
      <c r="Q293" s="23"/>
      <c r="R293" s="1651"/>
    </row>
    <row r="294">
      <c r="P294" s="23"/>
      <c r="Q294" s="23"/>
    </row>
    <row r="295">
      <c r="P295" s="23"/>
      <c r="Q295" s="23"/>
    </row>
    <row r="296">
      <c r="P296" s="23"/>
      <c r="Q296" s="23"/>
    </row>
    <row r="297">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1681"/>
      <c r="BL297" s="23"/>
      <c r="BM297" s="23"/>
      <c r="BN297" s="23"/>
      <c r="BO297" s="23"/>
      <c r="BP297" s="23"/>
      <c r="BQ297" s="23"/>
      <c r="BR297" s="23"/>
      <c r="BS297" s="23"/>
      <c r="BT297" s="23"/>
      <c r="BU297" s="23"/>
      <c r="BV297" s="23"/>
      <c r="BW297" s="23"/>
    </row>
    <row r="298">
      <c r="BK298" s="1631"/>
    </row>
    <row r="299">
      <c r="BK299" s="1631"/>
    </row>
    <row r="300">
      <c r="BK300" s="1631"/>
    </row>
    <row r="301">
      <c r="BK301" s="1631"/>
      <c r="BO301" s="171"/>
      <c r="BP301" s="23"/>
    </row>
    <row r="302">
      <c r="BK302" s="1631"/>
      <c r="BO302" s="171"/>
      <c r="BP302" s="23"/>
    </row>
    <row r="303">
      <c r="R303" s="1134"/>
      <c r="BK303" s="1631"/>
      <c r="BO303" s="171"/>
      <c r="BP303" s="23"/>
    </row>
    <row r="304">
      <c r="BK304" s="1631"/>
      <c r="BO304" s="171"/>
      <c r="BP304" s="23"/>
    </row>
    <row r="305">
      <c r="BI305" s="171"/>
      <c r="BJ305" s="171"/>
      <c r="BK305" s="178"/>
      <c r="BL305" s="171"/>
      <c r="BM305" s="171"/>
      <c r="BO305" s="171"/>
      <c r="BP305" s="23"/>
    </row>
    <row r="306">
      <c r="BI306" s="172"/>
      <c r="BJ306" s="172"/>
      <c r="BK306" s="1894"/>
      <c r="BL306" s="172"/>
      <c r="BM306" s="172"/>
      <c r="BO306" s="171"/>
      <c r="BP306" s="23"/>
    </row>
    <row r="307">
      <c r="BI307" s="173"/>
      <c r="BJ307" s="173"/>
      <c r="BK307" s="1895"/>
      <c r="BL307" s="173"/>
      <c r="BM307" s="173"/>
      <c r="BO307" s="171"/>
      <c r="BP307" s="23"/>
    </row>
    <row r="308">
      <c r="BI308" s="174"/>
      <c r="BJ308" s="174"/>
      <c r="BK308" s="174"/>
      <c r="BL308" s="174"/>
      <c r="BM308" s="174"/>
      <c r="BO308" s="171"/>
      <c r="BP308" s="23"/>
    </row>
    <row r="309">
      <c r="BI309" s="175"/>
      <c r="BJ309" s="175"/>
      <c r="BK309" s="175"/>
      <c r="BL309" s="175"/>
      <c r="BM309" s="175"/>
      <c r="BO309" s="171"/>
      <c r="BP309" s="23"/>
    </row>
    <row r="310">
      <c r="BI310" s="175"/>
      <c r="BJ310" s="175"/>
      <c r="BK310" s="175"/>
      <c r="BL310" s="175"/>
      <c r="BM310" s="175"/>
      <c r="BO310" s="171"/>
      <c r="BP310" s="23"/>
    </row>
    <row r="311">
      <c r="BI311" s="175"/>
      <c r="BJ311" s="175"/>
      <c r="BK311" s="175"/>
      <c r="BL311" s="175"/>
      <c r="BM311" s="175"/>
      <c r="BO311" s="171"/>
      <c r="BP311" s="23"/>
    </row>
    <row r="312">
      <c r="BI312" s="175"/>
      <c r="BJ312" s="175"/>
      <c r="BK312" s="175"/>
      <c r="BL312" s="175"/>
      <c r="BM312" s="175"/>
      <c r="BO312" s="171"/>
      <c r="BP312" s="23"/>
    </row>
    <row r="313">
      <c r="BI313" s="175"/>
      <c r="BJ313" s="175"/>
      <c r="BK313" s="175"/>
      <c r="BL313" s="175"/>
      <c r="BM313" s="175"/>
      <c r="BO313" s="171"/>
      <c r="BP313" s="23"/>
    </row>
    <row r="314">
      <c r="BI314" s="175"/>
      <c r="BJ314" s="175"/>
      <c r="BK314" s="175"/>
      <c r="BL314" s="175"/>
      <c r="BM314" s="175"/>
    </row>
    <row r="315">
      <c r="BI315" s="175"/>
      <c r="BJ315" s="175"/>
      <c r="BK315" s="175"/>
      <c r="BL315" s="175"/>
      <c r="BM315" s="175"/>
    </row>
    <row r="316">
      <c r="BI316" s="175"/>
      <c r="BJ316" s="175"/>
      <c r="BK316" s="175"/>
      <c r="BL316" s="175"/>
      <c r="BM316" s="175"/>
    </row>
    <row r="317">
      <c r="BI317" s="175"/>
      <c r="BJ317" s="175"/>
      <c r="BK317" s="175"/>
      <c r="BL317" s="175"/>
      <c r="BM317" s="175"/>
    </row>
    <row r="318">
      <c r="BI318" s="175"/>
      <c r="BJ318" s="175"/>
      <c r="BK318" s="175"/>
      <c r="BL318" s="175"/>
      <c r="BM318" s="175"/>
    </row>
    <row r="319">
      <c r="BI319" s="175"/>
      <c r="BJ319" s="175"/>
      <c r="BK319" s="175"/>
      <c r="BL319" s="175"/>
      <c r="BM319" s="175"/>
    </row>
    <row r="320">
      <c r="BI320" s="175"/>
      <c r="BJ320" s="175"/>
      <c r="BK320" s="175"/>
      <c r="BL320" s="175"/>
      <c r="BM320" s="175"/>
    </row>
    <row r="321">
      <c r="AV321" s="1896"/>
      <c r="BI321" s="175"/>
      <c r="BJ321" s="175"/>
      <c r="BK321" s="175"/>
      <c r="BL321" s="175"/>
      <c r="BM321" s="175"/>
    </row>
    <row r="322">
      <c r="AV322" s="1896"/>
      <c r="BI322" s="175"/>
      <c r="BJ322" s="175"/>
      <c r="BK322" s="175"/>
      <c r="BL322" s="175"/>
      <c r="BM322" s="175"/>
    </row>
    <row r="323">
      <c r="AV323" s="1896"/>
      <c r="BI323" s="175"/>
      <c r="BJ323" s="175"/>
      <c r="BK323" s="175"/>
      <c r="BL323" s="175"/>
      <c r="BM323" s="175"/>
    </row>
    <row r="324">
      <c r="AV324" s="1896"/>
      <c r="BI324" s="175"/>
      <c r="BJ324" s="175"/>
      <c r="BK324" s="175"/>
      <c r="BL324" s="175"/>
      <c r="BM324" s="175"/>
    </row>
    <row r="325">
      <c r="AV325" s="1896"/>
      <c r="BI325" s="175"/>
      <c r="BJ325" s="175"/>
      <c r="BK325" s="175"/>
      <c r="BL325" s="175"/>
      <c r="BM325" s="175"/>
    </row>
    <row r="326">
      <c r="AN326" s="23"/>
      <c r="AO326" s="23"/>
      <c r="AP326" s="23"/>
      <c r="AQ326" s="23"/>
      <c r="AR326" s="23"/>
      <c r="AS326" s="23"/>
      <c r="AT326" s="23"/>
      <c r="AU326" s="23"/>
      <c r="AV326" s="1897"/>
      <c r="AW326" s="23"/>
      <c r="AX326" s="23"/>
      <c r="AY326" s="23"/>
      <c r="AZ326" s="23"/>
      <c r="BA326" s="23"/>
      <c r="BB326" s="23"/>
      <c r="BC326" s="23"/>
      <c r="BD326" s="23"/>
      <c r="BE326" s="23"/>
      <c r="BG326" s="23"/>
      <c r="BH326" s="23"/>
      <c r="BI326" s="23"/>
      <c r="BJ326" s="23"/>
      <c r="BK326" s="1681"/>
      <c r="BL326" s="23"/>
      <c r="BM326" s="23"/>
      <c r="BN326" s="23"/>
      <c r="BO326" s="23"/>
      <c r="BP326" s="23"/>
      <c r="BQ326" s="23"/>
      <c r="BR326" s="23"/>
      <c r="BS326" s="23"/>
      <c r="BT326" s="23"/>
      <c r="BU326" s="23"/>
      <c r="BV326" s="23"/>
    </row>
    <row r="327">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1897"/>
      <c r="AW327" s="23"/>
      <c r="AX327" s="23"/>
      <c r="AY327" s="23"/>
      <c r="AZ327" s="23"/>
      <c r="BA327" s="23"/>
      <c r="BB327" s="23"/>
      <c r="BC327" s="23"/>
      <c r="BD327" s="23"/>
      <c r="BE327" s="23"/>
      <c r="BG327" s="23"/>
      <c r="BH327" s="23"/>
      <c r="BI327" s="23"/>
      <c r="BJ327" s="23"/>
      <c r="BK327" s="1681"/>
      <c r="BL327" s="23"/>
      <c r="BM327" s="23"/>
      <c r="BN327" s="23"/>
      <c r="BO327" s="23"/>
      <c r="BP327" s="23"/>
      <c r="BQ327" s="23"/>
      <c r="BR327" s="23"/>
      <c r="BS327" s="23"/>
      <c r="BT327" s="23"/>
      <c r="BU327" s="23"/>
      <c r="BV327" s="23"/>
    </row>
    <row r="328">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1897"/>
      <c r="AW328" s="23"/>
      <c r="AX328" s="23"/>
      <c r="AY328" s="23"/>
      <c r="AZ328" s="23"/>
      <c r="BA328" s="23"/>
      <c r="BB328" s="23"/>
      <c r="BC328" s="23"/>
      <c r="BD328" s="23"/>
      <c r="BE328" s="23"/>
      <c r="BG328" s="23"/>
      <c r="BH328" s="23"/>
      <c r="BI328" s="23"/>
      <c r="BJ328" s="23"/>
      <c r="BK328" s="1681"/>
      <c r="BL328" s="23"/>
      <c r="BM328" s="23"/>
      <c r="BN328" s="23"/>
      <c r="BO328" s="23"/>
      <c r="BP328" s="23"/>
      <c r="BQ328" s="23"/>
      <c r="BR328" s="23"/>
      <c r="BS328" s="23"/>
      <c r="BT328" s="23"/>
      <c r="BU328" s="23"/>
      <c r="BV328" s="23"/>
    </row>
    <row r="329">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1897"/>
      <c r="AW329" s="23"/>
      <c r="AX329" s="23"/>
      <c r="AY329" s="23"/>
      <c r="AZ329" s="23"/>
      <c r="BA329" s="23"/>
      <c r="BB329" s="23"/>
      <c r="BC329" s="23"/>
      <c r="BD329" s="23"/>
      <c r="BE329" s="23"/>
      <c r="BG329" s="23"/>
      <c r="BH329" s="23"/>
      <c r="BI329" s="23"/>
      <c r="BJ329" s="23"/>
      <c r="BK329" s="1681"/>
      <c r="BL329" s="23"/>
      <c r="BM329" s="23"/>
      <c r="BN329" s="23"/>
      <c r="BO329" s="23"/>
      <c r="BP329" s="23"/>
      <c r="BQ329" s="23"/>
      <c r="BR329" s="23"/>
      <c r="BS329" s="23"/>
      <c r="BT329" s="23"/>
      <c r="BU329" s="23"/>
      <c r="BV329" s="23"/>
    </row>
    <row r="330">
      <c r="O330" s="23"/>
      <c r="P330" s="23"/>
      <c r="Q330" s="23"/>
      <c r="R330" s="580"/>
      <c r="S330" s="569"/>
      <c r="T330" s="569"/>
      <c r="U330" s="569"/>
      <c r="V330" s="569"/>
      <c r="W330" s="569"/>
      <c r="X330" s="569"/>
      <c r="Y330" s="569"/>
      <c r="Z330" s="569"/>
      <c r="AA330" s="569"/>
      <c r="AB330" s="580"/>
      <c r="AC330" s="569"/>
      <c r="AD330" s="569"/>
      <c r="AE330" s="569"/>
      <c r="AF330" s="569"/>
      <c r="AG330" s="569"/>
      <c r="AH330" s="569"/>
      <c r="AI330" s="569"/>
      <c r="AJ330" s="569"/>
      <c r="AK330" s="569"/>
      <c r="AL330" s="569"/>
      <c r="AM330" s="569"/>
      <c r="AN330" s="569"/>
      <c r="AO330" s="580"/>
      <c r="AP330" s="569"/>
      <c r="AQ330" s="569"/>
      <c r="AR330" s="569"/>
      <c r="AS330" s="569"/>
      <c r="AT330" s="569"/>
      <c r="AU330" s="569"/>
      <c r="AV330" s="1898"/>
      <c r="AW330" s="569"/>
      <c r="AX330" s="569"/>
      <c r="AY330" s="569"/>
      <c r="AZ330" s="569"/>
      <c r="BA330" s="569"/>
      <c r="BB330" s="569"/>
      <c r="BC330" s="569"/>
      <c r="BD330" s="569"/>
      <c r="BE330" s="569"/>
      <c r="BF330" s="610"/>
      <c r="BG330" s="580"/>
      <c r="BH330" s="569"/>
      <c r="BI330" s="569"/>
      <c r="BJ330" s="569"/>
      <c r="BK330" s="1893"/>
      <c r="BL330" s="569"/>
      <c r="BM330" s="569"/>
      <c r="BN330" s="569"/>
      <c r="BO330" s="569"/>
      <c r="BP330" s="569"/>
      <c r="BQ330" s="569"/>
      <c r="BR330" s="569"/>
      <c r="BS330" s="569"/>
      <c r="BT330" s="569"/>
      <c r="BU330" s="569"/>
      <c r="BV330" s="569"/>
    </row>
    <row r="331">
      <c r="O331" s="23"/>
      <c r="P331" s="23"/>
      <c r="Q331" s="23"/>
      <c r="R331" s="581"/>
      <c r="AA331" s="569"/>
      <c r="AB331" s="584"/>
      <c r="AC331" s="553"/>
      <c r="AD331" s="553"/>
      <c r="AE331" s="553"/>
      <c r="AF331" s="596"/>
      <c r="AG331" s="596"/>
      <c r="AH331" s="596"/>
      <c r="AI331" s="596"/>
      <c r="AJ331" s="596"/>
      <c r="AK331" s="596"/>
      <c r="AL331" s="596"/>
      <c r="AM331" s="596"/>
      <c r="AN331" s="569"/>
      <c r="AO331" s="584"/>
      <c r="AP331" s="581"/>
      <c r="AQ331" s="581"/>
      <c r="BF331" s="610"/>
      <c r="BG331" s="584"/>
      <c r="BH331" s="581"/>
      <c r="BI331" s="581"/>
    </row>
    <row r="332">
      <c r="O332" s="23"/>
      <c r="P332" s="23"/>
      <c r="Q332" s="23"/>
      <c r="R332" s="553"/>
      <c r="S332" s="544"/>
      <c r="T332" s="543"/>
      <c r="U332" s="543"/>
      <c r="V332" s="543"/>
      <c r="W332" s="543"/>
      <c r="X332" s="543"/>
      <c r="Y332" s="543"/>
      <c r="Z332" s="543"/>
      <c r="AA332" s="596"/>
      <c r="AB332" s="553"/>
      <c r="AC332" s="545"/>
      <c r="AD332" s="546"/>
      <c r="AE332" s="546"/>
      <c r="AF332" s="546"/>
      <c r="AG332" s="546"/>
      <c r="AH332" s="546"/>
      <c r="AI332" s="546"/>
      <c r="AJ332" s="546"/>
      <c r="AK332" s="546"/>
      <c r="AL332" s="546"/>
      <c r="AM332" s="546"/>
      <c r="AN332" s="569"/>
      <c r="AO332" s="584"/>
      <c r="AP332" s="581"/>
      <c r="AQ332" s="581"/>
      <c r="AR332" s="581"/>
      <c r="AS332" s="581"/>
      <c r="AT332" s="581"/>
      <c r="AU332" s="581"/>
      <c r="AV332" s="1899"/>
      <c r="AW332" s="581"/>
      <c r="AX332" s="581"/>
      <c r="AY332" s="581"/>
      <c r="AZ332" s="581"/>
      <c r="BA332" s="581"/>
      <c r="BB332" s="581"/>
      <c r="BC332" s="581"/>
      <c r="BD332" s="581"/>
      <c r="BE332" s="581"/>
      <c r="BF332" s="610"/>
      <c r="BG332" s="584"/>
      <c r="BH332" s="581"/>
      <c r="BI332" s="581"/>
      <c r="BJ332" s="581"/>
      <c r="BK332" s="581"/>
      <c r="BL332" s="581"/>
      <c r="BM332" s="581"/>
      <c r="BN332" s="581"/>
      <c r="BO332" s="581"/>
      <c r="BP332" s="581"/>
      <c r="BQ332" s="581"/>
      <c r="BR332" s="581"/>
      <c r="BS332" s="581"/>
      <c r="BT332" s="581"/>
      <c r="BU332" s="581"/>
      <c r="BV332" s="581"/>
    </row>
    <row r="333">
      <c r="O333" s="23"/>
      <c r="P333" s="23"/>
      <c r="Q333" s="23"/>
      <c r="R333" s="588"/>
      <c r="S333" s="586"/>
      <c r="T333" s="550"/>
      <c r="U333" s="550"/>
      <c r="V333" s="550"/>
      <c r="W333" s="550"/>
      <c r="X333" s="550"/>
      <c r="Y333" s="550"/>
      <c r="Z333" s="550"/>
      <c r="AA333" s="587"/>
      <c r="AB333" s="588"/>
      <c r="AC333" s="586"/>
      <c r="AD333" s="550"/>
      <c r="AE333" s="550"/>
      <c r="AF333" s="550"/>
      <c r="AG333" s="550"/>
      <c r="AH333" s="550"/>
      <c r="AI333" s="550"/>
      <c r="AJ333" s="550"/>
      <c r="AK333" s="550"/>
      <c r="AL333" s="550"/>
      <c r="AM333" s="550"/>
      <c r="AN333" s="569"/>
      <c r="AO333" s="584"/>
      <c r="AP333" s="581"/>
      <c r="AQ333" s="581"/>
      <c r="AR333" s="581"/>
      <c r="AS333" s="581"/>
      <c r="AT333" s="581"/>
      <c r="AU333" s="581"/>
      <c r="AV333" s="1899"/>
      <c r="AW333" s="581"/>
      <c r="AX333" s="581"/>
      <c r="AY333" s="581"/>
      <c r="AZ333" s="581"/>
      <c r="BA333" s="581"/>
      <c r="BB333" s="581"/>
      <c r="BC333" s="581"/>
      <c r="BD333" s="581"/>
      <c r="BE333" s="581"/>
      <c r="BF333" s="610"/>
      <c r="BG333" s="584"/>
      <c r="BH333" s="581"/>
      <c r="BI333" s="581"/>
      <c r="BJ333" s="581"/>
      <c r="BK333" s="581"/>
      <c r="BL333" s="581"/>
      <c r="BM333" s="581"/>
      <c r="BN333" s="581"/>
      <c r="BO333" s="581"/>
      <c r="BP333" s="581"/>
      <c r="BQ333" s="581"/>
      <c r="BR333" s="581"/>
      <c r="BS333" s="581"/>
      <c r="BT333" s="581"/>
      <c r="BU333" s="581"/>
      <c r="BV333" s="581"/>
    </row>
    <row r="334">
      <c r="O334" s="23"/>
      <c r="P334" s="23"/>
      <c r="Q334" s="23"/>
      <c r="S334" s="586"/>
      <c r="T334" s="554"/>
      <c r="U334" s="554"/>
      <c r="V334" s="554"/>
      <c r="W334" s="554"/>
      <c r="X334" s="554"/>
      <c r="Y334" s="554"/>
      <c r="Z334" s="554"/>
      <c r="AA334" s="577"/>
      <c r="AC334" s="586"/>
      <c r="AD334" s="554"/>
      <c r="AE334" s="554"/>
      <c r="AF334" s="554"/>
      <c r="AG334" s="554"/>
      <c r="AH334" s="554"/>
      <c r="AI334" s="554"/>
      <c r="AJ334" s="554"/>
      <c r="AK334" s="554"/>
      <c r="AL334" s="554"/>
      <c r="AM334" s="554"/>
      <c r="AN334" s="569"/>
      <c r="AO334" s="553"/>
      <c r="AP334" s="597"/>
      <c r="AQ334" s="586"/>
      <c r="AR334" s="586"/>
      <c r="AS334" s="586"/>
      <c r="AT334" s="586"/>
      <c r="AU334" s="586"/>
      <c r="AV334" s="1900"/>
      <c r="AW334" s="586"/>
      <c r="AX334" s="586"/>
      <c r="AY334" s="586"/>
      <c r="AZ334" s="586"/>
      <c r="BA334" s="586"/>
      <c r="BB334" s="586"/>
      <c r="BC334" s="586"/>
      <c r="BD334" s="586"/>
      <c r="BE334" s="586"/>
      <c r="BF334" s="610"/>
      <c r="BG334" s="553"/>
      <c r="BH334" s="597"/>
      <c r="BI334" s="586"/>
      <c r="BJ334" s="586"/>
      <c r="BK334" s="586"/>
      <c r="BL334" s="586"/>
      <c r="BM334" s="586"/>
      <c r="BN334" s="586"/>
      <c r="BO334" s="586"/>
      <c r="BP334" s="586"/>
      <c r="BQ334" s="586"/>
      <c r="BR334" s="586"/>
      <c r="BS334" s="586"/>
      <c r="BT334" s="586"/>
      <c r="BU334" s="586"/>
      <c r="BV334" s="586"/>
    </row>
    <row r="335">
      <c r="O335" s="23"/>
      <c r="P335" s="23"/>
      <c r="Q335" s="23"/>
      <c r="S335" s="587"/>
      <c r="T335" s="550"/>
      <c r="U335" s="550"/>
      <c r="V335" s="550"/>
      <c r="W335" s="550"/>
      <c r="X335" s="550"/>
      <c r="Y335" s="550"/>
      <c r="Z335" s="550"/>
      <c r="AA335" s="594"/>
      <c r="AC335" s="587"/>
      <c r="AD335" s="550"/>
      <c r="AE335" s="550"/>
      <c r="AF335" s="550"/>
      <c r="AG335" s="550"/>
      <c r="AH335" s="550"/>
      <c r="AI335" s="550"/>
      <c r="AJ335" s="550"/>
      <c r="AK335" s="550"/>
      <c r="AL335" s="550"/>
      <c r="AM335" s="550"/>
      <c r="AN335" s="569"/>
      <c r="AO335" s="588"/>
      <c r="AP335" s="586"/>
      <c r="AQ335" s="1369"/>
      <c r="AR335" s="1369"/>
      <c r="AS335" s="1369"/>
      <c r="AT335" s="1369"/>
      <c r="AU335" s="1369"/>
      <c r="AV335" s="1901"/>
      <c r="AW335" s="1369"/>
      <c r="AX335" s="1369"/>
      <c r="AY335" s="1369"/>
      <c r="AZ335" s="1369"/>
      <c r="BA335" s="1369"/>
      <c r="BB335" s="1369"/>
      <c r="BC335" s="1369"/>
      <c r="BD335" s="1369"/>
      <c r="BE335" s="1369"/>
      <c r="BF335" s="610"/>
      <c r="BG335" s="588"/>
      <c r="BH335" s="586"/>
      <c r="BI335" s="577"/>
      <c r="BJ335" s="577"/>
      <c r="BK335" s="577"/>
      <c r="BL335" s="577"/>
      <c r="BM335" s="577"/>
      <c r="BN335" s="577"/>
      <c r="BO335" s="577"/>
      <c r="BP335" s="577"/>
      <c r="BQ335" s="577"/>
      <c r="BR335" s="577"/>
      <c r="BS335" s="577"/>
      <c r="BT335" s="577"/>
      <c r="BU335" s="577"/>
      <c r="BV335" s="577"/>
    </row>
    <row r="336">
      <c r="O336" s="23"/>
      <c r="P336" s="23"/>
      <c r="Q336" s="23"/>
      <c r="S336" s="587"/>
      <c r="T336" s="550"/>
      <c r="U336" s="550"/>
      <c r="V336" s="550"/>
      <c r="W336" s="550"/>
      <c r="X336" s="550"/>
      <c r="Y336" s="550"/>
      <c r="Z336" s="550"/>
      <c r="AA336" s="577"/>
      <c r="AC336" s="587"/>
      <c r="AD336" s="550"/>
      <c r="AE336" s="550"/>
      <c r="AF336" s="550"/>
      <c r="AG336" s="550"/>
      <c r="AH336" s="550"/>
      <c r="AI336" s="550"/>
      <c r="AJ336" s="550"/>
      <c r="AK336" s="550"/>
      <c r="AL336" s="550"/>
      <c r="AM336" s="550"/>
      <c r="AN336" s="569"/>
      <c r="AP336" s="586"/>
      <c r="AQ336" s="1359"/>
      <c r="AR336" s="1359"/>
      <c r="AS336" s="1359"/>
      <c r="AT336" s="1359"/>
      <c r="AU336" s="1359"/>
      <c r="AV336" s="1902"/>
      <c r="AW336" s="1359"/>
      <c r="AX336" s="1359"/>
      <c r="AY336" s="1359"/>
      <c r="AZ336" s="1359"/>
      <c r="BA336" s="1359"/>
      <c r="BB336" s="1359"/>
      <c r="BC336" s="1359"/>
      <c r="BD336" s="1359"/>
      <c r="BE336" s="1359"/>
      <c r="BF336" s="610"/>
      <c r="BH336" s="586"/>
      <c r="BI336" s="594"/>
      <c r="BJ336" s="594"/>
      <c r="BK336" s="594"/>
      <c r="BL336" s="594"/>
      <c r="BM336" s="594"/>
      <c r="BN336" s="594"/>
      <c r="BO336" s="594"/>
      <c r="BP336" s="594"/>
      <c r="BQ336" s="594"/>
      <c r="BR336" s="594"/>
      <c r="BS336" s="594"/>
      <c r="BT336" s="594"/>
      <c r="BU336" s="594"/>
      <c r="BV336" s="594"/>
    </row>
    <row r="337">
      <c r="O337" s="23"/>
      <c r="P337" s="23"/>
      <c r="Q337" s="23"/>
      <c r="S337" s="587"/>
      <c r="T337" s="550"/>
      <c r="U337" s="550"/>
      <c r="V337" s="550"/>
      <c r="W337" s="550"/>
      <c r="X337" s="550"/>
      <c r="Y337" s="550"/>
      <c r="Z337" s="550"/>
      <c r="AA337" s="577"/>
      <c r="AC337" s="587"/>
      <c r="AD337" s="550"/>
      <c r="AE337" s="550"/>
      <c r="AF337" s="550"/>
      <c r="AG337" s="550"/>
      <c r="AH337" s="550"/>
      <c r="AI337" s="550"/>
      <c r="AJ337" s="550"/>
      <c r="AK337" s="550"/>
      <c r="AL337" s="550"/>
      <c r="AM337" s="550"/>
      <c r="AN337" s="569"/>
      <c r="AP337" s="587"/>
      <c r="AQ337" s="1369"/>
      <c r="AR337" s="1369"/>
      <c r="AS337" s="1369"/>
      <c r="AT337" s="1369"/>
      <c r="AU337" s="1369"/>
      <c r="AV337" s="1901"/>
      <c r="AW337" s="1369"/>
      <c r="AX337" s="1369"/>
      <c r="AY337" s="1369"/>
      <c r="AZ337" s="1369"/>
      <c r="BA337" s="1369"/>
      <c r="BB337" s="1369"/>
      <c r="BC337" s="1369"/>
      <c r="BD337" s="1369"/>
      <c r="BE337" s="1369"/>
      <c r="BF337" s="610"/>
      <c r="BH337" s="587"/>
      <c r="BI337" s="577"/>
      <c r="BJ337" s="577"/>
      <c r="BK337" s="577"/>
      <c r="BL337" s="577"/>
      <c r="BM337" s="577"/>
      <c r="BN337" s="577"/>
      <c r="BO337" s="577"/>
      <c r="BP337" s="577"/>
      <c r="BQ337" s="577"/>
      <c r="BR337" s="577"/>
      <c r="BS337" s="577"/>
      <c r="BT337" s="577"/>
      <c r="BU337" s="577"/>
      <c r="BV337" s="577"/>
    </row>
    <row r="338">
      <c r="O338" s="23"/>
      <c r="P338" s="23"/>
      <c r="Q338" s="23"/>
      <c r="S338" s="587"/>
      <c r="T338" s="550"/>
      <c r="U338" s="550"/>
      <c r="V338" s="550"/>
      <c r="W338" s="550"/>
      <c r="X338" s="550"/>
      <c r="Y338" s="550"/>
      <c r="Z338" s="550"/>
      <c r="AA338" s="577"/>
      <c r="AC338" s="587"/>
      <c r="AD338" s="550"/>
      <c r="AE338" s="550"/>
      <c r="AF338" s="550"/>
      <c r="AG338" s="550"/>
      <c r="AH338" s="550"/>
      <c r="AI338" s="550"/>
      <c r="AJ338" s="550"/>
      <c r="AK338" s="550"/>
      <c r="AL338" s="550"/>
      <c r="AM338" s="550"/>
      <c r="AN338" s="569"/>
      <c r="AP338" s="587"/>
      <c r="AQ338" s="1369"/>
      <c r="AR338" s="1369"/>
      <c r="AS338" s="1369"/>
      <c r="AT338" s="1369"/>
      <c r="AU338" s="1369"/>
      <c r="AV338" s="1901"/>
      <c r="AW338" s="1369"/>
      <c r="AX338" s="1369"/>
      <c r="AY338" s="1369"/>
      <c r="AZ338" s="1369"/>
      <c r="BA338" s="1369"/>
      <c r="BB338" s="1369"/>
      <c r="BC338" s="1369"/>
      <c r="BD338" s="1369"/>
      <c r="BE338" s="1369"/>
      <c r="BF338" s="610"/>
      <c r="BH338" s="587"/>
      <c r="BI338" s="577"/>
      <c r="BJ338" s="577"/>
      <c r="BK338" s="577"/>
      <c r="BL338" s="577"/>
      <c r="BM338" s="577"/>
      <c r="BN338" s="577"/>
      <c r="BO338" s="577"/>
      <c r="BP338" s="577"/>
      <c r="BQ338" s="577"/>
      <c r="BR338" s="577"/>
      <c r="BS338" s="577"/>
      <c r="BT338" s="577"/>
      <c r="BU338" s="577"/>
      <c r="BV338" s="577"/>
    </row>
    <row r="339">
      <c r="O339" s="23"/>
      <c r="P339" s="23"/>
      <c r="Q339" s="23"/>
      <c r="S339" s="587"/>
      <c r="T339" s="550"/>
      <c r="U339" s="550"/>
      <c r="V339" s="550"/>
      <c r="W339" s="550"/>
      <c r="X339" s="550"/>
      <c r="Y339" s="550"/>
      <c r="Z339" s="550"/>
      <c r="AA339" s="577"/>
      <c r="AC339" s="587"/>
      <c r="AD339" s="550"/>
      <c r="AE339" s="550"/>
      <c r="AF339" s="550"/>
      <c r="AG339" s="550"/>
      <c r="AH339" s="550"/>
      <c r="AI339" s="550"/>
      <c r="AJ339" s="550"/>
      <c r="AK339" s="550"/>
      <c r="AL339" s="550"/>
      <c r="AM339" s="550"/>
      <c r="AN339" s="569"/>
      <c r="AP339" s="587"/>
      <c r="AQ339" s="1369"/>
      <c r="AR339" s="1369"/>
      <c r="AS339" s="1369"/>
      <c r="AT339" s="1369"/>
      <c r="AU339" s="1369"/>
      <c r="AV339" s="1901"/>
      <c r="AW339" s="1369"/>
      <c r="AX339" s="1369"/>
      <c r="AY339" s="1369"/>
      <c r="AZ339" s="1369"/>
      <c r="BA339" s="1369"/>
      <c r="BB339" s="1369"/>
      <c r="BC339" s="1369"/>
      <c r="BD339" s="1369"/>
      <c r="BE339" s="1369"/>
      <c r="BF339" s="610"/>
      <c r="BH339" s="587"/>
      <c r="BI339" s="577"/>
      <c r="BJ339" s="577"/>
      <c r="BK339" s="577"/>
      <c r="BL339" s="577"/>
      <c r="BM339" s="577"/>
      <c r="BN339" s="577"/>
      <c r="BO339" s="577"/>
      <c r="BP339" s="577"/>
      <c r="BQ339" s="577"/>
      <c r="BR339" s="577"/>
      <c r="BS339" s="577"/>
      <c r="BT339" s="577"/>
      <c r="BU339" s="577"/>
      <c r="BV339" s="577"/>
    </row>
    <row r="340">
      <c r="O340" s="23"/>
      <c r="P340" s="23"/>
      <c r="Q340" s="23"/>
      <c r="S340" s="587"/>
      <c r="T340" s="550"/>
      <c r="U340" s="550"/>
      <c r="V340" s="550"/>
      <c r="W340" s="550"/>
      <c r="X340" s="550"/>
      <c r="Y340" s="550"/>
      <c r="Z340" s="550"/>
      <c r="AA340" s="577"/>
      <c r="AC340" s="587"/>
      <c r="AD340" s="550"/>
      <c r="AE340" s="550"/>
      <c r="AF340" s="550"/>
      <c r="AG340" s="550"/>
      <c r="AH340" s="550"/>
      <c r="AI340" s="550"/>
      <c r="AJ340" s="550"/>
      <c r="AK340" s="550"/>
      <c r="AL340" s="550"/>
      <c r="AM340" s="550"/>
      <c r="AN340" s="569"/>
      <c r="AP340" s="587"/>
      <c r="AQ340" s="1369"/>
      <c r="AR340" s="1369"/>
      <c r="AS340" s="1369"/>
      <c r="AT340" s="1369"/>
      <c r="AU340" s="1369"/>
      <c r="AV340" s="1901"/>
      <c r="AW340" s="1369"/>
      <c r="AX340" s="1369"/>
      <c r="AY340" s="1369"/>
      <c r="AZ340" s="1369"/>
      <c r="BA340" s="1369"/>
      <c r="BB340" s="1369"/>
      <c r="BC340" s="1369"/>
      <c r="BD340" s="1369"/>
      <c r="BE340" s="1369"/>
      <c r="BF340" s="610"/>
      <c r="BH340" s="587"/>
      <c r="BI340" s="577"/>
      <c r="BJ340" s="577"/>
      <c r="BK340" s="577"/>
      <c r="BL340" s="577"/>
      <c r="BM340" s="577"/>
      <c r="BN340" s="577"/>
      <c r="BO340" s="577"/>
      <c r="BP340" s="577"/>
      <c r="BQ340" s="577"/>
      <c r="BR340" s="577"/>
      <c r="BS340" s="577"/>
      <c r="BT340" s="577"/>
      <c r="BU340" s="577"/>
      <c r="BV340" s="577"/>
    </row>
    <row r="341">
      <c r="O341" s="23"/>
      <c r="P341" s="23"/>
      <c r="Q341" s="23"/>
      <c r="S341" s="587"/>
      <c r="T341" s="554"/>
      <c r="U341" s="554"/>
      <c r="V341" s="554"/>
      <c r="W341" s="554"/>
      <c r="X341" s="554"/>
      <c r="Y341" s="554"/>
      <c r="Z341" s="554"/>
      <c r="AA341" s="577"/>
      <c r="AC341" s="587"/>
      <c r="AD341" s="554"/>
      <c r="AE341" s="554"/>
      <c r="AF341" s="554"/>
      <c r="AG341" s="554"/>
      <c r="AH341" s="554"/>
      <c r="AI341" s="554"/>
      <c r="AJ341" s="554"/>
      <c r="AK341" s="554"/>
      <c r="AL341" s="554"/>
      <c r="AM341" s="554"/>
      <c r="AN341" s="569"/>
      <c r="AP341" s="587"/>
      <c r="AQ341" s="1369"/>
      <c r="AR341" s="1369"/>
      <c r="AS341" s="1369"/>
      <c r="AT341" s="1369"/>
      <c r="AU341" s="1369"/>
      <c r="AV341" s="1901"/>
      <c r="AW341" s="1369"/>
      <c r="AX341" s="1369"/>
      <c r="AY341" s="1369"/>
      <c r="AZ341" s="1369"/>
      <c r="BA341" s="1369"/>
      <c r="BB341" s="1369"/>
      <c r="BC341" s="1369"/>
      <c r="BD341" s="1369"/>
      <c r="BE341" s="1369"/>
      <c r="BF341" s="610"/>
      <c r="BH341" s="587"/>
      <c r="BI341" s="577"/>
      <c r="BJ341" s="577"/>
      <c r="BK341" s="577"/>
      <c r="BL341" s="577"/>
      <c r="BM341" s="577"/>
      <c r="BN341" s="577"/>
      <c r="BO341" s="577"/>
      <c r="BP341" s="577"/>
      <c r="BQ341" s="577"/>
      <c r="BR341" s="577"/>
      <c r="BS341" s="577"/>
      <c r="BT341" s="577"/>
      <c r="BU341" s="577"/>
      <c r="BV341" s="577"/>
    </row>
    <row r="342">
      <c r="O342" s="23"/>
      <c r="P342" s="23"/>
      <c r="Q342" s="23"/>
      <c r="S342" s="587"/>
      <c r="T342" s="550"/>
      <c r="U342" s="550"/>
      <c r="V342" s="550"/>
      <c r="W342" s="550"/>
      <c r="X342" s="550"/>
      <c r="Y342" s="550"/>
      <c r="Z342" s="550"/>
      <c r="AA342" s="594"/>
      <c r="AC342" s="587"/>
      <c r="AD342" s="550"/>
      <c r="AE342" s="550"/>
      <c r="AF342" s="550"/>
      <c r="AG342" s="550"/>
      <c r="AH342" s="550"/>
      <c r="AI342" s="550"/>
      <c r="AJ342" s="550"/>
      <c r="AK342" s="550"/>
      <c r="AL342" s="550"/>
      <c r="AM342" s="550"/>
      <c r="AN342" s="569"/>
      <c r="AP342" s="587"/>
      <c r="AQ342" s="1369"/>
      <c r="AR342" s="1369"/>
      <c r="AS342" s="1369"/>
      <c r="AT342" s="1369"/>
      <c r="AU342" s="1369"/>
      <c r="AV342" s="1901"/>
      <c r="AW342" s="1369"/>
      <c r="AX342" s="1369"/>
      <c r="AY342" s="1369"/>
      <c r="AZ342" s="1369"/>
      <c r="BA342" s="1369"/>
      <c r="BB342" s="1369"/>
      <c r="BC342" s="1369"/>
      <c r="BD342" s="1369"/>
      <c r="BE342" s="1369"/>
      <c r="BF342" s="610"/>
      <c r="BH342" s="587"/>
      <c r="BI342" s="577"/>
      <c r="BJ342" s="577"/>
      <c r="BK342" s="577"/>
      <c r="BL342" s="577"/>
      <c r="BM342" s="577"/>
      <c r="BN342" s="577"/>
      <c r="BO342" s="577"/>
      <c r="BP342" s="577"/>
      <c r="BQ342" s="577"/>
      <c r="BR342" s="577"/>
      <c r="BS342" s="577"/>
      <c r="BT342" s="577"/>
      <c r="BU342" s="577"/>
      <c r="BV342" s="577"/>
    </row>
    <row r="343">
      <c r="O343" s="23"/>
      <c r="P343" s="23"/>
      <c r="Q343" s="23"/>
      <c r="S343" s="587"/>
      <c r="T343" s="550"/>
      <c r="U343" s="550"/>
      <c r="V343" s="550"/>
      <c r="W343" s="550"/>
      <c r="X343" s="550"/>
      <c r="Y343" s="550"/>
      <c r="Z343" s="550"/>
      <c r="AA343" s="577"/>
      <c r="AC343" s="587"/>
      <c r="AD343" s="550"/>
      <c r="AE343" s="550"/>
      <c r="AF343" s="550"/>
      <c r="AG343" s="550"/>
      <c r="AH343" s="550"/>
      <c r="AI343" s="550"/>
      <c r="AJ343" s="550"/>
      <c r="AK343" s="550"/>
      <c r="AL343" s="550"/>
      <c r="AM343" s="550"/>
      <c r="AN343" s="569"/>
      <c r="AP343" s="587"/>
      <c r="AQ343" s="1359"/>
      <c r="AR343" s="1359"/>
      <c r="AS343" s="1359"/>
      <c r="AT343" s="1359"/>
      <c r="AU343" s="1359"/>
      <c r="AV343" s="1902"/>
      <c r="AW343" s="1359"/>
      <c r="AX343" s="1359"/>
      <c r="AY343" s="1359"/>
      <c r="AZ343" s="1359"/>
      <c r="BA343" s="1359"/>
      <c r="BB343" s="1359"/>
      <c r="BC343" s="1359"/>
      <c r="BD343" s="1359"/>
      <c r="BE343" s="1359"/>
      <c r="BF343" s="610"/>
      <c r="BH343" s="587"/>
      <c r="BI343" s="594"/>
      <c r="BJ343" s="594"/>
      <c r="BK343" s="594"/>
      <c r="BL343" s="594"/>
      <c r="BM343" s="594"/>
      <c r="BN343" s="594"/>
      <c r="BO343" s="594"/>
      <c r="BP343" s="594"/>
      <c r="BQ343" s="594"/>
      <c r="BR343" s="594"/>
      <c r="BS343" s="594"/>
      <c r="BT343" s="594"/>
      <c r="BU343" s="594"/>
      <c r="BV343" s="594"/>
    </row>
    <row r="344">
      <c r="O344" s="23"/>
      <c r="P344" s="23"/>
      <c r="Q344" s="23"/>
      <c r="S344" s="587"/>
      <c r="T344" s="550"/>
      <c r="U344" s="550"/>
      <c r="V344" s="550"/>
      <c r="W344" s="550"/>
      <c r="X344" s="550"/>
      <c r="Y344" s="550"/>
      <c r="Z344" s="550"/>
      <c r="AA344" s="577"/>
      <c r="AC344" s="587"/>
      <c r="AD344" s="550"/>
      <c r="AE344" s="550"/>
      <c r="AF344" s="550"/>
      <c r="AG344" s="550"/>
      <c r="AH344" s="550"/>
      <c r="AI344" s="550"/>
      <c r="AJ344" s="550"/>
      <c r="AK344" s="550"/>
      <c r="AL344" s="550"/>
      <c r="AM344" s="550"/>
      <c r="AN344" s="569"/>
      <c r="AP344" s="587"/>
      <c r="AQ344" s="1369"/>
      <c r="AR344" s="1369"/>
      <c r="AS344" s="1369"/>
      <c r="AT344" s="1369"/>
      <c r="AU344" s="1369"/>
      <c r="AV344" s="1901"/>
      <c r="AW344" s="1369"/>
      <c r="AX344" s="1369"/>
      <c r="AY344" s="1369"/>
      <c r="AZ344" s="1369"/>
      <c r="BA344" s="1369"/>
      <c r="BB344" s="1369"/>
      <c r="BC344" s="1369"/>
      <c r="BD344" s="1369"/>
      <c r="BE344" s="1369"/>
      <c r="BF344" s="610"/>
      <c r="BH344" s="587"/>
      <c r="BI344" s="577"/>
      <c r="BJ344" s="577"/>
      <c r="BK344" s="577"/>
      <c r="BL344" s="577"/>
      <c r="BM344" s="577"/>
      <c r="BN344" s="577"/>
      <c r="BO344" s="577"/>
      <c r="BP344" s="577"/>
      <c r="BQ344" s="577"/>
      <c r="BR344" s="577"/>
      <c r="BS344" s="577"/>
      <c r="BT344" s="577"/>
      <c r="BU344" s="577"/>
      <c r="BV344" s="577"/>
    </row>
    <row r="345">
      <c r="O345" s="23"/>
      <c r="P345" s="23"/>
      <c r="Q345" s="23"/>
      <c r="S345" s="587"/>
      <c r="T345" s="550"/>
      <c r="U345" s="550"/>
      <c r="V345" s="550"/>
      <c r="W345" s="550"/>
      <c r="X345" s="550"/>
      <c r="Y345" s="550"/>
      <c r="Z345" s="550"/>
      <c r="AA345" s="577"/>
      <c r="AC345" s="587"/>
      <c r="AD345" s="550"/>
      <c r="AE345" s="550"/>
      <c r="AF345" s="550"/>
      <c r="AG345" s="550"/>
      <c r="AH345" s="550"/>
      <c r="AI345" s="550"/>
      <c r="AJ345" s="550"/>
      <c r="AK345" s="550"/>
      <c r="AL345" s="550"/>
      <c r="AM345" s="550"/>
      <c r="AN345" s="569"/>
      <c r="AP345" s="587"/>
      <c r="AQ345" s="1369"/>
      <c r="AR345" s="1369"/>
      <c r="AS345" s="1369"/>
      <c r="AT345" s="1369"/>
      <c r="AU345" s="1369"/>
      <c r="AV345" s="1901"/>
      <c r="AW345" s="1369"/>
      <c r="AX345" s="1369"/>
      <c r="AY345" s="1369"/>
      <c r="AZ345" s="1369"/>
      <c r="BA345" s="1369"/>
      <c r="BB345" s="1369"/>
      <c r="BC345" s="1369"/>
      <c r="BD345" s="1369"/>
      <c r="BE345" s="1369"/>
      <c r="BF345" s="610"/>
      <c r="BH345" s="587"/>
      <c r="BI345" s="577"/>
      <c r="BJ345" s="577"/>
      <c r="BK345" s="577"/>
      <c r="BL345" s="577"/>
      <c r="BM345" s="577"/>
      <c r="BN345" s="577"/>
      <c r="BO345" s="577"/>
      <c r="BP345" s="577"/>
      <c r="BQ345" s="577"/>
      <c r="BR345" s="577"/>
      <c r="BS345" s="577"/>
      <c r="BT345" s="577"/>
      <c r="BU345" s="577"/>
      <c r="BV345" s="577"/>
    </row>
    <row r="346">
      <c r="O346" s="23"/>
      <c r="P346" s="23"/>
      <c r="Q346" s="23"/>
      <c r="S346" s="587"/>
      <c r="T346" s="550"/>
      <c r="U346" s="550"/>
      <c r="V346" s="550"/>
      <c r="W346" s="550"/>
      <c r="X346" s="550"/>
      <c r="Y346" s="550"/>
      <c r="Z346" s="550"/>
      <c r="AA346" s="577"/>
      <c r="AC346" s="587"/>
      <c r="AD346" s="550"/>
      <c r="AE346" s="550"/>
      <c r="AF346" s="550"/>
      <c r="AG346" s="550"/>
      <c r="AH346" s="550"/>
      <c r="AI346" s="550"/>
      <c r="AJ346" s="550"/>
      <c r="AK346" s="550"/>
      <c r="AL346" s="550"/>
      <c r="AM346" s="550"/>
      <c r="AN346" s="569"/>
      <c r="AP346" s="587"/>
      <c r="AQ346" s="1369"/>
      <c r="AR346" s="1369"/>
      <c r="AS346" s="1369"/>
      <c r="AT346" s="1369"/>
      <c r="AU346" s="1369"/>
      <c r="AV346" s="1901"/>
      <c r="AW346" s="1369"/>
      <c r="AX346" s="1369"/>
      <c r="AY346" s="1369"/>
      <c r="AZ346" s="1369"/>
      <c r="BA346" s="1369"/>
      <c r="BB346" s="1369"/>
      <c r="BC346" s="1369"/>
      <c r="BD346" s="1369"/>
      <c r="BE346" s="1369"/>
      <c r="BF346" s="610"/>
      <c r="BH346" s="587"/>
      <c r="BI346" s="577"/>
      <c r="BJ346" s="577"/>
      <c r="BK346" s="577"/>
      <c r="BL346" s="577"/>
      <c r="BM346" s="577"/>
      <c r="BN346" s="577"/>
      <c r="BO346" s="577"/>
      <c r="BP346" s="577"/>
      <c r="BQ346" s="577"/>
      <c r="BR346" s="577"/>
      <c r="BS346" s="577"/>
      <c r="BT346" s="577"/>
      <c r="BU346" s="577"/>
      <c r="BV346" s="577"/>
    </row>
    <row r="347">
      <c r="O347" s="23"/>
      <c r="P347" s="23"/>
      <c r="Q347" s="23"/>
      <c r="S347" s="587"/>
      <c r="T347" s="550"/>
      <c r="U347" s="550"/>
      <c r="V347" s="550"/>
      <c r="W347" s="550"/>
      <c r="X347" s="550"/>
      <c r="Y347" s="550"/>
      <c r="Z347" s="550"/>
      <c r="AA347" s="577"/>
      <c r="AC347" s="587"/>
      <c r="AD347" s="550"/>
      <c r="AE347" s="550"/>
      <c r="AF347" s="550"/>
      <c r="AG347" s="550"/>
      <c r="AH347" s="550"/>
      <c r="AI347" s="550"/>
      <c r="AJ347" s="550"/>
      <c r="AK347" s="550"/>
      <c r="AL347" s="550"/>
      <c r="AM347" s="550"/>
      <c r="AN347" s="569"/>
      <c r="AP347" s="587"/>
      <c r="AQ347" s="1369"/>
      <c r="AR347" s="1369"/>
      <c r="AS347" s="1369"/>
      <c r="AT347" s="1369"/>
      <c r="AU347" s="1369"/>
      <c r="AV347" s="1901"/>
      <c r="AW347" s="1369"/>
      <c r="AX347" s="1369"/>
      <c r="AY347" s="1369"/>
      <c r="AZ347" s="1369"/>
      <c r="BA347" s="1369"/>
      <c r="BB347" s="1369"/>
      <c r="BC347" s="1369"/>
      <c r="BD347" s="1369"/>
      <c r="BE347" s="1369"/>
      <c r="BF347" s="610"/>
      <c r="BH347" s="587"/>
      <c r="BI347" s="577"/>
      <c r="BJ347" s="577"/>
      <c r="BK347" s="577"/>
      <c r="BL347" s="577"/>
      <c r="BM347" s="577"/>
      <c r="BN347" s="577"/>
      <c r="BO347" s="577"/>
      <c r="BP347" s="577"/>
      <c r="BQ347" s="577"/>
      <c r="BR347" s="577"/>
      <c r="BS347" s="577"/>
      <c r="BT347" s="577"/>
      <c r="BU347" s="577"/>
      <c r="BV347" s="577"/>
    </row>
    <row r="348">
      <c r="O348" s="23"/>
      <c r="P348" s="23"/>
      <c r="Q348" s="23"/>
      <c r="S348" s="587"/>
      <c r="T348" s="550"/>
      <c r="U348" s="550"/>
      <c r="V348" s="550"/>
      <c r="W348" s="550"/>
      <c r="X348" s="550"/>
      <c r="Y348" s="550"/>
      <c r="Z348" s="550"/>
      <c r="AA348" s="577"/>
      <c r="AC348" s="587"/>
      <c r="AD348" s="550"/>
      <c r="AE348" s="550"/>
      <c r="AF348" s="550"/>
      <c r="AG348" s="550"/>
      <c r="AH348" s="550"/>
      <c r="AI348" s="550"/>
      <c r="AJ348" s="550"/>
      <c r="AK348" s="550"/>
      <c r="AL348" s="550"/>
      <c r="AM348" s="550"/>
      <c r="AN348" s="569"/>
      <c r="AP348" s="587"/>
      <c r="AQ348" s="1369"/>
      <c r="AR348" s="1369"/>
      <c r="AS348" s="1369"/>
      <c r="AT348" s="1369"/>
      <c r="AU348" s="1369"/>
      <c r="AV348" s="1901"/>
      <c r="AW348" s="1369"/>
      <c r="AX348" s="1369"/>
      <c r="AY348" s="1369"/>
      <c r="AZ348" s="1369"/>
      <c r="BA348" s="1369"/>
      <c r="BB348" s="1369"/>
      <c r="BC348" s="1369"/>
      <c r="BD348" s="1369"/>
      <c r="BE348" s="1369"/>
      <c r="BF348" s="610"/>
      <c r="BH348" s="587"/>
      <c r="BI348" s="577"/>
      <c r="BJ348" s="577"/>
      <c r="BK348" s="577"/>
      <c r="BL348" s="577"/>
      <c r="BM348" s="577"/>
      <c r="BN348" s="577"/>
      <c r="BO348" s="577"/>
      <c r="BP348" s="577"/>
      <c r="BQ348" s="577"/>
      <c r="BR348" s="577"/>
      <c r="BS348" s="577"/>
      <c r="BT348" s="577"/>
      <c r="BU348" s="577"/>
      <c r="BV348" s="577"/>
    </row>
    <row r="349">
      <c r="O349" s="23"/>
      <c r="P349" s="23"/>
      <c r="Q349" s="23"/>
      <c r="S349" s="587"/>
      <c r="T349" s="554"/>
      <c r="U349" s="554"/>
      <c r="V349" s="554"/>
      <c r="W349" s="554"/>
      <c r="X349" s="554"/>
      <c r="Y349" s="554"/>
      <c r="Z349" s="554"/>
      <c r="AA349" s="577"/>
      <c r="AC349" s="587"/>
      <c r="AD349" s="554"/>
      <c r="AE349" s="554"/>
      <c r="AF349" s="554"/>
      <c r="AG349" s="554"/>
      <c r="AH349" s="554"/>
      <c r="AI349" s="554"/>
      <c r="AJ349" s="554"/>
      <c r="AK349" s="554"/>
      <c r="AL349" s="554"/>
      <c r="AM349" s="554"/>
      <c r="AN349" s="569"/>
      <c r="AP349" s="587"/>
      <c r="AQ349" s="1369"/>
      <c r="AR349" s="1369"/>
      <c r="AS349" s="1369"/>
      <c r="AT349" s="1369"/>
      <c r="AU349" s="1369"/>
      <c r="AV349" s="1901"/>
      <c r="AW349" s="1369"/>
      <c r="AX349" s="1369"/>
      <c r="AY349" s="1369"/>
      <c r="AZ349" s="1369"/>
      <c r="BA349" s="1369"/>
      <c r="BB349" s="1369"/>
      <c r="BC349" s="1369"/>
      <c r="BD349" s="1369"/>
      <c r="BE349" s="1369"/>
      <c r="BF349" s="610"/>
      <c r="BH349" s="587"/>
      <c r="BI349" s="577"/>
      <c r="BJ349" s="577"/>
      <c r="BK349" s="577"/>
      <c r="BL349" s="577"/>
      <c r="BM349" s="577"/>
      <c r="BN349" s="577"/>
      <c r="BO349" s="577"/>
      <c r="BP349" s="577"/>
      <c r="BQ349" s="577"/>
      <c r="BR349" s="577"/>
      <c r="BS349" s="577"/>
      <c r="BT349" s="577"/>
      <c r="BU349" s="577"/>
      <c r="BV349" s="577"/>
    </row>
    <row r="350">
      <c r="O350" s="23"/>
      <c r="P350" s="23"/>
      <c r="Q350" s="23"/>
      <c r="R350" s="569"/>
      <c r="S350" s="587"/>
      <c r="T350" s="550"/>
      <c r="U350" s="550"/>
      <c r="V350" s="550"/>
      <c r="W350" s="550"/>
      <c r="X350" s="550"/>
      <c r="Y350" s="550"/>
      <c r="Z350" s="550"/>
      <c r="AA350" s="594"/>
      <c r="AB350" s="598"/>
      <c r="AC350" s="587"/>
      <c r="AD350" s="550"/>
      <c r="AE350" s="550"/>
      <c r="AF350" s="550"/>
      <c r="AG350" s="550"/>
      <c r="AH350" s="550"/>
      <c r="AI350" s="550"/>
      <c r="AJ350" s="550"/>
      <c r="AK350" s="550"/>
      <c r="AL350" s="550"/>
      <c r="AM350" s="550"/>
      <c r="AN350" s="569"/>
      <c r="AP350" s="587"/>
      <c r="AQ350" s="1369"/>
      <c r="AR350" s="1369"/>
      <c r="AS350" s="1369"/>
      <c r="AT350" s="1369"/>
      <c r="AU350" s="1369"/>
      <c r="AV350" s="1901"/>
      <c r="AW350" s="1369"/>
      <c r="AX350" s="1369"/>
      <c r="AY350" s="1369"/>
      <c r="AZ350" s="1369"/>
      <c r="BA350" s="1369"/>
      <c r="BB350" s="1369"/>
      <c r="BC350" s="1369"/>
      <c r="BD350" s="1369"/>
      <c r="BE350" s="1369"/>
      <c r="BF350" s="610"/>
      <c r="BH350" s="587"/>
      <c r="BI350" s="577"/>
      <c r="BJ350" s="577"/>
      <c r="BK350" s="577"/>
      <c r="BL350" s="577"/>
      <c r="BM350" s="577"/>
      <c r="BN350" s="577"/>
      <c r="BO350" s="577"/>
      <c r="BP350" s="577"/>
      <c r="BQ350" s="577"/>
      <c r="BR350" s="577"/>
      <c r="BS350" s="577"/>
      <c r="BT350" s="577"/>
      <c r="BU350" s="577"/>
      <c r="BV350" s="577"/>
    </row>
    <row r="351">
      <c r="O351" s="23"/>
      <c r="P351" s="23"/>
      <c r="Q351" s="23"/>
      <c r="R351" s="569"/>
      <c r="S351" s="587"/>
      <c r="T351" s="554"/>
      <c r="U351" s="554"/>
      <c r="V351" s="554"/>
      <c r="W351" s="554"/>
      <c r="X351" s="554"/>
      <c r="Y351" s="554"/>
      <c r="Z351" s="554"/>
      <c r="AA351" s="577"/>
      <c r="AB351" s="569"/>
      <c r="AC351" s="587"/>
      <c r="AD351" s="554"/>
      <c r="AE351" s="554"/>
      <c r="AF351" s="554"/>
      <c r="AG351" s="554"/>
      <c r="AH351" s="554"/>
      <c r="AI351" s="554"/>
      <c r="AJ351" s="554"/>
      <c r="AK351" s="554"/>
      <c r="AL351" s="554"/>
      <c r="AM351" s="554"/>
      <c r="AN351" s="569"/>
      <c r="AP351" s="587"/>
      <c r="AQ351" s="1359"/>
      <c r="AR351" s="1359"/>
      <c r="AS351" s="1359"/>
      <c r="AT351" s="1359"/>
      <c r="AU351" s="1359"/>
      <c r="AV351" s="1902"/>
      <c r="AW351" s="1359"/>
      <c r="AX351" s="1359"/>
      <c r="AY351" s="1359"/>
      <c r="AZ351" s="1359"/>
      <c r="BA351" s="1359"/>
      <c r="BB351" s="1359"/>
      <c r="BC351" s="1359"/>
      <c r="BD351" s="1359"/>
      <c r="BE351" s="1359"/>
      <c r="BF351" s="610"/>
      <c r="BH351" s="587"/>
      <c r="BI351" s="594"/>
      <c r="BJ351" s="594"/>
      <c r="BK351" s="594"/>
      <c r="BL351" s="594"/>
      <c r="BM351" s="594"/>
      <c r="BN351" s="594"/>
      <c r="BO351" s="594"/>
      <c r="BP351" s="594"/>
      <c r="BQ351" s="594"/>
      <c r="BR351" s="594"/>
      <c r="BS351" s="594"/>
      <c r="BT351" s="594"/>
      <c r="BU351" s="594"/>
      <c r="BV351" s="594"/>
    </row>
    <row r="352">
      <c r="O352" s="23"/>
      <c r="P352" s="23"/>
      <c r="Q352" s="23"/>
      <c r="R352" s="569"/>
      <c r="S352" s="587"/>
      <c r="T352" s="550"/>
      <c r="U352" s="550"/>
      <c r="V352" s="550"/>
      <c r="W352" s="550"/>
      <c r="X352" s="550"/>
      <c r="Y352" s="550"/>
      <c r="Z352" s="550"/>
      <c r="AA352" s="569"/>
      <c r="AB352" s="569"/>
      <c r="AC352" s="587"/>
      <c r="AD352" s="550"/>
      <c r="AE352" s="550"/>
      <c r="AF352" s="550"/>
      <c r="AG352" s="550"/>
      <c r="AH352" s="550"/>
      <c r="AI352" s="550"/>
      <c r="AJ352" s="550"/>
      <c r="AK352" s="550"/>
      <c r="AL352" s="550"/>
      <c r="AM352" s="550"/>
      <c r="AN352" s="569"/>
      <c r="AO352" s="589"/>
      <c r="AP352" s="587"/>
      <c r="AQ352" s="1369"/>
      <c r="AR352" s="1369"/>
      <c r="AS352" s="1369"/>
      <c r="AT352" s="1369"/>
      <c r="AU352" s="1369"/>
      <c r="AV352" s="1901"/>
      <c r="AW352" s="1369"/>
      <c r="AX352" s="1369"/>
      <c r="AY352" s="1369"/>
      <c r="AZ352" s="1369"/>
      <c r="BA352" s="1369"/>
      <c r="BB352" s="1369"/>
      <c r="BC352" s="1369"/>
      <c r="BD352" s="1369"/>
      <c r="BE352" s="1369"/>
      <c r="BF352" s="610"/>
      <c r="BG352" s="589"/>
      <c r="BH352" s="587"/>
      <c r="BI352" s="577"/>
      <c r="BJ352" s="577"/>
      <c r="BK352" s="577"/>
      <c r="BL352" s="577"/>
      <c r="BM352" s="577"/>
      <c r="BN352" s="577"/>
      <c r="BO352" s="577"/>
      <c r="BP352" s="577"/>
      <c r="BQ352" s="577"/>
      <c r="BR352" s="577"/>
      <c r="BS352" s="577"/>
      <c r="BT352" s="577"/>
      <c r="BU352" s="577"/>
      <c r="BV352" s="577"/>
    </row>
    <row r="353">
      <c r="O353" s="23"/>
      <c r="P353" s="23"/>
      <c r="Q353" s="23"/>
      <c r="R353" s="569"/>
      <c r="S353" s="569"/>
      <c r="T353" s="569"/>
      <c r="U353" s="569"/>
      <c r="V353" s="569"/>
      <c r="W353" s="569"/>
      <c r="X353" s="569"/>
      <c r="Y353" s="569"/>
      <c r="Z353" s="569"/>
      <c r="AA353" s="569"/>
      <c r="AB353" s="569"/>
      <c r="AC353" s="569"/>
      <c r="AD353" s="569"/>
      <c r="AE353" s="569"/>
      <c r="AF353" s="569"/>
      <c r="AG353" s="569"/>
      <c r="AH353" s="569"/>
      <c r="AI353" s="569"/>
      <c r="AJ353" s="569"/>
      <c r="AK353" s="569"/>
      <c r="AL353" s="569"/>
      <c r="AM353" s="569"/>
      <c r="AN353" s="569"/>
      <c r="AO353" s="589"/>
      <c r="AP353" s="587"/>
      <c r="AQ353" s="1359"/>
      <c r="AR353" s="1359"/>
      <c r="AS353" s="1359"/>
      <c r="AT353" s="1359"/>
      <c r="AU353" s="1359"/>
      <c r="AV353" s="1902"/>
      <c r="AW353" s="1359"/>
      <c r="AX353" s="1359"/>
      <c r="AY353" s="1359"/>
      <c r="AZ353" s="1359"/>
      <c r="BA353" s="1359"/>
      <c r="BB353" s="1359"/>
      <c r="BC353" s="1359"/>
      <c r="BD353" s="1359"/>
      <c r="BE353" s="1359"/>
      <c r="BF353" s="610"/>
      <c r="BG353" s="589"/>
      <c r="BH353" s="587"/>
      <c r="BI353" s="594"/>
      <c r="BJ353" s="594"/>
      <c r="BK353" s="594"/>
      <c r="BL353" s="594"/>
      <c r="BM353" s="594"/>
      <c r="BN353" s="594"/>
      <c r="BO353" s="594"/>
      <c r="BP353" s="594"/>
      <c r="BQ353" s="594"/>
      <c r="BR353" s="594"/>
      <c r="BS353" s="594"/>
      <c r="BT353" s="594"/>
      <c r="BU353" s="594"/>
      <c r="BV353" s="594"/>
    </row>
    <row r="354">
      <c r="O354" s="23"/>
      <c r="P354" s="23"/>
      <c r="Q354" s="23"/>
      <c r="R354" s="569"/>
      <c r="S354" s="569"/>
      <c r="T354" s="569"/>
      <c r="U354" s="569"/>
      <c r="V354" s="569"/>
      <c r="W354" s="569"/>
      <c r="X354" s="569"/>
      <c r="Y354" s="569"/>
      <c r="Z354" s="569"/>
      <c r="AA354" s="569"/>
      <c r="AB354" s="569"/>
      <c r="AC354" s="569"/>
      <c r="AD354" s="569"/>
      <c r="AE354" s="569"/>
      <c r="AF354" s="569"/>
      <c r="AG354" s="569"/>
      <c r="AH354" s="569"/>
      <c r="AI354" s="569"/>
      <c r="AJ354" s="569"/>
      <c r="AK354" s="569"/>
      <c r="AL354" s="569"/>
      <c r="AM354" s="569"/>
      <c r="AN354" s="569"/>
      <c r="AO354" s="569"/>
      <c r="AP354" s="587"/>
      <c r="AQ354" s="1442"/>
      <c r="AR354" s="1442"/>
      <c r="AS354" s="1442"/>
      <c r="AT354" s="1442"/>
      <c r="AU354" s="1442"/>
      <c r="AV354" s="1903"/>
      <c r="AW354" s="1442"/>
      <c r="AX354" s="1442"/>
      <c r="AY354" s="1442"/>
      <c r="AZ354" s="1442"/>
      <c r="BA354" s="1442"/>
      <c r="BB354" s="1442"/>
      <c r="BC354" s="1442"/>
      <c r="BD354" s="1442"/>
      <c r="BE354" s="1442"/>
      <c r="BF354" s="610"/>
      <c r="BG354" s="569"/>
      <c r="BH354" s="587"/>
      <c r="BI354" s="591"/>
      <c r="BJ354" s="591"/>
      <c r="BK354" s="591"/>
      <c r="BL354" s="591"/>
      <c r="BM354" s="591"/>
      <c r="BN354" s="591"/>
      <c r="BO354" s="591"/>
      <c r="BP354" s="591"/>
      <c r="BQ354" s="591"/>
      <c r="BR354" s="591"/>
      <c r="BS354" s="591"/>
      <c r="BT354" s="591"/>
      <c r="BU354" s="591"/>
      <c r="BV354" s="591"/>
    </row>
    <row r="355">
      <c r="O355" s="23"/>
      <c r="P355" s="23"/>
      <c r="Q355" s="23"/>
      <c r="R355" s="220"/>
      <c r="S355" s="220"/>
      <c r="T355" s="220"/>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1897"/>
      <c r="AW355" s="23"/>
      <c r="AX355" s="23"/>
      <c r="AY355" s="23"/>
      <c r="AZ355" s="23"/>
      <c r="BA355" s="23"/>
      <c r="BB355" s="23"/>
      <c r="BC355" s="23"/>
      <c r="BD355" s="23"/>
      <c r="BE355" s="23"/>
      <c r="BG355" s="23"/>
      <c r="BH355" s="23"/>
      <c r="BI355" s="23"/>
      <c r="BJ355" s="23"/>
      <c r="BK355" s="1681"/>
      <c r="BL355" s="23"/>
      <c r="BM355" s="23"/>
      <c r="BN355" s="23"/>
      <c r="BO355" s="23"/>
      <c r="BP355" s="23"/>
      <c r="BQ355" s="23"/>
      <c r="BR355" s="23"/>
      <c r="BS355" s="23"/>
      <c r="BT355" s="23"/>
      <c r="BU355" s="23"/>
      <c r="BV355" s="23"/>
    </row>
    <row r="356">
      <c r="O356" s="23"/>
      <c r="P356" s="23"/>
      <c r="Q356" s="23"/>
      <c r="R356" s="220"/>
      <c r="S356" s="220"/>
      <c r="T356" s="220"/>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1897"/>
      <c r="AW356" s="23"/>
      <c r="AX356" s="23"/>
      <c r="AY356" s="23"/>
      <c r="AZ356" s="23"/>
      <c r="BA356" s="23"/>
      <c r="BB356" s="23"/>
      <c r="BC356" s="23"/>
      <c r="BD356" s="23"/>
      <c r="BE356" s="23"/>
      <c r="BG356" s="23"/>
      <c r="BH356" s="23"/>
      <c r="BI356" s="23"/>
      <c r="BJ356" s="23"/>
      <c r="BK356" s="1681"/>
      <c r="BL356" s="23"/>
      <c r="BM356" s="23"/>
      <c r="BN356" s="23"/>
      <c r="BO356" s="23"/>
      <c r="BP356" s="23"/>
      <c r="BQ356" s="23"/>
      <c r="BR356" s="23"/>
      <c r="BS356" s="23"/>
      <c r="BT356" s="23"/>
      <c r="BU356" s="23"/>
      <c r="BV356" s="23"/>
    </row>
    <row r="357">
      <c r="O357" s="23"/>
      <c r="P357" s="23"/>
      <c r="Q357" s="23"/>
      <c r="R357" s="220"/>
      <c r="S357" s="220"/>
      <c r="T357" s="220"/>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1897"/>
      <c r="AW357" s="23"/>
      <c r="AX357" s="23"/>
      <c r="AY357" s="23"/>
      <c r="AZ357" s="23"/>
      <c r="BA357" s="23"/>
      <c r="BB357" s="23"/>
      <c r="BC357" s="23"/>
      <c r="BD357" s="23"/>
      <c r="BE357" s="23"/>
      <c r="BG357" s="23"/>
      <c r="BH357" s="23"/>
      <c r="BI357" s="23"/>
      <c r="BJ357" s="23"/>
      <c r="BK357" s="1681"/>
      <c r="BL357" s="23"/>
      <c r="BM357" s="23"/>
      <c r="BN357" s="23"/>
      <c r="BO357" s="23"/>
      <c r="BP357" s="23"/>
      <c r="BQ357" s="23"/>
      <c r="BR357" s="23"/>
      <c r="BS357" s="23"/>
      <c r="BT357" s="23"/>
      <c r="BU357" s="23"/>
      <c r="BV357" s="23"/>
    </row>
    <row r="358">
      <c r="O358" s="23"/>
      <c r="P358" s="23"/>
      <c r="Q358" s="23"/>
      <c r="R358" s="220"/>
      <c r="S358" s="220"/>
      <c r="T358" s="220"/>
      <c r="U358" s="23"/>
      <c r="V358" s="23"/>
      <c r="W358" s="23"/>
      <c r="X358" s="23"/>
      <c r="Y358" s="23"/>
      <c r="Z358" s="23"/>
      <c r="AA358" s="23"/>
      <c r="AB358" s="23"/>
      <c r="AC358" s="23"/>
      <c r="AD358" s="23"/>
      <c r="AE358" s="23"/>
      <c r="AF358" s="23"/>
      <c r="AG358" s="23"/>
      <c r="AH358" s="23"/>
      <c r="AI358" s="23"/>
      <c r="AJ358" s="23"/>
      <c r="AK358" s="23"/>
      <c r="AL358" s="23"/>
      <c r="AM358" s="23"/>
      <c r="AN358" s="23"/>
      <c r="AV358" s="1896"/>
      <c r="BK358" s="1631"/>
    </row>
    <row r="359">
      <c r="O359" s="23"/>
      <c r="P359" s="23"/>
      <c r="Q359" s="23"/>
      <c r="R359" s="220"/>
      <c r="S359" s="220"/>
      <c r="T359" s="220"/>
      <c r="U359" s="23"/>
      <c r="V359" s="23"/>
      <c r="W359" s="23"/>
      <c r="X359" s="23"/>
      <c r="Y359" s="23"/>
      <c r="Z359" s="23"/>
      <c r="AA359" s="23"/>
      <c r="AB359" s="23"/>
      <c r="AC359" s="23"/>
      <c r="AD359" s="23"/>
      <c r="AE359" s="23"/>
      <c r="AF359" s="23"/>
      <c r="AG359" s="23"/>
      <c r="AH359" s="23"/>
      <c r="AI359" s="23"/>
      <c r="AJ359" s="23"/>
      <c r="AK359" s="23"/>
      <c r="AL359" s="23"/>
      <c r="AM359" s="23"/>
      <c r="AN359" s="23"/>
      <c r="AV359" s="1896"/>
      <c r="BK359" s="1631"/>
    </row>
    <row r="360">
      <c r="O360" s="23"/>
      <c r="P360" s="23"/>
      <c r="Q360" s="23"/>
      <c r="R360" s="220"/>
      <c r="S360" s="220"/>
      <c r="T360" s="220"/>
      <c r="U360" s="23"/>
      <c r="V360" s="23"/>
      <c r="W360" s="23"/>
      <c r="X360" s="23"/>
      <c r="Y360" s="23"/>
      <c r="Z360" s="23"/>
      <c r="AA360" s="23"/>
      <c r="AB360" s="23"/>
      <c r="AC360" s="23"/>
      <c r="AD360" s="23"/>
      <c r="AE360" s="23"/>
      <c r="AF360" s="23"/>
      <c r="AG360" s="23"/>
      <c r="AH360" s="23"/>
      <c r="AI360" s="23"/>
      <c r="AJ360" s="23"/>
      <c r="AK360" s="23"/>
      <c r="AL360" s="23"/>
      <c r="AM360" s="23"/>
      <c r="AN360" s="23"/>
      <c r="AV360" s="1896"/>
      <c r="BK360" s="1631"/>
    </row>
    <row r="361">
      <c r="AV361" s="1896"/>
      <c r="BK361" s="1631"/>
    </row>
    <row r="362">
      <c r="AV362" s="1896"/>
      <c r="BK362" s="1631"/>
    </row>
    <row r="363">
      <c r="AV363" s="1896"/>
      <c r="BK363" s="1631"/>
    </row>
    <row r="364">
      <c r="AV364" s="1896"/>
      <c r="BK364" s="1631"/>
    </row>
    <row r="365">
      <c r="AV365" s="1896"/>
      <c r="BK365" s="1631"/>
    </row>
    <row r="366">
      <c r="AV366" s="1896"/>
      <c r="BK366" s="1631"/>
    </row>
    <row r="367">
      <c r="AV367" s="1896"/>
      <c r="BK367" s="1631"/>
    </row>
    <row r="368">
      <c r="AV368" s="1896"/>
      <c r="BK368" s="1631"/>
    </row>
    <row r="369">
      <c r="AV369" s="1896"/>
      <c r="BK369" s="1631"/>
    </row>
    <row r="370">
      <c r="AV370" s="1896"/>
      <c r="BK370" s="1631"/>
    </row>
    <row r="371">
      <c r="AV371" s="1896"/>
      <c r="BK371" s="1631"/>
    </row>
    <row r="372">
      <c r="AV372" s="1896"/>
      <c r="BK372" s="1631"/>
    </row>
    <row r="373">
      <c r="AV373" s="1896"/>
      <c r="BK373" s="1631"/>
    </row>
    <row r="374">
      <c r="AV374" s="1896"/>
      <c r="BK374" s="1631"/>
    </row>
    <row r="375">
      <c r="AV375" s="1896"/>
      <c r="BK375" s="1631"/>
    </row>
    <row r="376">
      <c r="AV376" s="1896"/>
      <c r="BK376" s="1631"/>
    </row>
    <row r="377">
      <c r="AV377" s="1896"/>
      <c r="BK377" s="1631"/>
    </row>
    <row r="378">
      <c r="AV378" s="1896"/>
      <c r="BK378" s="1631"/>
    </row>
    <row r="379">
      <c r="AV379" s="1896"/>
      <c r="BK379" s="1631"/>
    </row>
    <row r="380">
      <c r="AV380" s="1896"/>
      <c r="BK380" s="1631"/>
    </row>
    <row r="381">
      <c r="AV381" s="1896"/>
      <c r="BK381" s="1631"/>
    </row>
    <row r="382">
      <c r="AV382" s="1896"/>
      <c r="BK382" s="1631"/>
    </row>
    <row r="383">
      <c r="AV383" s="1896"/>
      <c r="BK383" s="1631"/>
    </row>
    <row r="384">
      <c r="AV384" s="1896"/>
      <c r="BK384" s="1631"/>
    </row>
    <row r="385">
      <c r="AV385" s="1896"/>
      <c r="BK385" s="1631"/>
    </row>
    <row r="386">
      <c r="AV386" s="1896"/>
      <c r="BK386" s="1631"/>
    </row>
    <row r="387">
      <c r="AV387" s="1896"/>
      <c r="BK387" s="1631"/>
    </row>
    <row r="388">
      <c r="AV388" s="1896"/>
      <c r="BK388" s="1631"/>
    </row>
    <row r="389">
      <c r="AV389" s="1896"/>
      <c r="BK389" s="1631"/>
    </row>
    <row r="390">
      <c r="AV390" s="1896"/>
      <c r="BK390" s="1631"/>
    </row>
    <row r="391">
      <c r="AV391" s="1896"/>
      <c r="BK391" s="1631"/>
    </row>
    <row r="392">
      <c r="AV392" s="1896"/>
      <c r="BK392" s="1631"/>
    </row>
    <row r="393">
      <c r="AV393" s="1896"/>
      <c r="BK393" s="1631"/>
    </row>
    <row r="394">
      <c r="AV394" s="1896"/>
      <c r="BK394" s="1631"/>
    </row>
    <row r="395">
      <c r="AV395" s="1896"/>
      <c r="BK395" s="1631"/>
    </row>
    <row r="396">
      <c r="AV396" s="1896"/>
      <c r="BK396" s="1631"/>
    </row>
    <row r="397">
      <c r="AV397" s="1896"/>
      <c r="BK397" s="1631"/>
    </row>
    <row r="398">
      <c r="AV398" s="1896"/>
      <c r="BK398" s="1631"/>
    </row>
    <row r="399">
      <c r="AV399" s="1896"/>
      <c r="BK399" s="1631"/>
    </row>
    <row r="400">
      <c r="AV400" s="1896"/>
      <c r="BK400" s="1631"/>
    </row>
    <row r="401">
      <c r="AV401" s="1896"/>
      <c r="BK401" s="1631"/>
    </row>
    <row r="402">
      <c r="AV402" s="1896"/>
      <c r="BK402" s="1631"/>
    </row>
    <row r="403">
      <c r="AV403" s="1896"/>
      <c r="BK403" s="1631"/>
    </row>
    <row r="404">
      <c r="AV404" s="1896"/>
      <c r="BK404" s="1631"/>
    </row>
    <row r="405">
      <c r="AV405" s="1896"/>
      <c r="BK405" s="1631"/>
    </row>
    <row r="406">
      <c r="AV406" s="1896"/>
      <c r="BK406" s="1631"/>
    </row>
    <row r="407">
      <c r="AV407" s="1896"/>
      <c r="BK407" s="1631"/>
    </row>
    <row r="408">
      <c r="AV408" s="1896"/>
      <c r="BK408" s="1631"/>
    </row>
    <row r="409">
      <c r="AV409" s="1896"/>
      <c r="BK409" s="1631"/>
    </row>
    <row r="410">
      <c r="AV410" s="1896"/>
      <c r="BK410" s="1631"/>
    </row>
    <row r="411">
      <c r="AV411" s="1896"/>
      <c r="BK411" s="1631"/>
    </row>
    <row r="412">
      <c r="AV412" s="1896"/>
      <c r="BK412" s="1631"/>
    </row>
    <row r="413">
      <c r="AV413" s="1896"/>
      <c r="BK413" s="1631"/>
    </row>
    <row r="414">
      <c r="AV414" s="1896"/>
      <c r="BK414" s="1631"/>
    </row>
    <row r="415">
      <c r="AV415" s="1896"/>
      <c r="BK415" s="1631"/>
    </row>
    <row r="416">
      <c r="AV416" s="1896"/>
      <c r="BK416" s="1631"/>
    </row>
    <row r="417">
      <c r="AV417" s="1896"/>
      <c r="BK417" s="1631"/>
    </row>
    <row r="418">
      <c r="AV418" s="1896"/>
      <c r="BK418" s="1631"/>
    </row>
    <row r="419">
      <c r="AV419" s="1896"/>
      <c r="BK419" s="1631"/>
    </row>
    <row r="420">
      <c r="AV420" s="1896"/>
      <c r="BK420" s="1631"/>
    </row>
    <row r="421">
      <c r="AV421" s="1896"/>
      <c r="BK421" s="1631"/>
    </row>
    <row r="422">
      <c r="AV422" s="1896"/>
      <c r="BK422" s="1631"/>
    </row>
    <row r="423">
      <c r="AV423" s="1896"/>
      <c r="BK423" s="1631"/>
    </row>
    <row r="424">
      <c r="AV424" s="1896"/>
      <c r="BK424" s="1631"/>
    </row>
    <row r="425">
      <c r="AV425" s="1896"/>
      <c r="BK425" s="1631"/>
    </row>
    <row r="426">
      <c r="AV426" s="1896"/>
      <c r="BK426" s="1631"/>
    </row>
    <row r="427">
      <c r="AV427" s="1896"/>
      <c r="BK427" s="1631"/>
    </row>
    <row r="428">
      <c r="AV428" s="1896"/>
      <c r="BK428" s="1631"/>
    </row>
    <row r="429">
      <c r="AV429" s="1896"/>
      <c r="BK429" s="1631"/>
    </row>
    <row r="430">
      <c r="AV430" s="1896"/>
      <c r="BK430" s="1631"/>
    </row>
    <row r="431">
      <c r="AV431" s="1896"/>
      <c r="BK431" s="1631"/>
    </row>
    <row r="432">
      <c r="AV432" s="1896"/>
      <c r="BK432" s="1631"/>
    </row>
    <row r="433">
      <c r="AV433" s="1896"/>
      <c r="BK433" s="1631"/>
    </row>
    <row r="434">
      <c r="AV434" s="1896"/>
      <c r="BK434" s="1631"/>
    </row>
    <row r="435">
      <c r="AV435" s="1896"/>
      <c r="BK435" s="1631"/>
    </row>
    <row r="436">
      <c r="AV436" s="1896"/>
      <c r="BK436" s="1631"/>
    </row>
    <row r="437">
      <c r="AV437" s="1896"/>
      <c r="BK437" s="1631"/>
    </row>
    <row r="438">
      <c r="AV438" s="1896"/>
      <c r="BK438" s="1631"/>
    </row>
    <row r="439">
      <c r="AV439" s="1896"/>
      <c r="BK439" s="1631"/>
    </row>
    <row r="440">
      <c r="AV440" s="1896"/>
      <c r="BK440" s="1631"/>
    </row>
    <row r="441">
      <c r="AV441" s="1896"/>
      <c r="BK441" s="1631"/>
    </row>
    <row r="442">
      <c r="AV442" s="1896"/>
      <c r="BK442" s="1631"/>
    </row>
    <row r="443">
      <c r="AV443" s="1896"/>
      <c r="BK443" s="1631"/>
    </row>
    <row r="444">
      <c r="AV444" s="1896"/>
      <c r="BK444" s="1631"/>
    </row>
    <row r="445">
      <c r="AV445" s="1896"/>
      <c r="BK445" s="1631"/>
    </row>
    <row r="446">
      <c r="AV446" s="1896"/>
      <c r="BK446" s="1631"/>
    </row>
    <row r="447">
      <c r="AV447" s="1896"/>
      <c r="BK447" s="1631"/>
    </row>
    <row r="448">
      <c r="AV448" s="1896"/>
      <c r="BK448" s="1631"/>
    </row>
    <row r="449">
      <c r="AV449" s="1896"/>
      <c r="BK449" s="1631"/>
    </row>
    <row r="450">
      <c r="AV450" s="1896"/>
      <c r="BK450" s="1631"/>
    </row>
    <row r="451">
      <c r="AV451" s="1896"/>
      <c r="BK451" s="1631"/>
    </row>
    <row r="452">
      <c r="AV452" s="1896"/>
      <c r="BK452" s="1631"/>
    </row>
    <row r="453">
      <c r="AV453" s="1896"/>
      <c r="BK453" s="1631"/>
    </row>
    <row r="454">
      <c r="AV454" s="1896"/>
      <c r="BK454" s="1631"/>
    </row>
    <row r="455">
      <c r="AV455" s="1896"/>
      <c r="BK455" s="1631"/>
    </row>
    <row r="456">
      <c r="AV456" s="1896"/>
      <c r="BK456" s="1631"/>
    </row>
    <row r="457">
      <c r="AV457" s="1896"/>
      <c r="BK457" s="1631"/>
    </row>
    <row r="458">
      <c r="AV458" s="1896"/>
      <c r="BK458" s="1631"/>
    </row>
    <row r="459">
      <c r="AV459" s="1896"/>
      <c r="BK459" s="1631"/>
    </row>
    <row r="460">
      <c r="AV460" s="1896"/>
      <c r="BK460" s="1631"/>
    </row>
    <row r="461">
      <c r="AV461" s="1896"/>
      <c r="BK461" s="1631"/>
    </row>
    <row r="462">
      <c r="AV462" s="1896"/>
      <c r="BK462" s="1631"/>
    </row>
    <row r="463">
      <c r="AV463" s="1896"/>
      <c r="BK463" s="1631"/>
    </row>
    <row r="464">
      <c r="AV464" s="1896"/>
      <c r="BK464" s="1631"/>
    </row>
    <row r="465">
      <c r="AV465" s="1896"/>
      <c r="BK465" s="1631"/>
    </row>
    <row r="466">
      <c r="AV466" s="1896"/>
      <c r="BK466" s="1631"/>
    </row>
    <row r="467">
      <c r="AV467" s="1896"/>
      <c r="BK467" s="1631"/>
    </row>
    <row r="468">
      <c r="AV468" s="1896"/>
      <c r="BK468" s="1631"/>
    </row>
    <row r="469">
      <c r="AV469" s="1896"/>
      <c r="BK469" s="1631"/>
    </row>
    <row r="470">
      <c r="AV470" s="1896"/>
      <c r="BK470" s="1631"/>
    </row>
    <row r="471">
      <c r="AV471" s="1896"/>
      <c r="BK471" s="1631"/>
    </row>
    <row r="472">
      <c r="AV472" s="1896"/>
      <c r="BK472" s="1631"/>
    </row>
    <row r="473">
      <c r="AV473" s="1896"/>
      <c r="BK473" s="1631"/>
    </row>
    <row r="474">
      <c r="AV474" s="1896"/>
      <c r="BK474" s="1631"/>
    </row>
    <row r="475">
      <c r="AV475" s="1896"/>
      <c r="BK475" s="1631"/>
    </row>
    <row r="476">
      <c r="AV476" s="1896"/>
      <c r="BK476" s="1631"/>
    </row>
    <row r="477">
      <c r="AV477" s="1896"/>
      <c r="BK477" s="1631"/>
    </row>
    <row r="478">
      <c r="AV478" s="1896"/>
      <c r="BK478" s="1631"/>
    </row>
    <row r="479">
      <c r="AV479" s="1896"/>
      <c r="BK479" s="1631"/>
    </row>
    <row r="480">
      <c r="AV480" s="1896"/>
      <c r="BK480" s="1631"/>
    </row>
    <row r="481">
      <c r="AV481" s="1896"/>
      <c r="BK481" s="1631"/>
    </row>
    <row r="482">
      <c r="AV482" s="1896"/>
      <c r="BK482" s="1631"/>
    </row>
    <row r="483">
      <c r="AV483" s="1896"/>
      <c r="BK483" s="1631"/>
    </row>
    <row r="484">
      <c r="AV484" s="1896"/>
      <c r="BK484" s="1631"/>
    </row>
    <row r="485">
      <c r="AV485" s="1896"/>
      <c r="BK485" s="1631"/>
    </row>
    <row r="486">
      <c r="AV486" s="1896"/>
      <c r="BK486" s="1631"/>
    </row>
    <row r="487">
      <c r="AV487" s="1896"/>
      <c r="BK487" s="1631"/>
    </row>
    <row r="488">
      <c r="AV488" s="1896"/>
      <c r="BK488" s="1631"/>
    </row>
    <row r="489">
      <c r="AV489" s="1896"/>
      <c r="BK489" s="1631"/>
    </row>
    <row r="490">
      <c r="AV490" s="1896"/>
      <c r="BK490" s="1631"/>
    </row>
    <row r="491">
      <c r="AV491" s="1896"/>
      <c r="BK491" s="1631"/>
    </row>
    <row r="492">
      <c r="AV492" s="1896"/>
      <c r="BK492" s="1631"/>
    </row>
    <row r="493">
      <c r="AV493" s="1896"/>
      <c r="BK493" s="1631"/>
    </row>
    <row r="494">
      <c r="AV494" s="1896"/>
      <c r="BK494" s="1631"/>
    </row>
    <row r="495">
      <c r="AV495" s="1896"/>
      <c r="BK495" s="1631"/>
    </row>
    <row r="496">
      <c r="AV496" s="1896"/>
      <c r="BK496" s="1631"/>
    </row>
    <row r="497">
      <c r="AV497" s="1896"/>
      <c r="BK497" s="1631"/>
    </row>
    <row r="498">
      <c r="AV498" s="1896"/>
      <c r="BK498" s="1631"/>
    </row>
    <row r="499">
      <c r="AV499" s="1896"/>
      <c r="BK499" s="1631"/>
    </row>
    <row r="500">
      <c r="AV500" s="1896"/>
      <c r="BK500" s="1631"/>
    </row>
    <row r="501">
      <c r="AV501" s="1896"/>
      <c r="BK501" s="1631"/>
    </row>
    <row r="502">
      <c r="AV502" s="1896"/>
      <c r="BK502" s="1631"/>
    </row>
    <row r="503">
      <c r="AV503" s="1896"/>
      <c r="BK503" s="1631"/>
    </row>
    <row r="504">
      <c r="AV504" s="1896"/>
      <c r="BK504" s="1631"/>
    </row>
    <row r="505">
      <c r="AV505" s="1896"/>
      <c r="BK505" s="1631"/>
    </row>
    <row r="506">
      <c r="AV506" s="1896"/>
      <c r="BK506" s="1631"/>
    </row>
    <row r="507">
      <c r="AV507" s="1896"/>
      <c r="BK507" s="1631"/>
    </row>
    <row r="508">
      <c r="AV508" s="1896"/>
      <c r="BK508" s="1631"/>
    </row>
    <row r="509">
      <c r="AV509" s="1896"/>
      <c r="BK509" s="1631"/>
    </row>
    <row r="510">
      <c r="AV510" s="1896"/>
      <c r="BK510" s="1631"/>
    </row>
    <row r="511">
      <c r="AV511" s="1896"/>
      <c r="BK511" s="1631"/>
    </row>
    <row r="512">
      <c r="AV512" s="1896"/>
      <c r="BK512" s="1631"/>
    </row>
    <row r="513">
      <c r="AV513" s="1896"/>
      <c r="BK513" s="1631"/>
    </row>
    <row r="514">
      <c r="AV514" s="1896"/>
      <c r="BK514" s="1631"/>
    </row>
    <row r="515">
      <c r="AV515" s="1896"/>
      <c r="BK515" s="1631"/>
    </row>
    <row r="516">
      <c r="AV516" s="1896"/>
      <c r="BK516" s="1631"/>
    </row>
    <row r="517">
      <c r="AV517" s="1896"/>
      <c r="BK517" s="1631"/>
    </row>
    <row r="518">
      <c r="AV518" s="1896"/>
      <c r="BK518" s="1631"/>
    </row>
    <row r="519">
      <c r="AV519" s="1896"/>
      <c r="BK519" s="1631"/>
    </row>
    <row r="520">
      <c r="AV520" s="1896"/>
      <c r="BK520" s="1631"/>
    </row>
    <row r="521">
      <c r="AV521" s="1896"/>
      <c r="BK521" s="1631"/>
    </row>
    <row r="522">
      <c r="AV522" s="1896"/>
      <c r="BK522" s="1631"/>
    </row>
    <row r="523">
      <c r="AV523" s="1896"/>
      <c r="BK523" s="1631"/>
    </row>
    <row r="524">
      <c r="AV524" s="1896"/>
      <c r="BK524" s="1631"/>
    </row>
    <row r="525">
      <c r="AV525" s="1896"/>
      <c r="BK525" s="1631"/>
    </row>
    <row r="526">
      <c r="AV526" s="1896"/>
      <c r="BK526" s="1631"/>
    </row>
    <row r="527">
      <c r="AV527" s="1896"/>
      <c r="BK527" s="1631"/>
    </row>
    <row r="528">
      <c r="AV528" s="1896"/>
      <c r="BK528" s="1631"/>
    </row>
    <row r="529">
      <c r="AV529" s="1896"/>
      <c r="BK529" s="1631"/>
    </row>
    <row r="530">
      <c r="AV530" s="1896"/>
      <c r="BK530" s="1631"/>
    </row>
    <row r="531">
      <c r="AV531" s="1896"/>
      <c r="BK531" s="1631"/>
    </row>
    <row r="532">
      <c r="AV532" s="1896"/>
      <c r="BK532" s="1631"/>
    </row>
    <row r="533">
      <c r="AV533" s="1896"/>
      <c r="BK533" s="1631"/>
    </row>
    <row r="534">
      <c r="AV534" s="1896"/>
      <c r="BK534" s="1631"/>
    </row>
    <row r="535">
      <c r="AV535" s="1896"/>
      <c r="BK535" s="1631"/>
    </row>
    <row r="536">
      <c r="AV536" s="1896"/>
      <c r="BK536" s="1631"/>
    </row>
    <row r="537">
      <c r="AV537" s="1896"/>
      <c r="BK537" s="1631"/>
    </row>
    <row r="538">
      <c r="AV538" s="1896"/>
      <c r="BK538" s="1631"/>
    </row>
    <row r="539">
      <c r="AV539" s="1896"/>
      <c r="BK539" s="1631"/>
    </row>
    <row r="540">
      <c r="AV540" s="1896"/>
      <c r="BK540" s="1631"/>
    </row>
    <row r="541">
      <c r="AV541" s="1896"/>
      <c r="BK541" s="1631"/>
    </row>
    <row r="542">
      <c r="AV542" s="1896"/>
      <c r="BK542" s="1631"/>
    </row>
    <row r="543">
      <c r="AV543" s="1896"/>
      <c r="BK543" s="1631"/>
    </row>
    <row r="544">
      <c r="AV544" s="1896"/>
      <c r="BK544" s="1631"/>
    </row>
    <row r="545">
      <c r="AV545" s="1896"/>
      <c r="BK545" s="1631"/>
    </row>
    <row r="546">
      <c r="AV546" s="1896"/>
      <c r="BK546" s="1631"/>
    </row>
    <row r="547">
      <c r="AV547" s="1896"/>
      <c r="BK547" s="1631"/>
    </row>
    <row r="548">
      <c r="AV548" s="1896"/>
      <c r="BK548" s="1631"/>
    </row>
    <row r="549">
      <c r="AV549" s="1896"/>
      <c r="BK549" s="1631"/>
    </row>
    <row r="550">
      <c r="AV550" s="1896"/>
      <c r="BK550" s="1631"/>
    </row>
    <row r="551">
      <c r="AV551" s="1896"/>
      <c r="BK551" s="1631"/>
    </row>
    <row r="552">
      <c r="AV552" s="1896"/>
      <c r="BK552" s="1631"/>
    </row>
    <row r="553">
      <c r="AV553" s="1896"/>
      <c r="BK553" s="1631"/>
    </row>
    <row r="554">
      <c r="AV554" s="1896"/>
      <c r="BK554" s="1631"/>
    </row>
    <row r="555">
      <c r="AV555" s="1896"/>
      <c r="BK555" s="1631"/>
    </row>
    <row r="556">
      <c r="AV556" s="1896"/>
      <c r="BK556" s="1631"/>
    </row>
    <row r="557">
      <c r="AV557" s="1896"/>
      <c r="BK557" s="1631"/>
    </row>
    <row r="558">
      <c r="AV558" s="1896"/>
      <c r="BK558" s="1631"/>
    </row>
    <row r="559">
      <c r="AV559" s="1896"/>
      <c r="BK559" s="1631"/>
    </row>
    <row r="560">
      <c r="AV560" s="1896"/>
      <c r="BK560" s="1631"/>
    </row>
    <row r="561">
      <c r="AV561" s="1896"/>
      <c r="BK561" s="1631"/>
    </row>
    <row r="562">
      <c r="AV562" s="1896"/>
      <c r="BK562" s="1631"/>
    </row>
    <row r="563">
      <c r="AV563" s="1896"/>
      <c r="BK563" s="1631"/>
    </row>
    <row r="564">
      <c r="AV564" s="1896"/>
      <c r="BK564" s="1631"/>
    </row>
    <row r="565">
      <c r="AV565" s="1896"/>
      <c r="BK565" s="1631"/>
    </row>
    <row r="566">
      <c r="AV566" s="1896"/>
      <c r="BK566" s="1631"/>
    </row>
    <row r="567">
      <c r="AV567" s="1896"/>
      <c r="BK567" s="1631"/>
    </row>
    <row r="568">
      <c r="AV568" s="1896"/>
      <c r="BK568" s="1631"/>
    </row>
    <row r="569">
      <c r="AV569" s="1896"/>
      <c r="BK569" s="1631"/>
    </row>
    <row r="570">
      <c r="AV570" s="1896"/>
      <c r="BK570" s="1631"/>
    </row>
    <row r="571">
      <c r="AV571" s="1896"/>
      <c r="BK571" s="1631"/>
    </row>
    <row r="572">
      <c r="AV572" s="1896"/>
      <c r="BK572" s="1631"/>
    </row>
    <row r="573">
      <c r="AV573" s="1896"/>
      <c r="BK573" s="1631"/>
    </row>
    <row r="574">
      <c r="AV574" s="1896"/>
      <c r="BK574" s="1631"/>
    </row>
    <row r="575">
      <c r="AV575" s="1896"/>
      <c r="BK575" s="1631"/>
    </row>
    <row r="576">
      <c r="AV576" s="1896"/>
      <c r="BK576" s="1631"/>
    </row>
    <row r="577">
      <c r="AV577" s="1896"/>
      <c r="BK577" s="1631"/>
    </row>
    <row r="578">
      <c r="AV578" s="1896"/>
      <c r="BK578" s="1631"/>
    </row>
    <row r="579">
      <c r="AV579" s="1896"/>
      <c r="BK579" s="1631"/>
    </row>
    <row r="580">
      <c r="AV580" s="1896"/>
      <c r="BK580" s="1631"/>
    </row>
    <row r="581">
      <c r="AV581" s="1896"/>
      <c r="BK581" s="1631"/>
    </row>
    <row r="582">
      <c r="AV582" s="1896"/>
      <c r="BK582" s="1631"/>
    </row>
    <row r="583">
      <c r="AV583" s="1896"/>
      <c r="BK583" s="1631"/>
    </row>
    <row r="584">
      <c r="AV584" s="1896"/>
      <c r="BK584" s="1631"/>
    </row>
    <row r="585">
      <c r="AV585" s="1896"/>
      <c r="BK585" s="1631"/>
    </row>
    <row r="586">
      <c r="AV586" s="1896"/>
      <c r="BK586" s="1631"/>
    </row>
    <row r="587">
      <c r="AV587" s="1896"/>
      <c r="BK587" s="1631"/>
    </row>
    <row r="588">
      <c r="AV588" s="1896"/>
      <c r="BK588" s="1631"/>
    </row>
    <row r="589">
      <c r="AV589" s="1896"/>
      <c r="BK589" s="1631"/>
    </row>
    <row r="590">
      <c r="AV590" s="1896"/>
      <c r="BK590" s="1631"/>
    </row>
    <row r="591">
      <c r="AV591" s="1896"/>
      <c r="BK591" s="1631"/>
    </row>
    <row r="592">
      <c r="AV592" s="1896"/>
      <c r="BK592" s="1631"/>
    </row>
    <row r="593">
      <c r="AV593" s="1896"/>
      <c r="BK593" s="1631"/>
    </row>
    <row r="594">
      <c r="AV594" s="1896"/>
      <c r="BK594" s="1631"/>
    </row>
    <row r="595">
      <c r="AV595" s="1896"/>
      <c r="BK595" s="1631"/>
    </row>
    <row r="596">
      <c r="AV596" s="1896"/>
      <c r="BK596" s="1631"/>
    </row>
    <row r="597">
      <c r="AV597" s="1896"/>
      <c r="BK597" s="1631"/>
    </row>
    <row r="598">
      <c r="AV598" s="1896"/>
      <c r="BK598" s="1631"/>
    </row>
    <row r="599">
      <c r="AV599" s="1896"/>
      <c r="BK599" s="1631"/>
    </row>
    <row r="600">
      <c r="AV600" s="1896"/>
      <c r="BK600" s="1631"/>
    </row>
    <row r="601">
      <c r="AV601" s="1896"/>
      <c r="BK601" s="1631"/>
    </row>
    <row r="602">
      <c r="AV602" s="1896"/>
      <c r="BK602" s="1631"/>
    </row>
    <row r="603">
      <c r="AV603" s="1896"/>
      <c r="BK603" s="1631"/>
    </row>
    <row r="604">
      <c r="AV604" s="1896"/>
      <c r="BK604" s="1631"/>
    </row>
    <row r="605">
      <c r="AV605" s="1896"/>
      <c r="BK605" s="1631"/>
    </row>
    <row r="606">
      <c r="AV606" s="1896"/>
      <c r="BK606" s="1631"/>
    </row>
    <row r="607">
      <c r="AV607" s="1896"/>
      <c r="BK607" s="1631"/>
    </row>
    <row r="608">
      <c r="AV608" s="1896"/>
      <c r="BK608" s="1631"/>
    </row>
    <row r="609">
      <c r="AV609" s="1896"/>
      <c r="BK609" s="1631"/>
    </row>
    <row r="610">
      <c r="AV610" s="1896"/>
      <c r="BK610" s="1631"/>
    </row>
    <row r="611">
      <c r="AV611" s="1896"/>
      <c r="BK611" s="1631"/>
    </row>
    <row r="612">
      <c r="AV612" s="1896"/>
      <c r="BK612" s="1631"/>
    </row>
    <row r="613">
      <c r="AV613" s="1896"/>
      <c r="BK613" s="1631"/>
    </row>
    <row r="614">
      <c r="AV614" s="1896"/>
      <c r="BK614" s="1631"/>
    </row>
    <row r="615">
      <c r="AV615" s="1896"/>
      <c r="BK615" s="1631"/>
    </row>
    <row r="616">
      <c r="AV616" s="1896"/>
      <c r="BK616" s="1631"/>
    </row>
    <row r="617">
      <c r="AV617" s="1896"/>
      <c r="BK617" s="1631"/>
    </row>
    <row r="618">
      <c r="AV618" s="1896"/>
      <c r="BK618" s="1631"/>
    </row>
    <row r="619">
      <c r="AV619" s="1896"/>
      <c r="BK619" s="1631"/>
    </row>
    <row r="620">
      <c r="AV620" s="1896"/>
      <c r="BK620" s="1631"/>
    </row>
    <row r="621">
      <c r="AV621" s="1896"/>
      <c r="BK621" s="1631"/>
    </row>
    <row r="622">
      <c r="AV622" s="1896"/>
      <c r="BK622" s="1631"/>
    </row>
    <row r="623">
      <c r="AV623" s="1896"/>
      <c r="BK623" s="1631"/>
    </row>
    <row r="624">
      <c r="AV624" s="1896"/>
      <c r="BK624" s="1631"/>
    </row>
    <row r="625">
      <c r="AV625" s="1896"/>
      <c r="BK625" s="1631"/>
    </row>
    <row r="626">
      <c r="AV626" s="1896"/>
      <c r="BK626" s="1631"/>
    </row>
    <row r="627">
      <c r="AV627" s="1896"/>
      <c r="BK627" s="1631"/>
    </row>
    <row r="628">
      <c r="AV628" s="1896"/>
      <c r="BK628" s="1631"/>
    </row>
    <row r="629">
      <c r="AV629" s="1896"/>
      <c r="BK629" s="1631"/>
    </row>
    <row r="630">
      <c r="AV630" s="1896"/>
      <c r="BK630" s="1631"/>
    </row>
    <row r="631">
      <c r="AV631" s="1896"/>
      <c r="BK631" s="1631"/>
    </row>
    <row r="632">
      <c r="AV632" s="1896"/>
      <c r="BK632" s="1631"/>
    </row>
    <row r="633">
      <c r="AV633" s="1896"/>
      <c r="BK633" s="1631"/>
    </row>
    <row r="634">
      <c r="AV634" s="1896"/>
      <c r="BK634" s="1631"/>
    </row>
    <row r="635">
      <c r="AV635" s="1896"/>
      <c r="BK635" s="1631"/>
    </row>
    <row r="636">
      <c r="AV636" s="1896"/>
      <c r="BK636" s="1631"/>
    </row>
    <row r="637">
      <c r="AV637" s="1896"/>
      <c r="BK637" s="1631"/>
    </row>
    <row r="638">
      <c r="AV638" s="1896"/>
      <c r="BK638" s="1631"/>
    </row>
    <row r="639">
      <c r="AV639" s="1896"/>
      <c r="BK639" s="1631"/>
    </row>
    <row r="640">
      <c r="AV640" s="1896"/>
      <c r="BK640" s="1631"/>
    </row>
    <row r="641">
      <c r="AV641" s="1896"/>
      <c r="BK641" s="1631"/>
    </row>
    <row r="642">
      <c r="AV642" s="1896"/>
      <c r="BK642" s="1631"/>
    </row>
    <row r="643">
      <c r="AV643" s="1896"/>
      <c r="BK643" s="1631"/>
    </row>
    <row r="644">
      <c r="AV644" s="1896"/>
      <c r="BK644" s="1631"/>
    </row>
    <row r="645">
      <c r="AV645" s="1896"/>
      <c r="BK645" s="1631"/>
    </row>
    <row r="646">
      <c r="AV646" s="1896"/>
      <c r="BK646" s="1631"/>
    </row>
    <row r="647">
      <c r="AV647" s="1896"/>
      <c r="BK647" s="1631"/>
    </row>
    <row r="648">
      <c r="AV648" s="1896"/>
      <c r="BK648" s="1631"/>
    </row>
    <row r="649">
      <c r="AV649" s="1896"/>
      <c r="BK649" s="1631"/>
    </row>
    <row r="650">
      <c r="AV650" s="1896"/>
      <c r="BK650" s="1631"/>
    </row>
    <row r="651">
      <c r="AV651" s="1896"/>
      <c r="BK651" s="1631"/>
    </row>
    <row r="652">
      <c r="AV652" s="1896"/>
      <c r="BK652" s="1631"/>
    </row>
    <row r="653">
      <c r="AV653" s="1896"/>
      <c r="BK653" s="1631"/>
    </row>
    <row r="654">
      <c r="AV654" s="1896"/>
      <c r="BK654" s="1631"/>
    </row>
    <row r="655">
      <c r="AV655" s="1896"/>
      <c r="BK655" s="1631"/>
    </row>
    <row r="656">
      <c r="AV656" s="1896"/>
      <c r="BK656" s="1631"/>
    </row>
    <row r="657">
      <c r="AV657" s="1896"/>
      <c r="BK657" s="1631"/>
    </row>
    <row r="658">
      <c r="AV658" s="1896"/>
      <c r="BK658" s="1631"/>
    </row>
    <row r="659">
      <c r="AV659" s="1896"/>
      <c r="BK659" s="1631"/>
    </row>
    <row r="660">
      <c r="AV660" s="1896"/>
      <c r="BK660" s="1631"/>
    </row>
    <row r="661">
      <c r="AV661" s="1896"/>
      <c r="BK661" s="1631"/>
    </row>
    <row r="662">
      <c r="AV662" s="1896"/>
      <c r="BK662" s="1631"/>
    </row>
    <row r="663">
      <c r="AV663" s="1896"/>
      <c r="BK663" s="1631"/>
    </row>
    <row r="664">
      <c r="AV664" s="1896"/>
      <c r="BK664" s="1631"/>
    </row>
    <row r="665">
      <c r="AV665" s="1896"/>
      <c r="BK665" s="1631"/>
    </row>
    <row r="666">
      <c r="AV666" s="1896"/>
      <c r="BK666" s="1631"/>
    </row>
    <row r="667">
      <c r="AV667" s="1896"/>
      <c r="BK667" s="1631"/>
    </row>
    <row r="668">
      <c r="AV668" s="1896"/>
      <c r="BK668" s="1631"/>
    </row>
    <row r="669">
      <c r="AV669" s="1896"/>
      <c r="BK669" s="1631"/>
    </row>
    <row r="670">
      <c r="AV670" s="1896"/>
      <c r="BK670" s="1631"/>
    </row>
    <row r="671">
      <c r="AV671" s="1896"/>
      <c r="BK671" s="1631"/>
    </row>
    <row r="672">
      <c r="AV672" s="1896"/>
      <c r="BK672" s="1631"/>
    </row>
    <row r="673">
      <c r="AV673" s="1896"/>
      <c r="BK673" s="1631"/>
    </row>
    <row r="674">
      <c r="AV674" s="1896"/>
      <c r="BK674" s="1631"/>
    </row>
    <row r="675">
      <c r="AV675" s="1896"/>
      <c r="BK675" s="1631"/>
    </row>
    <row r="676">
      <c r="AV676" s="1896"/>
      <c r="BK676" s="1631"/>
    </row>
    <row r="677">
      <c r="AV677" s="1896"/>
      <c r="BK677" s="1631"/>
    </row>
    <row r="678">
      <c r="AV678" s="1896"/>
      <c r="BK678" s="1631"/>
    </row>
    <row r="679">
      <c r="AV679" s="1896"/>
      <c r="BK679" s="1631"/>
    </row>
    <row r="680">
      <c r="AV680" s="1896"/>
      <c r="BK680" s="1631"/>
    </row>
    <row r="681">
      <c r="AV681" s="1896"/>
      <c r="BK681" s="1631"/>
    </row>
    <row r="682">
      <c r="AV682" s="1896"/>
      <c r="BK682" s="1631"/>
    </row>
    <row r="683">
      <c r="AV683" s="1896"/>
      <c r="BK683" s="1631"/>
    </row>
    <row r="684">
      <c r="AV684" s="1896"/>
      <c r="BK684" s="1631"/>
    </row>
    <row r="685">
      <c r="AV685" s="1896"/>
      <c r="BK685" s="1631"/>
    </row>
    <row r="686">
      <c r="AV686" s="1896"/>
      <c r="BK686" s="1631"/>
    </row>
    <row r="687">
      <c r="AV687" s="1896"/>
      <c r="BK687" s="1631"/>
    </row>
    <row r="688">
      <c r="AV688" s="1896"/>
      <c r="BK688" s="1631"/>
    </row>
    <row r="689">
      <c r="AV689" s="1896"/>
      <c r="BK689" s="1631"/>
    </row>
    <row r="690">
      <c r="AV690" s="1896"/>
      <c r="BK690" s="1631"/>
    </row>
    <row r="691">
      <c r="AV691" s="1896"/>
      <c r="BK691" s="1631"/>
    </row>
    <row r="692">
      <c r="AV692" s="1896"/>
      <c r="BK692" s="1631"/>
    </row>
    <row r="693">
      <c r="AV693" s="1896"/>
      <c r="BK693" s="1631"/>
    </row>
    <row r="694">
      <c r="AV694" s="1896"/>
      <c r="BK694" s="1631"/>
    </row>
    <row r="695">
      <c r="AV695" s="1896"/>
      <c r="BK695" s="1631"/>
    </row>
    <row r="696">
      <c r="AV696" s="1896"/>
      <c r="BK696" s="1631"/>
    </row>
    <row r="697">
      <c r="AV697" s="1896"/>
      <c r="BK697" s="1631"/>
    </row>
    <row r="698">
      <c r="AV698" s="1896"/>
      <c r="BK698" s="1631"/>
    </row>
    <row r="699">
      <c r="AV699" s="1896"/>
      <c r="BK699" s="1631"/>
    </row>
    <row r="700">
      <c r="AV700" s="1896"/>
      <c r="BK700" s="1631"/>
    </row>
    <row r="701">
      <c r="AV701" s="1896"/>
      <c r="BK701" s="1631"/>
    </row>
    <row r="702">
      <c r="AV702" s="1896"/>
      <c r="BK702" s="1631"/>
    </row>
    <row r="703">
      <c r="AV703" s="1896"/>
      <c r="BK703" s="1631"/>
    </row>
    <row r="704">
      <c r="AV704" s="1896"/>
      <c r="BK704" s="1631"/>
    </row>
    <row r="705">
      <c r="AV705" s="1896"/>
      <c r="BK705" s="1631"/>
    </row>
    <row r="706">
      <c r="AV706" s="1896"/>
      <c r="BK706" s="1631"/>
    </row>
    <row r="707">
      <c r="AV707" s="1896"/>
      <c r="BK707" s="1631"/>
    </row>
    <row r="708">
      <c r="AV708" s="1896"/>
      <c r="BK708" s="1631"/>
    </row>
    <row r="709">
      <c r="AV709" s="1896"/>
      <c r="BK709" s="1631"/>
    </row>
    <row r="710">
      <c r="AV710" s="1896"/>
      <c r="BK710" s="1631"/>
    </row>
    <row r="711">
      <c r="AV711" s="1896"/>
      <c r="BK711" s="1631"/>
    </row>
    <row r="712">
      <c r="AV712" s="1896"/>
      <c r="BK712" s="1631"/>
    </row>
    <row r="713">
      <c r="AV713" s="1896"/>
      <c r="BK713" s="1631"/>
    </row>
    <row r="714">
      <c r="AV714" s="1896"/>
      <c r="BK714" s="1631"/>
    </row>
    <row r="715">
      <c r="AV715" s="1896"/>
      <c r="BK715" s="1631"/>
    </row>
    <row r="716">
      <c r="AV716" s="1896"/>
      <c r="BK716" s="1631"/>
    </row>
    <row r="717">
      <c r="AV717" s="1896"/>
      <c r="BK717" s="1631"/>
    </row>
    <row r="718">
      <c r="AV718" s="1896"/>
      <c r="BK718" s="1631"/>
    </row>
    <row r="719">
      <c r="AV719" s="1896"/>
      <c r="BK719" s="1631"/>
    </row>
    <row r="720">
      <c r="AV720" s="1896"/>
      <c r="BK720" s="1631"/>
    </row>
    <row r="721">
      <c r="AV721" s="1896"/>
      <c r="BK721" s="1631"/>
    </row>
    <row r="722">
      <c r="AV722" s="1896"/>
      <c r="BK722" s="1631"/>
    </row>
    <row r="723">
      <c r="AV723" s="1896"/>
      <c r="BK723" s="1631"/>
    </row>
    <row r="724">
      <c r="AV724" s="1896"/>
      <c r="BK724" s="1631"/>
    </row>
    <row r="725">
      <c r="AV725" s="1896"/>
      <c r="BK725" s="1631"/>
    </row>
    <row r="726">
      <c r="AV726" s="1896"/>
      <c r="BK726" s="1631"/>
    </row>
    <row r="727">
      <c r="AV727" s="1896"/>
      <c r="BK727" s="1631"/>
    </row>
    <row r="728">
      <c r="AV728" s="1896"/>
      <c r="BK728" s="1631"/>
    </row>
    <row r="729">
      <c r="AV729" s="1896"/>
      <c r="BK729" s="1631"/>
    </row>
    <row r="730">
      <c r="AV730" s="1896"/>
      <c r="BK730" s="1631"/>
    </row>
    <row r="731">
      <c r="AV731" s="1896"/>
      <c r="BK731" s="1631"/>
    </row>
    <row r="732">
      <c r="AV732" s="1896"/>
      <c r="BK732" s="1631"/>
    </row>
    <row r="733">
      <c r="AV733" s="1896"/>
      <c r="BK733" s="1631"/>
    </row>
    <row r="734">
      <c r="AV734" s="1896"/>
      <c r="BK734" s="1631"/>
    </row>
    <row r="735">
      <c r="AV735" s="1896"/>
      <c r="BK735" s="1631"/>
    </row>
    <row r="736">
      <c r="AV736" s="1896"/>
      <c r="BK736" s="1631"/>
    </row>
    <row r="737">
      <c r="AV737" s="1896"/>
      <c r="BK737" s="1631"/>
    </row>
    <row r="738">
      <c r="AV738" s="1896"/>
      <c r="BK738" s="1631"/>
    </row>
    <row r="739">
      <c r="AV739" s="1896"/>
      <c r="BK739" s="1631"/>
    </row>
    <row r="740">
      <c r="AV740" s="1896"/>
      <c r="BK740" s="1631"/>
    </row>
    <row r="741">
      <c r="AV741" s="1896"/>
      <c r="BK741" s="1631"/>
    </row>
    <row r="742">
      <c r="AV742" s="1896"/>
      <c r="BK742" s="1631"/>
    </row>
    <row r="743">
      <c r="AV743" s="1896"/>
      <c r="BK743" s="1631"/>
    </row>
    <row r="744">
      <c r="AV744" s="1896"/>
      <c r="BK744" s="1631"/>
    </row>
    <row r="745">
      <c r="AV745" s="1896"/>
      <c r="BK745" s="1631"/>
    </row>
    <row r="746">
      <c r="AV746" s="1896"/>
      <c r="BK746" s="1631"/>
    </row>
    <row r="747">
      <c r="AV747" s="1896"/>
      <c r="BK747" s="1631"/>
    </row>
    <row r="748">
      <c r="AV748" s="1896"/>
      <c r="BK748" s="1631"/>
    </row>
    <row r="749">
      <c r="AV749" s="1896"/>
      <c r="BK749" s="1631"/>
    </row>
    <row r="750">
      <c r="AV750" s="1896"/>
      <c r="BK750" s="1631"/>
    </row>
    <row r="751">
      <c r="AV751" s="1896"/>
      <c r="BK751" s="1631"/>
    </row>
    <row r="752">
      <c r="AV752" s="1896"/>
      <c r="BK752" s="1631"/>
    </row>
    <row r="753">
      <c r="AV753" s="1896"/>
      <c r="BK753" s="1631"/>
    </row>
    <row r="754">
      <c r="AV754" s="1896"/>
      <c r="BK754" s="1631"/>
    </row>
    <row r="755">
      <c r="AV755" s="1896"/>
      <c r="BK755" s="1631"/>
    </row>
    <row r="756">
      <c r="AV756" s="1896"/>
      <c r="BK756" s="1631"/>
    </row>
    <row r="757">
      <c r="AV757" s="1896"/>
      <c r="BK757" s="1631"/>
    </row>
    <row r="758">
      <c r="AV758" s="1896"/>
      <c r="BK758" s="1631"/>
    </row>
    <row r="759">
      <c r="AV759" s="1896"/>
      <c r="BK759" s="1631"/>
    </row>
    <row r="760">
      <c r="AV760" s="1896"/>
      <c r="BK760" s="1631"/>
    </row>
    <row r="761">
      <c r="AV761" s="1896"/>
      <c r="BK761" s="1631"/>
    </row>
    <row r="762">
      <c r="AV762" s="1896"/>
      <c r="BK762" s="1631"/>
    </row>
    <row r="763">
      <c r="AV763" s="1896"/>
      <c r="BK763" s="1631"/>
    </row>
    <row r="764">
      <c r="AV764" s="1896"/>
      <c r="BK764" s="1631"/>
    </row>
    <row r="765">
      <c r="AV765" s="1896"/>
      <c r="BK765" s="1631"/>
    </row>
    <row r="766">
      <c r="AV766" s="1896"/>
      <c r="BK766" s="1631"/>
    </row>
    <row r="767">
      <c r="AV767" s="1896"/>
      <c r="BK767" s="1631"/>
    </row>
    <row r="768">
      <c r="AV768" s="1896"/>
      <c r="BK768" s="1631"/>
    </row>
    <row r="769">
      <c r="AV769" s="1896"/>
      <c r="BK769" s="1631"/>
    </row>
    <row r="770">
      <c r="AV770" s="1896"/>
      <c r="BK770" s="1631"/>
    </row>
    <row r="771">
      <c r="AV771" s="1896"/>
      <c r="BK771" s="1631"/>
    </row>
    <row r="772">
      <c r="AV772" s="1896"/>
      <c r="BK772" s="1631"/>
    </row>
    <row r="773">
      <c r="AV773" s="1896"/>
      <c r="BK773" s="1631"/>
    </row>
    <row r="774">
      <c r="AV774" s="1896"/>
      <c r="BK774" s="1631"/>
    </row>
    <row r="775">
      <c r="AV775" s="1896"/>
      <c r="BK775" s="1631"/>
    </row>
    <row r="776">
      <c r="AV776" s="1896"/>
      <c r="BK776" s="1631"/>
    </row>
    <row r="777">
      <c r="AV777" s="1896"/>
      <c r="BK777" s="1631"/>
    </row>
    <row r="778">
      <c r="AV778" s="1896"/>
      <c r="BK778" s="1631"/>
    </row>
    <row r="779">
      <c r="AV779" s="1896"/>
      <c r="BK779" s="1631"/>
    </row>
    <row r="780">
      <c r="AV780" s="1896"/>
      <c r="BK780" s="1631"/>
    </row>
    <row r="781">
      <c r="AV781" s="1896"/>
      <c r="BK781" s="1631"/>
    </row>
    <row r="782">
      <c r="AV782" s="1896"/>
      <c r="BK782" s="1631"/>
    </row>
    <row r="783">
      <c r="AV783" s="1896"/>
      <c r="BK783" s="1631"/>
    </row>
    <row r="784">
      <c r="AV784" s="1896"/>
      <c r="BK784" s="1631"/>
    </row>
    <row r="785">
      <c r="AV785" s="1896"/>
      <c r="BK785" s="1631"/>
    </row>
    <row r="786">
      <c r="AV786" s="1896"/>
      <c r="BK786" s="1631"/>
    </row>
    <row r="787">
      <c r="AV787" s="1896"/>
      <c r="BK787" s="1631"/>
    </row>
    <row r="788">
      <c r="AV788" s="1896"/>
      <c r="BK788" s="1631"/>
    </row>
    <row r="789">
      <c r="AV789" s="1896"/>
      <c r="BK789" s="1631"/>
    </row>
    <row r="790">
      <c r="AV790" s="1896"/>
      <c r="BK790" s="1631"/>
    </row>
    <row r="791">
      <c r="AV791" s="1896"/>
      <c r="BK791" s="1631"/>
    </row>
    <row r="792">
      <c r="AV792" s="1896"/>
      <c r="BK792" s="1631"/>
    </row>
    <row r="793">
      <c r="AV793" s="1896"/>
      <c r="BK793" s="1631"/>
    </row>
    <row r="794">
      <c r="AV794" s="1896"/>
      <c r="BK794" s="1631"/>
    </row>
    <row r="795">
      <c r="AV795" s="1896"/>
      <c r="BK795" s="1631"/>
    </row>
    <row r="796">
      <c r="AV796" s="1896"/>
      <c r="BK796" s="1631"/>
    </row>
    <row r="797">
      <c r="AV797" s="1896"/>
      <c r="BK797" s="1631"/>
    </row>
    <row r="798">
      <c r="AV798" s="1896"/>
      <c r="BK798" s="1631"/>
    </row>
    <row r="799">
      <c r="AV799" s="1896"/>
      <c r="BK799" s="1631"/>
    </row>
    <row r="800">
      <c r="AV800" s="1896"/>
      <c r="BK800" s="1631"/>
    </row>
    <row r="801">
      <c r="AV801" s="1896"/>
      <c r="BK801" s="1631"/>
    </row>
    <row r="802">
      <c r="AV802" s="1896"/>
      <c r="BK802" s="1631"/>
    </row>
    <row r="803">
      <c r="AV803" s="1896"/>
      <c r="BK803" s="1631"/>
    </row>
    <row r="804">
      <c r="AV804" s="1896"/>
      <c r="BK804" s="1631"/>
    </row>
    <row r="805">
      <c r="AV805" s="1896"/>
      <c r="BK805" s="1631"/>
    </row>
    <row r="806">
      <c r="AV806" s="1896"/>
      <c r="BK806" s="1631"/>
    </row>
    <row r="807">
      <c r="AV807" s="1896"/>
      <c r="BK807" s="1631"/>
    </row>
    <row r="808">
      <c r="AV808" s="1896"/>
      <c r="BK808" s="1631"/>
    </row>
    <row r="809">
      <c r="AV809" s="1896"/>
      <c r="BK809" s="1631"/>
    </row>
    <row r="810">
      <c r="AV810" s="1896"/>
      <c r="BK810" s="1631"/>
    </row>
    <row r="811">
      <c r="AV811" s="1896"/>
      <c r="BK811" s="1631"/>
    </row>
    <row r="812">
      <c r="AV812" s="1896"/>
      <c r="BK812" s="1631"/>
    </row>
    <row r="813">
      <c r="AV813" s="1896"/>
      <c r="BK813" s="1631"/>
    </row>
    <row r="814">
      <c r="AV814" s="1896"/>
      <c r="BK814" s="1631"/>
    </row>
    <row r="815">
      <c r="AV815" s="1896"/>
      <c r="BK815" s="1631"/>
    </row>
    <row r="816">
      <c r="AV816" s="1896"/>
      <c r="BK816" s="1631"/>
    </row>
    <row r="817">
      <c r="AV817" s="1896"/>
      <c r="BK817" s="1631"/>
    </row>
    <row r="818">
      <c r="AV818" s="1896"/>
      <c r="BK818" s="1631"/>
    </row>
    <row r="819">
      <c r="AV819" s="1896"/>
      <c r="BK819" s="1631"/>
    </row>
    <row r="820">
      <c r="AV820" s="1896"/>
      <c r="BK820" s="1631"/>
    </row>
    <row r="821">
      <c r="AV821" s="1896"/>
      <c r="BK821" s="1631"/>
    </row>
    <row r="822">
      <c r="AV822" s="1896"/>
      <c r="BK822" s="1631"/>
    </row>
    <row r="823">
      <c r="AV823" s="1896"/>
      <c r="BK823" s="1631"/>
    </row>
    <row r="824">
      <c r="AV824" s="1896"/>
      <c r="BK824" s="1631"/>
    </row>
    <row r="825">
      <c r="AV825" s="1896"/>
      <c r="BK825" s="1631"/>
    </row>
    <row r="826">
      <c r="AV826" s="1896"/>
      <c r="BK826" s="1631"/>
    </row>
    <row r="827">
      <c r="AV827" s="1896"/>
      <c r="BK827" s="1631"/>
    </row>
    <row r="828">
      <c r="AV828" s="1896"/>
      <c r="BK828" s="1631"/>
    </row>
    <row r="829">
      <c r="AV829" s="1896"/>
      <c r="BK829" s="1631"/>
    </row>
    <row r="830">
      <c r="AV830" s="1896"/>
      <c r="BK830" s="1631"/>
    </row>
    <row r="831">
      <c r="AV831" s="1896"/>
      <c r="BK831" s="1631"/>
    </row>
    <row r="832">
      <c r="AV832" s="1896"/>
      <c r="BK832" s="1631"/>
    </row>
    <row r="833">
      <c r="AV833" s="1896"/>
      <c r="BK833" s="1631"/>
    </row>
    <row r="834">
      <c r="AV834" s="1896"/>
      <c r="BK834" s="1631"/>
    </row>
    <row r="835">
      <c r="AV835" s="1896"/>
      <c r="BK835" s="1631"/>
    </row>
    <row r="836">
      <c r="AV836" s="1896"/>
      <c r="BK836" s="1631"/>
    </row>
    <row r="837">
      <c r="AV837" s="1896"/>
      <c r="BK837" s="1631"/>
    </row>
    <row r="838">
      <c r="AV838" s="1896"/>
      <c r="BK838" s="1631"/>
    </row>
    <row r="839">
      <c r="AV839" s="1896"/>
      <c r="BK839" s="1631"/>
    </row>
    <row r="840">
      <c r="AV840" s="1896"/>
      <c r="BK840" s="1631"/>
    </row>
    <row r="841">
      <c r="AV841" s="1896"/>
      <c r="BK841" s="1631"/>
    </row>
    <row r="842">
      <c r="AV842" s="1896"/>
      <c r="BK842" s="1631"/>
    </row>
    <row r="843">
      <c r="AV843" s="1896"/>
      <c r="BK843" s="1631"/>
    </row>
    <row r="844">
      <c r="AV844" s="1896"/>
      <c r="BK844" s="1631"/>
    </row>
    <row r="845">
      <c r="AV845" s="1896"/>
      <c r="BK845" s="1631"/>
    </row>
    <row r="846">
      <c r="AV846" s="1896"/>
      <c r="BK846" s="1631"/>
    </row>
    <row r="847">
      <c r="AV847" s="1896"/>
      <c r="BK847" s="1631"/>
    </row>
    <row r="848">
      <c r="AV848" s="1896"/>
      <c r="BK848" s="1631"/>
    </row>
    <row r="849">
      <c r="AV849" s="1896"/>
      <c r="BK849" s="1631"/>
    </row>
    <row r="850">
      <c r="AV850" s="1896"/>
      <c r="BK850" s="1631"/>
    </row>
    <row r="851">
      <c r="AV851" s="1896"/>
      <c r="BK851" s="1631"/>
    </row>
    <row r="852">
      <c r="AV852" s="1896"/>
      <c r="BK852" s="1631"/>
    </row>
    <row r="853">
      <c r="AV853" s="1896"/>
      <c r="BK853" s="1631"/>
    </row>
    <row r="854">
      <c r="AV854" s="1896"/>
      <c r="BK854" s="1631"/>
    </row>
    <row r="855">
      <c r="AV855" s="1896"/>
      <c r="BK855" s="1631"/>
    </row>
    <row r="856">
      <c r="AV856" s="1896"/>
      <c r="BK856" s="1631"/>
    </row>
    <row r="857">
      <c r="AV857" s="1896"/>
      <c r="BK857" s="1631"/>
    </row>
    <row r="858">
      <c r="AV858" s="1896"/>
      <c r="BK858" s="1631"/>
    </row>
    <row r="859">
      <c r="AV859" s="1896"/>
      <c r="BK859" s="1631"/>
    </row>
    <row r="860">
      <c r="AV860" s="1896"/>
      <c r="BK860" s="1631"/>
    </row>
    <row r="861">
      <c r="AV861" s="1896"/>
      <c r="BK861" s="1631"/>
    </row>
    <row r="862">
      <c r="AV862" s="1896"/>
      <c r="BK862" s="1631"/>
    </row>
    <row r="863">
      <c r="AV863" s="1896"/>
      <c r="BK863" s="1631"/>
    </row>
    <row r="864">
      <c r="AV864" s="1896"/>
      <c r="BK864" s="1631"/>
    </row>
    <row r="865">
      <c r="AV865" s="1896"/>
      <c r="BK865" s="1631"/>
    </row>
    <row r="866">
      <c r="AV866" s="1896"/>
      <c r="BK866" s="1631"/>
    </row>
    <row r="867">
      <c r="AV867" s="1896"/>
      <c r="BK867" s="1631"/>
    </row>
    <row r="868">
      <c r="AV868" s="1896"/>
      <c r="BK868" s="1631"/>
    </row>
    <row r="869">
      <c r="AV869" s="1896"/>
      <c r="BK869" s="1631"/>
    </row>
    <row r="870">
      <c r="AV870" s="1896"/>
      <c r="BK870" s="1631"/>
    </row>
    <row r="871">
      <c r="AV871" s="1896"/>
      <c r="BK871" s="1631"/>
    </row>
    <row r="872">
      <c r="AV872" s="1896"/>
      <c r="BK872" s="1631"/>
    </row>
    <row r="873">
      <c r="AV873" s="1896"/>
      <c r="BK873" s="1631"/>
    </row>
    <row r="874">
      <c r="AV874" s="1896"/>
      <c r="BK874" s="1631"/>
    </row>
    <row r="875">
      <c r="AV875" s="1896"/>
      <c r="BK875" s="1631"/>
    </row>
    <row r="876">
      <c r="AV876" s="1896"/>
      <c r="BK876" s="1631"/>
    </row>
    <row r="877">
      <c r="AV877" s="1896"/>
      <c r="BK877" s="1631"/>
    </row>
    <row r="878">
      <c r="AV878" s="1896"/>
      <c r="BK878" s="1631"/>
    </row>
    <row r="879">
      <c r="AV879" s="1896"/>
      <c r="BK879" s="1631"/>
    </row>
    <row r="880">
      <c r="AV880" s="1896"/>
      <c r="BK880" s="1631"/>
    </row>
    <row r="881">
      <c r="AV881" s="1896"/>
      <c r="BK881" s="1631"/>
    </row>
    <row r="882">
      <c r="AV882" s="1896"/>
      <c r="BK882" s="1631"/>
    </row>
    <row r="883">
      <c r="AV883" s="1896"/>
      <c r="BK883" s="1631"/>
    </row>
    <row r="884">
      <c r="AV884" s="1896"/>
      <c r="BK884" s="1631"/>
    </row>
    <row r="885">
      <c r="AV885" s="1896"/>
      <c r="BK885" s="1631"/>
    </row>
    <row r="886">
      <c r="AV886" s="1896"/>
      <c r="BK886" s="1631"/>
    </row>
    <row r="887">
      <c r="AV887" s="1896"/>
      <c r="BK887" s="1631"/>
    </row>
    <row r="888">
      <c r="AV888" s="1896"/>
      <c r="BK888" s="1631"/>
    </row>
    <row r="889">
      <c r="AV889" s="1896"/>
      <c r="BK889" s="1631"/>
    </row>
    <row r="890">
      <c r="AV890" s="1896"/>
      <c r="BK890" s="1631"/>
    </row>
    <row r="891">
      <c r="AV891" s="1896"/>
      <c r="BK891" s="1631"/>
    </row>
    <row r="892">
      <c r="AV892" s="1896"/>
      <c r="BK892" s="1631"/>
    </row>
    <row r="893">
      <c r="AV893" s="1896"/>
      <c r="BK893" s="1631"/>
    </row>
    <row r="894">
      <c r="AV894" s="1896"/>
      <c r="BK894" s="1631"/>
    </row>
    <row r="895">
      <c r="AV895" s="1896"/>
      <c r="BK895" s="1631"/>
    </row>
    <row r="896">
      <c r="AV896" s="1896"/>
      <c r="BK896" s="1631"/>
    </row>
    <row r="897">
      <c r="AV897" s="1896"/>
      <c r="BK897" s="1631"/>
    </row>
    <row r="898">
      <c r="AV898" s="1896"/>
      <c r="BK898" s="1631"/>
    </row>
    <row r="899">
      <c r="AV899" s="1896"/>
      <c r="BK899" s="1631"/>
    </row>
    <row r="900">
      <c r="AV900" s="1896"/>
      <c r="BK900" s="1631"/>
    </row>
    <row r="901">
      <c r="AV901" s="1896"/>
      <c r="BK901" s="1631"/>
    </row>
    <row r="902">
      <c r="AV902" s="1896"/>
      <c r="BK902" s="1631"/>
    </row>
    <row r="903">
      <c r="AV903" s="1896"/>
      <c r="BK903" s="1631"/>
    </row>
    <row r="904">
      <c r="AV904" s="1896"/>
      <c r="BK904" s="1631"/>
    </row>
    <row r="905">
      <c r="AV905" s="1896"/>
      <c r="BK905" s="1631"/>
    </row>
    <row r="906">
      <c r="AV906" s="1896"/>
      <c r="BK906" s="1631"/>
    </row>
    <row r="907">
      <c r="AV907" s="1896"/>
      <c r="BK907" s="1631"/>
    </row>
    <row r="908">
      <c r="AV908" s="1896"/>
      <c r="BK908" s="1631"/>
    </row>
    <row r="909">
      <c r="AV909" s="1896"/>
      <c r="BK909" s="1631"/>
    </row>
    <row r="910">
      <c r="AV910" s="1896"/>
      <c r="BK910" s="1631"/>
    </row>
    <row r="911">
      <c r="AV911" s="1896"/>
      <c r="BK911" s="1631"/>
    </row>
    <row r="912">
      <c r="AV912" s="1896"/>
      <c r="BK912" s="1631"/>
    </row>
    <row r="913">
      <c r="AV913" s="1896"/>
      <c r="BK913" s="1631"/>
    </row>
    <row r="914">
      <c r="AV914" s="1896"/>
      <c r="BK914" s="1631"/>
    </row>
    <row r="915">
      <c r="AV915" s="1896"/>
      <c r="BK915" s="1631"/>
    </row>
    <row r="916">
      <c r="AV916" s="1896"/>
      <c r="BK916" s="1631"/>
    </row>
    <row r="917">
      <c r="AV917" s="1896"/>
      <c r="BK917" s="1631"/>
    </row>
    <row r="918">
      <c r="AV918" s="1896"/>
      <c r="BK918" s="1631"/>
    </row>
    <row r="919">
      <c r="AV919" s="1896"/>
      <c r="BK919" s="1631"/>
    </row>
    <row r="920">
      <c r="AV920" s="1896"/>
      <c r="BK920" s="1631"/>
    </row>
    <row r="921">
      <c r="AV921" s="1896"/>
      <c r="BK921" s="1631"/>
    </row>
    <row r="922">
      <c r="AV922" s="1896"/>
      <c r="BK922" s="1631"/>
    </row>
    <row r="923">
      <c r="AV923" s="1896"/>
      <c r="BK923" s="1631"/>
    </row>
    <row r="924">
      <c r="AV924" s="1896"/>
      <c r="BK924" s="1631"/>
    </row>
    <row r="925">
      <c r="AV925" s="1896"/>
      <c r="BK925" s="1631"/>
    </row>
    <row r="926">
      <c r="AV926" s="1896"/>
      <c r="BK926" s="1631"/>
    </row>
    <row r="927">
      <c r="AV927" s="1896"/>
      <c r="BK927" s="1631"/>
    </row>
    <row r="928">
      <c r="AV928" s="1896"/>
      <c r="BK928" s="1631"/>
    </row>
    <row r="929">
      <c r="AV929" s="1896"/>
      <c r="BK929" s="1631"/>
    </row>
    <row r="930">
      <c r="AV930" s="1896"/>
      <c r="BK930" s="1631"/>
    </row>
    <row r="931">
      <c r="AV931" s="1896"/>
      <c r="BK931" s="1631"/>
    </row>
    <row r="932">
      <c r="AV932" s="1896"/>
      <c r="BK932" s="1631"/>
    </row>
    <row r="933">
      <c r="AV933" s="1896"/>
      <c r="BK933" s="1631"/>
    </row>
    <row r="934">
      <c r="AV934" s="1896"/>
      <c r="BK934" s="1631"/>
    </row>
    <row r="935">
      <c r="AV935" s="1896"/>
      <c r="BK935" s="1631"/>
    </row>
    <row r="936">
      <c r="AV936" s="1896"/>
      <c r="BK936" s="1631"/>
    </row>
    <row r="937">
      <c r="AV937" s="1896"/>
      <c r="BK937" s="1631"/>
    </row>
    <row r="938">
      <c r="AV938" s="1896"/>
      <c r="BK938" s="1631"/>
    </row>
    <row r="939">
      <c r="AV939" s="1896"/>
      <c r="BK939" s="1631"/>
    </row>
    <row r="940">
      <c r="AV940" s="1896"/>
      <c r="BK940" s="1631"/>
    </row>
    <row r="941">
      <c r="AV941" s="1896"/>
      <c r="BK941" s="1631"/>
    </row>
    <row r="942">
      <c r="AV942" s="1896"/>
      <c r="BK942" s="1631"/>
    </row>
    <row r="943">
      <c r="AV943" s="1896"/>
      <c r="BK943" s="1631"/>
    </row>
    <row r="944">
      <c r="AV944" s="1896"/>
      <c r="BK944" s="1631"/>
    </row>
    <row r="945">
      <c r="AV945" s="1896"/>
      <c r="BK945" s="1631"/>
    </row>
    <row r="946">
      <c r="AV946" s="1896"/>
      <c r="BK946" s="1631"/>
    </row>
    <row r="947">
      <c r="AV947" s="1896"/>
      <c r="BK947" s="1631"/>
    </row>
    <row r="948">
      <c r="AV948" s="1896"/>
      <c r="BK948" s="1631"/>
    </row>
    <row r="949">
      <c r="AV949" s="1896"/>
      <c r="BK949" s="1631"/>
    </row>
    <row r="950">
      <c r="AV950" s="1896"/>
      <c r="BK950" s="1631"/>
    </row>
    <row r="951">
      <c r="AV951" s="1896"/>
      <c r="BK951" s="1631"/>
    </row>
    <row r="952">
      <c r="AV952" s="1896"/>
      <c r="BK952" s="1631"/>
    </row>
    <row r="953">
      <c r="AV953" s="1896"/>
      <c r="BK953" s="1631"/>
    </row>
    <row r="954">
      <c r="AV954" s="1896"/>
      <c r="BK954" s="1631"/>
    </row>
    <row r="955">
      <c r="AV955" s="1896"/>
      <c r="BK955" s="1631"/>
    </row>
    <row r="956">
      <c r="AV956" s="1896"/>
      <c r="BK956" s="1631"/>
    </row>
    <row r="957">
      <c r="AV957" s="1896"/>
      <c r="BK957" s="1631"/>
    </row>
    <row r="958">
      <c r="AV958" s="1896"/>
      <c r="BK958" s="1631"/>
    </row>
    <row r="959">
      <c r="AV959" s="1896"/>
      <c r="BK959" s="1631"/>
    </row>
    <row r="960">
      <c r="AV960" s="1896"/>
      <c r="BK960" s="1631"/>
    </row>
    <row r="961">
      <c r="AV961" s="1896"/>
      <c r="BK961" s="1631"/>
    </row>
    <row r="962">
      <c r="AV962" s="1896"/>
      <c r="BK962" s="1631"/>
    </row>
    <row r="963">
      <c r="AV963" s="1896"/>
      <c r="BK963" s="1631"/>
    </row>
    <row r="964">
      <c r="AV964" s="1896"/>
      <c r="BK964" s="1631"/>
    </row>
    <row r="965">
      <c r="AV965" s="1896"/>
      <c r="BK965" s="1631"/>
    </row>
    <row r="966">
      <c r="AV966" s="1896"/>
      <c r="BK966" s="1631"/>
    </row>
    <row r="967">
      <c r="AV967" s="1896"/>
      <c r="BK967" s="1631"/>
    </row>
    <row r="968">
      <c r="AV968" s="1896"/>
      <c r="BK968" s="1631"/>
    </row>
    <row r="969">
      <c r="AV969" s="1896"/>
      <c r="BK969" s="1631"/>
    </row>
    <row r="970">
      <c r="AV970" s="1896"/>
      <c r="BK970" s="1631"/>
    </row>
    <row r="971">
      <c r="AV971" s="1896"/>
      <c r="BK971" s="1631"/>
    </row>
    <row r="972">
      <c r="AV972" s="1896"/>
      <c r="BK972" s="1631"/>
    </row>
    <row r="973">
      <c r="AV973" s="1896"/>
      <c r="BK973" s="1631"/>
    </row>
    <row r="974">
      <c r="AV974" s="1896"/>
      <c r="BK974" s="1631"/>
    </row>
    <row r="975">
      <c r="AV975" s="1896"/>
      <c r="BK975" s="1631"/>
    </row>
    <row r="976">
      <c r="AV976" s="1896"/>
      <c r="BK976" s="1631"/>
    </row>
    <row r="977">
      <c r="AV977" s="1896"/>
      <c r="BK977" s="1631"/>
    </row>
    <row r="978">
      <c r="AV978" s="1896"/>
      <c r="BK978" s="1631"/>
    </row>
    <row r="979">
      <c r="AV979" s="1896"/>
      <c r="BK979" s="1631"/>
    </row>
    <row r="980">
      <c r="AV980" s="1896"/>
      <c r="BK980" s="1631"/>
    </row>
    <row r="981">
      <c r="AV981" s="1896"/>
      <c r="BK981" s="1631"/>
    </row>
    <row r="982">
      <c r="AV982" s="1896"/>
      <c r="BK982" s="1631"/>
    </row>
    <row r="983">
      <c r="AV983" s="1896"/>
      <c r="BK983" s="1631"/>
    </row>
    <row r="984">
      <c r="AV984" s="1896"/>
      <c r="BK984" s="1631"/>
    </row>
    <row r="985">
      <c r="AV985" s="1896"/>
      <c r="BK985" s="1631"/>
    </row>
    <row r="986">
      <c r="AV986" s="1896"/>
      <c r="BK986" s="1631"/>
    </row>
    <row r="987">
      <c r="AV987" s="1896"/>
      <c r="BK987" s="1631"/>
    </row>
    <row r="988">
      <c r="AV988" s="1896"/>
      <c r="BK988" s="1631"/>
    </row>
    <row r="989">
      <c r="AV989" s="1896"/>
      <c r="BK989" s="1631"/>
    </row>
    <row r="990">
      <c r="AV990" s="1896"/>
      <c r="BK990" s="1631"/>
    </row>
    <row r="991">
      <c r="AV991" s="1896"/>
      <c r="BK991" s="1631"/>
    </row>
    <row r="992">
      <c r="AV992" s="1896"/>
      <c r="BK992" s="1631"/>
    </row>
    <row r="993">
      <c r="AV993" s="1896"/>
      <c r="BK993" s="1631"/>
    </row>
    <row r="994">
      <c r="AV994" s="1896"/>
      <c r="BK994" s="1631"/>
    </row>
    <row r="995">
      <c r="AV995" s="1896"/>
      <c r="BK995" s="1631"/>
    </row>
    <row r="996">
      <c r="AV996" s="1896"/>
      <c r="BK996" s="1631"/>
    </row>
    <row r="997">
      <c r="AV997" s="1896"/>
      <c r="BK997" s="1631"/>
    </row>
    <row r="998">
      <c r="AV998" s="1896"/>
      <c r="BK998" s="1631"/>
    </row>
    <row r="999">
      <c r="AV999" s="1896"/>
      <c r="BK999" s="1631"/>
    </row>
    <row r="1000">
      <c r="AV1000" s="1896"/>
      <c r="BK1000" s="1631"/>
    </row>
    <row r="1001">
      <c r="AV1001" s="1896"/>
      <c r="BK1001" s="1631"/>
    </row>
    <row r="1002">
      <c r="AV1002" s="1896"/>
      <c r="BK1002" s="1631"/>
    </row>
    <row r="1003">
      <c r="AV1003" s="1896"/>
      <c r="BK1003" s="1631"/>
    </row>
    <row r="1004">
      <c r="AV1004" s="1896"/>
      <c r="BK1004" s="1631"/>
    </row>
    <row r="1005">
      <c r="AV1005" s="1896"/>
      <c r="BK1005" s="1631"/>
    </row>
    <row r="1006">
      <c r="AV1006" s="1896"/>
      <c r="BK1006" s="1631"/>
    </row>
    <row r="1007">
      <c r="AV1007" s="1896"/>
      <c r="BK1007" s="1631"/>
    </row>
    <row r="1008">
      <c r="AV1008" s="1896"/>
      <c r="BK1008" s="1631"/>
    </row>
    <row r="1009">
      <c r="AV1009" s="1896"/>
      <c r="BK1009" s="1631"/>
    </row>
    <row r="1010">
      <c r="AV1010" s="1896"/>
      <c r="BK1010" s="1631"/>
    </row>
    <row r="1011">
      <c r="AV1011" s="1896"/>
      <c r="BK1011" s="1631"/>
    </row>
    <row r="1012">
      <c r="AV1012" s="1896"/>
      <c r="BK1012" s="1631"/>
    </row>
    <row r="1013">
      <c r="AV1013" s="1896"/>
      <c r="BK1013" s="1631"/>
    </row>
    <row r="1014">
      <c r="AV1014" s="1896"/>
      <c r="BK1014" s="1631"/>
    </row>
    <row r="1015">
      <c r="AV1015" s="1896"/>
      <c r="BK1015" s="1631"/>
    </row>
    <row r="1016">
      <c r="AV1016" s="1896"/>
      <c r="BK1016" s="1631"/>
    </row>
    <row r="1017">
      <c r="AV1017" s="1896"/>
      <c r="BK1017" s="1631"/>
    </row>
    <row r="1018">
      <c r="AV1018" s="1896"/>
      <c r="BK1018" s="1631"/>
    </row>
    <row r="1019">
      <c r="AV1019" s="1896"/>
      <c r="BK1019" s="1631"/>
    </row>
    <row r="1020">
      <c r="AV1020" s="1896"/>
      <c r="BK1020" s="1631"/>
    </row>
    <row r="1021">
      <c r="AV1021" s="1896"/>
      <c r="BK1021" s="1631"/>
    </row>
    <row r="1022">
      <c r="AV1022" s="1896"/>
      <c r="BK1022" s="1631"/>
    </row>
    <row r="1023">
      <c r="AV1023" s="1896"/>
      <c r="BK1023" s="1631"/>
    </row>
    <row r="1024">
      <c r="AV1024" s="1896"/>
      <c r="BK1024" s="1631"/>
    </row>
    <row r="1025">
      <c r="AV1025" s="1896"/>
      <c r="BK1025" s="1631"/>
    </row>
    <row r="1026">
      <c r="AV1026" s="1896"/>
      <c r="BK1026" s="1631"/>
    </row>
    <row r="1027">
      <c r="AV1027" s="1896"/>
      <c r="BK1027" s="1631"/>
    </row>
    <row r="1028">
      <c r="AV1028" s="1896"/>
      <c r="BK1028" s="1631"/>
    </row>
    <row r="1029">
      <c r="AV1029" s="1896"/>
      <c r="BK1029" s="1631"/>
    </row>
    <row r="1030">
      <c r="AV1030" s="1896"/>
      <c r="BK1030" s="1631"/>
    </row>
    <row r="1031">
      <c r="AV1031" s="1896"/>
      <c r="BK1031" s="1631"/>
    </row>
    <row r="1032">
      <c r="AV1032" s="1896"/>
      <c r="BK1032" s="1631"/>
    </row>
    <row r="1033">
      <c r="AV1033" s="1896"/>
      <c r="BK1033" s="1631"/>
    </row>
    <row r="1034">
      <c r="AV1034" s="1896"/>
      <c r="BK1034" s="1631"/>
    </row>
    <row r="1035">
      <c r="AV1035" s="1896"/>
      <c r="BK1035" s="1631"/>
    </row>
    <row r="1036">
      <c r="AV1036" s="1896"/>
      <c r="BK1036" s="1631"/>
    </row>
    <row r="1037">
      <c r="AV1037" s="1896"/>
      <c r="BK1037" s="1631"/>
    </row>
    <row r="1038">
      <c r="AV1038" s="1896"/>
      <c r="BK1038" s="1631"/>
    </row>
    <row r="1039">
      <c r="AV1039" s="1896"/>
      <c r="BK1039" s="1631"/>
    </row>
    <row r="1040">
      <c r="AV1040" s="1896"/>
      <c r="BK1040" s="1631"/>
    </row>
    <row r="1041">
      <c r="AV1041" s="1896"/>
      <c r="BK1041" s="1631"/>
    </row>
    <row r="1042">
      <c r="AV1042" s="1896"/>
      <c r="BK1042" s="1631"/>
    </row>
    <row r="1043">
      <c r="AV1043" s="1896"/>
      <c r="BK1043" s="1631"/>
    </row>
    <row r="1044">
      <c r="AV1044" s="1896"/>
      <c r="BK1044" s="1631"/>
    </row>
    <row r="1045">
      <c r="AV1045" s="1896"/>
      <c r="BK1045" s="1631"/>
    </row>
    <row r="1046">
      <c r="AV1046" s="1896"/>
      <c r="BK1046" s="1631"/>
    </row>
    <row r="1047">
      <c r="AV1047" s="1896"/>
      <c r="BK1047" s="1631"/>
    </row>
    <row r="1048">
      <c r="AV1048" s="1896"/>
      <c r="BK1048" s="1631"/>
    </row>
    <row r="1049">
      <c r="AV1049" s="1896"/>
      <c r="BK1049" s="1631"/>
    </row>
    <row r="1050">
      <c r="AV1050" s="1896"/>
      <c r="BK1050" s="1631"/>
    </row>
    <row r="1051">
      <c r="AV1051" s="1896"/>
      <c r="BK1051" s="1631"/>
    </row>
    <row r="1052">
      <c r="AV1052" s="1896"/>
      <c r="BK1052" s="1631"/>
    </row>
    <row r="1053">
      <c r="AV1053" s="1896"/>
      <c r="BK1053" s="1631"/>
    </row>
    <row r="1054">
      <c r="AV1054" s="1896"/>
      <c r="BK1054" s="1631"/>
    </row>
    <row r="1055">
      <c r="AV1055" s="1896"/>
      <c r="BK1055" s="1631"/>
    </row>
    <row r="1056">
      <c r="AV1056" s="1896"/>
      <c r="BK1056" s="1631"/>
    </row>
    <row r="1057">
      <c r="AV1057" s="1896"/>
      <c r="BK1057" s="1631"/>
    </row>
    <row r="1058">
      <c r="AV1058" s="1896"/>
      <c r="BK1058" s="1631"/>
    </row>
    <row r="1059">
      <c r="AV1059" s="1896"/>
      <c r="BK1059" s="1631"/>
    </row>
    <row r="1060">
      <c r="AV1060" s="1896"/>
      <c r="BK1060" s="1631"/>
    </row>
    <row r="1061">
      <c r="AV1061" s="1896"/>
      <c r="BK1061" s="1631"/>
    </row>
    <row r="1062">
      <c r="AV1062" s="1896"/>
      <c r="BK1062" s="1631"/>
    </row>
    <row r="1063">
      <c r="AV1063" s="1896"/>
      <c r="BK1063" s="1631"/>
    </row>
    <row r="1064">
      <c r="AV1064" s="1896"/>
      <c r="BK1064" s="1631"/>
    </row>
    <row r="1065">
      <c r="AV1065" s="1896"/>
      <c r="BK1065" s="1631"/>
    </row>
    <row r="1066">
      <c r="AV1066" s="1896"/>
      <c r="BK1066" s="1631"/>
    </row>
    <row r="1067">
      <c r="AV1067" s="1896"/>
      <c r="BK1067" s="1631"/>
    </row>
    <row r="1068">
      <c r="AV1068" s="1896"/>
      <c r="BK1068" s="1631"/>
    </row>
    <row r="1069">
      <c r="AV1069" s="1896"/>
      <c r="BK1069" s="1631"/>
    </row>
    <row r="1070">
      <c r="AV1070" s="1896"/>
      <c r="BK1070" s="1631"/>
    </row>
    <row r="1071">
      <c r="AV1071" s="1896"/>
      <c r="BK1071" s="1631"/>
    </row>
    <row r="1072">
      <c r="AV1072" s="1896"/>
      <c r="BK1072" s="1631"/>
    </row>
    <row r="1073">
      <c r="AV1073" s="1896"/>
      <c r="BK1073" s="1631"/>
    </row>
    <row r="1074">
      <c r="AV1074" s="1896"/>
      <c r="BK1074" s="1631"/>
    </row>
    <row r="1075">
      <c r="AV1075" s="1896"/>
      <c r="BK1075" s="1631"/>
    </row>
    <row r="1076">
      <c r="AV1076" s="1896"/>
      <c r="BK1076" s="1631"/>
    </row>
    <row r="1077">
      <c r="AV1077" s="1896"/>
      <c r="BK1077" s="1631"/>
    </row>
    <row r="1078">
      <c r="AV1078" s="1896"/>
      <c r="BK1078" s="1631"/>
    </row>
    <row r="1079">
      <c r="AV1079" s="1896"/>
      <c r="BK1079" s="1631"/>
    </row>
    <row r="1080">
      <c r="AV1080" s="1896"/>
      <c r="BK1080" s="1631"/>
    </row>
    <row r="1081">
      <c r="AV1081" s="1896"/>
      <c r="BK1081" s="1631"/>
    </row>
    <row r="1082">
      <c r="AV1082" s="1896"/>
      <c r="BK1082" s="1631"/>
    </row>
    <row r="1083">
      <c r="AV1083" s="1896"/>
      <c r="BK1083" s="1631"/>
    </row>
    <row r="1084">
      <c r="AV1084" s="1896"/>
      <c r="BK1084" s="1631"/>
    </row>
    <row r="1085">
      <c r="AV1085" s="1896"/>
      <c r="BK1085" s="1631"/>
    </row>
    <row r="1086">
      <c r="AV1086" s="1896"/>
      <c r="BK1086" s="1631"/>
    </row>
    <row r="1087">
      <c r="AV1087" s="1896"/>
      <c r="BK1087" s="1631"/>
    </row>
    <row r="1088">
      <c r="AV1088" s="1896"/>
      <c r="BK1088" s="1631"/>
    </row>
    <row r="1089">
      <c r="AV1089" s="1896"/>
      <c r="BK1089" s="1631"/>
    </row>
    <row r="1090">
      <c r="AV1090" s="1896"/>
      <c r="BK1090" s="1631"/>
    </row>
    <row r="1091">
      <c r="AV1091" s="1896"/>
      <c r="BK1091" s="1631"/>
    </row>
    <row r="1092">
      <c r="AV1092" s="1896"/>
      <c r="BK1092" s="1631"/>
    </row>
    <row r="1093">
      <c r="AV1093" s="1896"/>
      <c r="BK1093" s="1631"/>
    </row>
    <row r="1094">
      <c r="AV1094" s="1896"/>
      <c r="BK1094" s="1631"/>
    </row>
    <row r="1095">
      <c r="AV1095" s="1896"/>
      <c r="BK1095" s="1631"/>
    </row>
    <row r="1096">
      <c r="AV1096" s="1896"/>
      <c r="BK1096" s="1631"/>
    </row>
    <row r="1097">
      <c r="AV1097" s="1896"/>
      <c r="BK1097" s="1631"/>
    </row>
    <row r="1098">
      <c r="AV1098" s="1896"/>
      <c r="BK1098" s="1631"/>
    </row>
    <row r="1099">
      <c r="AV1099" s="1896"/>
      <c r="BK1099" s="1631"/>
    </row>
    <row r="1100">
      <c r="AV1100" s="1896"/>
      <c r="BK1100" s="1631"/>
    </row>
    <row r="1101">
      <c r="AV1101" s="1896"/>
      <c r="BK1101" s="1631"/>
    </row>
  </sheetData>
  <mergeCells count="30">
    <mergeCell ref="B55:F58"/>
    <mergeCell ref="B86:F89"/>
    <mergeCell ref="R130:BR133"/>
    <mergeCell ref="AU134:AU135"/>
    <mergeCell ref="B12:F14"/>
    <mergeCell ref="B16:F19"/>
    <mergeCell ref="B21:F22"/>
    <mergeCell ref="B23:F25"/>
    <mergeCell ref="B27:F28"/>
    <mergeCell ref="B29:F31"/>
    <mergeCell ref="B33:F35"/>
    <mergeCell ref="F149:F171"/>
    <mergeCell ref="D215:D253"/>
    <mergeCell ref="CD259:CQ259"/>
    <mergeCell ref="R263:Z263"/>
    <mergeCell ref="AQ263:BE263"/>
    <mergeCell ref="BI263:BV263"/>
    <mergeCell ref="CB263:CB279"/>
    <mergeCell ref="R265:R281"/>
    <mergeCell ref="R333:R349"/>
    <mergeCell ref="AB333:AB349"/>
    <mergeCell ref="AO335:AO351"/>
    <mergeCell ref="AB265:AB281"/>
    <mergeCell ref="AO267:AO283"/>
    <mergeCell ref="BG267:BG283"/>
    <mergeCell ref="R293:BW296"/>
    <mergeCell ref="R331:Z331"/>
    <mergeCell ref="AQ331:BE331"/>
    <mergeCell ref="BI331:BV331"/>
    <mergeCell ref="BG335:BG351"/>
  </mergeCells>
  <conditionalFormatting sqref="EJ77 CF144 BS195:BW195 CB258:CQ258 U262:Z262 AO262:BE262 BG262:BV262 U330:Z330 AO330:BE330 BG330:BV330">
    <cfRule type="colorScale" priority="1">
      <colorScale>
        <cfvo type="min"/>
        <cfvo type="percentile" val="50"/>
        <cfvo type="max"/>
        <color rgb="FFE67C73"/>
        <color rgb="FFFFFFFF"/>
        <color rgb="FF57BB8A"/>
      </colorScale>
    </cfRule>
  </conditionalFormatting>
  <conditionalFormatting sqref="F76:F77">
    <cfRule type="cellIs" dxfId="0" priority="2" operator="greaterThan">
      <formula>0</formula>
    </cfRule>
  </conditionalFormatting>
  <conditionalFormatting sqref="F76:F77">
    <cfRule type="cellIs" dxfId="1" priority="3" operator="lessThan">
      <formula>0</formula>
    </cfRule>
  </conditionalFormatting>
  <conditionalFormatting sqref="C61:C62 C65:C67">
    <cfRule type="cellIs" dxfId="0" priority="4" operator="equal">
      <formula>"Yes"</formula>
    </cfRule>
  </conditionalFormatting>
  <conditionalFormatting sqref="C61:C62 C65:C67">
    <cfRule type="cellIs" dxfId="1" priority="5" operator="equal">
      <formula>"No"</formula>
    </cfRule>
  </conditionalFormatting>
  <conditionalFormatting sqref="T265:Z284 T333:Z352">
    <cfRule type="colorScale" priority="6">
      <colorScale>
        <cfvo type="min"/>
        <cfvo type="percentile" val="10"/>
        <cfvo type="max"/>
        <color rgb="FFE67C73"/>
        <color rgb="FFFFFFFF"/>
        <color rgb="FF57BB8A"/>
      </colorScale>
    </cfRule>
  </conditionalFormatting>
  <conditionalFormatting sqref="AD265:AM284 T333:Z352 AD333:AM352">
    <cfRule type="colorScale" priority="7">
      <colorScale>
        <cfvo type="min"/>
        <cfvo type="percentile" val="30"/>
        <cfvo type="max"/>
        <color rgb="FFE67C73"/>
        <color rgb="FFFFFFFF"/>
        <color rgb="FF57BB8A"/>
      </colorScale>
    </cfRule>
  </conditionalFormatting>
  <conditionalFormatting sqref="BU4:BU23 BS200:BW220 BJ254:BR254">
    <cfRule type="colorScale" priority="8">
      <colorScale>
        <cfvo type="min"/>
        <cfvo type="max"/>
        <color rgb="FFFFFFFF"/>
        <color rgb="FF57BB8A"/>
      </colorScale>
    </cfRule>
  </conditionalFormatting>
  <conditionalFormatting sqref="AQ267:BE286">
    <cfRule type="colorScale" priority="9">
      <colorScale>
        <cfvo type="min"/>
        <cfvo type="max"/>
        <color rgb="FFFFFFFF"/>
        <color rgb="FF57BB8A"/>
      </colorScale>
    </cfRule>
  </conditionalFormatting>
  <conditionalFormatting sqref="BI267:BV286">
    <cfRule type="colorScale" priority="10">
      <colorScale>
        <cfvo type="min"/>
        <cfvo type="max"/>
        <color rgb="FFFFFFFF"/>
        <color rgb="FF57BB8A"/>
      </colorScale>
    </cfRule>
  </conditionalFormatting>
  <conditionalFormatting sqref="AQ335:BE354">
    <cfRule type="colorScale" priority="11">
      <colorScale>
        <cfvo type="min"/>
        <cfvo type="max"/>
        <color rgb="FFFFFFFF"/>
        <color rgb="FF57BB8A"/>
      </colorScale>
    </cfRule>
  </conditionalFormatting>
  <conditionalFormatting sqref="BI335:BV354">
    <cfRule type="colorScale" priority="12">
      <colorScale>
        <cfvo type="min"/>
        <cfvo type="max"/>
        <color rgb="FFFFFFFF"/>
        <color rgb="FF57BB8A"/>
      </colorScale>
    </cfRule>
  </conditionalFormatting>
  <dataValidations>
    <dataValidation type="list" allowBlank="1" sqref="C61:C62">
      <formula1>"Yes,No"</formula1>
    </dataValidation>
    <dataValidation type="list" allowBlank="1" sqref="C66">
      <formula1>"Minimum Requirements,Recommended Requirements"</formula1>
    </dataValidation>
    <dataValidation type="list" allowBlank="1" sqref="C65">
      <formula1>"Cloud,Hardware"</formula1>
    </dataValidation>
  </dataValidations>
  <hyperlinks>
    <hyperlink r:id="rId2" ref="B16"/>
  </hyperlinks>
  <drawing r:id="rId3"/>
  <legacyDrawing r:id="rId4"/>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4" t="str">
        <f>IFERROR(__xludf.DUMMYFUNCTION("IMPORTHTML(""https://www.coingecko.com/en"",""table"")"),"#N/A")</f>
        <v>#N/A</v>
      </c>
    </row>
  </sheetData>
  <drawing r:id="rId1"/>
</worksheet>
</file>